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pivotTables/pivotTable2.xml" ContentType="application/vnd.openxmlformats-officedocument.spreadsheetml.pivotTable+xml"/>
  <Override PartName="/xl/drawings/drawing6.xml" ContentType="application/vnd.openxmlformats-officedocument.drawing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4.bin" ContentType="application/vnd.openxmlformats-officedocument.spreadsheetml.customProperty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ofirm-my.sharepoint.com/personal/monica_braun_skofirm_com/Documents/Documents/"/>
    </mc:Choice>
  </mc:AlternateContent>
  <xr:revisionPtr revIDLastSave="197" documentId="8_{35037A88-266C-4BFC-9EAE-73F99258DCC1}" xr6:coauthVersionLast="47" xr6:coauthVersionMax="47" xr10:uidLastSave="{5EE8B529-D243-44D0-83F2-4A5B2E8E21B0}"/>
  <bookViews>
    <workbookView xWindow="-110" yWindow="-110" windowWidth="19420" windowHeight="11500" tabRatio="895" firstSheet="13" activeTab="17" xr2:uid="{2F719FF8-D225-4E0E-81FC-799FDFE12A47}"/>
  </bookViews>
  <sheets>
    <sheet name="0-Inputs" sheetId="30" r:id="rId1"/>
    <sheet name="5-Reports--&gt;" sheetId="67" r:id="rId2"/>
    <sheet name="CompMultiCust" sheetId="146" r:id="rId3"/>
    <sheet name="Comp3-CustDetail" sheetId="144" r:id="rId4"/>
    <sheet name="CompCapex" sheetId="128" r:id="rId5"/>
    <sheet name="CompRetire" sheetId="139" r:id="rId6"/>
    <sheet name="CompCost" sheetId="138" r:id="rId7"/>
    <sheet name="CompBenefits" sheetId="137" r:id="rId8"/>
    <sheet name="4-Calculations--&gt;" sheetId="68" r:id="rId9"/>
    <sheet name="LOS LIke" sheetId="59" r:id="rId10"/>
    <sheet name="LOS AMI Cell" sheetId="29" r:id="rId11"/>
    <sheet name="1--&gt;Capex Support" sheetId="60" r:id="rId12"/>
    <sheet name="Data-Meters" sheetId="1" r:id="rId13"/>
    <sheet name="LOS Schedule" sheetId="125" r:id="rId14"/>
    <sheet name="MeterSize" sheetId="129" r:id="rId15"/>
    <sheet name="Detail1" sheetId="162" r:id="rId16"/>
    <sheet name="MeterEnds" sheetId="35" r:id="rId17"/>
    <sheet name="CONF-MeterPrice" sheetId="7" r:id="rId18"/>
    <sheet name="2--&gt;Labor Support" sheetId="61" r:id="rId19"/>
    <sheet name="Conf-Wages FSR MR" sheetId="47" r:id="rId20"/>
    <sheet name="OT v Reg" sheetId="157" r:id="rId21"/>
    <sheet name="Labor OH" sheetId="156" r:id="rId22"/>
    <sheet name="Non-Prod" sheetId="94" r:id="rId23"/>
    <sheet name="ServOrderMins" sheetId="38" r:id="rId24"/>
    <sheet name="ServOrderOpp-AMI" sheetId="37" r:id="rId25"/>
    <sheet name="Transit Time" sheetId="112" r:id="rId26"/>
    <sheet name="3 Vehicle Support--&gt;Vehicles" sheetId="62" r:id="rId27"/>
    <sheet name="Fleet UPIS" sheetId="91" r:id="rId28"/>
    <sheet name="Truck Maint" sheetId="147" r:id="rId29"/>
    <sheet name="Truck Miles" sheetId="155" r:id="rId30"/>
    <sheet name="PriceFuelOutlook" sheetId="49" r:id="rId31"/>
    <sheet name="5-Misc CPI" sheetId="64" r:id="rId32"/>
    <sheet name="Data-CPIAll" sheetId="53" r:id="rId33"/>
    <sheet name="Data-CPIUtils" sheetId="55" r:id="rId34"/>
    <sheet name="Data-CPIWater" sheetId="54" r:id="rId35"/>
  </sheets>
  <definedNames>
    <definedName name="_xlnm._FilterDatabase" localSheetId="12" hidden="1">'Data-Meters'!$A$5:$Y$282</definedName>
    <definedName name="_xlnm._FilterDatabase" localSheetId="23" hidden="1">ServOrderMins!$A$6:$L$22</definedName>
    <definedName name="_xlnm._FilterDatabase" localSheetId="24" hidden="1">'ServOrderOpp-AMI'!$A$10:$N$58</definedName>
    <definedName name="AltYrsXtraEndpoint">'0-Inputs'!#REF!</definedName>
    <definedName name="AMIBothInside">'CONF-MeterPrice'!$E$57:$AJ$57</definedName>
    <definedName name="AMIBothOutside">'CONF-MeterPrice'!$E$53:$AJ$53</definedName>
    <definedName name="AMIEndpointInside">'CONF-MeterPrice'!$E$68:$AJ$68</definedName>
    <definedName name="AMIEndpointOutside">'CONF-MeterPrice'!$E$64:$AJ$64</definedName>
    <definedName name="AMRBothInside">'CONF-MeterPrice'!$E$58:$AJ$58</definedName>
    <definedName name="AMRBothOutside">'CONF-MeterPrice'!$E$54:$AJ$54</definedName>
    <definedName name="AMREndpointInside">'CONF-MeterPrice'!$E$69:$AJ$69</definedName>
    <definedName name="AMREndpointOutside">'CONF-MeterPrice'!$E$65:$AJ$65</definedName>
    <definedName name="BadgerAMIEnd">'0-Inputs'!$B$36</definedName>
    <definedName name="BadgerAMREnd">'0-Inputs'!$B$39</definedName>
    <definedName name="BadgerNeptuneSplit">'CONF-MeterPrice'!$D$53:$D$53</definedName>
    <definedName name="DebtRatio">'0-Inputs'!$B$168</definedName>
    <definedName name="DeprRateCollectors">'0-Inputs'!$B$129</definedName>
    <definedName name="DeprRateMeters">'0-Inputs'!$B$17</definedName>
    <definedName name="DiscountCPI">'Data-CPIAll'!$N$37</definedName>
    <definedName name="DiscountUtilities">'Data-CPIUtils'!$N$37</definedName>
    <definedName name="DiscountWater">'Data-CPIWater'!$N$37</definedName>
    <definedName name="EquityGrossUp">'0-Inputs'!$B$166</definedName>
    <definedName name="EquityRatio">'0-Inputs'!$B$169</definedName>
    <definedName name="ETR">'0-Inputs'!$B$172</definedName>
    <definedName name="ExcludeEndpoint">'0-Inputs'!#REF!</definedName>
    <definedName name="FSRRate">'0-Inputs'!$B$210</definedName>
    <definedName name="HourlyMRRate">'0-Inputs'!$B$195</definedName>
    <definedName name="InflationGeneral">'0-Inputs'!$B$234</definedName>
    <definedName name="InflationLabor">'0-Inputs'!$B$190</definedName>
    <definedName name="InflationMeter">'0-Inputs'!$B$28</definedName>
    <definedName name="LTDRateYr1">'0-Inputs'!$B$175</definedName>
    <definedName name="LTDRateYr10">'0-Inputs'!$B$184</definedName>
    <definedName name="LTDRateYr2">'0-Inputs'!$B$176</definedName>
    <definedName name="LTDRateYr3">'0-Inputs'!$B$177</definedName>
    <definedName name="LTDRateYr4">'0-Inputs'!$B$178</definedName>
    <definedName name="LTDRateYr5">'0-Inputs'!$B$179</definedName>
    <definedName name="LTDRateYr6">'0-Inputs'!$B$180</definedName>
    <definedName name="LTDRateYr7">'0-Inputs'!$B$181</definedName>
    <definedName name="LTDRateYr8">'0-Inputs'!$B$182</definedName>
    <definedName name="LTDRateYr9">'0-Inputs'!$B$183</definedName>
    <definedName name="ManualInside">'CONF-MeterPrice'!$E$61:$AJ$61</definedName>
    <definedName name="ManualOutside">'CONF-MeterPrice'!$E$60:$AJ$60</definedName>
    <definedName name="MeterAndOrEndpoint">'0-Inputs'!$B$56</definedName>
    <definedName name="MeterRetireYears">'0-Inputs'!$B$25</definedName>
    <definedName name="MeterRetireYearsAlt">'0-Inputs'!$B$26</definedName>
    <definedName name="NeptuneAMIEnd">'0-Inputs'!$B$37</definedName>
    <definedName name="NeptuneAMREnd">'0-Inputs'!$B$40</definedName>
    <definedName name="OHRate">'0-Inputs'!$B$191</definedName>
    <definedName name="Plateau1">'0-Inputs'!$B$199</definedName>
    <definedName name="Plateau2">'0-Inputs'!$B$200</definedName>
    <definedName name="Plateau3">'0-Inputs'!$B$201</definedName>
    <definedName name="Plateau4">'0-Inputs'!$B$202</definedName>
    <definedName name="PlateauFactor1">'0-Inputs'!$B$204</definedName>
    <definedName name="PlateauFactor2">'0-Inputs'!$B$205</definedName>
    <definedName name="PlateauFactor3">'0-Inputs'!$B$206</definedName>
    <definedName name="PlateauFactor4">'0-Inputs'!$B$207</definedName>
    <definedName name="_xlnm.Print_Area" localSheetId="2">CompMultiCust!$A$1:$X$65</definedName>
    <definedName name="_xlnm.Print_Titles" localSheetId="2">CompMultiCust!$A:$C</definedName>
    <definedName name="PropTaxRate">'0-Inputs'!$B$19</definedName>
    <definedName name="RedeployFSR">'0-Inputs'!#REF!</definedName>
    <definedName name="ROE">'0-Inputs'!$B$165</definedName>
    <definedName name="Scenarios">'0-Inputs'!$C$5:$Q$5</definedName>
    <definedName name="Selected">'0-Inputs'!$B$2</definedName>
    <definedName name="ServOrderTypes">'ServOrderOpp-AMI'!$A$11:$A$57</definedName>
    <definedName name="TargetYrsService">'0-Inputs'!$B$22</definedName>
    <definedName name="TaxDeprMeters">'0-Inputs'!$B$18</definedName>
    <definedName name="TotalMeters">'0-Inputs'!$B$13</definedName>
    <definedName name="YearOne">'0-Inputs'!$B$7</definedName>
    <definedName name="YesNoAltYrsXtraEndpt">'0-Inputs'!#REF!</definedName>
  </definedNames>
  <calcPr calcId="191028" iterate="1"/>
  <pivotCaches>
    <pivotCache cacheId="3" r:id="rId36"/>
    <pivotCache cacheId="4" r:id="rId37"/>
    <pivotCache cacheId="5" r:id="rId3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S18" i="157" l="1"/>
  <c r="F31" i="91" l="1"/>
  <c r="E31" i="91"/>
  <c r="A84" i="146" l="1"/>
  <c r="B84" i="146" s="1" a="1"/>
  <c r="B84" i="146" s="1"/>
  <c r="A83" i="146"/>
  <c r="B83" i="146" s="1" a="1"/>
  <c r="B83" i="146" s="1"/>
  <c r="A82" i="146"/>
  <c r="B82" i="146" s="1" a="1"/>
  <c r="B82" i="146" s="1"/>
  <c r="A79" i="146"/>
  <c r="B79" i="146" s="1" a="1"/>
  <c r="B79" i="146" s="1"/>
  <c r="B74" i="146" a="1"/>
  <c r="B74" i="146" s="1"/>
  <c r="B73" i="146" a="1"/>
  <c r="B73" i="146" s="1"/>
  <c r="B72" i="146" a="1"/>
  <c r="B72" i="146" s="1"/>
  <c r="A70" i="146"/>
  <c r="B70" i="146" s="1" a="1"/>
  <c r="B70" i="146" s="1"/>
  <c r="B69" i="146" a="1"/>
  <c r="B69" i="146" s="1"/>
  <c r="E37" i="146"/>
  <c r="F37" i="146"/>
  <c r="G37" i="146"/>
  <c r="H37" i="146"/>
  <c r="I37" i="146"/>
  <c r="J37" i="146"/>
  <c r="K37" i="146"/>
  <c r="L37" i="146"/>
  <c r="M37" i="146"/>
  <c r="N37" i="146"/>
  <c r="O37" i="146"/>
  <c r="P37" i="146"/>
  <c r="Q37" i="146"/>
  <c r="R37" i="146"/>
  <c r="S37" i="146"/>
  <c r="T37" i="146"/>
  <c r="U37" i="146"/>
  <c r="V37" i="146"/>
  <c r="W37" i="146"/>
  <c r="X37" i="146"/>
  <c r="D37" i="146"/>
  <c r="A26" i="146"/>
  <c r="A27" i="146"/>
  <c r="A28" i="146"/>
  <c r="A23" i="146"/>
  <c r="M63" i="125"/>
  <c r="N63" i="125"/>
  <c r="G64" i="125"/>
  <c r="H64" i="125"/>
  <c r="I64" i="125"/>
  <c r="J64" i="125"/>
  <c r="K64" i="125"/>
  <c r="L64" i="125"/>
  <c r="M64" i="125"/>
  <c r="N64" i="125"/>
  <c r="F64" i="125"/>
  <c r="E64" i="125"/>
  <c r="D64" i="125"/>
  <c r="G63" i="125"/>
  <c r="H63" i="125"/>
  <c r="I63" i="125"/>
  <c r="J63" i="125"/>
  <c r="K63" i="125"/>
  <c r="L63" i="125"/>
  <c r="F63" i="125"/>
  <c r="E63" i="125"/>
  <c r="D63" i="125"/>
  <c r="C168" i="30"/>
  <c r="D168" i="30"/>
  <c r="E168" i="30"/>
  <c r="F168" i="30"/>
  <c r="G168" i="30"/>
  <c r="A80" i="146" l="1"/>
  <c r="B80" i="146" s="1" a="1"/>
  <c r="B80" i="146" s="1"/>
  <c r="A71" i="146"/>
  <c r="E73" i="125"/>
  <c r="E75" i="125"/>
  <c r="N38" i="53"/>
  <c r="G28" i="30" s="1"/>
  <c r="B28" i="30" s="1" a="1"/>
  <c r="B28" i="30" s="1"/>
  <c r="B7" i="138" a="1"/>
  <c r="B7" i="138" s="1"/>
  <c r="B13" i="138" a="1"/>
  <c r="B13" i="138" s="1"/>
  <c r="B14" i="128" a="1"/>
  <c r="B14" i="128" s="1"/>
  <c r="F52" i="125"/>
  <c r="G218" i="30"/>
  <c r="G191" i="30"/>
  <c r="G172" i="30"/>
  <c r="G166" i="30" s="1"/>
  <c r="B166" i="30" s="1" a="1"/>
  <c r="B166" i="30" s="1"/>
  <c r="G111" i="30"/>
  <c r="G107" i="30"/>
  <c r="G103" i="30"/>
  <c r="G99" i="30"/>
  <c r="G91" i="30"/>
  <c r="G87" i="30"/>
  <c r="B87" i="30" s="1" a="1"/>
  <c r="B87" i="30" s="1"/>
  <c r="G83" i="30"/>
  <c r="G79" i="30"/>
  <c r="G75" i="30"/>
  <c r="G71" i="30"/>
  <c r="B71" i="30" s="1" a="1"/>
  <c r="B71" i="30" s="1"/>
  <c r="G67" i="30"/>
  <c r="G63" i="30"/>
  <c r="G59" i="30"/>
  <c r="G46" i="30"/>
  <c r="B46" i="30" s="1" a="1"/>
  <c r="B46" i="30" s="1"/>
  <c r="G32" i="30"/>
  <c r="G31" i="30"/>
  <c r="G25" i="30"/>
  <c r="G18" i="30"/>
  <c r="G12" i="30"/>
  <c r="G11" i="30"/>
  <c r="G10" i="30"/>
  <c r="G13" i="30" s="1"/>
  <c r="D55" i="125"/>
  <c r="E52" i="125"/>
  <c r="E53" i="125"/>
  <c r="F53" i="125"/>
  <c r="N52" i="125"/>
  <c r="N53" i="125"/>
  <c r="B13" i="128" a="1"/>
  <c r="B13" i="128" s="1"/>
  <c r="B7" i="128" a="1"/>
  <c r="B7" i="128" s="1"/>
  <c r="B6" i="37"/>
  <c r="F107" i="156"/>
  <c r="F106" i="156"/>
  <c r="D21" i="157"/>
  <c r="G21" i="157"/>
  <c r="F109" i="156"/>
  <c r="F111" i="156"/>
  <c r="AT60" i="146"/>
  <c r="AS60" i="146"/>
  <c r="AQ60" i="146"/>
  <c r="AO60" i="146"/>
  <c r="AN60" i="146"/>
  <c r="F7" i="38"/>
  <c r="F4" i="38" s="1"/>
  <c r="C4" i="38"/>
  <c r="D8" i="112"/>
  <c r="A21" i="128"/>
  <c r="A20" i="128"/>
  <c r="A19" i="128"/>
  <c r="A18" i="128"/>
  <c r="I7" i="38"/>
  <c r="I8" i="38"/>
  <c r="I4" i="38" s="1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B19" i="30" a="1"/>
  <c r="B19" i="30" s="1"/>
  <c r="B212" i="29" s="1"/>
  <c r="E21" i="157"/>
  <c r="A18" i="146"/>
  <c r="A35" i="146" s="1"/>
  <c r="A19" i="146"/>
  <c r="A36" i="146" s="1"/>
  <c r="B9" i="146" a="1"/>
  <c r="B9" i="146" s="1"/>
  <c r="B27" i="146" s="1"/>
  <c r="B10" i="146" a="1"/>
  <c r="B10" i="146" s="1"/>
  <c r="B28" i="146" s="1"/>
  <c r="A64" i="146"/>
  <c r="B64" i="146" s="1" a="1"/>
  <c r="B64" i="146" s="1"/>
  <c r="B54" i="146" a="1"/>
  <c r="B54" i="146" s="1"/>
  <c r="A31" i="128"/>
  <c r="A32" i="128"/>
  <c r="A30" i="128"/>
  <c r="B27" i="128" a="1"/>
  <c r="B27" i="128" s="1"/>
  <c r="A63" i="146"/>
  <c r="B63" i="146" s="1" a="1"/>
  <c r="B63" i="146" s="1"/>
  <c r="B53" i="146" a="1"/>
  <c r="B53" i="146" s="1"/>
  <c r="B99" i="30" a="1"/>
  <c r="B99" i="30" s="1"/>
  <c r="B98" i="30" a="1"/>
  <c r="B98" i="30" s="1"/>
  <c r="B94" i="30" a="1"/>
  <c r="B94" i="30" s="1"/>
  <c r="B70" i="30" a="1"/>
  <c r="B70" i="30" s="1"/>
  <c r="G70" i="125"/>
  <c r="H70" i="125"/>
  <c r="I70" i="125"/>
  <c r="J70" i="125"/>
  <c r="K70" i="125"/>
  <c r="L70" i="125"/>
  <c r="M70" i="125"/>
  <c r="Y271" i="1"/>
  <c r="Y272" i="1"/>
  <c r="Y273" i="1"/>
  <c r="Y274" i="1"/>
  <c r="Y275" i="1"/>
  <c r="Y276" i="1"/>
  <c r="Y277" i="1"/>
  <c r="Y278" i="1"/>
  <c r="Y279" i="1"/>
  <c r="Y280" i="1"/>
  <c r="Y281" i="1"/>
  <c r="Y282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W7" i="1"/>
  <c r="Y7" i="1" s="1"/>
  <c r="W8" i="1"/>
  <c r="Y8" i="1" s="1"/>
  <c r="W9" i="1"/>
  <c r="Y9" i="1"/>
  <c r="W10" i="1"/>
  <c r="X10" i="1" s="1"/>
  <c r="W11" i="1"/>
  <c r="W12" i="1"/>
  <c r="X12" i="1" s="1"/>
  <c r="W13" i="1"/>
  <c r="Y13" i="1"/>
  <c r="W14" i="1"/>
  <c r="X14" i="1" s="1"/>
  <c r="W15" i="1"/>
  <c r="W16" i="1"/>
  <c r="Y16" i="1" s="1"/>
  <c r="W17" i="1"/>
  <c r="Y17" i="1" s="1"/>
  <c r="W18" i="1"/>
  <c r="X18" i="1"/>
  <c r="W19" i="1"/>
  <c r="W20" i="1"/>
  <c r="W21" i="1"/>
  <c r="Y21" i="1" s="1"/>
  <c r="W22" i="1"/>
  <c r="Y22" i="1" s="1"/>
  <c r="W23" i="1"/>
  <c r="W24" i="1"/>
  <c r="Y24" i="1" s="1"/>
  <c r="W25" i="1"/>
  <c r="X25" i="1" s="1"/>
  <c r="W26" i="1"/>
  <c r="Y26" i="1" s="1"/>
  <c r="W27" i="1"/>
  <c r="Y27" i="1"/>
  <c r="W28" i="1"/>
  <c r="W29" i="1"/>
  <c r="Y29" i="1" s="1"/>
  <c r="W30" i="1"/>
  <c r="Y30" i="1" s="1"/>
  <c r="X30" i="1"/>
  <c r="W31" i="1"/>
  <c r="W32" i="1"/>
  <c r="Y32" i="1" s="1"/>
  <c r="X32" i="1"/>
  <c r="W33" i="1"/>
  <c r="X33" i="1"/>
  <c r="W34" i="1"/>
  <c r="X34" i="1" s="1"/>
  <c r="W35" i="1"/>
  <c r="W36" i="1"/>
  <c r="W37" i="1"/>
  <c r="X37" i="1" s="1"/>
  <c r="W38" i="1"/>
  <c r="Y38" i="1"/>
  <c r="W39" i="1"/>
  <c r="Y39" i="1" s="1"/>
  <c r="W40" i="1"/>
  <c r="Y40" i="1" s="1"/>
  <c r="W41" i="1"/>
  <c r="Y41" i="1" s="1"/>
  <c r="W42" i="1"/>
  <c r="X42" i="1"/>
  <c r="W43" i="1"/>
  <c r="Y43" i="1" s="1"/>
  <c r="W44" i="1"/>
  <c r="Y44" i="1"/>
  <c r="W45" i="1"/>
  <c r="X45" i="1" s="1"/>
  <c r="W46" i="1"/>
  <c r="Y46" i="1"/>
  <c r="W47" i="1"/>
  <c r="W48" i="1"/>
  <c r="Y48" i="1" s="1"/>
  <c r="W49" i="1"/>
  <c r="X49" i="1"/>
  <c r="W50" i="1"/>
  <c r="Y50" i="1" s="1"/>
  <c r="W51" i="1"/>
  <c r="W52" i="1"/>
  <c r="W53" i="1"/>
  <c r="Y53" i="1" s="1"/>
  <c r="W54" i="1"/>
  <c r="X54" i="1"/>
  <c r="W55" i="1"/>
  <c r="Y55" i="1"/>
  <c r="W56" i="1"/>
  <c r="Y56" i="1" s="1"/>
  <c r="W57" i="1"/>
  <c r="X57" i="1" s="1"/>
  <c r="W58" i="1"/>
  <c r="Y58" i="1"/>
  <c r="W59" i="1"/>
  <c r="W60" i="1"/>
  <c r="Y60" i="1"/>
  <c r="W61" i="1"/>
  <c r="Y61" i="1" s="1"/>
  <c r="W62" i="1"/>
  <c r="Y62" i="1" s="1"/>
  <c r="W63" i="1"/>
  <c r="X63" i="1" s="1"/>
  <c r="W64" i="1"/>
  <c r="Y64" i="1"/>
  <c r="W65" i="1"/>
  <c r="Y65" i="1" s="1"/>
  <c r="W66" i="1"/>
  <c r="X66" i="1" s="1"/>
  <c r="W67" i="1"/>
  <c r="Y67" i="1"/>
  <c r="W68" i="1"/>
  <c r="W69" i="1"/>
  <c r="Y69" i="1"/>
  <c r="W70" i="1"/>
  <c r="Y70" i="1" s="1"/>
  <c r="W71" i="1"/>
  <c r="X71" i="1" s="1"/>
  <c r="W72" i="1"/>
  <c r="Y72" i="1" s="1"/>
  <c r="W73" i="1"/>
  <c r="Y73" i="1" s="1"/>
  <c r="W74" i="1"/>
  <c r="Y74" i="1" s="1"/>
  <c r="W75" i="1"/>
  <c r="Y75" i="1"/>
  <c r="W76" i="1"/>
  <c r="Y76" i="1" s="1"/>
  <c r="W77" i="1"/>
  <c r="Y77" i="1" s="1"/>
  <c r="W78" i="1"/>
  <c r="X78" i="1" s="1"/>
  <c r="W79" i="1"/>
  <c r="W80" i="1"/>
  <c r="X80" i="1" s="1"/>
  <c r="W81" i="1"/>
  <c r="X81" i="1" s="1"/>
  <c r="W82" i="1"/>
  <c r="X82" i="1" s="1"/>
  <c r="W83" i="1"/>
  <c r="W84" i="1"/>
  <c r="W85" i="1"/>
  <c r="Y85" i="1" s="1"/>
  <c r="W86" i="1"/>
  <c r="Y86" i="1"/>
  <c r="W87" i="1"/>
  <c r="W88" i="1"/>
  <c r="X88" i="1" s="1"/>
  <c r="W89" i="1"/>
  <c r="Y89" i="1"/>
  <c r="W90" i="1"/>
  <c r="X90" i="1" s="1"/>
  <c r="W91" i="1"/>
  <c r="Y91" i="1" s="1"/>
  <c r="W92" i="1"/>
  <c r="Y92" i="1" s="1"/>
  <c r="W93" i="1"/>
  <c r="X93" i="1"/>
  <c r="W94" i="1"/>
  <c r="Y94" i="1" s="1"/>
  <c r="W95" i="1"/>
  <c r="W96" i="1"/>
  <c r="Y96" i="1" s="1"/>
  <c r="W97" i="1"/>
  <c r="Y97" i="1" s="1"/>
  <c r="W98" i="1"/>
  <c r="Y98" i="1" s="1"/>
  <c r="W99" i="1"/>
  <c r="W100" i="1"/>
  <c r="W101" i="1"/>
  <c r="Y101" i="1" s="1"/>
  <c r="W102" i="1"/>
  <c r="Y102" i="1" s="1"/>
  <c r="X102" i="1"/>
  <c r="W103" i="1"/>
  <c r="Y103" i="1" s="1"/>
  <c r="W104" i="1"/>
  <c r="Y104" i="1" s="1"/>
  <c r="W105" i="1"/>
  <c r="Y105" i="1"/>
  <c r="W106" i="1"/>
  <c r="X106" i="1"/>
  <c r="W107" i="1"/>
  <c r="X107" i="1" s="1"/>
  <c r="W108" i="1"/>
  <c r="Y108" i="1" s="1"/>
  <c r="W109" i="1"/>
  <c r="Y109" i="1"/>
  <c r="W110" i="1"/>
  <c r="Y110" i="1"/>
  <c r="W111" i="1"/>
  <c r="Y111" i="1" s="1"/>
  <c r="W112" i="1"/>
  <c r="Y112" i="1" s="1"/>
  <c r="W113" i="1"/>
  <c r="Y113" i="1"/>
  <c r="W114" i="1"/>
  <c r="X114" i="1"/>
  <c r="W115" i="1"/>
  <c r="W116" i="1"/>
  <c r="Y116" i="1"/>
  <c r="W117" i="1"/>
  <c r="X117" i="1" s="1"/>
  <c r="W118" i="1"/>
  <c r="Y118" i="1" s="1"/>
  <c r="W119" i="1"/>
  <c r="Y119" i="1" s="1"/>
  <c r="W120" i="1"/>
  <c r="W121" i="1"/>
  <c r="X121" i="1"/>
  <c r="W122" i="1"/>
  <c r="Y122" i="1" s="1"/>
  <c r="W123" i="1"/>
  <c r="Y123" i="1" s="1"/>
  <c r="W124" i="1"/>
  <c r="Y124" i="1" s="1"/>
  <c r="W125" i="1"/>
  <c r="Y125" i="1" s="1"/>
  <c r="W126" i="1"/>
  <c r="X126" i="1"/>
  <c r="W127" i="1"/>
  <c r="W128" i="1"/>
  <c r="Y128" i="1" s="1"/>
  <c r="W129" i="1"/>
  <c r="Y129" i="1" s="1"/>
  <c r="W130" i="1"/>
  <c r="Y130" i="1"/>
  <c r="W131" i="1"/>
  <c r="W132" i="1"/>
  <c r="Y132" i="1" s="1"/>
  <c r="W133" i="1"/>
  <c r="Y133" i="1"/>
  <c r="W134" i="1"/>
  <c r="Y134" i="1" s="1"/>
  <c r="W135" i="1"/>
  <c r="Y135" i="1" s="1"/>
  <c r="W136" i="1"/>
  <c r="X136" i="1" s="1"/>
  <c r="W137" i="1"/>
  <c r="Y137" i="1"/>
  <c r="W138" i="1"/>
  <c r="X138" i="1" s="1"/>
  <c r="W139" i="1"/>
  <c r="Y139" i="1" s="1"/>
  <c r="W140" i="1"/>
  <c r="X140" i="1" s="1"/>
  <c r="W141" i="1"/>
  <c r="X141" i="1"/>
  <c r="W142" i="1"/>
  <c r="Y142" i="1" s="1"/>
  <c r="W143" i="1"/>
  <c r="W144" i="1"/>
  <c r="Y144" i="1"/>
  <c r="W145" i="1"/>
  <c r="X145" i="1" s="1"/>
  <c r="W146" i="1"/>
  <c r="Y146" i="1" s="1"/>
  <c r="W147" i="1"/>
  <c r="W148" i="1"/>
  <c r="W149" i="1"/>
  <c r="Y149" i="1"/>
  <c r="W150" i="1"/>
  <c r="X150" i="1" s="1"/>
  <c r="W151" i="1"/>
  <c r="W152" i="1"/>
  <c r="X152" i="1" s="1"/>
  <c r="Y152" i="1"/>
  <c r="W153" i="1"/>
  <c r="Y153" i="1"/>
  <c r="W154" i="1"/>
  <c r="X154" i="1" s="1"/>
  <c r="W155" i="1"/>
  <c r="X155" i="1" s="1"/>
  <c r="W156" i="1"/>
  <c r="W157" i="1"/>
  <c r="Y157" i="1" s="1"/>
  <c r="W158" i="1"/>
  <c r="X158" i="1" s="1"/>
  <c r="W159" i="1"/>
  <c r="W160" i="1"/>
  <c r="Y160" i="1" s="1"/>
  <c r="W161" i="1"/>
  <c r="Y161" i="1"/>
  <c r="W162" i="1"/>
  <c r="X162" i="1"/>
  <c r="W163" i="1"/>
  <c r="Y163" i="1" s="1"/>
  <c r="W164" i="1"/>
  <c r="W165" i="1"/>
  <c r="X165" i="1" s="1"/>
  <c r="W166" i="1"/>
  <c r="Y166" i="1" s="1"/>
  <c r="W167" i="1"/>
  <c r="X167" i="1" s="1"/>
  <c r="W168" i="1"/>
  <c r="Y168" i="1" s="1"/>
  <c r="W169" i="1"/>
  <c r="X169" i="1" s="1"/>
  <c r="W170" i="1"/>
  <c r="Y170" i="1" s="1"/>
  <c r="W171" i="1"/>
  <c r="X171" i="1" s="1"/>
  <c r="W172" i="1"/>
  <c r="Y172" i="1" s="1"/>
  <c r="W173" i="1"/>
  <c r="Y173" i="1" s="1"/>
  <c r="W174" i="1"/>
  <c r="X174" i="1" s="1"/>
  <c r="W175" i="1"/>
  <c r="Y175" i="1" s="1"/>
  <c r="W176" i="1"/>
  <c r="Y176" i="1" s="1"/>
  <c r="W177" i="1"/>
  <c r="Y177" i="1" s="1"/>
  <c r="W178" i="1"/>
  <c r="X178" i="1" s="1"/>
  <c r="W179" i="1"/>
  <c r="X179" i="1"/>
  <c r="W180" i="1"/>
  <c r="W181" i="1"/>
  <c r="Y181" i="1"/>
  <c r="W182" i="1"/>
  <c r="Y182" i="1" s="1"/>
  <c r="W183" i="1"/>
  <c r="W184" i="1"/>
  <c r="Y184" i="1" s="1"/>
  <c r="X184" i="1"/>
  <c r="W185" i="1"/>
  <c r="Y185" i="1"/>
  <c r="W186" i="1"/>
  <c r="Y186" i="1" s="1"/>
  <c r="X186" i="1"/>
  <c r="W187" i="1"/>
  <c r="Y187" i="1"/>
  <c r="W188" i="1"/>
  <c r="X188" i="1" s="1"/>
  <c r="Y188" i="1"/>
  <c r="W189" i="1"/>
  <c r="X189" i="1" s="1"/>
  <c r="W190" i="1"/>
  <c r="Y190" i="1" s="1"/>
  <c r="W191" i="1"/>
  <c r="Y191" i="1" s="1"/>
  <c r="W192" i="1"/>
  <c r="Y192" i="1" s="1"/>
  <c r="W193" i="1"/>
  <c r="X193" i="1" s="1"/>
  <c r="W194" i="1"/>
  <c r="X194" i="1" s="1"/>
  <c r="W195" i="1"/>
  <c r="W196" i="1"/>
  <c r="X196" i="1" s="1"/>
  <c r="W197" i="1"/>
  <c r="Y197" i="1" s="1"/>
  <c r="W198" i="1"/>
  <c r="X198" i="1" s="1"/>
  <c r="W199" i="1"/>
  <c r="Y199" i="1" s="1"/>
  <c r="W200" i="1"/>
  <c r="Y200" i="1" s="1"/>
  <c r="X200" i="1"/>
  <c r="W201" i="1"/>
  <c r="Y201" i="1" s="1"/>
  <c r="W202" i="1"/>
  <c r="Y202" i="1" s="1"/>
  <c r="W203" i="1"/>
  <c r="X203" i="1"/>
  <c r="W204" i="1"/>
  <c r="X204" i="1" s="1"/>
  <c r="W205" i="1"/>
  <c r="Y205" i="1" s="1"/>
  <c r="W206" i="1"/>
  <c r="Y206" i="1"/>
  <c r="W207" i="1"/>
  <c r="W208" i="1"/>
  <c r="Y208" i="1"/>
  <c r="W209" i="1"/>
  <c r="Y209" i="1" s="1"/>
  <c r="W210" i="1"/>
  <c r="X210" i="1" s="1"/>
  <c r="W211" i="1"/>
  <c r="W212" i="1"/>
  <c r="W213" i="1"/>
  <c r="X213" i="1"/>
  <c r="W214" i="1"/>
  <c r="Y214" i="1" s="1"/>
  <c r="W215" i="1"/>
  <c r="W216" i="1"/>
  <c r="Y216" i="1" s="1"/>
  <c r="X216" i="1"/>
  <c r="W217" i="1"/>
  <c r="X217" i="1"/>
  <c r="W218" i="1"/>
  <c r="Y218" i="1" s="1"/>
  <c r="W219" i="1"/>
  <c r="Y219" i="1" s="1"/>
  <c r="W220" i="1"/>
  <c r="X220" i="1" s="1"/>
  <c r="W221" i="1"/>
  <c r="Y221" i="1"/>
  <c r="W222" i="1"/>
  <c r="Y222" i="1" s="1"/>
  <c r="W223" i="1"/>
  <c r="W224" i="1"/>
  <c r="X224" i="1" s="1"/>
  <c r="W225" i="1"/>
  <c r="Y225" i="1"/>
  <c r="W226" i="1"/>
  <c r="X226" i="1" s="1"/>
  <c r="W227" i="1"/>
  <c r="X227" i="1" s="1"/>
  <c r="W228" i="1"/>
  <c r="W229" i="1"/>
  <c r="Y229" i="1" s="1"/>
  <c r="W230" i="1"/>
  <c r="X230" i="1" s="1"/>
  <c r="W231" i="1"/>
  <c r="Y231" i="1" s="1"/>
  <c r="W232" i="1"/>
  <c r="Y232" i="1" s="1"/>
  <c r="W233" i="1"/>
  <c r="Y233" i="1" s="1"/>
  <c r="W234" i="1"/>
  <c r="Y234" i="1" s="1"/>
  <c r="W235" i="1"/>
  <c r="Y235" i="1"/>
  <c r="W236" i="1"/>
  <c r="Y236" i="1" s="1"/>
  <c r="W237" i="1"/>
  <c r="X237" i="1" s="1"/>
  <c r="W238" i="1"/>
  <c r="X238" i="1" s="1"/>
  <c r="W239" i="1"/>
  <c r="W240" i="1"/>
  <c r="Y240" i="1" s="1"/>
  <c r="W241" i="1"/>
  <c r="X241" i="1"/>
  <c r="W242" i="1"/>
  <c r="X242" i="1"/>
  <c r="W243" i="1"/>
  <c r="Y243" i="1" s="1"/>
  <c r="W244" i="1"/>
  <c r="Y244" i="1" s="1"/>
  <c r="W245" i="1"/>
  <c r="Y245" i="1"/>
  <c r="W246" i="1"/>
  <c r="X246" i="1"/>
  <c r="W247" i="1"/>
  <c r="W248" i="1"/>
  <c r="W249" i="1"/>
  <c r="Y249" i="1" s="1"/>
  <c r="W250" i="1"/>
  <c r="X250" i="1"/>
  <c r="W251" i="1"/>
  <c r="W252" i="1"/>
  <c r="Y252" i="1" s="1"/>
  <c r="W253" i="1"/>
  <c r="Y253" i="1" s="1"/>
  <c r="W254" i="1"/>
  <c r="Y254" i="1"/>
  <c r="W255" i="1"/>
  <c r="W256" i="1"/>
  <c r="X256" i="1" s="1"/>
  <c r="W257" i="1"/>
  <c r="Y257" i="1" s="1"/>
  <c r="W258" i="1"/>
  <c r="X258" i="1" s="1"/>
  <c r="W259" i="1"/>
  <c r="Y259" i="1" s="1"/>
  <c r="W260" i="1"/>
  <c r="X260" i="1" s="1"/>
  <c r="W261" i="1"/>
  <c r="X261" i="1" s="1"/>
  <c r="W262" i="1"/>
  <c r="X262" i="1" s="1"/>
  <c r="W263" i="1"/>
  <c r="X263" i="1" s="1"/>
  <c r="W264" i="1"/>
  <c r="Y264" i="1"/>
  <c r="W265" i="1"/>
  <c r="Y265" i="1" s="1"/>
  <c r="W266" i="1"/>
  <c r="X266" i="1" s="1"/>
  <c r="W267" i="1"/>
  <c r="Y267" i="1" s="1"/>
  <c r="W268" i="1"/>
  <c r="Y268" i="1"/>
  <c r="W269" i="1"/>
  <c r="Y269" i="1" s="1"/>
  <c r="W270" i="1"/>
  <c r="X270" i="1" s="1"/>
  <c r="W6" i="1"/>
  <c r="C31" i="91"/>
  <c r="D20" i="94"/>
  <c r="A62" i="146"/>
  <c r="B62" i="146" s="1" a="1"/>
  <c r="B62" i="146" s="1"/>
  <c r="B52" i="146" a="1"/>
  <c r="B52" i="146" s="1"/>
  <c r="B49" i="146" a="1"/>
  <c r="B49" i="146" s="1"/>
  <c r="B87" i="146" s="1"/>
  <c r="A17" i="146"/>
  <c r="A34" i="146" s="1"/>
  <c r="B8" i="146" a="1"/>
  <c r="B8" i="146" s="1"/>
  <c r="B26" i="146" s="1"/>
  <c r="B5" i="146" a="1"/>
  <c r="B5" i="146" s="1"/>
  <c r="B23" i="146" s="1"/>
  <c r="Y78" i="1"/>
  <c r="Y258" i="1"/>
  <c r="Y66" i="1"/>
  <c r="Y246" i="1"/>
  <c r="Y42" i="1"/>
  <c r="Y210" i="1"/>
  <c r="Y174" i="1"/>
  <c r="Y150" i="1"/>
  <c r="Y138" i="1"/>
  <c r="Y114" i="1"/>
  <c r="Y107" i="1"/>
  <c r="Y227" i="1"/>
  <c r="Y162" i="1"/>
  <c r="Y90" i="1"/>
  <c r="Y18" i="1"/>
  <c r="Y155" i="1"/>
  <c r="Y71" i="1"/>
  <c r="Y203" i="1"/>
  <c r="Y270" i="1"/>
  <c r="Y198" i="1"/>
  <c r="Y126" i="1"/>
  <c r="Y54" i="1"/>
  <c r="X202" i="1"/>
  <c r="X166" i="1"/>
  <c r="X130" i="1"/>
  <c r="X94" i="1"/>
  <c r="X58" i="1"/>
  <c r="X22" i="1"/>
  <c r="X249" i="1"/>
  <c r="X225" i="1"/>
  <c r="X201" i="1"/>
  <c r="X177" i="1"/>
  <c r="X153" i="1"/>
  <c r="X129" i="1"/>
  <c r="X105" i="1"/>
  <c r="X69" i="1"/>
  <c r="X21" i="1"/>
  <c r="X9" i="1"/>
  <c r="Y262" i="1"/>
  <c r="Y250" i="1"/>
  <c r="Y226" i="1"/>
  <c r="Y178" i="1"/>
  <c r="Y154" i="1"/>
  <c r="Y106" i="1"/>
  <c r="Y82" i="1"/>
  <c r="Y34" i="1"/>
  <c r="Y10" i="1"/>
  <c r="X236" i="1"/>
  <c r="X176" i="1"/>
  <c r="X116" i="1"/>
  <c r="X104" i="1"/>
  <c r="X92" i="1"/>
  <c r="X56" i="1"/>
  <c r="X44" i="1"/>
  <c r="X8" i="1"/>
  <c r="Y261" i="1"/>
  <c r="Y237" i="1"/>
  <c r="Y213" i="1"/>
  <c r="Y189" i="1"/>
  <c r="Y165" i="1"/>
  <c r="Y141" i="1"/>
  <c r="Y117" i="1"/>
  <c r="Y93" i="1"/>
  <c r="Y81" i="1"/>
  <c r="Y57" i="1"/>
  <c r="Y33" i="1"/>
  <c r="X190" i="1"/>
  <c r="X118" i="1"/>
  <c r="X46" i="1"/>
  <c r="X259" i="1"/>
  <c r="X235" i="1"/>
  <c r="X199" i="1"/>
  <c r="X187" i="1"/>
  <c r="X163" i="1"/>
  <c r="X139" i="1"/>
  <c r="X103" i="1"/>
  <c r="X91" i="1"/>
  <c r="X67" i="1"/>
  <c r="X55" i="1"/>
  <c r="X43" i="1"/>
  <c r="X7" i="1"/>
  <c r="X214" i="1"/>
  <c r="X142" i="1"/>
  <c r="X70" i="1"/>
  <c r="X269" i="1"/>
  <c r="X245" i="1"/>
  <c r="X233" i="1"/>
  <c r="X221" i="1"/>
  <c r="X209" i="1"/>
  <c r="X197" i="1"/>
  <c r="X185" i="1"/>
  <c r="X173" i="1"/>
  <c r="X161" i="1"/>
  <c r="X149" i="1"/>
  <c r="X125" i="1"/>
  <c r="X113" i="1"/>
  <c r="X101" i="1"/>
  <c r="X89" i="1"/>
  <c r="X77" i="1"/>
  <c r="X65" i="1"/>
  <c r="X53" i="1"/>
  <c r="X29" i="1"/>
  <c r="X17" i="1"/>
  <c r="X257" i="1"/>
  <c r="X137" i="1"/>
  <c r="X268" i="1"/>
  <c r="X232" i="1"/>
  <c r="X208" i="1"/>
  <c r="X172" i="1"/>
  <c r="X160" i="1"/>
  <c r="X112" i="1"/>
  <c r="X76" i="1"/>
  <c r="X64" i="1"/>
  <c r="X40" i="1"/>
  <c r="X16" i="1"/>
  <c r="X267" i="1"/>
  <c r="X243" i="1"/>
  <c r="X231" i="1"/>
  <c r="X219" i="1"/>
  <c r="X135" i="1"/>
  <c r="X123" i="1"/>
  <c r="X111" i="1"/>
  <c r="X75" i="1"/>
  <c r="X39" i="1"/>
  <c r="X27" i="1"/>
  <c r="X218" i="1"/>
  <c r="X110" i="1"/>
  <c r="X62" i="1"/>
  <c r="X50" i="1"/>
  <c r="X254" i="1"/>
  <c r="X206" i="1"/>
  <c r="X170" i="1"/>
  <c r="X134" i="1"/>
  <c r="X86" i="1"/>
  <c r="X26" i="1"/>
  <c r="X265" i="1"/>
  <c r="X97" i="1"/>
  <c r="X182" i="1"/>
  <c r="X253" i="1"/>
  <c r="X229" i="1"/>
  <c r="X205" i="1"/>
  <c r="X181" i="1"/>
  <c r="X157" i="1"/>
  <c r="X133" i="1"/>
  <c r="X109" i="1"/>
  <c r="X73" i="1"/>
  <c r="X61" i="1"/>
  <c r="X13" i="1"/>
  <c r="Y266" i="1"/>
  <c r="Y242" i="1"/>
  <c r="Y194" i="1"/>
  <c r="X240" i="1"/>
  <c r="X192" i="1"/>
  <c r="X168" i="1"/>
  <c r="X144" i="1"/>
  <c r="X132" i="1"/>
  <c r="X108" i="1"/>
  <c r="X96" i="1"/>
  <c r="X60" i="1"/>
  <c r="X48" i="1"/>
  <c r="Y241" i="1"/>
  <c r="Y217" i="1"/>
  <c r="Y193" i="1"/>
  <c r="Y169" i="1"/>
  <c r="Y145" i="1"/>
  <c r="Y121" i="1"/>
  <c r="Y49" i="1"/>
  <c r="Y25" i="1"/>
  <c r="X146" i="1"/>
  <c r="X122" i="1"/>
  <c r="X98" i="1"/>
  <c r="X74" i="1"/>
  <c r="X38" i="1"/>
  <c r="X264" i="1"/>
  <c r="M45" i="125"/>
  <c r="L45" i="125"/>
  <c r="K45" i="125"/>
  <c r="J45" i="125"/>
  <c r="I45" i="125"/>
  <c r="H45" i="125"/>
  <c r="G45" i="125"/>
  <c r="F45" i="125"/>
  <c r="E45" i="125"/>
  <c r="D45" i="125"/>
  <c r="G52" i="125"/>
  <c r="G53" i="125"/>
  <c r="H52" i="125"/>
  <c r="H53" i="125"/>
  <c r="I52" i="125"/>
  <c r="I53" i="125"/>
  <c r="M52" i="125"/>
  <c r="M53" i="125"/>
  <c r="L52" i="125"/>
  <c r="L53" i="125"/>
  <c r="K52" i="125"/>
  <c r="K53" i="125"/>
  <c r="J52" i="125"/>
  <c r="J53" i="125"/>
  <c r="B5" i="30" a="1"/>
  <c r="B5" i="30" s="1"/>
  <c r="B40" i="30" a="1"/>
  <c r="B40" i="30" s="1"/>
  <c r="B39" i="30" a="1"/>
  <c r="B39" i="30" s="1"/>
  <c r="B37" i="30" a="1"/>
  <c r="B37" i="30" s="1"/>
  <c r="B36" i="30" a="1"/>
  <c r="B36" i="30" s="1"/>
  <c r="J2" i="1"/>
  <c r="K8" i="1"/>
  <c r="H29" i="155"/>
  <c r="C29" i="155"/>
  <c r="E30" i="91"/>
  <c r="E57" i="37"/>
  <c r="G57" i="37" s="1"/>
  <c r="I57" i="37" s="1"/>
  <c r="D57" i="37"/>
  <c r="D58" i="37"/>
  <c r="C6" i="37"/>
  <c r="Q275" i="59" s="1"/>
  <c r="D11" i="37"/>
  <c r="F22" i="38"/>
  <c r="E12" i="37"/>
  <c r="J12" i="37" s="1"/>
  <c r="K12" i="37" s="1"/>
  <c r="F218" i="30"/>
  <c r="F172" i="30"/>
  <c r="F111" i="30"/>
  <c r="F107" i="30"/>
  <c r="F103" i="30"/>
  <c r="F99" i="30"/>
  <c r="F33" i="30"/>
  <c r="F31" i="30"/>
  <c r="F32" i="30" s="1"/>
  <c r="F18" i="30"/>
  <c r="E18" i="30"/>
  <c r="E31" i="30"/>
  <c r="E32" i="30" s="1"/>
  <c r="E99" i="30"/>
  <c r="E103" i="30"/>
  <c r="E107" i="30"/>
  <c r="E111" i="30"/>
  <c r="E172" i="30"/>
  <c r="E166" i="30"/>
  <c r="E218" i="30"/>
  <c r="B34" i="30" a="1"/>
  <c r="B34" i="30" s="1"/>
  <c r="L239" i="59"/>
  <c r="M239" i="59"/>
  <c r="N239" i="59"/>
  <c r="O239" i="59"/>
  <c r="P239" i="59"/>
  <c r="Q239" i="59"/>
  <c r="R239" i="59"/>
  <c r="S239" i="59"/>
  <c r="T239" i="59"/>
  <c r="U239" i="59"/>
  <c r="V239" i="59"/>
  <c r="W239" i="59"/>
  <c r="E239" i="59"/>
  <c r="F239" i="59"/>
  <c r="G239" i="59"/>
  <c r="H239" i="59"/>
  <c r="I239" i="59"/>
  <c r="J239" i="59"/>
  <c r="K239" i="59"/>
  <c r="D239" i="59"/>
  <c r="E237" i="29"/>
  <c r="F237" i="29"/>
  <c r="G237" i="29"/>
  <c r="H237" i="29"/>
  <c r="I237" i="29"/>
  <c r="J237" i="29"/>
  <c r="K237" i="29"/>
  <c r="L237" i="29"/>
  <c r="M237" i="29"/>
  <c r="N237" i="29"/>
  <c r="O237" i="29"/>
  <c r="P237" i="29"/>
  <c r="Q237" i="29"/>
  <c r="R237" i="29"/>
  <c r="S237" i="29"/>
  <c r="T237" i="29"/>
  <c r="U237" i="29"/>
  <c r="V237" i="29"/>
  <c r="W237" i="29"/>
  <c r="D237" i="29"/>
  <c r="B33" i="30" a="1"/>
  <c r="B33" i="30" s="1"/>
  <c r="E107" i="156"/>
  <c r="V27" i="157"/>
  <c r="V18" i="157"/>
  <c r="V28" i="157" s="1"/>
  <c r="T27" i="157"/>
  <c r="U27" i="157"/>
  <c r="S27" i="157"/>
  <c r="T18" i="157"/>
  <c r="U18" i="157"/>
  <c r="D22" i="157"/>
  <c r="E22" i="157"/>
  <c r="F22" i="157"/>
  <c r="F21" i="157"/>
  <c r="E11" i="47"/>
  <c r="F11" i="47"/>
  <c r="D11" i="47"/>
  <c r="L107" i="156"/>
  <c r="L106" i="156"/>
  <c r="E106" i="156"/>
  <c r="N67" i="156"/>
  <c r="N68" i="156"/>
  <c r="N69" i="156"/>
  <c r="N70" i="156"/>
  <c r="N71" i="156"/>
  <c r="N72" i="156"/>
  <c r="N73" i="156"/>
  <c r="N74" i="156"/>
  <c r="N75" i="156"/>
  <c r="N76" i="156"/>
  <c r="N77" i="156"/>
  <c r="N78" i="156"/>
  <c r="N79" i="156"/>
  <c r="N80" i="156"/>
  <c r="N81" i="156"/>
  <c r="N66" i="156"/>
  <c r="L13" i="156"/>
  <c r="F13" i="156"/>
  <c r="E13" i="156"/>
  <c r="N37" i="55"/>
  <c r="N37" i="54"/>
  <c r="N40" i="53"/>
  <c r="N39" i="53"/>
  <c r="N37" i="53"/>
  <c r="H11" i="47"/>
  <c r="H13" i="47" s="1"/>
  <c r="G22" i="157"/>
  <c r="E109" i="156"/>
  <c r="E111" i="156"/>
  <c r="L109" i="156"/>
  <c r="L111" i="156"/>
  <c r="B240" i="30" a="1"/>
  <c r="B240" i="30" s="1"/>
  <c r="B239" i="30" a="1"/>
  <c r="B239" i="30" s="1"/>
  <c r="B238" i="30" a="1"/>
  <c r="B238" i="30" s="1"/>
  <c r="B226" i="30" a="1"/>
  <c r="B226" i="30" s="1"/>
  <c r="B225" i="30" a="1"/>
  <c r="B225" i="30" s="1"/>
  <c r="B224" i="30" a="1"/>
  <c r="B224" i="30" s="1"/>
  <c r="B223" i="30" a="1"/>
  <c r="B223" i="30" s="1"/>
  <c r="E44" i="37" s="1"/>
  <c r="B222" i="30" a="1"/>
  <c r="B222" i="30" s="1"/>
  <c r="E48" i="37" s="1"/>
  <c r="L21" i="38" s="1"/>
  <c r="B221" i="30" a="1"/>
  <c r="B221" i="30" s="1"/>
  <c r="E47" i="37" s="1"/>
  <c r="D47" i="37"/>
  <c r="B220" i="30" a="1"/>
  <c r="B220" i="30" s="1"/>
  <c r="E41" i="37" s="1"/>
  <c r="D41" i="37"/>
  <c r="B219" i="30" a="1"/>
  <c r="B219" i="30" s="1"/>
  <c r="E40" i="37" s="1"/>
  <c r="B217" i="30" a="1"/>
  <c r="B217" i="30" s="1"/>
  <c r="B216" i="30" a="1"/>
  <c r="B216" i="30" s="1"/>
  <c r="L12" i="38"/>
  <c r="B215" i="30" a="1"/>
  <c r="B215" i="30" s="1"/>
  <c r="E29" i="37" s="1"/>
  <c r="D29" i="37"/>
  <c r="B214" i="30" a="1"/>
  <c r="B214" i="30" s="1"/>
  <c r="L10" i="38"/>
  <c r="B213" i="30" a="1"/>
  <c r="B213" i="30" s="1"/>
  <c r="D17" i="37"/>
  <c r="B212" i="30" a="1"/>
  <c r="B212" i="30" s="1"/>
  <c r="B211" i="30" a="1"/>
  <c r="B211" i="30" s="1"/>
  <c r="B207" i="30" a="1"/>
  <c r="B207" i="30" s="1"/>
  <c r="B206" i="30" a="1"/>
  <c r="B206" i="30" s="1"/>
  <c r="B205" i="30" a="1"/>
  <c r="B205" i="30" s="1"/>
  <c r="B204" i="30" a="1"/>
  <c r="B204" i="30" s="1"/>
  <c r="B202" i="30" a="1"/>
  <c r="B202" i="30" s="1"/>
  <c r="B201" i="30" a="1"/>
  <c r="B201" i="30" s="1"/>
  <c r="B200" i="30" a="1"/>
  <c r="B200" i="30" s="1"/>
  <c r="B199" i="30" a="1"/>
  <c r="B199" i="30" s="1"/>
  <c r="B196" i="30" a="1"/>
  <c r="B196" i="30" s="1"/>
  <c r="B256" i="59" s="1"/>
  <c r="B184" i="30" a="1"/>
  <c r="B184" i="30" s="1"/>
  <c r="W221" i="59" s="1"/>
  <c r="B183" i="30" a="1"/>
  <c r="B183" i="30" s="1"/>
  <c r="L221" i="29" s="1"/>
  <c r="B182" i="30" a="1"/>
  <c r="B182" i="30" s="1"/>
  <c r="K221" i="29" s="1"/>
  <c r="B181" i="30" a="1"/>
  <c r="B181" i="30" s="1"/>
  <c r="J221" i="59" s="1"/>
  <c r="B180" i="30" a="1"/>
  <c r="B180" i="30" s="1"/>
  <c r="I221" i="29" s="1"/>
  <c r="B179" i="30" a="1"/>
  <c r="B179" i="30" s="1"/>
  <c r="H221" i="29" s="1"/>
  <c r="B178" i="30" a="1"/>
  <c r="B178" i="30" s="1"/>
  <c r="B177" i="30" a="1"/>
  <c r="B177" i="30" s="1"/>
  <c r="F221" i="29" s="1"/>
  <c r="B176" i="30" a="1"/>
  <c r="B176" i="30" s="1"/>
  <c r="B175" i="30" a="1"/>
  <c r="B175" i="30" s="1"/>
  <c r="D221" i="59" s="1"/>
  <c r="B173" i="30" a="1"/>
  <c r="B173" i="30" s="1"/>
  <c r="B169" i="30" a="1"/>
  <c r="B169" i="30" s="1"/>
  <c r="B219" i="59" s="1"/>
  <c r="B161" i="30" a="1"/>
  <c r="B161" i="30" s="1"/>
  <c r="B160" i="30" a="1"/>
  <c r="B160" i="30" s="1"/>
  <c r="B159" i="30" a="1"/>
  <c r="B159" i="30" s="1"/>
  <c r="B157" i="30" a="1"/>
  <c r="B157" i="30" s="1"/>
  <c r="B156" i="30" a="1"/>
  <c r="B156" i="30" s="1"/>
  <c r="B155" i="30" a="1"/>
  <c r="B155" i="30" s="1"/>
  <c r="B152" i="30" a="1"/>
  <c r="B152" i="30" s="1"/>
  <c r="B151" i="30" a="1"/>
  <c r="B151" i="30" s="1"/>
  <c r="B150" i="30" a="1"/>
  <c r="B150" i="30" s="1"/>
  <c r="B149" i="30" a="1"/>
  <c r="B149" i="30" s="1"/>
  <c r="B148" i="30" a="1"/>
  <c r="B148" i="30" s="1"/>
  <c r="B147" i="30" a="1"/>
  <c r="B147" i="30" s="1"/>
  <c r="B146" i="30" a="1"/>
  <c r="B146" i="30" s="1"/>
  <c r="B145" i="30" a="1"/>
  <c r="B145" i="30" s="1"/>
  <c r="B144" i="30" a="1"/>
  <c r="B144" i="30" s="1"/>
  <c r="B143" i="30" a="1"/>
  <c r="B143" i="30" s="1"/>
  <c r="B141" i="30" a="1"/>
  <c r="B141" i="30" s="1"/>
  <c r="B140" i="30" a="1"/>
  <c r="B140" i="30" s="1"/>
  <c r="B139" i="30" a="1"/>
  <c r="B139" i="30" s="1"/>
  <c r="B138" i="30" a="1"/>
  <c r="B138" i="30" s="1"/>
  <c r="B137" i="30" a="1"/>
  <c r="B137" i="30" s="1"/>
  <c r="B136" i="30" a="1"/>
  <c r="B136" i="30" s="1"/>
  <c r="B135" i="30" a="1"/>
  <c r="B135" i="30" s="1"/>
  <c r="B134" i="30" a="1"/>
  <c r="B134" i="30" s="1"/>
  <c r="B133" i="30" a="1"/>
  <c r="B133" i="30" s="1"/>
  <c r="B132" i="30" a="1"/>
  <c r="B132" i="30" s="1"/>
  <c r="B129" i="30" a="1"/>
  <c r="B129" i="30" s="1"/>
  <c r="B128" i="30" a="1"/>
  <c r="B128" i="30" s="1"/>
  <c r="B126" i="30" a="1"/>
  <c r="B126" i="30" s="1"/>
  <c r="B132" i="29" s="1"/>
  <c r="B125" i="30" a="1"/>
  <c r="B125" i="30" s="1"/>
  <c r="C163" i="29" s="1"/>
  <c r="B124" i="30" a="1"/>
  <c r="B124" i="30" s="1"/>
  <c r="C145" i="29" s="1"/>
  <c r="B123" i="30" a="1"/>
  <c r="B123" i="30" s="1"/>
  <c r="C160" i="59" s="1"/>
  <c r="B122" i="30" a="1"/>
  <c r="B122" i="30" s="1"/>
  <c r="B121" i="30" a="1"/>
  <c r="B121" i="30" s="1"/>
  <c r="B116" i="30" a="1"/>
  <c r="B116" i="30" s="1"/>
  <c r="B56" i="30" a="1"/>
  <c r="B56" i="30" s="1"/>
  <c r="N76" i="29" s="1"/>
  <c r="B115" i="30" a="1"/>
  <c r="B115" i="30" s="1"/>
  <c r="B114" i="30" a="1"/>
  <c r="B114" i="30" s="1"/>
  <c r="B112" i="30" a="1"/>
  <c r="B112" i="30" s="1"/>
  <c r="B111" i="30" a="1"/>
  <c r="B111" i="30" s="1"/>
  <c r="B108" i="30" a="1"/>
  <c r="B108" i="30" s="1"/>
  <c r="B107" i="30" a="1"/>
  <c r="B107" i="30" s="1"/>
  <c r="B104" i="30" a="1"/>
  <c r="B104" i="30" s="1"/>
  <c r="B103" i="30" a="1"/>
  <c r="B103" i="30" s="1"/>
  <c r="B100" i="30" a="1"/>
  <c r="B100" i="30" s="1"/>
  <c r="B96" i="30" a="1"/>
  <c r="B96" i="30" s="1"/>
  <c r="B92" i="30" a="1"/>
  <c r="B92" i="30" s="1"/>
  <c r="B91" i="30" a="1"/>
  <c r="B91" i="30" s="1"/>
  <c r="B88" i="30" a="1"/>
  <c r="B88" i="30" s="1"/>
  <c r="B84" i="30" a="1"/>
  <c r="B84" i="30" s="1"/>
  <c r="B83" i="30" a="1"/>
  <c r="B83" i="30" s="1"/>
  <c r="B80" i="30" a="1"/>
  <c r="B80" i="30" s="1"/>
  <c r="B79" i="30" a="1"/>
  <c r="B79" i="30" s="1"/>
  <c r="B76" i="30" a="1"/>
  <c r="B76" i="30" s="1"/>
  <c r="B75" i="30" a="1"/>
  <c r="B75" i="30" s="1"/>
  <c r="B72" i="30" a="1"/>
  <c r="B72" i="30" s="1"/>
  <c r="B68" i="30" a="1"/>
  <c r="B68" i="30" s="1"/>
  <c r="B66" i="30" a="1"/>
  <c r="B66" i="30" s="1"/>
  <c r="B64" i="30" a="1"/>
  <c r="B64" i="30" s="1"/>
  <c r="B62" i="30" a="1"/>
  <c r="B62" i="30" s="1"/>
  <c r="B60" i="30" a="1"/>
  <c r="B60" i="30" s="1"/>
  <c r="B58" i="30" a="1"/>
  <c r="B58" i="30" s="1"/>
  <c r="B51" i="30" a="1"/>
  <c r="B51" i="30" s="1"/>
  <c r="B50" i="30" a="1"/>
  <c r="B50" i="30" s="1"/>
  <c r="B48" i="30" a="1"/>
  <c r="B48" i="30" s="1"/>
  <c r="B47" i="30" a="1"/>
  <c r="B47" i="30" s="1"/>
  <c r="B45" i="30" a="1"/>
  <c r="B45" i="30" s="1"/>
  <c r="B43" i="30" a="1"/>
  <c r="B43" i="30" s="1"/>
  <c r="B42" i="30" a="1"/>
  <c r="B42" i="30" s="1"/>
  <c r="B30" i="30" a="1"/>
  <c r="B30" i="30" s="1"/>
  <c r="B26" i="30" a="1"/>
  <c r="B26" i="30" s="1"/>
  <c r="B24" i="30" a="1"/>
  <c r="B24" i="30" s="1"/>
  <c r="B177" i="59" s="1"/>
  <c r="B22" i="30" a="1"/>
  <c r="B22" i="30" s="1"/>
  <c r="B21" i="30" a="1"/>
  <c r="B21" i="30" s="1"/>
  <c r="B17" i="30" a="1"/>
  <c r="B17" i="30" s="1"/>
  <c r="B7" i="30" a="1"/>
  <c r="B7" i="30" s="1"/>
  <c r="C136" i="29" s="1"/>
  <c r="B17" i="94"/>
  <c r="D218" i="30"/>
  <c r="C218" i="30"/>
  <c r="B218" i="30" a="1"/>
  <c r="B218" i="30" s="1"/>
  <c r="N111" i="156"/>
  <c r="A11" i="137"/>
  <c r="B11" i="137" a="1"/>
  <c r="B11" i="137" s="1"/>
  <c r="B23" i="137" s="1"/>
  <c r="B10" i="137" a="1"/>
  <c r="B10" i="137" s="1"/>
  <c r="B21" i="137" s="1"/>
  <c r="B5" i="137" a="1"/>
  <c r="B5" i="137" s="1"/>
  <c r="B20" i="137" s="1"/>
  <c r="B12" i="128" a="1"/>
  <c r="B12" i="128" s="1"/>
  <c r="B21" i="128" s="1"/>
  <c r="B11" i="128" a="1"/>
  <c r="B11" i="128" s="1"/>
  <c r="B20" i="128" s="1"/>
  <c r="B6" i="128" a="1"/>
  <c r="B6" i="128" s="1"/>
  <c r="B19" i="128" s="1"/>
  <c r="B5" i="128" a="1"/>
  <c r="B5" i="128" s="1"/>
  <c r="B18" i="128" s="1"/>
  <c r="B11" i="138" a="1"/>
  <c r="B11" i="138" s="1"/>
  <c r="B5" i="138" a="1"/>
  <c r="B5" i="138" s="1"/>
  <c r="A12" i="138"/>
  <c r="B12" i="138" s="1" a="1"/>
  <c r="B12" i="138" s="1"/>
  <c r="C283" i="29"/>
  <c r="C283" i="59"/>
  <c r="A1" i="29"/>
  <c r="D172" i="30"/>
  <c r="D166" i="30" s="1"/>
  <c r="C172" i="30"/>
  <c r="D111" i="30"/>
  <c r="C111" i="30"/>
  <c r="D107" i="30"/>
  <c r="C107" i="30"/>
  <c r="D103" i="30"/>
  <c r="C103" i="30"/>
  <c r="B102" i="30" a="1"/>
  <c r="B102" i="30" s="1"/>
  <c r="D99" i="30"/>
  <c r="C99" i="30"/>
  <c r="D31" i="30"/>
  <c r="D32" i="30" s="1"/>
  <c r="C31" i="30"/>
  <c r="C28" i="30"/>
  <c r="D18" i="30"/>
  <c r="C18" i="30"/>
  <c r="D282" i="59"/>
  <c r="E282" i="59"/>
  <c r="F282" i="59"/>
  <c r="G282" i="59"/>
  <c r="H282" i="59"/>
  <c r="I282" i="59"/>
  <c r="J282" i="59"/>
  <c r="K282" i="59"/>
  <c r="L282" i="59"/>
  <c r="M282" i="59"/>
  <c r="N282" i="59"/>
  <c r="O282" i="59"/>
  <c r="P282" i="59"/>
  <c r="Q282" i="59"/>
  <c r="R282" i="59"/>
  <c r="S282" i="59"/>
  <c r="T282" i="59"/>
  <c r="U282" i="59"/>
  <c r="V282" i="59"/>
  <c r="W282" i="59"/>
  <c r="C282" i="59"/>
  <c r="B20" i="94"/>
  <c r="B110" i="30" a="1"/>
  <c r="B110" i="30" s="1"/>
  <c r="B18" i="30" a="1"/>
  <c r="B18" i="30" s="1"/>
  <c r="B202" i="59" s="1"/>
  <c r="B172" i="30" a="1"/>
  <c r="B172" i="30" s="1"/>
  <c r="B106" i="30" a="1"/>
  <c r="B106" i="30" s="1"/>
  <c r="C32" i="30"/>
  <c r="C166" i="30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6" i="1"/>
  <c r="C297" i="29"/>
  <c r="C298" i="59"/>
  <c r="C297" i="59"/>
  <c r="D297" i="59" s="1"/>
  <c r="E297" i="59" s="1"/>
  <c r="F297" i="59" s="1"/>
  <c r="G297" i="59" s="1"/>
  <c r="H297" i="59" s="1"/>
  <c r="I297" i="59" s="1"/>
  <c r="J297" i="59" s="1"/>
  <c r="K297" i="59" s="1"/>
  <c r="L297" i="59" s="1"/>
  <c r="M297" i="59" s="1"/>
  <c r="N297" i="59" s="1"/>
  <c r="O297" i="59" s="1"/>
  <c r="P297" i="59" s="1"/>
  <c r="Q297" i="59" s="1"/>
  <c r="R297" i="59" s="1"/>
  <c r="S297" i="59" s="1"/>
  <c r="T297" i="59" s="1"/>
  <c r="U297" i="59" s="1"/>
  <c r="V297" i="59" s="1"/>
  <c r="W297" i="59" s="1"/>
  <c r="C19" i="147"/>
  <c r="C22" i="147"/>
  <c r="B19" i="147"/>
  <c r="B22" i="147"/>
  <c r="D22" i="147"/>
  <c r="C298" i="29"/>
  <c r="T298" i="59"/>
  <c r="E298" i="29"/>
  <c r="Q298" i="29"/>
  <c r="I298" i="59"/>
  <c r="U298" i="59"/>
  <c r="F298" i="29"/>
  <c r="R298" i="29"/>
  <c r="J298" i="59"/>
  <c r="G298" i="29"/>
  <c r="S298" i="29"/>
  <c r="K298" i="59"/>
  <c r="W298" i="59"/>
  <c r="U298" i="29"/>
  <c r="J298" i="29"/>
  <c r="V298" i="29"/>
  <c r="N298" i="59"/>
  <c r="O298" i="59"/>
  <c r="M298" i="29"/>
  <c r="S298" i="59"/>
  <c r="V298" i="59"/>
  <c r="H298" i="29"/>
  <c r="T298" i="29"/>
  <c r="L298" i="59"/>
  <c r="W298" i="29"/>
  <c r="L298" i="29"/>
  <c r="P298" i="59"/>
  <c r="I298" i="29"/>
  <c r="M298" i="59"/>
  <c r="D298" i="59"/>
  <c r="E298" i="59"/>
  <c r="O298" i="29"/>
  <c r="K298" i="29"/>
  <c r="Q298" i="59"/>
  <c r="D298" i="29"/>
  <c r="P298" i="29"/>
  <c r="H298" i="59"/>
  <c r="N298" i="29"/>
  <c r="F298" i="59"/>
  <c r="R298" i="59"/>
  <c r="G298" i="59"/>
  <c r="C302" i="59"/>
  <c r="C302" i="29"/>
  <c r="D56" i="125"/>
  <c r="G50" i="1"/>
  <c r="Q50" i="1" s="1"/>
  <c r="G51" i="1"/>
  <c r="Q51" i="1" s="1"/>
  <c r="G52" i="1"/>
  <c r="N52" i="1" s="1"/>
  <c r="G53" i="1"/>
  <c r="G54" i="1"/>
  <c r="G55" i="1"/>
  <c r="G56" i="1"/>
  <c r="Q56" i="1"/>
  <c r="G57" i="1"/>
  <c r="Q57" i="1"/>
  <c r="G58" i="1"/>
  <c r="G59" i="1"/>
  <c r="Q59" i="1" s="1"/>
  <c r="G60" i="1"/>
  <c r="Q60" i="1" s="1"/>
  <c r="G61" i="1"/>
  <c r="Q61" i="1" s="1"/>
  <c r="G62" i="1"/>
  <c r="N62" i="1" s="1"/>
  <c r="G63" i="1"/>
  <c r="Q63" i="1" s="1"/>
  <c r="G64" i="1"/>
  <c r="Q64" i="1"/>
  <c r="G65" i="1"/>
  <c r="Q65" i="1"/>
  <c r="G66" i="1"/>
  <c r="G67" i="1"/>
  <c r="G68" i="1"/>
  <c r="G69" i="1"/>
  <c r="N69" i="1" s="1"/>
  <c r="G70" i="1"/>
  <c r="Q70" i="1" s="1"/>
  <c r="G71" i="1"/>
  <c r="Q71" i="1" s="1"/>
  <c r="G72" i="1"/>
  <c r="G73" i="1"/>
  <c r="Q73" i="1"/>
  <c r="G74" i="1"/>
  <c r="Q74" i="1" s="1"/>
  <c r="G75" i="1"/>
  <c r="N75" i="1" s="1"/>
  <c r="G76" i="1"/>
  <c r="N76" i="1" s="1"/>
  <c r="G77" i="1"/>
  <c r="G78" i="1"/>
  <c r="G79" i="1"/>
  <c r="G80" i="1"/>
  <c r="Q80" i="1" s="1"/>
  <c r="G81" i="1"/>
  <c r="N81" i="1" s="1"/>
  <c r="G82" i="1"/>
  <c r="N82" i="1"/>
  <c r="Q82" i="1"/>
  <c r="G83" i="1"/>
  <c r="N83" i="1"/>
  <c r="G84" i="1"/>
  <c r="N84" i="1"/>
  <c r="G85" i="1"/>
  <c r="N85" i="1" s="1"/>
  <c r="G86" i="1"/>
  <c r="N86" i="1" s="1"/>
  <c r="G87" i="1"/>
  <c r="G88" i="1"/>
  <c r="Q88" i="1" s="1"/>
  <c r="G89" i="1"/>
  <c r="Q89" i="1" s="1"/>
  <c r="G90" i="1"/>
  <c r="Q90" i="1"/>
  <c r="G91" i="1"/>
  <c r="G92" i="1"/>
  <c r="N92" i="1"/>
  <c r="G93" i="1"/>
  <c r="N93" i="1"/>
  <c r="G94" i="1"/>
  <c r="N94" i="1" s="1"/>
  <c r="G95" i="1"/>
  <c r="G96" i="1"/>
  <c r="Q96" i="1" s="1"/>
  <c r="G97" i="1"/>
  <c r="Q97" i="1" s="1"/>
  <c r="G98" i="1"/>
  <c r="N98" i="1" s="1"/>
  <c r="G99" i="1"/>
  <c r="N99" i="1"/>
  <c r="G100" i="1"/>
  <c r="N100" i="1" s="1"/>
  <c r="G101" i="1"/>
  <c r="N101" i="1" s="1"/>
  <c r="G102" i="1"/>
  <c r="Q102" i="1" s="1"/>
  <c r="G103" i="1"/>
  <c r="G104" i="1"/>
  <c r="Q104" i="1" s="1"/>
  <c r="G105" i="1"/>
  <c r="Q105" i="1"/>
  <c r="G106" i="1"/>
  <c r="Q106" i="1"/>
  <c r="G107" i="1"/>
  <c r="N107" i="1"/>
  <c r="G108" i="1"/>
  <c r="G109" i="1"/>
  <c r="N109" i="1" s="1"/>
  <c r="G110" i="1"/>
  <c r="N110" i="1" s="1"/>
  <c r="G111" i="1"/>
  <c r="N111" i="1" s="1"/>
  <c r="G112" i="1"/>
  <c r="Q112" i="1"/>
  <c r="G113" i="1"/>
  <c r="Q113" i="1" s="1"/>
  <c r="G114" i="1"/>
  <c r="Q114" i="1" s="1"/>
  <c r="G115" i="1"/>
  <c r="Q115" i="1" s="1"/>
  <c r="G116" i="1"/>
  <c r="N116" i="1" s="1"/>
  <c r="G117" i="1"/>
  <c r="N117" i="1" s="1"/>
  <c r="G118" i="1"/>
  <c r="N118" i="1" s="1"/>
  <c r="G119" i="1"/>
  <c r="Q119" i="1" s="1"/>
  <c r="G120" i="1"/>
  <c r="Q120" i="1"/>
  <c r="G121" i="1"/>
  <c r="Q121" i="1"/>
  <c r="G122" i="1"/>
  <c r="Q122" i="1"/>
  <c r="G123" i="1"/>
  <c r="G124" i="1"/>
  <c r="Q124" i="1" s="1"/>
  <c r="G125" i="1"/>
  <c r="N125" i="1" s="1"/>
  <c r="G126" i="1"/>
  <c r="N126" i="1" s="1"/>
  <c r="G127" i="1"/>
  <c r="G128" i="1"/>
  <c r="Q128" i="1"/>
  <c r="G129" i="1"/>
  <c r="N129" i="1"/>
  <c r="Q129" i="1"/>
  <c r="G130" i="1"/>
  <c r="Q130" i="1" s="1"/>
  <c r="G131" i="1"/>
  <c r="N131" i="1" s="1"/>
  <c r="G132" i="1"/>
  <c r="N132" i="1" s="1"/>
  <c r="G133" i="1"/>
  <c r="Q133" i="1" s="1"/>
  <c r="N133" i="1"/>
  <c r="G134" i="1"/>
  <c r="N134" i="1"/>
  <c r="G135" i="1"/>
  <c r="G136" i="1"/>
  <c r="N136" i="1" s="1"/>
  <c r="G137" i="1"/>
  <c r="N137" i="1" s="1"/>
  <c r="G138" i="1"/>
  <c r="G139" i="1"/>
  <c r="N139" i="1" s="1"/>
  <c r="G140" i="1"/>
  <c r="N140" i="1" s="1"/>
  <c r="G141" i="1"/>
  <c r="N141" i="1"/>
  <c r="G142" i="1"/>
  <c r="N142" i="1"/>
  <c r="G143" i="1"/>
  <c r="G144" i="1"/>
  <c r="Q144" i="1" s="1"/>
  <c r="G145" i="1"/>
  <c r="N145" i="1" s="1"/>
  <c r="G146" i="1"/>
  <c r="Q146" i="1" s="1"/>
  <c r="G147" i="1"/>
  <c r="N147" i="1" s="1"/>
  <c r="G148" i="1"/>
  <c r="N148" i="1" s="1"/>
  <c r="G149" i="1"/>
  <c r="Q149" i="1" s="1"/>
  <c r="G150" i="1"/>
  <c r="G151" i="1"/>
  <c r="G152" i="1"/>
  <c r="Q152" i="1" s="1"/>
  <c r="G153" i="1"/>
  <c r="Q153" i="1" s="1"/>
  <c r="G154" i="1"/>
  <c r="Q154" i="1" s="1"/>
  <c r="G155" i="1"/>
  <c r="G156" i="1"/>
  <c r="N156" i="1"/>
  <c r="G157" i="1"/>
  <c r="N157" i="1"/>
  <c r="G158" i="1"/>
  <c r="G159" i="1"/>
  <c r="Q159" i="1" s="1"/>
  <c r="G160" i="1"/>
  <c r="Q160" i="1" s="1"/>
  <c r="G161" i="1"/>
  <c r="Q161" i="1" s="1"/>
  <c r="G162" i="1"/>
  <c r="Q162" i="1" s="1"/>
  <c r="G163" i="1"/>
  <c r="Q163" i="1" s="1"/>
  <c r="G164" i="1"/>
  <c r="N164" i="1"/>
  <c r="G165" i="1"/>
  <c r="N165" i="1"/>
  <c r="G166" i="1"/>
  <c r="N166" i="1"/>
  <c r="G167" i="1"/>
  <c r="G168" i="1"/>
  <c r="Q168" i="1" s="1"/>
  <c r="G169" i="1"/>
  <c r="Q169" i="1"/>
  <c r="G170" i="1"/>
  <c r="G171" i="1"/>
  <c r="G172" i="1"/>
  <c r="N172" i="1"/>
  <c r="G173" i="1"/>
  <c r="N173" i="1"/>
  <c r="G174" i="1"/>
  <c r="G175" i="1"/>
  <c r="G176" i="1"/>
  <c r="Q176" i="1"/>
  <c r="G177" i="1"/>
  <c r="Q177" i="1"/>
  <c r="G178" i="1"/>
  <c r="Q178" i="1"/>
  <c r="G179" i="1"/>
  <c r="N179" i="1"/>
  <c r="G180" i="1"/>
  <c r="Q180" i="1"/>
  <c r="G181" i="1"/>
  <c r="N181" i="1"/>
  <c r="G182" i="1"/>
  <c r="N182" i="1"/>
  <c r="G183" i="1"/>
  <c r="G184" i="1"/>
  <c r="G185" i="1"/>
  <c r="G186" i="1"/>
  <c r="Q186" i="1" s="1"/>
  <c r="G187" i="1"/>
  <c r="N187" i="1" s="1"/>
  <c r="G188" i="1"/>
  <c r="Q188" i="1" s="1"/>
  <c r="G189" i="1"/>
  <c r="G190" i="1"/>
  <c r="N190" i="1" s="1"/>
  <c r="G191" i="1"/>
  <c r="G192" i="1"/>
  <c r="Q192" i="1" s="1"/>
  <c r="G193" i="1"/>
  <c r="N193" i="1" s="1"/>
  <c r="G194" i="1"/>
  <c r="Q194" i="1" s="1"/>
  <c r="G195" i="1"/>
  <c r="N195" i="1" s="1"/>
  <c r="G196" i="1"/>
  <c r="N196" i="1" s="1"/>
  <c r="G197" i="1"/>
  <c r="Q197" i="1" s="1"/>
  <c r="G198" i="1"/>
  <c r="N198" i="1" s="1"/>
  <c r="G199" i="1"/>
  <c r="G200" i="1"/>
  <c r="G201" i="1"/>
  <c r="N201" i="1" s="1"/>
  <c r="G202" i="1"/>
  <c r="Q202" i="1" s="1"/>
  <c r="G203" i="1"/>
  <c r="N203" i="1" s="1"/>
  <c r="G204" i="1"/>
  <c r="N204" i="1" s="1"/>
  <c r="G205" i="1"/>
  <c r="N205" i="1" s="1"/>
  <c r="G206" i="1"/>
  <c r="Q206" i="1" s="1"/>
  <c r="G207" i="1"/>
  <c r="G208" i="1"/>
  <c r="Q208" i="1"/>
  <c r="G209" i="1"/>
  <c r="Q209" i="1"/>
  <c r="G210" i="1"/>
  <c r="G211" i="1"/>
  <c r="Q211" i="1" s="1"/>
  <c r="G212" i="1"/>
  <c r="Q212" i="1" s="1"/>
  <c r="G213" i="1"/>
  <c r="N213" i="1"/>
  <c r="G214" i="1"/>
  <c r="N214" i="1"/>
  <c r="G215" i="1"/>
  <c r="G216" i="1"/>
  <c r="Q216" i="1" s="1"/>
  <c r="G217" i="1"/>
  <c r="G218" i="1"/>
  <c r="Q218" i="1"/>
  <c r="G219" i="1"/>
  <c r="N219" i="1"/>
  <c r="G220" i="1"/>
  <c r="N220" i="1"/>
  <c r="G221" i="1"/>
  <c r="N221" i="1"/>
  <c r="G222" i="1"/>
  <c r="N222" i="1" s="1"/>
  <c r="Q222" i="1"/>
  <c r="G223" i="1"/>
  <c r="Q223" i="1" s="1"/>
  <c r="G224" i="1"/>
  <c r="Q224" i="1"/>
  <c r="G225" i="1"/>
  <c r="Q225" i="1"/>
  <c r="G226" i="1"/>
  <c r="Q226" i="1"/>
  <c r="G227" i="1"/>
  <c r="Q227" i="1"/>
  <c r="N227" i="1"/>
  <c r="G228" i="1"/>
  <c r="N228" i="1" s="1"/>
  <c r="G229" i="1"/>
  <c r="N229" i="1" s="1"/>
  <c r="G230" i="1"/>
  <c r="N230" i="1" s="1"/>
  <c r="G231" i="1"/>
  <c r="Q231" i="1" s="1"/>
  <c r="G232" i="1"/>
  <c r="Q232" i="1" s="1"/>
  <c r="G233" i="1"/>
  <c r="Q233" i="1" s="1"/>
  <c r="G234" i="1"/>
  <c r="Q234" i="1" s="1"/>
  <c r="G235" i="1"/>
  <c r="N235" i="1" s="1"/>
  <c r="G236" i="1"/>
  <c r="Q236" i="1" s="1"/>
  <c r="G237" i="1"/>
  <c r="Q237" i="1" s="1"/>
  <c r="G238" i="1"/>
  <c r="G239" i="1"/>
  <c r="Q239" i="1"/>
  <c r="G240" i="1"/>
  <c r="Q240" i="1"/>
  <c r="G241" i="1"/>
  <c r="Q241" i="1"/>
  <c r="G242" i="1"/>
  <c r="Q242" i="1"/>
  <c r="G243" i="1"/>
  <c r="Q243" i="1"/>
  <c r="G244" i="1"/>
  <c r="N244" i="1"/>
  <c r="Q244" i="1"/>
  <c r="G245" i="1"/>
  <c r="Q245" i="1" s="1"/>
  <c r="G246" i="1"/>
  <c r="Q246" i="1" s="1"/>
  <c r="G247" i="1"/>
  <c r="Q247" i="1" s="1"/>
  <c r="G248" i="1"/>
  <c r="G249" i="1"/>
  <c r="G250" i="1"/>
  <c r="N250" i="1"/>
  <c r="G251" i="1"/>
  <c r="Q251" i="1"/>
  <c r="G252" i="1"/>
  <c r="Q252" i="1"/>
  <c r="G253" i="1"/>
  <c r="N253" i="1"/>
  <c r="Q253" i="1"/>
  <c r="G254" i="1"/>
  <c r="Q254" i="1" s="1"/>
  <c r="G255" i="1"/>
  <c r="G256" i="1"/>
  <c r="N256" i="1"/>
  <c r="G257" i="1"/>
  <c r="Q257" i="1"/>
  <c r="N257" i="1"/>
  <c r="G258" i="1"/>
  <c r="G259" i="1"/>
  <c r="Q259" i="1"/>
  <c r="G260" i="1"/>
  <c r="G261" i="1"/>
  <c r="N261" i="1" s="1"/>
  <c r="G262" i="1"/>
  <c r="G263" i="1"/>
  <c r="G264" i="1"/>
  <c r="N264" i="1" s="1"/>
  <c r="G265" i="1"/>
  <c r="Q265" i="1" s="1"/>
  <c r="G266" i="1"/>
  <c r="Q266" i="1" s="1"/>
  <c r="G267" i="1"/>
  <c r="G268" i="1"/>
  <c r="Q268" i="1" s="1"/>
  <c r="G269" i="1"/>
  <c r="G270" i="1"/>
  <c r="Q270" i="1"/>
  <c r="G34" i="1"/>
  <c r="Q34" i="1"/>
  <c r="G35" i="1"/>
  <c r="N35" i="1"/>
  <c r="G36" i="1"/>
  <c r="N36" i="1"/>
  <c r="G37" i="1"/>
  <c r="G38" i="1"/>
  <c r="Q38" i="1" s="1"/>
  <c r="G39" i="1"/>
  <c r="N39" i="1" s="1"/>
  <c r="G40" i="1"/>
  <c r="Q40" i="1" s="1"/>
  <c r="G41" i="1"/>
  <c r="Q41" i="1" s="1"/>
  <c r="G42" i="1"/>
  <c r="N42" i="1" s="1"/>
  <c r="G43" i="1"/>
  <c r="N43" i="1" s="1"/>
  <c r="G44" i="1"/>
  <c r="G45" i="1"/>
  <c r="G46" i="1"/>
  <c r="G47" i="1"/>
  <c r="Q47" i="1" s="1"/>
  <c r="G48" i="1"/>
  <c r="Q48" i="1" s="1"/>
  <c r="G49" i="1"/>
  <c r="N49" i="1" s="1"/>
  <c r="G18" i="1"/>
  <c r="Q18" i="1"/>
  <c r="G19" i="1"/>
  <c r="G20" i="1"/>
  <c r="Q20" i="1" s="1"/>
  <c r="G21" i="1"/>
  <c r="Q21" i="1" s="1"/>
  <c r="G22" i="1"/>
  <c r="Q22" i="1" s="1"/>
  <c r="G23" i="1"/>
  <c r="N23" i="1" s="1"/>
  <c r="G24" i="1"/>
  <c r="Q24" i="1"/>
  <c r="G25" i="1"/>
  <c r="Q25" i="1"/>
  <c r="G26" i="1"/>
  <c r="Q26" i="1"/>
  <c r="G27" i="1"/>
  <c r="N27" i="1"/>
  <c r="G28" i="1"/>
  <c r="N28" i="1"/>
  <c r="G29" i="1"/>
  <c r="G30" i="1"/>
  <c r="Q30" i="1" s="1"/>
  <c r="G31" i="1"/>
  <c r="Q31" i="1"/>
  <c r="G32" i="1"/>
  <c r="Q32" i="1"/>
  <c r="G33" i="1"/>
  <c r="Q33" i="1"/>
  <c r="G7" i="1"/>
  <c r="Q7" i="1"/>
  <c r="G8" i="1"/>
  <c r="Q8" i="1"/>
  <c r="G9" i="1"/>
  <c r="Q9" i="1"/>
  <c r="G10" i="1"/>
  <c r="G11" i="1"/>
  <c r="Q11" i="1" s="1"/>
  <c r="G12" i="1"/>
  <c r="N12" i="1" s="1"/>
  <c r="G13" i="1"/>
  <c r="Q13" i="1"/>
  <c r="G14" i="1"/>
  <c r="Q14" i="1"/>
  <c r="G15" i="1"/>
  <c r="Q15" i="1"/>
  <c r="G16" i="1"/>
  <c r="G17" i="1"/>
  <c r="N17" i="1" s="1"/>
  <c r="G6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6" i="1"/>
  <c r="A87" i="146"/>
  <c r="A59" i="146"/>
  <c r="B59" i="146" s="1" a="1"/>
  <c r="B59" i="146" s="1"/>
  <c r="A50" i="146"/>
  <c r="B50" i="146" s="1" a="1"/>
  <c r="B50" i="146" s="1"/>
  <c r="B88" i="146" s="1"/>
  <c r="A14" i="146"/>
  <c r="A31" i="146" s="1"/>
  <c r="A6" i="146"/>
  <c r="A24" i="146" s="1"/>
  <c r="F30" i="91"/>
  <c r="A28" i="144"/>
  <c r="A27" i="144"/>
  <c r="A26" i="144"/>
  <c r="D57" i="125"/>
  <c r="N64" i="1"/>
  <c r="N105" i="1"/>
  <c r="Q52" i="1"/>
  <c r="N88" i="1"/>
  <c r="Q131" i="1"/>
  <c r="Q228" i="1"/>
  <c r="Q220" i="1"/>
  <c r="Q100" i="1"/>
  <c r="N216" i="1"/>
  <c r="N57" i="1"/>
  <c r="Q196" i="1"/>
  <c r="Q99" i="1"/>
  <c r="N209" i="1"/>
  <c r="Q92" i="1"/>
  <c r="N233" i="1"/>
  <c r="N26" i="1"/>
  <c r="Q164" i="1"/>
  <c r="Q69" i="1"/>
  <c r="N113" i="1"/>
  <c r="N268" i="1"/>
  <c r="Q156" i="1"/>
  <c r="N186" i="1"/>
  <c r="N234" i="1"/>
  <c r="N161" i="1"/>
  <c r="N106" i="1"/>
  <c r="N41" i="1"/>
  <c r="N25" i="1"/>
  <c r="Q195" i="1"/>
  <c r="N40" i="1"/>
  <c r="N178" i="1"/>
  <c r="N153" i="1"/>
  <c r="N104" i="1"/>
  <c r="N74" i="1"/>
  <c r="N56" i="1"/>
  <c r="N252" i="1"/>
  <c r="Q219" i="1"/>
  <c r="Q187" i="1"/>
  <c r="Q256" i="1"/>
  <c r="N162" i="1"/>
  <c r="N226" i="1"/>
  <c r="N177" i="1"/>
  <c r="N152" i="1"/>
  <c r="N122" i="1"/>
  <c r="N73" i="1"/>
  <c r="N50" i="1"/>
  <c r="N34" i="1"/>
  <c r="N18" i="1"/>
  <c r="N245" i="1"/>
  <c r="Q148" i="1"/>
  <c r="Q116" i="1"/>
  <c r="Q84" i="1"/>
  <c r="Q28" i="1"/>
  <c r="Q250" i="1"/>
  <c r="N225" i="1"/>
  <c r="N146" i="1"/>
  <c r="N121" i="1"/>
  <c r="N97" i="1"/>
  <c r="N33" i="1"/>
  <c r="N15" i="1"/>
  <c r="Q179" i="1"/>
  <c r="Q147" i="1"/>
  <c r="Q83" i="1"/>
  <c r="Q27" i="1"/>
  <c r="N218" i="1"/>
  <c r="N194" i="1"/>
  <c r="N169" i="1"/>
  <c r="N120" i="1"/>
  <c r="N90" i="1"/>
  <c r="N8" i="1"/>
  <c r="N236" i="1"/>
  <c r="Q204" i="1"/>
  <c r="Q172" i="1"/>
  <c r="N130" i="1"/>
  <c r="N24" i="1"/>
  <c r="N114" i="1"/>
  <c r="N89" i="1"/>
  <c r="N65" i="1"/>
  <c r="N47" i="1"/>
  <c r="N31" i="1"/>
  <c r="N7" i="1"/>
  <c r="Q203" i="1"/>
  <c r="Q139" i="1"/>
  <c r="Q107" i="1"/>
  <c r="Q75" i="1"/>
  <c r="Q199" i="1"/>
  <c r="N199" i="1"/>
  <c r="Q151" i="1"/>
  <c r="N151" i="1"/>
  <c r="Q127" i="1"/>
  <c r="N127" i="1"/>
  <c r="Q103" i="1"/>
  <c r="N103" i="1"/>
  <c r="Q79" i="1"/>
  <c r="N79" i="1"/>
  <c r="N63" i="1"/>
  <c r="Q10" i="1"/>
  <c r="N10" i="1"/>
  <c r="N45" i="1"/>
  <c r="Q45" i="1"/>
  <c r="Q263" i="1"/>
  <c r="N263" i="1"/>
  <c r="N239" i="1"/>
  <c r="Q215" i="1"/>
  <c r="N215" i="1"/>
  <c r="Q191" i="1"/>
  <c r="N191" i="1"/>
  <c r="Q135" i="1"/>
  <c r="N135" i="1"/>
  <c r="N119" i="1"/>
  <c r="Q87" i="1"/>
  <c r="N87" i="1"/>
  <c r="N29" i="1"/>
  <c r="Q29" i="1"/>
  <c r="Q37" i="1"/>
  <c r="N37" i="1"/>
  <c r="Q255" i="1"/>
  <c r="N255" i="1"/>
  <c r="Q207" i="1"/>
  <c r="N207" i="1"/>
  <c r="Q183" i="1"/>
  <c r="N183" i="1"/>
  <c r="Q167" i="1"/>
  <c r="N167" i="1"/>
  <c r="Q143" i="1"/>
  <c r="N143" i="1"/>
  <c r="Q95" i="1"/>
  <c r="N95" i="1"/>
  <c r="Q55" i="1"/>
  <c r="N55" i="1"/>
  <c r="Q36" i="1"/>
  <c r="N70" i="1"/>
  <c r="N19" i="1"/>
  <c r="Q19" i="1"/>
  <c r="Q214" i="1"/>
  <c r="Q182" i="1"/>
  <c r="Q118" i="1"/>
  <c r="N224" i="1"/>
  <c r="N208" i="1"/>
  <c r="N192" i="1"/>
  <c r="N176" i="1"/>
  <c r="N160" i="1"/>
  <c r="N144" i="1"/>
  <c r="N128" i="1"/>
  <c r="N112" i="1"/>
  <c r="N96" i="1"/>
  <c r="N80" i="1"/>
  <c r="N237" i="1"/>
  <c r="Q78" i="1"/>
  <c r="N78" i="1"/>
  <c r="Q77" i="1"/>
  <c r="N77" i="1"/>
  <c r="Q86" i="1"/>
  <c r="Q213" i="1"/>
  <c r="Q181" i="1"/>
  <c r="Q101" i="1"/>
  <c r="Q85" i="1"/>
  <c r="N44" i="1"/>
  <c r="Q44" i="1"/>
  <c r="Q62" i="1"/>
  <c r="Q230" i="1"/>
  <c r="Q198" i="1"/>
  <c r="Q166" i="1"/>
  <c r="Q134" i="1"/>
  <c r="N270" i="1"/>
  <c r="Q229" i="1"/>
  <c r="Q165" i="1"/>
  <c r="Q117" i="1"/>
  <c r="Q190" i="1"/>
  <c r="Q142" i="1"/>
  <c r="Q126" i="1"/>
  <c r="Q110" i="1"/>
  <c r="Q94" i="1"/>
  <c r="Q35" i="1"/>
  <c r="N20" i="1"/>
  <c r="Q54" i="1"/>
  <c r="N54" i="1"/>
  <c r="N61" i="1"/>
  <c r="Q46" i="1"/>
  <c r="N46" i="1"/>
  <c r="N38" i="1"/>
  <c r="Q264" i="1"/>
  <c r="N9" i="1"/>
  <c r="N246" i="1"/>
  <c r="Q173" i="1"/>
  <c r="Q157" i="1"/>
  <c r="Q141" i="1"/>
  <c r="Q125" i="1"/>
  <c r="Q109" i="1"/>
  <c r="Q93" i="1"/>
  <c r="N14" i="1"/>
  <c r="N259" i="1"/>
  <c r="N251" i="1"/>
  <c r="N243" i="1"/>
  <c r="N13" i="1"/>
  <c r="N242" i="1"/>
  <c r="N60" i="1"/>
  <c r="N265" i="1"/>
  <c r="N241" i="1"/>
  <c r="N59" i="1"/>
  <c r="F67" i="30"/>
  <c r="E67" i="30"/>
  <c r="D67" i="30"/>
  <c r="C67" i="30"/>
  <c r="B67" i="30" a="1"/>
  <c r="B67" i="30" s="1"/>
  <c r="A6" i="138"/>
  <c r="B6" i="138" a="1"/>
  <c r="B6" i="138" s="1"/>
  <c r="A11" i="139"/>
  <c r="A6" i="139"/>
  <c r="A12" i="139"/>
  <c r="A6" i="137"/>
  <c r="B6" i="137" a="1"/>
  <c r="B6" i="137" s="1"/>
  <c r="B22" i="137" s="1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D25" i="37"/>
  <c r="E25" i="37"/>
  <c r="J25" i="37" s="1"/>
  <c r="K25" i="37" s="1"/>
  <c r="F259" i="59"/>
  <c r="G259" i="59"/>
  <c r="H259" i="59"/>
  <c r="I259" i="59"/>
  <c r="J259" i="59"/>
  <c r="K259" i="59"/>
  <c r="L259" i="59"/>
  <c r="M259" i="59"/>
  <c r="N259" i="59"/>
  <c r="O259" i="59"/>
  <c r="P259" i="59"/>
  <c r="Q259" i="59"/>
  <c r="R259" i="59"/>
  <c r="S259" i="59"/>
  <c r="T259" i="59"/>
  <c r="U259" i="59"/>
  <c r="V259" i="59"/>
  <c r="W259" i="59"/>
  <c r="E259" i="59"/>
  <c r="D259" i="59"/>
  <c r="E12" i="129"/>
  <c r="A25" i="128"/>
  <c r="B25" i="128" a="1"/>
  <c r="B25" i="128" s="1"/>
  <c r="B22" i="94"/>
  <c r="B19" i="94"/>
  <c r="C17" i="94"/>
  <c r="C75" i="30"/>
  <c r="B74" i="30" a="1"/>
  <c r="B74" i="30" s="1"/>
  <c r="C79" i="30"/>
  <c r="B78" i="30" a="1"/>
  <c r="B78" i="30" s="1"/>
  <c r="C83" i="30"/>
  <c r="B82" i="30" a="1"/>
  <c r="B82" i="30" s="1"/>
  <c r="C91" i="30"/>
  <c r="B90" i="30" a="1"/>
  <c r="B90" i="30" s="1"/>
  <c r="C87" i="30"/>
  <c r="B86" i="30" a="1"/>
  <c r="B86" i="30" s="1"/>
  <c r="C71" i="30"/>
  <c r="A26" i="128"/>
  <c r="B26" i="128" a="1"/>
  <c r="B26" i="128" s="1"/>
  <c r="D3" i="30"/>
  <c r="E3" i="30" s="1"/>
  <c r="F3" i="30" s="1"/>
  <c r="G3" i="30" s="1"/>
  <c r="N91" i="59"/>
  <c r="O91" i="59"/>
  <c r="P91" i="59"/>
  <c r="Q91" i="59"/>
  <c r="R91" i="59"/>
  <c r="S91" i="59"/>
  <c r="T91" i="59"/>
  <c r="U91" i="59"/>
  <c r="V91" i="59"/>
  <c r="W91" i="59"/>
  <c r="N91" i="29"/>
  <c r="O91" i="29"/>
  <c r="P91" i="29"/>
  <c r="Q91" i="29"/>
  <c r="R91" i="29"/>
  <c r="S91" i="29"/>
  <c r="T91" i="29"/>
  <c r="U91" i="29"/>
  <c r="V91" i="29"/>
  <c r="W91" i="29"/>
  <c r="G91" i="59"/>
  <c r="H91" i="59"/>
  <c r="I91" i="59"/>
  <c r="J91" i="59"/>
  <c r="K91" i="59"/>
  <c r="L91" i="59"/>
  <c r="M91" i="59"/>
  <c r="G91" i="29"/>
  <c r="H91" i="29"/>
  <c r="I91" i="29"/>
  <c r="J91" i="29"/>
  <c r="K91" i="29"/>
  <c r="L91" i="29"/>
  <c r="M91" i="29"/>
  <c r="F92" i="59"/>
  <c r="G92" i="59"/>
  <c r="H92" i="59"/>
  <c r="I92" i="59"/>
  <c r="J92" i="59"/>
  <c r="K92" i="59"/>
  <c r="L92" i="59"/>
  <c r="M92" i="59"/>
  <c r="N92" i="59"/>
  <c r="O92" i="59"/>
  <c r="P92" i="59"/>
  <c r="Q92" i="59"/>
  <c r="R92" i="59"/>
  <c r="S92" i="59"/>
  <c r="T92" i="59"/>
  <c r="U92" i="59"/>
  <c r="V92" i="59"/>
  <c r="W92" i="59"/>
  <c r="E92" i="59"/>
  <c r="D92" i="59"/>
  <c r="C84" i="59"/>
  <c r="C86" i="29"/>
  <c r="C87" i="29" s="1"/>
  <c r="C86" i="59"/>
  <c r="C87" i="59" s="1"/>
  <c r="C84" i="29"/>
  <c r="C85" i="29" s="1"/>
  <c r="B9" i="35"/>
  <c r="B8" i="35"/>
  <c r="F12" i="30"/>
  <c r="F13" i="30" s="1"/>
  <c r="E12" i="30"/>
  <c r="D12" i="30"/>
  <c r="C12" i="30"/>
  <c r="C13" i="30" s="1"/>
  <c r="B12" i="30" a="1"/>
  <c r="B12" i="30" s="1"/>
  <c r="E11" i="30"/>
  <c r="F11" i="30"/>
  <c r="D11" i="30"/>
  <c r="C11" i="30"/>
  <c r="B11" i="30" a="1"/>
  <c r="B11" i="30" s="1"/>
  <c r="C244" i="29" s="1"/>
  <c r="C287" i="29"/>
  <c r="C294" i="29" s="1"/>
  <c r="C295" i="29" s="1"/>
  <c r="C287" i="59"/>
  <c r="C294" i="59" s="1"/>
  <c r="C295" i="59" s="1"/>
  <c r="D297" i="29"/>
  <c r="W141" i="29"/>
  <c r="V141" i="29"/>
  <c r="U141" i="29"/>
  <c r="T141" i="29"/>
  <c r="S141" i="29"/>
  <c r="R141" i="29"/>
  <c r="Q141" i="29"/>
  <c r="P141" i="29"/>
  <c r="O141" i="29"/>
  <c r="N141" i="29"/>
  <c r="M141" i="29"/>
  <c r="L141" i="29"/>
  <c r="K141" i="29"/>
  <c r="J141" i="29"/>
  <c r="I141" i="29"/>
  <c r="H141" i="29"/>
  <c r="G141" i="29"/>
  <c r="F141" i="29"/>
  <c r="E141" i="29"/>
  <c r="D141" i="29"/>
  <c r="W133" i="29"/>
  <c r="V133" i="29"/>
  <c r="U133" i="29"/>
  <c r="T133" i="29"/>
  <c r="S133" i="29"/>
  <c r="R133" i="29"/>
  <c r="Q133" i="29"/>
  <c r="P133" i="29"/>
  <c r="O133" i="29"/>
  <c r="N133" i="29"/>
  <c r="M133" i="29"/>
  <c r="L133" i="29"/>
  <c r="K133" i="29"/>
  <c r="J133" i="29"/>
  <c r="I133" i="29"/>
  <c r="H133" i="29"/>
  <c r="G133" i="29"/>
  <c r="F133" i="29"/>
  <c r="E133" i="29"/>
  <c r="D133" i="29"/>
  <c r="B92" i="29"/>
  <c r="B91" i="29"/>
  <c r="W141" i="59"/>
  <c r="V141" i="59"/>
  <c r="U141" i="59"/>
  <c r="T141" i="59"/>
  <c r="S141" i="59"/>
  <c r="R141" i="59"/>
  <c r="Q141" i="59"/>
  <c r="P141" i="59"/>
  <c r="O141" i="59"/>
  <c r="N141" i="59"/>
  <c r="M141" i="59"/>
  <c r="L141" i="59"/>
  <c r="K141" i="59"/>
  <c r="J141" i="59"/>
  <c r="I141" i="59"/>
  <c r="H141" i="59"/>
  <c r="G141" i="59"/>
  <c r="F141" i="59"/>
  <c r="E141" i="59"/>
  <c r="D141" i="59"/>
  <c r="W133" i="59"/>
  <c r="V133" i="59"/>
  <c r="U133" i="59"/>
  <c r="T133" i="59"/>
  <c r="S133" i="59"/>
  <c r="R133" i="59"/>
  <c r="Q133" i="59"/>
  <c r="P133" i="59"/>
  <c r="O133" i="59"/>
  <c r="N133" i="59"/>
  <c r="M133" i="59"/>
  <c r="L133" i="59"/>
  <c r="K133" i="59"/>
  <c r="J133" i="59"/>
  <c r="I133" i="59"/>
  <c r="H133" i="59"/>
  <c r="G133" i="59"/>
  <c r="F133" i="59"/>
  <c r="E133" i="59"/>
  <c r="D133" i="59"/>
  <c r="B92" i="59"/>
  <c r="B91" i="59"/>
  <c r="E297" i="29"/>
  <c r="F297" i="29" s="1"/>
  <c r="G297" i="29" s="1"/>
  <c r="H297" i="29" s="1"/>
  <c r="I297" i="29" s="1"/>
  <c r="J297" i="29" s="1"/>
  <c r="K297" i="29" s="1"/>
  <c r="L297" i="29" s="1"/>
  <c r="M297" i="29" s="1"/>
  <c r="N297" i="29" s="1"/>
  <c r="O297" i="29" s="1"/>
  <c r="P297" i="29" s="1"/>
  <c r="Q297" i="29" s="1"/>
  <c r="R297" i="29" s="1"/>
  <c r="S297" i="29" s="1"/>
  <c r="T297" i="29" s="1"/>
  <c r="U297" i="29" s="1"/>
  <c r="V297" i="29" s="1"/>
  <c r="W297" i="29" s="1"/>
  <c r="I9" i="35"/>
  <c r="I8" i="35"/>
  <c r="C80" i="59"/>
  <c r="C81" i="59" s="1"/>
  <c r="C82" i="29"/>
  <c r="C83" i="29" s="1"/>
  <c r="C80" i="29"/>
  <c r="C81" i="29" s="1"/>
  <c r="C82" i="59"/>
  <c r="C83" i="59" s="1"/>
  <c r="C78" i="29"/>
  <c r="C79" i="29" s="1"/>
  <c r="C78" i="59"/>
  <c r="C79" i="59" s="1"/>
  <c r="C76" i="29"/>
  <c r="C77" i="29"/>
  <c r="C76" i="59"/>
  <c r="C85" i="59"/>
  <c r="C77" i="59"/>
  <c r="I36" i="47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0" i="47"/>
  <c r="I3" i="47"/>
  <c r="I12" i="47"/>
  <c r="I9" i="47"/>
  <c r="I8" i="47"/>
  <c r="I7" i="47"/>
  <c r="B7" i="35"/>
  <c r="E10" i="30"/>
  <c r="E13" i="30" s="1"/>
  <c r="F10" i="30"/>
  <c r="D10" i="30"/>
  <c r="D13" i="30" s="1"/>
  <c r="C10" i="30"/>
  <c r="B10" i="30" a="1"/>
  <c r="B10" i="30" s="1"/>
  <c r="B5" i="29"/>
  <c r="B5" i="59"/>
  <c r="D56" i="37"/>
  <c r="D55" i="37"/>
  <c r="D54" i="37"/>
  <c r="D53" i="37"/>
  <c r="D52" i="37"/>
  <c r="D51" i="37"/>
  <c r="D50" i="37"/>
  <c r="D49" i="37"/>
  <c r="D48" i="37"/>
  <c r="D46" i="37"/>
  <c r="D45" i="37"/>
  <c r="D44" i="37"/>
  <c r="D43" i="37"/>
  <c r="D42" i="37"/>
  <c r="D40" i="37"/>
  <c r="D39" i="37"/>
  <c r="D38" i="37"/>
  <c r="D37" i="37"/>
  <c r="D36" i="37"/>
  <c r="D35" i="37"/>
  <c r="D34" i="37"/>
  <c r="D33" i="37"/>
  <c r="D32" i="37"/>
  <c r="D31" i="37"/>
  <c r="D30" i="37"/>
  <c r="D28" i="37"/>
  <c r="D27" i="37"/>
  <c r="D26" i="37"/>
  <c r="D24" i="37"/>
  <c r="D23" i="37"/>
  <c r="D22" i="37"/>
  <c r="D21" i="37"/>
  <c r="D20" i="37"/>
  <c r="D19" i="37"/>
  <c r="D18" i="37"/>
  <c r="D16" i="37"/>
  <c r="D15" i="37"/>
  <c r="D14" i="37"/>
  <c r="D13" i="37"/>
  <c r="D12" i="37"/>
  <c r="C16" i="94"/>
  <c r="B16" i="94"/>
  <c r="B12" i="94"/>
  <c r="C12" i="94"/>
  <c r="B13" i="94"/>
  <c r="C13" i="94"/>
  <c r="B14" i="94"/>
  <c r="C14" i="94"/>
  <c r="B11" i="94"/>
  <c r="C3" i="94"/>
  <c r="C11" i="94"/>
  <c r="T92" i="29"/>
  <c r="V92" i="29"/>
  <c r="W92" i="29"/>
  <c r="U92" i="29"/>
  <c r="S92" i="29"/>
  <c r="R305" i="29"/>
  <c r="J305" i="29"/>
  <c r="R305" i="59"/>
  <c r="J305" i="59"/>
  <c r="Q305" i="29"/>
  <c r="I305" i="29"/>
  <c r="W305" i="29"/>
  <c r="O305" i="29"/>
  <c r="G305" i="29"/>
  <c r="W305" i="59"/>
  <c r="O305" i="59"/>
  <c r="G305" i="59"/>
  <c r="S305" i="29"/>
  <c r="P305" i="29"/>
  <c r="V305" i="29"/>
  <c r="N305" i="29"/>
  <c r="F305" i="29"/>
  <c r="V305" i="59"/>
  <c r="N305" i="59"/>
  <c r="F305" i="59"/>
  <c r="S305" i="59"/>
  <c r="Q305" i="59"/>
  <c r="H305" i="59"/>
  <c r="U305" i="29"/>
  <c r="M305" i="29"/>
  <c r="E305" i="29"/>
  <c r="U305" i="59"/>
  <c r="M305" i="59"/>
  <c r="E305" i="59"/>
  <c r="K305" i="29"/>
  <c r="K305" i="59"/>
  <c r="H305" i="29"/>
  <c r="T305" i="29"/>
  <c r="L305" i="29"/>
  <c r="D305" i="29"/>
  <c r="T305" i="59"/>
  <c r="L305" i="59"/>
  <c r="D305" i="59"/>
  <c r="I305" i="59"/>
  <c r="P305" i="59"/>
  <c r="U308" i="29"/>
  <c r="M308" i="29"/>
  <c r="E308" i="29"/>
  <c r="U308" i="59"/>
  <c r="M308" i="59"/>
  <c r="E308" i="59"/>
  <c r="T308" i="29"/>
  <c r="L308" i="29"/>
  <c r="D308" i="29"/>
  <c r="T308" i="59"/>
  <c r="K308" i="29"/>
  <c r="S308" i="59"/>
  <c r="R308" i="29"/>
  <c r="J308" i="29"/>
  <c r="R308" i="59"/>
  <c r="J308" i="59"/>
  <c r="V308" i="59"/>
  <c r="D308" i="59"/>
  <c r="Q308" i="29"/>
  <c r="I308" i="29"/>
  <c r="Q308" i="59"/>
  <c r="I308" i="59"/>
  <c r="N308" i="29"/>
  <c r="S308" i="29"/>
  <c r="P308" i="29"/>
  <c r="H308" i="29"/>
  <c r="P308" i="59"/>
  <c r="H308" i="59"/>
  <c r="V308" i="29"/>
  <c r="N308" i="59"/>
  <c r="K308" i="59"/>
  <c r="W308" i="29"/>
  <c r="O308" i="29"/>
  <c r="G308" i="29"/>
  <c r="W308" i="59"/>
  <c r="O308" i="59"/>
  <c r="G308" i="59"/>
  <c r="F308" i="29"/>
  <c r="F308" i="59"/>
  <c r="L308" i="59"/>
  <c r="D273" i="68"/>
  <c r="A1" i="59"/>
  <c r="E53" i="37"/>
  <c r="E54" i="37"/>
  <c r="E20" i="37"/>
  <c r="J20" i="37" s="1"/>
  <c r="K20" i="37" s="1"/>
  <c r="E21" i="37"/>
  <c r="L21" i="37" s="1"/>
  <c r="E22" i="37"/>
  <c r="L22" i="37" s="1"/>
  <c r="E24" i="37"/>
  <c r="J24" i="37" s="1"/>
  <c r="K24" i="37" s="1"/>
  <c r="E30" i="37"/>
  <c r="G30" i="37" s="1"/>
  <c r="E31" i="37"/>
  <c r="G31" i="37" s="1"/>
  <c r="E34" i="37"/>
  <c r="L34" i="37" s="1"/>
  <c r="E15" i="37"/>
  <c r="E16" i="37"/>
  <c r="J16" i="37" s="1"/>
  <c r="K16" i="37" s="1"/>
  <c r="E19" i="37"/>
  <c r="G19" i="37" s="1"/>
  <c r="E46" i="37"/>
  <c r="L46" i="37" s="1"/>
  <c r="E28" i="37"/>
  <c r="G28" i="37" s="1"/>
  <c r="E49" i="37"/>
  <c r="G49" i="37" s="1"/>
  <c r="E18" i="37"/>
  <c r="L18" i="37" s="1"/>
  <c r="E42" i="37"/>
  <c r="E14" i="37"/>
  <c r="J14" i="37" s="1"/>
  <c r="K14" i="37" s="1"/>
  <c r="E51" i="37"/>
  <c r="J51" i="37" s="1"/>
  <c r="K51" i="37" s="1"/>
  <c r="E43" i="37"/>
  <c r="E26" i="37"/>
  <c r="E33" i="37"/>
  <c r="L33" i="37" s="1"/>
  <c r="E52" i="37"/>
  <c r="J52" i="37" s="1"/>
  <c r="K52" i="37" s="1"/>
  <c r="E45" i="37"/>
  <c r="E39" i="37"/>
  <c r="J39" i="37" s="1"/>
  <c r="K39" i="37" s="1"/>
  <c r="E27" i="37"/>
  <c r="G27" i="37" s="1"/>
  <c r="I27" i="37" s="1"/>
  <c r="E50" i="37"/>
  <c r="G50" i="37" s="1"/>
  <c r="I50" i="37" s="1"/>
  <c r="E56" i="37"/>
  <c r="L56" i="37" s="1"/>
  <c r="E55" i="37"/>
  <c r="L55" i="37" s="1"/>
  <c r="R81" i="47"/>
  <c r="R80" i="47"/>
  <c r="R79" i="47"/>
  <c r="R78" i="47"/>
  <c r="R77" i="47"/>
  <c r="R76" i="47"/>
  <c r="R75" i="47"/>
  <c r="R74" i="47"/>
  <c r="R73" i="47"/>
  <c r="R72" i="47"/>
  <c r="R71" i="47"/>
  <c r="R70" i="47"/>
  <c r="R69" i="47"/>
  <c r="R68" i="47"/>
  <c r="R67" i="47"/>
  <c r="R66" i="47"/>
  <c r="R65" i="47"/>
  <c r="R64" i="47"/>
  <c r="R63" i="47"/>
  <c r="R62" i="47"/>
  <c r="R61" i="47"/>
  <c r="R60" i="47"/>
  <c r="R59" i="47"/>
  <c r="R58" i="47"/>
  <c r="R57" i="47"/>
  <c r="R56" i="47"/>
  <c r="R55" i="47"/>
  <c r="R54" i="47"/>
  <c r="R53" i="47"/>
  <c r="R52" i="47"/>
  <c r="R51" i="47"/>
  <c r="R50" i="47"/>
  <c r="R49" i="47"/>
  <c r="R48" i="47"/>
  <c r="R47" i="47"/>
  <c r="R46" i="47"/>
  <c r="R45" i="47"/>
  <c r="R44" i="47"/>
  <c r="R43" i="47"/>
  <c r="R42" i="47"/>
  <c r="R41" i="47"/>
  <c r="R40" i="47"/>
  <c r="R39" i="47"/>
  <c r="R38" i="47"/>
  <c r="R37" i="47"/>
  <c r="R36" i="47"/>
  <c r="R35" i="47"/>
  <c r="R34" i="47"/>
  <c r="R33" i="47"/>
  <c r="R32" i="47"/>
  <c r="R31" i="47"/>
  <c r="R30" i="47"/>
  <c r="R29" i="47"/>
  <c r="R28" i="47"/>
  <c r="R27" i="47"/>
  <c r="R26" i="47"/>
  <c r="R25" i="47"/>
  <c r="R24" i="47"/>
  <c r="R23" i="47"/>
  <c r="R22" i="47"/>
  <c r="R21" i="47"/>
  <c r="R3" i="47"/>
  <c r="C275" i="29"/>
  <c r="I275" i="59"/>
  <c r="I275" i="29"/>
  <c r="O275" i="59"/>
  <c r="F275" i="59"/>
  <c r="O275" i="29"/>
  <c r="N275" i="29"/>
  <c r="T275" i="59"/>
  <c r="S275" i="59"/>
  <c r="C275" i="59"/>
  <c r="B31" i="30" a="1"/>
  <c r="B31" i="30" s="1"/>
  <c r="E191" i="30"/>
  <c r="F191" i="30"/>
  <c r="D191" i="30"/>
  <c r="C191" i="30"/>
  <c r="B191" i="30" a="1"/>
  <c r="B191" i="30" s="1"/>
  <c r="J32" i="37"/>
  <c r="G32" i="37"/>
  <c r="I32" i="37" s="1"/>
  <c r="L13" i="38"/>
  <c r="J35" i="37"/>
  <c r="J13" i="37"/>
  <c r="L8" i="38"/>
  <c r="G13" i="37"/>
  <c r="I13" i="37"/>
  <c r="G35" i="37"/>
  <c r="J23" i="37"/>
  <c r="G23" i="37"/>
  <c r="J11" i="37"/>
  <c r="L7" i="38"/>
  <c r="G11" i="37"/>
  <c r="I11" i="37" s="1"/>
  <c r="G17" i="37"/>
  <c r="I17" i="37"/>
  <c r="J17" i="37"/>
  <c r="L9" i="38"/>
  <c r="G58" i="37"/>
  <c r="I58" i="37" s="1"/>
  <c r="L22" i="38"/>
  <c r="J58" i="37"/>
  <c r="G36" i="37"/>
  <c r="I36" i="37" s="1"/>
  <c r="J36" i="37"/>
  <c r="L16" i="38"/>
  <c r="L14" i="38"/>
  <c r="L15" i="38"/>
  <c r="J37" i="37"/>
  <c r="G37" i="37"/>
  <c r="J38" i="37"/>
  <c r="G38" i="37"/>
  <c r="I38" i="37" s="1"/>
  <c r="A13" i="139"/>
  <c r="F166" i="30"/>
  <c r="B165" i="30" a="1"/>
  <c r="B165" i="30" s="1"/>
  <c r="D24" i="137"/>
  <c r="F95" i="30"/>
  <c r="E95" i="30"/>
  <c r="D95" i="30"/>
  <c r="N70" i="125"/>
  <c r="E63" i="30"/>
  <c r="C63" i="30"/>
  <c r="B63" i="30" a="1"/>
  <c r="B63" i="30" s="1"/>
  <c r="D63" i="30"/>
  <c r="F73" i="125"/>
  <c r="F63" i="30"/>
  <c r="E59" i="30"/>
  <c r="D59" i="30"/>
  <c r="C59" i="30"/>
  <c r="B59" i="30" a="1"/>
  <c r="B59" i="30" s="1"/>
  <c r="F59" i="30"/>
  <c r="E70" i="125"/>
  <c r="N72" i="1"/>
  <c r="Q72" i="1"/>
  <c r="Q53" i="1"/>
  <c r="N53" i="1"/>
  <c r="N150" i="1"/>
  <c r="Q150" i="1"/>
  <c r="N108" i="1"/>
  <c r="Q108" i="1"/>
  <c r="N58" i="1"/>
  <c r="Q58" i="1"/>
  <c r="Y211" i="1"/>
  <c r="X211" i="1"/>
  <c r="Y20" i="1"/>
  <c r="X20" i="1"/>
  <c r="Y15" i="1"/>
  <c r="X15" i="1"/>
  <c r="Q269" i="1"/>
  <c r="N269" i="1"/>
  <c r="Q262" i="1"/>
  <c r="N262" i="1"/>
  <c r="Q201" i="1"/>
  <c r="N184" i="1"/>
  <c r="Q184" i="1"/>
  <c r="N155" i="1"/>
  <c r="Q155" i="1"/>
  <c r="N238" i="1"/>
  <c r="Q238" i="1"/>
  <c r="Q217" i="1"/>
  <c r="N217" i="1"/>
  <c r="Q16" i="1"/>
  <c r="N16" i="1"/>
  <c r="N249" i="1"/>
  <c r="Q249" i="1"/>
  <c r="N189" i="1"/>
  <c r="Q189" i="1"/>
  <c r="Q123" i="1"/>
  <c r="N123" i="1"/>
  <c r="Y88" i="1"/>
  <c r="Y83" i="1"/>
  <c r="X83" i="1"/>
  <c r="N248" i="1"/>
  <c r="Q248" i="1"/>
  <c r="Q171" i="1"/>
  <c r="N171" i="1"/>
  <c r="X156" i="1"/>
  <c r="Y156" i="1"/>
  <c r="Y151" i="1"/>
  <c r="X151" i="1"/>
  <c r="X68" i="1"/>
  <c r="Y68" i="1"/>
  <c r="Q205" i="1"/>
  <c r="N266" i="1"/>
  <c r="N210" i="1"/>
  <c r="Q210" i="1"/>
  <c r="N170" i="1"/>
  <c r="Q170" i="1"/>
  <c r="X180" i="1"/>
  <c r="Y180" i="1"/>
  <c r="X175" i="1"/>
  <c r="X28" i="1"/>
  <c r="Y28" i="1"/>
  <c r="X23" i="1"/>
  <c r="Y23" i="1"/>
  <c r="Q221" i="1"/>
  <c r="N232" i="1"/>
  <c r="N258" i="1"/>
  <c r="Q258" i="1"/>
  <c r="N180" i="1"/>
  <c r="Q158" i="1"/>
  <c r="N158" i="1"/>
  <c r="Y248" i="1"/>
  <c r="X248" i="1"/>
  <c r="X228" i="1"/>
  <c r="Y228" i="1"/>
  <c r="Y223" i="1"/>
  <c r="X223" i="1"/>
  <c r="Y52" i="1"/>
  <c r="X52" i="1"/>
  <c r="Y47" i="1"/>
  <c r="X47" i="1"/>
  <c r="N6" i="1"/>
  <c r="Q6" i="1"/>
  <c r="N175" i="1"/>
  <c r="Q175" i="1"/>
  <c r="N67" i="1"/>
  <c r="Q67" i="1"/>
  <c r="Y247" i="1"/>
  <c r="X247" i="1"/>
  <c r="X120" i="1"/>
  <c r="Y120" i="1"/>
  <c r="Y100" i="1"/>
  <c r="X100" i="1"/>
  <c r="X95" i="1"/>
  <c r="Y95" i="1"/>
  <c r="Q185" i="1"/>
  <c r="N185" i="1"/>
  <c r="N66" i="1"/>
  <c r="Q66" i="1"/>
  <c r="Y179" i="1"/>
  <c r="X6" i="1"/>
  <c r="Y6" i="1"/>
  <c r="X164" i="1"/>
  <c r="Y164" i="1"/>
  <c r="X159" i="1"/>
  <c r="Y159" i="1"/>
  <c r="Y87" i="1"/>
  <c r="X87" i="1"/>
  <c r="Y19" i="1"/>
  <c r="X19" i="1"/>
  <c r="N200" i="1"/>
  <c r="Q200" i="1"/>
  <c r="Q174" i="1"/>
  <c r="N174" i="1"/>
  <c r="Q138" i="1"/>
  <c r="N138" i="1"/>
  <c r="N91" i="1"/>
  <c r="Q91" i="1"/>
  <c r="X255" i="1"/>
  <c r="Y255" i="1"/>
  <c r="X212" i="1"/>
  <c r="Y212" i="1"/>
  <c r="Y207" i="1"/>
  <c r="X207" i="1"/>
  <c r="Y183" i="1"/>
  <c r="X183" i="1"/>
  <c r="Y115" i="1"/>
  <c r="X115" i="1"/>
  <c r="N32" i="1"/>
  <c r="N240" i="1"/>
  <c r="X244" i="1"/>
  <c r="Y220" i="1"/>
  <c r="Y148" i="1"/>
  <c r="X148" i="1"/>
  <c r="X143" i="1"/>
  <c r="Y143" i="1"/>
  <c r="Y51" i="1"/>
  <c r="X51" i="1"/>
  <c r="Q267" i="1"/>
  <c r="N267" i="1"/>
  <c r="N68" i="1"/>
  <c r="Q68" i="1"/>
  <c r="Y239" i="1"/>
  <c r="X239" i="1"/>
  <c r="X215" i="1"/>
  <c r="Y215" i="1"/>
  <c r="Y147" i="1"/>
  <c r="X147" i="1"/>
  <c r="X36" i="1"/>
  <c r="Y36" i="1"/>
  <c r="Y31" i="1"/>
  <c r="X31" i="1"/>
  <c r="N260" i="1"/>
  <c r="Q260" i="1"/>
  <c r="Y127" i="1"/>
  <c r="X127" i="1"/>
  <c r="Y84" i="1"/>
  <c r="X84" i="1"/>
  <c r="X79" i="1"/>
  <c r="Y79" i="1"/>
  <c r="X251" i="1"/>
  <c r="Y251" i="1"/>
  <c r="Y59" i="1"/>
  <c r="X59" i="1"/>
  <c r="Y195" i="1"/>
  <c r="X195" i="1"/>
  <c r="Y131" i="1"/>
  <c r="X131" i="1"/>
  <c r="Y99" i="1"/>
  <c r="X99" i="1"/>
  <c r="Y35" i="1"/>
  <c r="X35" i="1"/>
  <c r="Y12" i="1"/>
  <c r="N254" i="1"/>
  <c r="Y263" i="1"/>
  <c r="Y11" i="1"/>
  <c r="X11" i="1"/>
  <c r="O70" i="125"/>
  <c r="O71" i="125"/>
  <c r="F46" i="30"/>
  <c r="C46" i="30"/>
  <c r="D46" i="30"/>
  <c r="E46" i="30"/>
  <c r="F70" i="125"/>
  <c r="B25" i="30" a="1"/>
  <c r="B25" i="30" s="1"/>
  <c r="D25" i="30"/>
  <c r="E25" i="30"/>
  <c r="F25" i="30"/>
  <c r="C25" i="30"/>
  <c r="R11" i="47" l="1"/>
  <c r="H15" i="47"/>
  <c r="N30" i="1"/>
  <c r="Q12" i="1"/>
  <c r="N22" i="1"/>
  <c r="N21" i="1"/>
  <c r="N202" i="1"/>
  <c r="Q132" i="1"/>
  <c r="Q17" i="1"/>
  <c r="Q39" i="1"/>
  <c r="Q261" i="1"/>
  <c r="Q235" i="1"/>
  <c r="N231" i="1"/>
  <c r="N211" i="1"/>
  <c r="N206" i="1"/>
  <c r="N197" i="1"/>
  <c r="Q193" i="1"/>
  <c r="N188" i="1"/>
  <c r="N159" i="1"/>
  <c r="N154" i="1"/>
  <c r="N149" i="1"/>
  <c r="Q145" i="1"/>
  <c r="Q136" i="1"/>
  <c r="N124" i="1"/>
  <c r="N115" i="1"/>
  <c r="Q111" i="1"/>
  <c r="N102" i="1"/>
  <c r="Q98" i="1"/>
  <c r="Q81" i="1"/>
  <c r="Q76" i="1"/>
  <c r="N51" i="1"/>
  <c r="X41" i="1"/>
  <c r="Y167" i="1"/>
  <c r="Y256" i="1"/>
  <c r="X252" i="1"/>
  <c r="Y238" i="1"/>
  <c r="X234" i="1"/>
  <c r="Y230" i="1"/>
  <c r="Y204" i="1"/>
  <c r="Y171" i="1"/>
  <c r="Y158" i="1"/>
  <c r="Y140" i="1"/>
  <c r="Y136" i="1"/>
  <c r="X128" i="1"/>
  <c r="X124" i="1"/>
  <c r="X85" i="1"/>
  <c r="Y80" i="1"/>
  <c r="X72" i="1"/>
  <c r="Y45" i="1"/>
  <c r="Y37" i="1"/>
  <c r="X24" i="1"/>
  <c r="Y14" i="1"/>
  <c r="N163" i="1"/>
  <c r="Q49" i="1"/>
  <c r="N48" i="1"/>
  <c r="N11" i="1"/>
  <c r="Q42" i="1"/>
  <c r="Q43" i="1"/>
  <c r="Y224" i="1"/>
  <c r="Y63" i="1"/>
  <c r="X191" i="1"/>
  <c r="N168" i="1"/>
  <c r="N223" i="1"/>
  <c r="Y196" i="1"/>
  <c r="N71" i="1"/>
  <c r="Q23" i="1"/>
  <c r="N212" i="1"/>
  <c r="Q137" i="1"/>
  <c r="X119" i="1"/>
  <c r="Y260" i="1"/>
  <c r="Q140" i="1"/>
  <c r="N247" i="1"/>
  <c r="X222" i="1"/>
  <c r="R180" i="59"/>
  <c r="J275" i="59"/>
  <c r="E275" i="29"/>
  <c r="V275" i="29"/>
  <c r="N275" i="59"/>
  <c r="Q275" i="29"/>
  <c r="K275" i="29"/>
  <c r="R275" i="59"/>
  <c r="M275" i="29"/>
  <c r="E275" i="59"/>
  <c r="V275" i="59"/>
  <c r="H275" i="59"/>
  <c r="S275" i="29"/>
  <c r="I49" i="37"/>
  <c r="I30" i="37"/>
  <c r="I37" i="37"/>
  <c r="H275" i="29"/>
  <c r="L275" i="29"/>
  <c r="D275" i="59"/>
  <c r="U275" i="59"/>
  <c r="P275" i="29"/>
  <c r="J275" i="29"/>
  <c r="D6" i="37"/>
  <c r="D275" i="29"/>
  <c r="U275" i="29"/>
  <c r="M275" i="59"/>
  <c r="P275" i="59"/>
  <c r="I23" i="37"/>
  <c r="T275" i="29"/>
  <c r="L275" i="59"/>
  <c r="G275" i="29"/>
  <c r="G275" i="59"/>
  <c r="R275" i="29"/>
  <c r="I35" i="37"/>
  <c r="K275" i="59"/>
  <c r="F275" i="29"/>
  <c r="W275" i="29"/>
  <c r="W275" i="59"/>
  <c r="G25" i="157"/>
  <c r="G26" i="157"/>
  <c r="I19" i="37"/>
  <c r="I28" i="37"/>
  <c r="I31" i="37"/>
  <c r="O177" i="1"/>
  <c r="P177" i="1" s="1"/>
  <c r="U177" i="1" s="1"/>
  <c r="V13" i="59"/>
  <c r="M13" i="29"/>
  <c r="L10" i="1"/>
  <c r="M10" i="1" s="1"/>
  <c r="O99" i="1"/>
  <c r="T99" i="1" s="1"/>
  <c r="P113" i="59"/>
  <c r="R23" i="144"/>
  <c r="L209" i="1"/>
  <c r="M209" i="1" s="1"/>
  <c r="T293" i="29"/>
  <c r="T299" i="29" s="1"/>
  <c r="O246" i="1"/>
  <c r="T246" i="1" s="1"/>
  <c r="V56" i="7"/>
  <c r="O83" i="1"/>
  <c r="T83" i="1" s="1"/>
  <c r="I113" i="29"/>
  <c r="O87" i="1"/>
  <c r="T87" i="1" s="1"/>
  <c r="W272" i="59"/>
  <c r="U293" i="59"/>
  <c r="U299" i="59" s="1"/>
  <c r="S4" i="144"/>
  <c r="O76" i="1"/>
  <c r="T76" i="1" s="1"/>
  <c r="L65" i="1"/>
  <c r="M65" i="1" s="1"/>
  <c r="L24" i="1"/>
  <c r="M24" i="1" s="1"/>
  <c r="D217" i="59"/>
  <c r="L115" i="1"/>
  <c r="M115" i="1" s="1"/>
  <c r="R59" i="7"/>
  <c r="M272" i="29"/>
  <c r="M4" i="137"/>
  <c r="E8" i="29"/>
  <c r="E32" i="29" s="1"/>
  <c r="R4" i="128"/>
  <c r="R17" i="128" s="1"/>
  <c r="O150" i="1"/>
  <c r="P150" i="1" s="1"/>
  <c r="U150" i="1" s="1"/>
  <c r="V4" i="146"/>
  <c r="W22" i="146"/>
  <c r="O22" i="146"/>
  <c r="G22" i="146"/>
  <c r="F22" i="146"/>
  <c r="M22" i="146"/>
  <c r="E22" i="146"/>
  <c r="V22" i="146"/>
  <c r="N22" i="146"/>
  <c r="U22" i="146"/>
  <c r="T22" i="146"/>
  <c r="L22" i="146"/>
  <c r="D22" i="146"/>
  <c r="H22" i="146"/>
  <c r="S22" i="146"/>
  <c r="K22" i="146"/>
  <c r="J22" i="146"/>
  <c r="I22" i="146"/>
  <c r="R22" i="146"/>
  <c r="Q22" i="146"/>
  <c r="P22" i="146"/>
  <c r="M10" i="138"/>
  <c r="N217" i="59"/>
  <c r="U113" i="59"/>
  <c r="L248" i="1"/>
  <c r="M248" i="1" s="1"/>
  <c r="R9" i="137"/>
  <c r="O132" i="1"/>
  <c r="T132" i="1" s="1"/>
  <c r="O128" i="1"/>
  <c r="T128" i="1" s="1"/>
  <c r="O227" i="1"/>
  <c r="P227" i="1" s="1"/>
  <c r="U227" i="1" s="1"/>
  <c r="O134" i="1"/>
  <c r="T134" i="1" s="1"/>
  <c r="L107" i="1"/>
  <c r="M107" i="1" s="1"/>
  <c r="Z32" i="7"/>
  <c r="Z73" i="7" s="1"/>
  <c r="N6" i="7"/>
  <c r="O207" i="1"/>
  <c r="T207" i="1" s="1"/>
  <c r="AG6" i="7"/>
  <c r="L118" i="1"/>
  <c r="M118" i="1" s="1"/>
  <c r="O293" i="29"/>
  <c r="O299" i="29" s="1"/>
  <c r="P217" i="59"/>
  <c r="O33" i="1"/>
  <c r="T33" i="1" s="1"/>
  <c r="O249" i="1"/>
  <c r="T249" i="1" s="1"/>
  <c r="O266" i="1"/>
  <c r="T266" i="1" s="1"/>
  <c r="L293" i="59"/>
  <c r="L299" i="59" s="1"/>
  <c r="P4" i="138"/>
  <c r="G217" i="59"/>
  <c r="O38" i="1"/>
  <c r="T38" i="1" s="1"/>
  <c r="I32" i="7"/>
  <c r="I73" i="7" s="1"/>
  <c r="T4" i="137"/>
  <c r="W10" i="128"/>
  <c r="H32" i="7"/>
  <c r="H73" i="7" s="1"/>
  <c r="M52" i="7"/>
  <c r="L10" i="128"/>
  <c r="U8" i="29"/>
  <c r="U32" i="29" s="1"/>
  <c r="I272" i="29"/>
  <c r="I13" i="29"/>
  <c r="R272" i="59"/>
  <c r="L97" i="1"/>
  <c r="M97" i="1" s="1"/>
  <c r="O257" i="1"/>
  <c r="T257" i="1" s="1"/>
  <c r="L41" i="1"/>
  <c r="M41" i="1" s="1"/>
  <c r="L293" i="29"/>
  <c r="L299" i="29" s="1"/>
  <c r="O144" i="1"/>
  <c r="P144" i="1" s="1"/>
  <c r="U144" i="1" s="1"/>
  <c r="O279" i="1"/>
  <c r="T279" i="1" s="1"/>
  <c r="I56" i="7"/>
  <c r="O145" i="1"/>
  <c r="P145" i="1" s="1"/>
  <c r="U145" i="1" s="1"/>
  <c r="O15" i="1"/>
  <c r="T15" i="1" s="1"/>
  <c r="L49" i="1"/>
  <c r="M49" i="1" s="1"/>
  <c r="S234" i="59"/>
  <c r="H272" i="59"/>
  <c r="E234" i="29"/>
  <c r="W217" i="29"/>
  <c r="S217" i="29"/>
  <c r="T59" i="7"/>
  <c r="L159" i="1"/>
  <c r="M159" i="1" s="1"/>
  <c r="B13" i="30" a="1"/>
  <c r="B13" i="30" s="1"/>
  <c r="C95" i="30"/>
  <c r="B71" i="146" a="1"/>
  <c r="B71" i="146" s="1"/>
  <c r="A81" i="146"/>
  <c r="B81" i="146" s="1" a="1"/>
  <c r="B81" i="146" s="1"/>
  <c r="B14" i="146" a="1"/>
  <c r="B14" i="146" s="1"/>
  <c r="B31" i="146" s="1"/>
  <c r="A15" i="146"/>
  <c r="A32" i="146" s="1"/>
  <c r="A88" i="146"/>
  <c r="B18" i="146" a="1"/>
  <c r="B18" i="146" s="1"/>
  <c r="B35" i="146" s="1"/>
  <c r="A60" i="146"/>
  <c r="B60" i="146" s="1" a="1"/>
  <c r="B60" i="146" s="1"/>
  <c r="A51" i="146"/>
  <c r="B17" i="146" a="1"/>
  <c r="B17" i="146" s="1"/>
  <c r="B34" i="146" s="1"/>
  <c r="A7" i="146"/>
  <c r="B19" i="146" a="1"/>
  <c r="B19" i="146" s="1"/>
  <c r="B36" i="146" s="1"/>
  <c r="B15" i="146" a="1"/>
  <c r="B15" i="146" s="1"/>
  <c r="B32" i="146" s="1"/>
  <c r="B6" i="146" a="1"/>
  <c r="B6" i="146" s="1"/>
  <c r="B24" i="146" s="1"/>
  <c r="G95" i="30"/>
  <c r="B95" i="30" s="1" a="1"/>
  <c r="B95" i="30" s="1"/>
  <c r="M82" i="59" s="1"/>
  <c r="L129" i="1"/>
  <c r="M129" i="1" s="1"/>
  <c r="U217" i="59"/>
  <c r="O4" i="144"/>
  <c r="L131" i="1"/>
  <c r="M131" i="1" s="1"/>
  <c r="W293" i="29"/>
  <c r="W299" i="29" s="1"/>
  <c r="M4" i="128"/>
  <c r="M17" i="128" s="1"/>
  <c r="V113" i="59"/>
  <c r="E4" i="146"/>
  <c r="P52" i="7"/>
  <c r="N52" i="7"/>
  <c r="K10" i="138"/>
  <c r="V6" i="7"/>
  <c r="F272" i="59"/>
  <c r="F8" i="59"/>
  <c r="F32" i="59" s="1"/>
  <c r="N10" i="139"/>
  <c r="P13" i="29"/>
  <c r="O219" i="1"/>
  <c r="P219" i="1" s="1"/>
  <c r="U219" i="1" s="1"/>
  <c r="L113" i="59"/>
  <c r="Q4" i="137"/>
  <c r="U272" i="29"/>
  <c r="V23" i="144"/>
  <c r="O18" i="1"/>
  <c r="T18" i="1" s="1"/>
  <c r="O129" i="1"/>
  <c r="T129" i="1" s="1"/>
  <c r="O110" i="1"/>
  <c r="P110" i="1" s="1"/>
  <c r="U110" i="1" s="1"/>
  <c r="E293" i="59"/>
  <c r="E299" i="59" s="1"/>
  <c r="Q217" i="29"/>
  <c r="N10" i="128"/>
  <c r="K56" i="7"/>
  <c r="L274" i="1"/>
  <c r="M274" i="1" s="1"/>
  <c r="O146" i="1"/>
  <c r="T146" i="1" s="1"/>
  <c r="L137" i="1"/>
  <c r="M137" i="1" s="1"/>
  <c r="P4" i="144"/>
  <c r="X32" i="7"/>
  <c r="X73" i="7" s="1"/>
  <c r="T217" i="59"/>
  <c r="C131" i="29"/>
  <c r="H113" i="29"/>
  <c r="S113" i="59"/>
  <c r="S272" i="59"/>
  <c r="Y59" i="7"/>
  <c r="L109" i="1"/>
  <c r="M109" i="1" s="1"/>
  <c r="J8" i="29"/>
  <c r="J32" i="29" s="1"/>
  <c r="S113" i="29"/>
  <c r="N13" i="59"/>
  <c r="H13" i="29"/>
  <c r="O62" i="1"/>
  <c r="T62" i="1" s="1"/>
  <c r="L9" i="1"/>
  <c r="M9" i="1" s="1"/>
  <c r="O209" i="1"/>
  <c r="P209" i="1" s="1"/>
  <c r="U209" i="1" s="1"/>
  <c r="L74" i="1"/>
  <c r="M74" i="1" s="1"/>
  <c r="O217" i="59"/>
  <c r="L81" i="1"/>
  <c r="M81" i="1" s="1"/>
  <c r="D4" i="128"/>
  <c r="D17" i="128" s="1"/>
  <c r="V8" i="29"/>
  <c r="V32" i="29" s="1"/>
  <c r="M59" i="7"/>
  <c r="O276" i="1"/>
  <c r="O118" i="1"/>
  <c r="P118" i="1" s="1"/>
  <c r="U118" i="1" s="1"/>
  <c r="P293" i="59"/>
  <c r="P299" i="59" s="1"/>
  <c r="X15" i="7"/>
  <c r="U15" i="7"/>
  <c r="N32" i="7"/>
  <c r="N73" i="7" s="1"/>
  <c r="I59" i="7"/>
  <c r="D9" i="137"/>
  <c r="W4" i="139"/>
  <c r="L17" i="1"/>
  <c r="M17" i="1" s="1"/>
  <c r="L217" i="1"/>
  <c r="M217" i="1" s="1"/>
  <c r="L70" i="1"/>
  <c r="M70" i="1" s="1"/>
  <c r="I15" i="7"/>
  <c r="O113" i="1"/>
  <c r="T113" i="1" s="1"/>
  <c r="E113" i="29"/>
  <c r="U4" i="137"/>
  <c r="O217" i="29"/>
  <c r="AB56" i="7"/>
  <c r="E6" i="7"/>
  <c r="L217" i="59"/>
  <c r="E56" i="7"/>
  <c r="L60" i="1"/>
  <c r="M60" i="1" s="1"/>
  <c r="Q217" i="59"/>
  <c r="M9" i="137"/>
  <c r="V10" i="138"/>
  <c r="L112" i="1"/>
  <c r="M112" i="1" s="1"/>
  <c r="O254" i="1"/>
  <c r="T254" i="1" s="1"/>
  <c r="L59" i="1"/>
  <c r="M59" i="1" s="1"/>
  <c r="AI32" i="7"/>
  <c r="AI73" i="7" s="1"/>
  <c r="F32" i="7"/>
  <c r="F73" i="7" s="1"/>
  <c r="D8" i="29"/>
  <c r="D32" i="29" s="1"/>
  <c r="S52" i="7"/>
  <c r="G217" i="29"/>
  <c r="L75" i="1"/>
  <c r="M75" i="1" s="1"/>
  <c r="O17" i="1"/>
  <c r="T17" i="1" s="1"/>
  <c r="N4" i="146"/>
  <c r="E15" i="7"/>
  <c r="W48" i="146"/>
  <c r="D234" i="29"/>
  <c r="G6" i="47"/>
  <c r="O147" i="1"/>
  <c r="P147" i="1" s="1"/>
  <c r="U147" i="1" s="1"/>
  <c r="I4" i="139"/>
  <c r="O25" i="1"/>
  <c r="P25" i="1" s="1"/>
  <c r="U25" i="1" s="1"/>
  <c r="L270" i="1"/>
  <c r="M270" i="1" s="1"/>
  <c r="O226" i="1"/>
  <c r="P226" i="1" s="1"/>
  <c r="U226" i="1" s="1"/>
  <c r="L91" i="1"/>
  <c r="M91" i="1" s="1"/>
  <c r="T6" i="7"/>
  <c r="O205" i="1"/>
  <c r="P205" i="1" s="1"/>
  <c r="U205" i="1" s="1"/>
  <c r="V15" i="7"/>
  <c r="AH52" i="7"/>
  <c r="L101" i="1"/>
  <c r="M101" i="1" s="1"/>
  <c r="L272" i="29"/>
  <c r="F4" i="146"/>
  <c r="W113" i="29"/>
  <c r="S8" i="59"/>
  <c r="S32" i="59" s="1"/>
  <c r="U13" i="146"/>
  <c r="E80" i="59"/>
  <c r="H80" i="59"/>
  <c r="K77" i="29"/>
  <c r="L81" i="29"/>
  <c r="F85" i="59"/>
  <c r="F81" i="29"/>
  <c r="N80" i="59"/>
  <c r="L84" i="29"/>
  <c r="Q76" i="59"/>
  <c r="R85" i="29"/>
  <c r="P84" i="29"/>
  <c r="R84" i="29"/>
  <c r="D86" i="29"/>
  <c r="G76" i="59"/>
  <c r="E76" i="29"/>
  <c r="Q78" i="29"/>
  <c r="C160" i="29"/>
  <c r="B256" i="29"/>
  <c r="J48" i="37"/>
  <c r="N79" i="59"/>
  <c r="G44" i="37"/>
  <c r="I44" i="37" s="1"/>
  <c r="G20" i="37"/>
  <c r="I20" i="37" s="1"/>
  <c r="E79" i="59"/>
  <c r="K87" i="29"/>
  <c r="R82" i="29"/>
  <c r="G48" i="37"/>
  <c r="I48" i="37" s="1"/>
  <c r="L18" i="38"/>
  <c r="J27" i="37"/>
  <c r="K27" i="37" s="1"/>
  <c r="C8" i="112"/>
  <c r="E8" i="112" s="1"/>
  <c r="F8" i="112" s="1"/>
  <c r="J4" i="38"/>
  <c r="G4" i="38"/>
  <c r="L4" i="38"/>
  <c r="L26" i="37"/>
  <c r="J26" i="37"/>
  <c r="K26" i="37" s="1"/>
  <c r="I9" i="137"/>
  <c r="L192" i="1"/>
  <c r="M192" i="1" s="1"/>
  <c r="I4" i="128"/>
  <c r="I17" i="128" s="1"/>
  <c r="L250" i="1"/>
  <c r="M250" i="1" s="1"/>
  <c r="O106" i="1"/>
  <c r="T106" i="1" s="1"/>
  <c r="O89" i="1"/>
  <c r="P89" i="1" s="1"/>
  <c r="U89" i="1" s="1"/>
  <c r="O152" i="1"/>
  <c r="T152" i="1" s="1"/>
  <c r="O151" i="1"/>
  <c r="P151" i="1" s="1"/>
  <c r="U151" i="1" s="1"/>
  <c r="P8" i="59"/>
  <c r="P32" i="59" s="1"/>
  <c r="I6" i="7"/>
  <c r="K59" i="7"/>
  <c r="E272" i="29"/>
  <c r="Y15" i="7"/>
  <c r="W234" i="29"/>
  <c r="F217" i="59"/>
  <c r="P272" i="29"/>
  <c r="L269" i="1"/>
  <c r="M269" i="1" s="1"/>
  <c r="W272" i="29"/>
  <c r="N4" i="138"/>
  <c r="O6" i="7"/>
  <c r="W4" i="146"/>
  <c r="P58" i="146"/>
  <c r="H217" i="59"/>
  <c r="N4" i="128"/>
  <c r="N17" i="128" s="1"/>
  <c r="E4" i="137"/>
  <c r="O4" i="139"/>
  <c r="C131" i="59"/>
  <c r="O48" i="1"/>
  <c r="L279" i="1"/>
  <c r="M279" i="1" s="1"/>
  <c r="I272" i="59"/>
  <c r="E48" i="146"/>
  <c r="U10" i="128"/>
  <c r="U293" i="29"/>
  <c r="U299" i="29" s="1"/>
  <c r="E10" i="139"/>
  <c r="N13" i="29"/>
  <c r="P6" i="7"/>
  <c r="M293" i="59"/>
  <c r="M299" i="59" s="1"/>
  <c r="J293" i="59"/>
  <c r="J299" i="59" s="1"/>
  <c r="E9" i="137"/>
  <c r="O211" i="1"/>
  <c r="T211" i="1" s="1"/>
  <c r="O233" i="1"/>
  <c r="T233" i="1" s="1"/>
  <c r="O240" i="1"/>
  <c r="T240" i="1" s="1"/>
  <c r="E217" i="29"/>
  <c r="I8" i="29"/>
  <c r="I32" i="29" s="1"/>
  <c r="J4" i="139"/>
  <c r="O140" i="1"/>
  <c r="T140" i="1" s="1"/>
  <c r="L177" i="1"/>
  <c r="M177" i="1" s="1"/>
  <c r="O97" i="1"/>
  <c r="P97" i="1" s="1"/>
  <c r="U97" i="1" s="1"/>
  <c r="O9" i="1"/>
  <c r="T9" i="1" s="1"/>
  <c r="O210" i="1"/>
  <c r="T210" i="1" s="1"/>
  <c r="O220" i="1"/>
  <c r="T220" i="1" s="1"/>
  <c r="D4" i="144"/>
  <c r="S8" i="29"/>
  <c r="S32" i="29" s="1"/>
  <c r="O7" i="1"/>
  <c r="T7" i="1" s="1"/>
  <c r="P10" i="138"/>
  <c r="H293" i="59"/>
  <c r="H299" i="59" s="1"/>
  <c r="O271" i="1"/>
  <c r="S9" i="137"/>
  <c r="W15" i="7"/>
  <c r="H52" i="7"/>
  <c r="O248" i="1"/>
  <c r="T248" i="1" s="1"/>
  <c r="L94" i="1"/>
  <c r="M94" i="1" s="1"/>
  <c r="Q8" i="29"/>
  <c r="Q32" i="29" s="1"/>
  <c r="N13" i="146"/>
  <c r="Q10" i="138"/>
  <c r="L53" i="1"/>
  <c r="M53" i="1" s="1"/>
  <c r="L167" i="1"/>
  <c r="M167" i="1" s="1"/>
  <c r="L221" i="1"/>
  <c r="M221" i="1" s="1"/>
  <c r="L227" i="1"/>
  <c r="M227" i="1" s="1"/>
  <c r="O236" i="1"/>
  <c r="P236" i="1" s="1"/>
  <c r="U236" i="1" s="1"/>
  <c r="D217" i="29"/>
  <c r="L249" i="1"/>
  <c r="M249" i="1" s="1"/>
  <c r="M293" i="29"/>
  <c r="M299" i="29" s="1"/>
  <c r="O56" i="7"/>
  <c r="G13" i="29"/>
  <c r="G234" i="29"/>
  <c r="K217" i="59"/>
  <c r="L13" i="29"/>
  <c r="R6" i="7"/>
  <c r="O59" i="7"/>
  <c r="O272" i="1"/>
  <c r="T272" i="1" s="1"/>
  <c r="L240" i="1"/>
  <c r="M240" i="1" s="1"/>
  <c r="F234" i="59"/>
  <c r="J272" i="29"/>
  <c r="L108" i="1"/>
  <c r="M108" i="1" s="1"/>
  <c r="G8" i="29"/>
  <c r="G32" i="29" s="1"/>
  <c r="E10" i="128"/>
  <c r="L8" i="29"/>
  <c r="L32" i="29" s="1"/>
  <c r="G10" i="128"/>
  <c r="O113" i="59"/>
  <c r="D272" i="29"/>
  <c r="V293" i="29"/>
  <c r="V299" i="29" s="1"/>
  <c r="M4" i="139"/>
  <c r="Q234" i="29"/>
  <c r="T113" i="59"/>
  <c r="F272" i="29"/>
  <c r="L4" i="139"/>
  <c r="O224" i="1"/>
  <c r="P224" i="1" s="1"/>
  <c r="U224" i="1" s="1"/>
  <c r="Y32" i="7"/>
  <c r="Y73" i="7" s="1"/>
  <c r="L203" i="1"/>
  <c r="M203" i="1" s="1"/>
  <c r="O225" i="1"/>
  <c r="T225" i="1" s="1"/>
  <c r="L271" i="1"/>
  <c r="M271" i="1" s="1"/>
  <c r="S217" i="59"/>
  <c r="T58" i="146"/>
  <c r="O223" i="1"/>
  <c r="T223" i="1" s="1"/>
  <c r="L124" i="1"/>
  <c r="M124" i="1" s="1"/>
  <c r="O169" i="1"/>
  <c r="T169" i="1" s="1"/>
  <c r="L73" i="1"/>
  <c r="M73" i="1" s="1"/>
  <c r="O264" i="1"/>
  <c r="T264" i="1" s="1"/>
  <c r="L210" i="1"/>
  <c r="M210" i="1" s="1"/>
  <c r="I10" i="128"/>
  <c r="L20" i="1"/>
  <c r="M20" i="1" s="1"/>
  <c r="O153" i="1"/>
  <c r="P153" i="1" s="1"/>
  <c r="U153" i="1" s="1"/>
  <c r="O57" i="1"/>
  <c r="P57" i="1" s="1"/>
  <c r="U57" i="1" s="1"/>
  <c r="L256" i="1"/>
  <c r="M256" i="1" s="1"/>
  <c r="L244" i="1"/>
  <c r="M244" i="1" s="1"/>
  <c r="W52" i="7"/>
  <c r="H4" i="138"/>
  <c r="J48" i="146"/>
  <c r="L267" i="1"/>
  <c r="M267" i="1" s="1"/>
  <c r="F113" i="29"/>
  <c r="O8" i="59"/>
  <c r="O32" i="59" s="1"/>
  <c r="N234" i="29"/>
  <c r="K32" i="7"/>
  <c r="K73" i="7" s="1"/>
  <c r="L145" i="1"/>
  <c r="M145" i="1" s="1"/>
  <c r="L139" i="1"/>
  <c r="M139" i="1" s="1"/>
  <c r="O15" i="7"/>
  <c r="L40" i="1"/>
  <c r="M40" i="1" s="1"/>
  <c r="T8" i="29"/>
  <c r="T32" i="29" s="1"/>
  <c r="N4" i="137"/>
  <c r="Z56" i="7"/>
  <c r="O182" i="1"/>
  <c r="P182" i="1" s="1"/>
  <c r="U182" i="1" s="1"/>
  <c r="O47" i="1"/>
  <c r="P47" i="1" s="1"/>
  <c r="U47" i="1" s="1"/>
  <c r="L226" i="1"/>
  <c r="M226" i="1" s="1"/>
  <c r="S4" i="138"/>
  <c r="H4" i="139"/>
  <c r="W32" i="7"/>
  <c r="W73" i="7" s="1"/>
  <c r="S15" i="7"/>
  <c r="O247" i="1"/>
  <c r="Q113" i="29"/>
  <c r="S293" i="29"/>
  <c r="S299" i="29" s="1"/>
  <c r="O141" i="1"/>
  <c r="D113" i="59"/>
  <c r="U59" i="7"/>
  <c r="M56" i="7"/>
  <c r="U9" i="137"/>
  <c r="W10" i="139"/>
  <c r="O6" i="47"/>
  <c r="Q15" i="7"/>
  <c r="O234" i="59"/>
  <c r="Q4" i="144"/>
  <c r="U13" i="59"/>
  <c r="L125" i="1"/>
  <c r="M125" i="1" s="1"/>
  <c r="O272" i="29"/>
  <c r="I234" i="59"/>
  <c r="U4" i="139"/>
  <c r="T234" i="59"/>
  <c r="O92" i="1"/>
  <c r="T92" i="1" s="1"/>
  <c r="M10" i="128"/>
  <c r="AD56" i="7"/>
  <c r="C293" i="59"/>
  <c r="C299" i="59" s="1"/>
  <c r="P113" i="29"/>
  <c r="I4" i="144"/>
  <c r="O195" i="1"/>
  <c r="T195" i="1" s="1"/>
  <c r="O193" i="1"/>
  <c r="T193" i="1" s="1"/>
  <c r="S293" i="59"/>
  <c r="S299" i="59" s="1"/>
  <c r="L10" i="138"/>
  <c r="K272" i="29"/>
  <c r="L215" i="1"/>
  <c r="M215" i="1" s="1"/>
  <c r="L44" i="1"/>
  <c r="M44" i="1" s="1"/>
  <c r="L169" i="1"/>
  <c r="M169" i="1" s="1"/>
  <c r="O73" i="1"/>
  <c r="T73" i="1" s="1"/>
  <c r="L264" i="1"/>
  <c r="M264" i="1" s="1"/>
  <c r="I8" i="59"/>
  <c r="I32" i="59" s="1"/>
  <c r="AC56" i="7"/>
  <c r="O281" i="1"/>
  <c r="P281" i="1" s="1"/>
  <c r="U281" i="1" s="1"/>
  <c r="L179" i="1"/>
  <c r="M179" i="1" s="1"/>
  <c r="L185" i="1"/>
  <c r="M185" i="1" s="1"/>
  <c r="H23" i="144"/>
  <c r="Y52" i="7"/>
  <c r="O167" i="1"/>
  <c r="P167" i="1" s="1"/>
  <c r="U167" i="1" s="1"/>
  <c r="F4" i="137"/>
  <c r="S13" i="59"/>
  <c r="L31" i="1"/>
  <c r="M31" i="1" s="1"/>
  <c r="U217" i="29"/>
  <c r="I58" i="146"/>
  <c r="O234" i="29"/>
  <c r="E13" i="29"/>
  <c r="J217" i="59"/>
  <c r="O166" i="1"/>
  <c r="P166" i="1" s="1"/>
  <c r="U166" i="1" s="1"/>
  <c r="R217" i="59"/>
  <c r="J13" i="59"/>
  <c r="AI56" i="7"/>
  <c r="V113" i="29"/>
  <c r="L27" i="1"/>
  <c r="M27" i="1" s="1"/>
  <c r="T4" i="139"/>
  <c r="H4" i="144"/>
  <c r="V4" i="144"/>
  <c r="O245" i="1"/>
  <c r="P245" i="1" s="1"/>
  <c r="U245" i="1" s="1"/>
  <c r="O191" i="1"/>
  <c r="P191" i="1" s="1"/>
  <c r="U191" i="1" s="1"/>
  <c r="D130" i="29"/>
  <c r="E130" i="29" s="1"/>
  <c r="F130" i="29" s="1"/>
  <c r="G130" i="29" s="1"/>
  <c r="H130" i="29" s="1"/>
  <c r="I130" i="29" s="1"/>
  <c r="J130" i="29" s="1"/>
  <c r="K130" i="29" s="1"/>
  <c r="L130" i="29" s="1"/>
  <c r="M130" i="29" s="1"/>
  <c r="N130" i="29" s="1"/>
  <c r="O130" i="29" s="1"/>
  <c r="P130" i="29" s="1"/>
  <c r="Q130" i="29" s="1"/>
  <c r="R130" i="29" s="1"/>
  <c r="S130" i="29" s="1"/>
  <c r="T130" i="29" s="1"/>
  <c r="U130" i="29" s="1"/>
  <c r="V130" i="29" s="1"/>
  <c r="W130" i="29" s="1"/>
  <c r="Z52" i="7"/>
  <c r="O270" i="1"/>
  <c r="P270" i="1" s="1"/>
  <c r="U270" i="1" s="1"/>
  <c r="M8" i="29"/>
  <c r="M32" i="29" s="1"/>
  <c r="K4" i="128"/>
  <c r="K17" i="128" s="1"/>
  <c r="J234" i="29"/>
  <c r="L217" i="29"/>
  <c r="O203" i="1"/>
  <c r="T203" i="1" s="1"/>
  <c r="P217" i="29"/>
  <c r="O13" i="59"/>
  <c r="Q13" i="59"/>
  <c r="T10" i="128"/>
  <c r="L193" i="1"/>
  <c r="M193" i="1" s="1"/>
  <c r="V234" i="29"/>
  <c r="AF6" i="7"/>
  <c r="O4" i="128"/>
  <c r="O17" i="128" s="1"/>
  <c r="N234" i="59"/>
  <c r="L234" i="29"/>
  <c r="F217" i="29"/>
  <c r="J56" i="7"/>
  <c r="T52" i="7"/>
  <c r="V10" i="128"/>
  <c r="G113" i="59"/>
  <c r="V13" i="29"/>
  <c r="R234" i="59"/>
  <c r="L201" i="1"/>
  <c r="M201" i="1" s="1"/>
  <c r="O70" i="1"/>
  <c r="P70" i="1" s="1"/>
  <c r="U70" i="1" s="1"/>
  <c r="C234" i="59"/>
  <c r="F56" i="7"/>
  <c r="D13" i="29"/>
  <c r="O139" i="1"/>
  <c r="T139" i="1" s="1"/>
  <c r="E6" i="47"/>
  <c r="O114" i="1"/>
  <c r="P114" i="1" s="1"/>
  <c r="U114" i="1" s="1"/>
  <c r="L142" i="1"/>
  <c r="M142" i="1" s="1"/>
  <c r="V234" i="59"/>
  <c r="L258" i="1"/>
  <c r="M258" i="1" s="1"/>
  <c r="O10" i="1"/>
  <c r="P10" i="1" s="1"/>
  <c r="U10" i="1" s="1"/>
  <c r="V59" i="7"/>
  <c r="V8" i="59"/>
  <c r="V32" i="59" s="1"/>
  <c r="O52" i="7"/>
  <c r="O27" i="1"/>
  <c r="T27" i="1" s="1"/>
  <c r="L58" i="146"/>
  <c r="L84" i="1"/>
  <c r="M84" i="1" s="1"/>
  <c r="R217" i="29"/>
  <c r="O154" i="1"/>
  <c r="P154" i="1" s="1"/>
  <c r="U154" i="1" s="1"/>
  <c r="W9" i="137"/>
  <c r="E59" i="7"/>
  <c r="L173" i="1"/>
  <c r="M173" i="1" s="1"/>
  <c r="D10" i="139"/>
  <c r="R113" i="29"/>
  <c r="P10" i="139"/>
  <c r="N113" i="29"/>
  <c r="D4" i="146"/>
  <c r="O293" i="59"/>
  <c r="O299" i="59" s="1"/>
  <c r="O265" i="1"/>
  <c r="P265" i="1" s="1"/>
  <c r="U265" i="1" s="1"/>
  <c r="X52" i="7"/>
  <c r="L237" i="1"/>
  <c r="M237" i="1" s="1"/>
  <c r="J15" i="7"/>
  <c r="N272" i="59"/>
  <c r="L4" i="138"/>
  <c r="O82" i="1"/>
  <c r="T82" i="1" s="1"/>
  <c r="T113" i="29"/>
  <c r="H8" i="29"/>
  <c r="H32" i="29" s="1"/>
  <c r="H6" i="7"/>
  <c r="O107" i="1"/>
  <c r="P107" i="1" s="1"/>
  <c r="U107" i="1" s="1"/>
  <c r="Q293" i="29"/>
  <c r="Q299" i="29" s="1"/>
  <c r="E113" i="59"/>
  <c r="Q13" i="29"/>
  <c r="L150" i="1"/>
  <c r="M150" i="1" s="1"/>
  <c r="O131" i="1"/>
  <c r="P131" i="1" s="1"/>
  <c r="U131" i="1" s="1"/>
  <c r="I234" i="29"/>
  <c r="U4" i="138"/>
  <c r="O163" i="1"/>
  <c r="P163" i="1" s="1"/>
  <c r="U163" i="1" s="1"/>
  <c r="O161" i="1"/>
  <c r="T161" i="1" s="1"/>
  <c r="R56" i="7"/>
  <c r="K113" i="29"/>
  <c r="F52" i="7"/>
  <c r="O135" i="1"/>
  <c r="P135" i="1" s="1"/>
  <c r="U135" i="1" s="1"/>
  <c r="L218" i="1"/>
  <c r="M218" i="1" s="1"/>
  <c r="L153" i="1"/>
  <c r="M153" i="1" s="1"/>
  <c r="L57" i="1"/>
  <c r="M57" i="1" s="1"/>
  <c r="O256" i="1"/>
  <c r="T256" i="1" s="1"/>
  <c r="L19" i="1"/>
  <c r="M19" i="1" s="1"/>
  <c r="W8" i="59"/>
  <c r="W32" i="59" s="1"/>
  <c r="G272" i="59"/>
  <c r="M4" i="146"/>
  <c r="L156" i="1"/>
  <c r="M156" i="1" s="1"/>
  <c r="N113" i="59"/>
  <c r="O133" i="1"/>
  <c r="P133" i="1" s="1"/>
  <c r="U133" i="1" s="1"/>
  <c r="F234" i="29"/>
  <c r="D293" i="59"/>
  <c r="D299" i="59" s="1"/>
  <c r="O52" i="1"/>
  <c r="T52" i="1" s="1"/>
  <c r="O121" i="1"/>
  <c r="P121" i="1" s="1"/>
  <c r="U121" i="1" s="1"/>
  <c r="O127" i="1"/>
  <c r="P127" i="1" s="1"/>
  <c r="U127" i="1" s="1"/>
  <c r="L33" i="1"/>
  <c r="M33" i="1" s="1"/>
  <c r="O19" i="1"/>
  <c r="P19" i="1" s="1"/>
  <c r="U19" i="1" s="1"/>
  <c r="O158" i="1"/>
  <c r="P158" i="1" s="1"/>
  <c r="U158" i="1" s="1"/>
  <c r="G58" i="146"/>
  <c r="L71" i="1"/>
  <c r="M71" i="1" s="1"/>
  <c r="O100" i="1"/>
  <c r="P100" i="1" s="1"/>
  <c r="U100" i="1" s="1"/>
  <c r="L213" i="1"/>
  <c r="M213" i="1" s="1"/>
  <c r="L96" i="1"/>
  <c r="M96" i="1" s="1"/>
  <c r="O282" i="1"/>
  <c r="T282" i="1" s="1"/>
  <c r="L158" i="1"/>
  <c r="M158" i="1" s="1"/>
  <c r="O8" i="29"/>
  <c r="O32" i="29" s="1"/>
  <c r="L251" i="1"/>
  <c r="M251" i="1" s="1"/>
  <c r="G10" i="139"/>
  <c r="H234" i="29"/>
  <c r="L261" i="1"/>
  <c r="M261" i="1" s="1"/>
  <c r="H58" i="146"/>
  <c r="O187" i="1"/>
  <c r="T187" i="1" s="1"/>
  <c r="K13" i="59"/>
  <c r="T4" i="138"/>
  <c r="Q59" i="7"/>
  <c r="L113" i="29"/>
  <c r="R58" i="146"/>
  <c r="O4" i="138"/>
  <c r="F293" i="59"/>
  <c r="F299" i="59" s="1"/>
  <c r="G13" i="146"/>
  <c r="J13" i="29"/>
  <c r="I293" i="59"/>
  <c r="I299" i="59" s="1"/>
  <c r="H113" i="59"/>
  <c r="K217" i="29"/>
  <c r="N8" i="29"/>
  <c r="N32" i="29" s="1"/>
  <c r="F15" i="7"/>
  <c r="I13" i="146"/>
  <c r="D167" i="59"/>
  <c r="E167" i="59" s="1"/>
  <c r="F167" i="59" s="1"/>
  <c r="G167" i="59" s="1"/>
  <c r="H167" i="59" s="1"/>
  <c r="I167" i="59" s="1"/>
  <c r="J167" i="59" s="1"/>
  <c r="K167" i="59" s="1"/>
  <c r="L167" i="59" s="1"/>
  <c r="M167" i="59" s="1"/>
  <c r="N167" i="59" s="1"/>
  <c r="O167" i="59" s="1"/>
  <c r="P167" i="59" s="1"/>
  <c r="Q167" i="59" s="1"/>
  <c r="R167" i="59" s="1"/>
  <c r="S167" i="59" s="1"/>
  <c r="T167" i="59" s="1"/>
  <c r="U167" i="59" s="1"/>
  <c r="V167" i="59" s="1"/>
  <c r="W167" i="59" s="1"/>
  <c r="O218" i="1"/>
  <c r="T218" i="1" s="1"/>
  <c r="O174" i="1"/>
  <c r="T174" i="1" s="1"/>
  <c r="J113" i="29"/>
  <c r="G15" i="7"/>
  <c r="H272" i="29"/>
  <c r="H56" i="7"/>
  <c r="T272" i="29"/>
  <c r="H15" i="7"/>
  <c r="W113" i="59"/>
  <c r="L232" i="1"/>
  <c r="M232" i="1" s="1"/>
  <c r="L123" i="1"/>
  <c r="M123" i="1" s="1"/>
  <c r="L105" i="1"/>
  <c r="M105" i="1" s="1"/>
  <c r="D130" i="59"/>
  <c r="E130" i="59" s="1"/>
  <c r="F130" i="59" s="1"/>
  <c r="G130" i="59" s="1"/>
  <c r="H130" i="59" s="1"/>
  <c r="I130" i="59" s="1"/>
  <c r="J130" i="59" s="1"/>
  <c r="K130" i="59" s="1"/>
  <c r="L130" i="59" s="1"/>
  <c r="M130" i="59" s="1"/>
  <c r="N130" i="59" s="1"/>
  <c r="O130" i="59" s="1"/>
  <c r="P130" i="59" s="1"/>
  <c r="Q130" i="59" s="1"/>
  <c r="R130" i="59" s="1"/>
  <c r="S130" i="59" s="1"/>
  <c r="T130" i="59" s="1"/>
  <c r="U130" i="59" s="1"/>
  <c r="V130" i="59" s="1"/>
  <c r="W130" i="59" s="1"/>
  <c r="E293" i="29"/>
  <c r="E299" i="29" s="1"/>
  <c r="P6" i="47"/>
  <c r="P32" i="7"/>
  <c r="P73" i="7" s="1"/>
  <c r="L23" i="1"/>
  <c r="M23" i="1" s="1"/>
  <c r="L42" i="1"/>
  <c r="M42" i="1" s="1"/>
  <c r="L225" i="1"/>
  <c r="M225" i="1" s="1"/>
  <c r="O217" i="1"/>
  <c r="T217" i="1" s="1"/>
  <c r="O137" i="1"/>
  <c r="P137" i="1" s="1"/>
  <c r="U137" i="1" s="1"/>
  <c r="L25" i="1"/>
  <c r="M25" i="1" s="1"/>
  <c r="L80" i="1"/>
  <c r="M80" i="1" s="1"/>
  <c r="I4" i="146"/>
  <c r="Q113" i="59"/>
  <c r="O10" i="139"/>
  <c r="M8" i="59"/>
  <c r="M32" i="59" s="1"/>
  <c r="L196" i="1"/>
  <c r="M196" i="1" s="1"/>
  <c r="P10" i="128"/>
  <c r="N293" i="29"/>
  <c r="N299" i="29" s="1"/>
  <c r="L128" i="1"/>
  <c r="M128" i="1" s="1"/>
  <c r="L245" i="1"/>
  <c r="M245" i="1" s="1"/>
  <c r="O244" i="1"/>
  <c r="P244" i="1" s="1"/>
  <c r="U244" i="1" s="1"/>
  <c r="O229" i="1"/>
  <c r="P229" i="1" s="1"/>
  <c r="U229" i="1" s="1"/>
  <c r="U6" i="7"/>
  <c r="AG32" i="7"/>
  <c r="AG73" i="7" s="1"/>
  <c r="O149" i="1"/>
  <c r="Q6" i="7"/>
  <c r="O185" i="1"/>
  <c r="P185" i="1" s="1"/>
  <c r="U185" i="1" s="1"/>
  <c r="O214" i="1"/>
  <c r="E8" i="59"/>
  <c r="E32" i="59" s="1"/>
  <c r="G4" i="144"/>
  <c r="L236" i="1"/>
  <c r="M236" i="1" s="1"/>
  <c r="E52" i="7"/>
  <c r="K272" i="59"/>
  <c r="L254" i="1"/>
  <c r="M254" i="1" s="1"/>
  <c r="T56" i="7"/>
  <c r="T13" i="29"/>
  <c r="O86" i="1"/>
  <c r="P86" i="1" s="1"/>
  <c r="U86" i="1" s="1"/>
  <c r="O4" i="137"/>
  <c r="AD6" i="7"/>
  <c r="B160" i="59"/>
  <c r="D160" i="59" s="1"/>
  <c r="E160" i="59" s="1"/>
  <c r="F160" i="59" s="1"/>
  <c r="G160" i="59" s="1"/>
  <c r="H160" i="59" s="1"/>
  <c r="I160" i="59" s="1"/>
  <c r="J160" i="59" s="1"/>
  <c r="K160" i="59" s="1"/>
  <c r="L160" i="59" s="1"/>
  <c r="M160" i="59" s="1"/>
  <c r="N160" i="59" s="1"/>
  <c r="O160" i="59" s="1"/>
  <c r="P160" i="59" s="1"/>
  <c r="Q160" i="59" s="1"/>
  <c r="R160" i="59" s="1"/>
  <c r="S160" i="59" s="1"/>
  <c r="T160" i="59" s="1"/>
  <c r="U160" i="59" s="1"/>
  <c r="V160" i="59" s="1"/>
  <c r="W160" i="59" s="1"/>
  <c r="B163" i="29"/>
  <c r="D163" i="29" s="1"/>
  <c r="E163" i="29" s="1"/>
  <c r="F163" i="29" s="1"/>
  <c r="G163" i="29" s="1"/>
  <c r="H163" i="29" s="1"/>
  <c r="I163" i="29" s="1"/>
  <c r="J163" i="29" s="1"/>
  <c r="K163" i="29" s="1"/>
  <c r="L163" i="29" s="1"/>
  <c r="M163" i="29" s="1"/>
  <c r="N163" i="29" s="1"/>
  <c r="O163" i="29" s="1"/>
  <c r="P163" i="29" s="1"/>
  <c r="Q163" i="29" s="1"/>
  <c r="R163" i="29" s="1"/>
  <c r="S163" i="29" s="1"/>
  <c r="T163" i="29" s="1"/>
  <c r="U163" i="29" s="1"/>
  <c r="V163" i="29" s="1"/>
  <c r="W163" i="29" s="1"/>
  <c r="AJ15" i="7"/>
  <c r="R10" i="138"/>
  <c r="O186" i="1"/>
  <c r="T186" i="1" s="1"/>
  <c r="V10" i="139"/>
  <c r="J52" i="7"/>
  <c r="F8" i="29"/>
  <c r="F32" i="29" s="1"/>
  <c r="O238" i="1"/>
  <c r="P238" i="1" s="1"/>
  <c r="U238" i="1" s="1"/>
  <c r="R13" i="146"/>
  <c r="G234" i="59"/>
  <c r="Q4" i="139"/>
  <c r="S56" i="7"/>
  <c r="O68" i="1"/>
  <c r="P68" i="1" s="1"/>
  <c r="U68" i="1" s="1"/>
  <c r="L6" i="7"/>
  <c r="O21" i="1"/>
  <c r="P21" i="1" s="1"/>
  <c r="U21" i="1" s="1"/>
  <c r="M4" i="144"/>
  <c r="L30" i="1"/>
  <c r="M30" i="1" s="1"/>
  <c r="T293" i="59"/>
  <c r="T299" i="59" s="1"/>
  <c r="L277" i="1"/>
  <c r="M277" i="1" s="1"/>
  <c r="O204" i="1"/>
  <c r="P204" i="1" s="1"/>
  <c r="U204" i="1" s="1"/>
  <c r="I4" i="137"/>
  <c r="C236" i="59"/>
  <c r="S10" i="128"/>
  <c r="W56" i="7"/>
  <c r="J50" i="37"/>
  <c r="K50" i="37" s="1"/>
  <c r="D58" i="7"/>
  <c r="J31" i="37"/>
  <c r="K31" i="37" s="1"/>
  <c r="F80" i="29"/>
  <c r="O76" i="29"/>
  <c r="E85" i="59"/>
  <c r="O87" i="59"/>
  <c r="D76" i="29"/>
  <c r="N77" i="59"/>
  <c r="F78" i="59"/>
  <c r="G81" i="29"/>
  <c r="J84" i="59"/>
  <c r="N85" i="29"/>
  <c r="H82" i="59"/>
  <c r="O125" i="1"/>
  <c r="P125" i="1" s="1"/>
  <c r="U125" i="1" s="1"/>
  <c r="P80" i="29"/>
  <c r="W4" i="128"/>
  <c r="W17" i="128" s="1"/>
  <c r="P246" i="1"/>
  <c r="U246" i="1" s="1"/>
  <c r="O80" i="59"/>
  <c r="K81" i="29"/>
  <c r="F79" i="59"/>
  <c r="G82" i="59"/>
  <c r="P80" i="59"/>
  <c r="O196" i="1"/>
  <c r="P196" i="1" s="1"/>
  <c r="U196" i="1" s="1"/>
  <c r="L81" i="59"/>
  <c r="AD32" i="7"/>
  <c r="AD73" i="7" s="1"/>
  <c r="J44" i="37"/>
  <c r="Q77" i="29"/>
  <c r="I84" i="29"/>
  <c r="G77" i="59"/>
  <c r="F86" i="29"/>
  <c r="J82" i="29"/>
  <c r="M76" i="29"/>
  <c r="N80" i="29"/>
  <c r="N87" i="29"/>
  <c r="M77" i="29"/>
  <c r="N77" i="29"/>
  <c r="H82" i="29"/>
  <c r="J80" i="59"/>
  <c r="Q80" i="59"/>
  <c r="L164" i="1"/>
  <c r="M164" i="1" s="1"/>
  <c r="O40" i="1"/>
  <c r="P40" i="1" s="1"/>
  <c r="U40" i="1" s="1"/>
  <c r="I80" i="29"/>
  <c r="D76" i="59"/>
  <c r="F80" i="59"/>
  <c r="K80" i="59"/>
  <c r="D80" i="29"/>
  <c r="M85" i="29"/>
  <c r="L178" i="59"/>
  <c r="L203" i="59" s="1"/>
  <c r="G21" i="37"/>
  <c r="I21" i="37" s="1"/>
  <c r="F87" i="29"/>
  <c r="D85" i="29"/>
  <c r="D80" i="59"/>
  <c r="O85" i="59"/>
  <c r="H81" i="29"/>
  <c r="L80" i="59"/>
  <c r="L77" i="59"/>
  <c r="I77" i="59"/>
  <c r="C145" i="59"/>
  <c r="J77" i="29"/>
  <c r="D60" i="7"/>
  <c r="H77" i="59"/>
  <c r="I178" i="59"/>
  <c r="I203" i="59" s="1"/>
  <c r="K78" i="59"/>
  <c r="J57" i="37"/>
  <c r="K57" i="37" s="1"/>
  <c r="V221" i="29"/>
  <c r="L111" i="1"/>
  <c r="M111" i="1" s="1"/>
  <c r="E4" i="138"/>
  <c r="T10" i="138"/>
  <c r="L4" i="128"/>
  <c r="L17" i="128" s="1"/>
  <c r="V4" i="128"/>
  <c r="V17" i="128" s="1"/>
  <c r="N23" i="144"/>
  <c r="O36" i="1"/>
  <c r="P36" i="1" s="1"/>
  <c r="U36" i="1" s="1"/>
  <c r="J32" i="7"/>
  <c r="J73" i="7" s="1"/>
  <c r="O10" i="128"/>
  <c r="T13" i="59"/>
  <c r="O13" i="29"/>
  <c r="K8" i="29"/>
  <c r="K32" i="29" s="1"/>
  <c r="H293" i="29"/>
  <c r="H299" i="29" s="1"/>
  <c r="L36" i="1"/>
  <c r="M36" i="1" s="1"/>
  <c r="O272" i="59"/>
  <c r="H59" i="7"/>
  <c r="L255" i="1"/>
  <c r="M255" i="1" s="1"/>
  <c r="O171" i="1"/>
  <c r="T217" i="29"/>
  <c r="T4" i="128"/>
  <c r="T17" i="128" s="1"/>
  <c r="V4" i="139"/>
  <c r="O156" i="1"/>
  <c r="P156" i="1" s="1"/>
  <c r="U156" i="1" s="1"/>
  <c r="X6" i="7"/>
  <c r="R15" i="7"/>
  <c r="L140" i="1"/>
  <c r="M140" i="1" s="1"/>
  <c r="M10" i="139"/>
  <c r="L13" i="59"/>
  <c r="S32" i="7"/>
  <c r="S73" i="7" s="1"/>
  <c r="AA59" i="7"/>
  <c r="L242" i="1"/>
  <c r="M242" i="1" s="1"/>
  <c r="O176" i="1"/>
  <c r="P176" i="1" s="1"/>
  <c r="U176" i="1" s="1"/>
  <c r="L6" i="1"/>
  <c r="M6" i="1" s="1"/>
  <c r="J58" i="146"/>
  <c r="G76" i="29"/>
  <c r="F78" i="29"/>
  <c r="D77" i="59"/>
  <c r="G81" i="59"/>
  <c r="J83" i="29"/>
  <c r="O78" i="59"/>
  <c r="H81" i="59"/>
  <c r="J78" i="29"/>
  <c r="E81" i="59"/>
  <c r="L189" i="1"/>
  <c r="M189" i="1" s="1"/>
  <c r="O148" i="1"/>
  <c r="T148" i="1" s="1"/>
  <c r="I85" i="59"/>
  <c r="T180" i="59"/>
  <c r="L57" i="37"/>
  <c r="J21" i="37"/>
  <c r="K21" i="37" s="1"/>
  <c r="R76" i="29"/>
  <c r="H85" i="59"/>
  <c r="L76" i="59"/>
  <c r="D83" i="59"/>
  <c r="R221" i="29"/>
  <c r="F178" i="29"/>
  <c r="F203" i="29" s="1"/>
  <c r="O86" i="59"/>
  <c r="G83" i="59"/>
  <c r="R221" i="59"/>
  <c r="I217" i="29"/>
  <c r="M272" i="59"/>
  <c r="J4" i="144"/>
  <c r="W217" i="59"/>
  <c r="K15" i="7"/>
  <c r="G8" i="59"/>
  <c r="G32" i="59" s="1"/>
  <c r="N4" i="144"/>
  <c r="U56" i="7"/>
  <c r="N9" i="137"/>
  <c r="W4" i="137"/>
  <c r="M217" i="29"/>
  <c r="L276" i="1"/>
  <c r="M276" i="1" s="1"/>
  <c r="O255" i="1"/>
  <c r="P255" i="1" s="1"/>
  <c r="U255" i="1" s="1"/>
  <c r="P13" i="59"/>
  <c r="L154" i="1"/>
  <c r="M154" i="1" s="1"/>
  <c r="P8" i="29"/>
  <c r="P32" i="29" s="1"/>
  <c r="L4" i="144"/>
  <c r="N293" i="59"/>
  <c r="N299" i="59" s="1"/>
  <c r="AB52" i="7"/>
  <c r="O37" i="1"/>
  <c r="M217" i="59"/>
  <c r="L38" i="1"/>
  <c r="M38" i="1" s="1"/>
  <c r="P4" i="128"/>
  <c r="P17" i="128" s="1"/>
  <c r="L56" i="1"/>
  <c r="M56" i="1" s="1"/>
  <c r="F10" i="128"/>
  <c r="R13" i="29"/>
  <c r="AH59" i="7"/>
  <c r="L18" i="1"/>
  <c r="M18" i="1" s="1"/>
  <c r="O263" i="1"/>
  <c r="AC52" i="7"/>
  <c r="O157" i="1"/>
  <c r="O172" i="1"/>
  <c r="R83" i="29"/>
  <c r="J76" i="29"/>
  <c r="O81" i="29"/>
  <c r="O84" i="29"/>
  <c r="R81" i="29"/>
  <c r="P76" i="59"/>
  <c r="J85" i="29"/>
  <c r="P84" i="59"/>
  <c r="R85" i="59"/>
  <c r="H76" i="29"/>
  <c r="O58" i="1"/>
  <c r="P58" i="1" s="1"/>
  <c r="U58" i="1" s="1"/>
  <c r="AH6" i="7"/>
  <c r="O251" i="1"/>
  <c r="P251" i="1" s="1"/>
  <c r="U251" i="1" s="1"/>
  <c r="L85" i="59"/>
  <c r="S180" i="59"/>
  <c r="V177" i="59"/>
  <c r="N82" i="29"/>
  <c r="M81" i="29"/>
  <c r="M84" i="29"/>
  <c r="Q76" i="29"/>
  <c r="F84" i="29"/>
  <c r="J41" i="37"/>
  <c r="L64" i="1"/>
  <c r="M64" i="1" s="1"/>
  <c r="E4" i="144"/>
  <c r="J10" i="138"/>
  <c r="C234" i="29"/>
  <c r="L88" i="1"/>
  <c r="M88" i="1" s="1"/>
  <c r="K13" i="29"/>
  <c r="V180" i="29"/>
  <c r="E4" i="139"/>
  <c r="AG52" i="7"/>
  <c r="O122" i="1"/>
  <c r="T122" i="1" s="1"/>
  <c r="G52" i="7"/>
  <c r="V272" i="59"/>
  <c r="R13" i="59"/>
  <c r="T272" i="59"/>
  <c r="Q6" i="47"/>
  <c r="Q32" i="7"/>
  <c r="Q73" i="7" s="1"/>
  <c r="C144" i="59"/>
  <c r="P56" i="7"/>
  <c r="O78" i="1"/>
  <c r="T78" i="1" s="1"/>
  <c r="K52" i="7"/>
  <c r="N58" i="146"/>
  <c r="O188" i="1"/>
  <c r="P188" i="1" s="1"/>
  <c r="U188" i="1" s="1"/>
  <c r="V293" i="59"/>
  <c r="V299" i="59" s="1"/>
  <c r="G4" i="139"/>
  <c r="G13" i="59"/>
  <c r="Q4" i="138"/>
  <c r="E234" i="59"/>
  <c r="AC6" i="7"/>
  <c r="R10" i="139"/>
  <c r="H217" i="29"/>
  <c r="T13" i="146"/>
  <c r="L43" i="1"/>
  <c r="M43" i="1" s="1"/>
  <c r="L117" i="1"/>
  <c r="M117" i="1" s="1"/>
  <c r="O183" i="1"/>
  <c r="P183" i="1" s="1"/>
  <c r="U183" i="1" s="1"/>
  <c r="U10" i="138"/>
  <c r="L266" i="1"/>
  <c r="M266" i="1" s="1"/>
  <c r="Q23" i="144"/>
  <c r="J10" i="139"/>
  <c r="S272" i="29"/>
  <c r="L148" i="1"/>
  <c r="M148" i="1" s="1"/>
  <c r="S4" i="139"/>
  <c r="L19" i="38"/>
  <c r="F85" i="29"/>
  <c r="E84" i="59"/>
  <c r="R76" i="59"/>
  <c r="K84" i="59"/>
  <c r="J84" i="29"/>
  <c r="D84" i="29"/>
  <c r="N76" i="59"/>
  <c r="Q84" i="29"/>
  <c r="D77" i="29"/>
  <c r="O235" i="1"/>
  <c r="P235" i="1" s="1"/>
  <c r="U235" i="1" s="1"/>
  <c r="AE56" i="7"/>
  <c r="C163" i="59"/>
  <c r="AJ32" i="7"/>
  <c r="AJ73" i="7" s="1"/>
  <c r="F79" i="29"/>
  <c r="K86" i="29"/>
  <c r="K77" i="59"/>
  <c r="R80" i="29"/>
  <c r="N82" i="59"/>
  <c r="R77" i="29"/>
  <c r="G82" i="29"/>
  <c r="N177" i="59"/>
  <c r="R8" i="29"/>
  <c r="R32" i="29" s="1"/>
  <c r="E10" i="138"/>
  <c r="N217" i="29"/>
  <c r="O101" i="1"/>
  <c r="T101" i="1" s="1"/>
  <c r="O20" i="1"/>
  <c r="P20" i="1" s="1"/>
  <c r="U20" i="1" s="1"/>
  <c r="O215" i="1"/>
  <c r="P215" i="1" s="1"/>
  <c r="U215" i="1" s="1"/>
  <c r="O222" i="1"/>
  <c r="AF52" i="7"/>
  <c r="L272" i="59"/>
  <c r="G113" i="29"/>
  <c r="O278" i="1"/>
  <c r="T278" i="1" s="1"/>
  <c r="R4" i="144"/>
  <c r="H10" i="128"/>
  <c r="I23" i="144"/>
  <c r="O49" i="1"/>
  <c r="L207" i="1"/>
  <c r="M207" i="1" s="1"/>
  <c r="V48" i="146"/>
  <c r="AI52" i="7"/>
  <c r="O9" i="137"/>
  <c r="L138" i="1"/>
  <c r="M138" i="1" s="1"/>
  <c r="S4" i="146"/>
  <c r="O115" i="1"/>
  <c r="L22" i="1"/>
  <c r="M22" i="1" s="1"/>
  <c r="F10" i="139"/>
  <c r="J10" i="128"/>
  <c r="K6" i="7"/>
  <c r="L132" i="1"/>
  <c r="M132" i="1" s="1"/>
  <c r="Q85" i="29"/>
  <c r="K85" i="59"/>
  <c r="O85" i="29"/>
  <c r="K80" i="29"/>
  <c r="I84" i="59"/>
  <c r="I76" i="29"/>
  <c r="M80" i="29"/>
  <c r="M81" i="59"/>
  <c r="E80" i="29"/>
  <c r="L280" i="1"/>
  <c r="M280" i="1" s="1"/>
  <c r="R4" i="137"/>
  <c r="L234" i="1"/>
  <c r="M234" i="1" s="1"/>
  <c r="R77" i="59"/>
  <c r="L84" i="59"/>
  <c r="E83" i="59"/>
  <c r="E83" i="29"/>
  <c r="E82" i="29"/>
  <c r="C136" i="59"/>
  <c r="L262" i="1"/>
  <c r="M262" i="1" s="1"/>
  <c r="Q4" i="128"/>
  <c r="Q17" i="128" s="1"/>
  <c r="P234" i="29"/>
  <c r="Q52" i="7"/>
  <c r="O74" i="1"/>
  <c r="T74" i="1" s="1"/>
  <c r="M15" i="7"/>
  <c r="U4" i="146"/>
  <c r="G83" i="29"/>
  <c r="W180" i="59"/>
  <c r="H4" i="128"/>
  <c r="H17" i="128" s="1"/>
  <c r="L93" i="1"/>
  <c r="M93" i="1" s="1"/>
  <c r="L234" i="59"/>
  <c r="R293" i="59"/>
  <c r="R299" i="59" s="1"/>
  <c r="C144" i="29"/>
  <c r="L59" i="7"/>
  <c r="I293" i="29"/>
  <c r="I299" i="29" s="1"/>
  <c r="G10" i="138"/>
  <c r="O198" i="1"/>
  <c r="P198" i="1" s="1"/>
  <c r="U198" i="1" s="1"/>
  <c r="N10" i="138"/>
  <c r="AB6" i="7"/>
  <c r="L66" i="1"/>
  <c r="M66" i="1" s="1"/>
  <c r="I10" i="139"/>
  <c r="T8" i="59"/>
  <c r="T32" i="59" s="1"/>
  <c r="F4" i="128"/>
  <c r="F17" i="128" s="1"/>
  <c r="Y56" i="7"/>
  <c r="L247" i="1"/>
  <c r="M247" i="1" s="1"/>
  <c r="T234" i="29"/>
  <c r="F6" i="47"/>
  <c r="L238" i="1"/>
  <c r="M238" i="1" s="1"/>
  <c r="L268" i="1"/>
  <c r="M268" i="1" s="1"/>
  <c r="O85" i="1"/>
  <c r="P85" i="1" s="1"/>
  <c r="U85" i="1" s="1"/>
  <c r="O98" i="1"/>
  <c r="P98" i="1" s="1"/>
  <c r="U98" i="1" s="1"/>
  <c r="O26" i="1"/>
  <c r="P26" i="1" s="1"/>
  <c r="U26" i="1" s="1"/>
  <c r="D6" i="47"/>
  <c r="O88" i="1"/>
  <c r="O59" i="1"/>
  <c r="T59" i="1" s="1"/>
  <c r="L120" i="1"/>
  <c r="M120" i="1" s="1"/>
  <c r="D13" i="146"/>
  <c r="R234" i="29"/>
  <c r="U113" i="29"/>
  <c r="W4" i="138"/>
  <c r="N59" i="7"/>
  <c r="M32" i="7"/>
  <c r="M73" i="7" s="1"/>
  <c r="H84" i="59"/>
  <c r="O80" i="29"/>
  <c r="L80" i="29"/>
  <c r="N81" i="29"/>
  <c r="R80" i="59"/>
  <c r="I85" i="29"/>
  <c r="R81" i="59"/>
  <c r="D85" i="59"/>
  <c r="O28" i="1"/>
  <c r="T28" i="1" s="1"/>
  <c r="W293" i="59"/>
  <c r="W299" i="59" s="1"/>
  <c r="H83" i="29"/>
  <c r="R83" i="59"/>
  <c r="J56" i="37"/>
  <c r="K56" i="37" s="1"/>
  <c r="G18" i="37"/>
  <c r="I18" i="37" s="1"/>
  <c r="E82" i="59"/>
  <c r="L14" i="37"/>
  <c r="I78" i="59"/>
  <c r="Q82" i="29"/>
  <c r="D87" i="59"/>
  <c r="J87" i="59"/>
  <c r="N83" i="59"/>
  <c r="L86" i="59"/>
  <c r="R87" i="59"/>
  <c r="L79" i="29"/>
  <c r="G86" i="29"/>
  <c r="M86" i="59"/>
  <c r="N87" i="59"/>
  <c r="B177" i="29"/>
  <c r="Q79" i="29"/>
  <c r="O79" i="29"/>
  <c r="H178" i="29"/>
  <c r="H203" i="29" s="1"/>
  <c r="N180" i="59"/>
  <c r="S177" i="29"/>
  <c r="H178" i="59"/>
  <c r="H203" i="59" s="1"/>
  <c r="U177" i="59"/>
  <c r="J22" i="37"/>
  <c r="K22" i="37" s="1"/>
  <c r="D86" i="59"/>
  <c r="N177" i="29"/>
  <c r="P76" i="1"/>
  <c r="U76" i="1" s="1"/>
  <c r="T180" i="29"/>
  <c r="V177" i="29"/>
  <c r="M178" i="59"/>
  <c r="M203" i="59" s="1"/>
  <c r="G178" i="59"/>
  <c r="G203" i="59" s="1"/>
  <c r="G41" i="37"/>
  <c r="I41" i="37" s="1"/>
  <c r="W180" i="29"/>
  <c r="S180" i="29"/>
  <c r="P180" i="29"/>
  <c r="O221" i="29"/>
  <c r="G22" i="37"/>
  <c r="I22" i="37" s="1"/>
  <c r="M178" i="29"/>
  <c r="M203" i="29" s="1"/>
  <c r="G178" i="29"/>
  <c r="G203" i="29" s="1"/>
  <c r="B95" i="59"/>
  <c r="O177" i="29"/>
  <c r="C19" i="144" a="1"/>
  <c r="C19" i="144" s="1"/>
  <c r="L178" i="29"/>
  <c r="L203" i="29" s="1"/>
  <c r="E178" i="29"/>
  <c r="E203" i="29" s="1"/>
  <c r="K178" i="29"/>
  <c r="K203" i="29" s="1"/>
  <c r="E178" i="59"/>
  <c r="E203" i="59" s="1"/>
  <c r="S177" i="59"/>
  <c r="U180" i="59"/>
  <c r="Q177" i="29"/>
  <c r="L50" i="37"/>
  <c r="U177" i="29"/>
  <c r="J86" i="29"/>
  <c r="F221" i="59"/>
  <c r="J79" i="59"/>
  <c r="F178" i="59"/>
  <c r="F203" i="59" s="1"/>
  <c r="Q83" i="29"/>
  <c r="B95" i="29"/>
  <c r="J178" i="59"/>
  <c r="J203" i="59" s="1"/>
  <c r="D178" i="59"/>
  <c r="D203" i="59" s="1"/>
  <c r="T177" i="29"/>
  <c r="P177" i="59"/>
  <c r="Q180" i="29"/>
  <c r="R177" i="59"/>
  <c r="N86" i="29"/>
  <c r="J46" i="37"/>
  <c r="K46" i="37" s="1"/>
  <c r="H221" i="59"/>
  <c r="L31" i="37"/>
  <c r="W177" i="59"/>
  <c r="K178" i="59"/>
  <c r="K203" i="59" s="1"/>
  <c r="R180" i="29"/>
  <c r="J178" i="29"/>
  <c r="J203" i="29" s="1"/>
  <c r="D178" i="29"/>
  <c r="D203" i="29" s="1"/>
  <c r="O177" i="59"/>
  <c r="P180" i="59"/>
  <c r="W177" i="29"/>
  <c r="U180" i="29"/>
  <c r="P177" i="29"/>
  <c r="G46" i="37"/>
  <c r="I46" i="37" s="1"/>
  <c r="F82" i="29"/>
  <c r="I87" i="29"/>
  <c r="T177" i="59"/>
  <c r="O180" i="29"/>
  <c r="I178" i="29"/>
  <c r="I203" i="29" s="1"/>
  <c r="Q180" i="59"/>
  <c r="N180" i="29"/>
  <c r="V180" i="59"/>
  <c r="J18" i="37"/>
  <c r="K18" i="37" s="1"/>
  <c r="G33" i="37"/>
  <c r="I33" i="37" s="1"/>
  <c r="D78" i="59"/>
  <c r="M87" i="29"/>
  <c r="G56" i="37"/>
  <c r="I56" i="37" s="1"/>
  <c r="L16" i="37"/>
  <c r="M87" i="59"/>
  <c r="T145" i="1"/>
  <c r="G14" i="37"/>
  <c r="I14" i="37" s="1"/>
  <c r="G16" i="37"/>
  <c r="I16" i="37" s="1"/>
  <c r="M86" i="29"/>
  <c r="I86" i="29"/>
  <c r="J33" i="37"/>
  <c r="K33" i="37" s="1"/>
  <c r="J30" i="37"/>
  <c r="K30" i="37" s="1"/>
  <c r="L86" i="29"/>
  <c r="J34" i="37"/>
  <c r="K34" i="37" s="1"/>
  <c r="I87" i="59"/>
  <c r="G87" i="59"/>
  <c r="G87" i="29"/>
  <c r="D53" i="7"/>
  <c r="L87" i="29"/>
  <c r="R86" i="59"/>
  <c r="E79" i="29"/>
  <c r="D57" i="7"/>
  <c r="G24" i="37"/>
  <c r="I24" i="37" s="1"/>
  <c r="L52" i="37"/>
  <c r="G34" i="37"/>
  <c r="I34" i="37" s="1"/>
  <c r="G26" i="37"/>
  <c r="I26" i="37" s="1"/>
  <c r="P134" i="1"/>
  <c r="U134" i="1" s="1"/>
  <c r="D221" i="29"/>
  <c r="L24" i="37"/>
  <c r="G52" i="37"/>
  <c r="I52" i="37" s="1"/>
  <c r="J78" i="59"/>
  <c r="L30" i="37"/>
  <c r="J79" i="29"/>
  <c r="B137" i="59"/>
  <c r="M221" i="59"/>
  <c r="S221" i="59"/>
  <c r="T221" i="59"/>
  <c r="P221" i="59"/>
  <c r="Q221" i="59"/>
  <c r="J221" i="29"/>
  <c r="S221" i="29"/>
  <c r="U221" i="29"/>
  <c r="U221" i="59"/>
  <c r="T221" i="29"/>
  <c r="W221" i="29"/>
  <c r="M221" i="29"/>
  <c r="L221" i="59"/>
  <c r="N221" i="29"/>
  <c r="K221" i="59"/>
  <c r="B27" i="29"/>
  <c r="B27" i="59"/>
  <c r="B228" i="29"/>
  <c r="B206" i="29"/>
  <c r="B206" i="59"/>
  <c r="B228" i="59"/>
  <c r="G79" i="29"/>
  <c r="G78" i="59"/>
  <c r="L78" i="59"/>
  <c r="L78" i="29"/>
  <c r="L25" i="37"/>
  <c r="G25" i="37"/>
  <c r="I25" i="37" s="1"/>
  <c r="C193" i="29"/>
  <c r="C196" i="29" s="1"/>
  <c r="C193" i="59"/>
  <c r="C196" i="59" s="1"/>
  <c r="K87" i="59"/>
  <c r="K86" i="59"/>
  <c r="P83" i="29"/>
  <c r="P82" i="29"/>
  <c r="G39" i="37"/>
  <c r="I39" i="37" s="1"/>
  <c r="L39" i="37"/>
  <c r="J42" i="37"/>
  <c r="K42" i="37" s="1"/>
  <c r="G42" i="37"/>
  <c r="I42" i="37" s="1"/>
  <c r="L42" i="37"/>
  <c r="L54" i="37"/>
  <c r="G54" i="37"/>
  <c r="I54" i="37" s="1"/>
  <c r="J54" i="37"/>
  <c r="K54" i="37" s="1"/>
  <c r="D61" i="7"/>
  <c r="D54" i="7"/>
  <c r="L82" i="29"/>
  <c r="L82" i="59"/>
  <c r="L83" i="29"/>
  <c r="P86" i="29"/>
  <c r="P86" i="59"/>
  <c r="P87" i="59"/>
  <c r="P87" i="29"/>
  <c r="C137" i="29"/>
  <c r="C137" i="59"/>
  <c r="I79" i="59"/>
  <c r="I78" i="29"/>
  <c r="I79" i="29"/>
  <c r="G45" i="37"/>
  <c r="I45" i="37" s="1"/>
  <c r="L45" i="37"/>
  <c r="J45" i="37"/>
  <c r="K45" i="37" s="1"/>
  <c r="J53" i="37"/>
  <c r="K53" i="37" s="1"/>
  <c r="L53" i="37"/>
  <c r="G53" i="37"/>
  <c r="I53" i="37" s="1"/>
  <c r="H87" i="29"/>
  <c r="H87" i="59"/>
  <c r="H86" i="29"/>
  <c r="H86" i="59"/>
  <c r="L152" i="1"/>
  <c r="M152" i="1" s="1"/>
  <c r="R48" i="146"/>
  <c r="P4" i="146"/>
  <c r="O95" i="1"/>
  <c r="T95" i="1" s="1"/>
  <c r="O123" i="1"/>
  <c r="L231" i="1"/>
  <c r="M231" i="1" s="1"/>
  <c r="L119" i="1"/>
  <c r="M119" i="1" s="1"/>
  <c r="O79" i="1"/>
  <c r="F4" i="138"/>
  <c r="P9" i="137"/>
  <c r="K4" i="146"/>
  <c r="T48" i="146"/>
  <c r="K234" i="59"/>
  <c r="L77" i="1"/>
  <c r="M77" i="1" s="1"/>
  <c r="O13" i="1"/>
  <c r="N6" i="47"/>
  <c r="M234" i="29"/>
  <c r="S10" i="138"/>
  <c r="K9" i="137"/>
  <c r="O164" i="1"/>
  <c r="O84" i="1"/>
  <c r="H9" i="137"/>
  <c r="G293" i="29"/>
  <c r="G299" i="29" s="1"/>
  <c r="D113" i="29"/>
  <c r="F58" i="146"/>
  <c r="O42" i="1"/>
  <c r="P42" i="1" s="1"/>
  <c r="U42" i="1" s="1"/>
  <c r="F13" i="146"/>
  <c r="AD59" i="7"/>
  <c r="O72" i="1"/>
  <c r="L170" i="1"/>
  <c r="M170" i="1" s="1"/>
  <c r="J4" i="128"/>
  <c r="J17" i="128" s="1"/>
  <c r="O16" i="1"/>
  <c r="O201" i="1"/>
  <c r="L46" i="1"/>
  <c r="M46" i="1" s="1"/>
  <c r="K293" i="59"/>
  <c r="K299" i="59" s="1"/>
  <c r="L56" i="7"/>
  <c r="O280" i="1"/>
  <c r="L106" i="1"/>
  <c r="M106" i="1" s="1"/>
  <c r="F113" i="59"/>
  <c r="U52" i="7"/>
  <c r="Q8" i="59"/>
  <c r="Q32" i="59" s="1"/>
  <c r="O160" i="1"/>
  <c r="L72" i="1"/>
  <c r="M72" i="1" s="1"/>
  <c r="L104" i="1"/>
  <c r="M104" i="1" s="1"/>
  <c r="L67" i="1"/>
  <c r="M67" i="1" s="1"/>
  <c r="L171" i="1"/>
  <c r="M171" i="1" s="1"/>
  <c r="C272" i="29"/>
  <c r="L61" i="1"/>
  <c r="M61" i="1" s="1"/>
  <c r="U272" i="59"/>
  <c r="U8" i="59"/>
  <c r="U32" i="59" s="1"/>
  <c r="L200" i="1"/>
  <c r="M200" i="1" s="1"/>
  <c r="L194" i="1"/>
  <c r="M194" i="1" s="1"/>
  <c r="L160" i="1"/>
  <c r="M160" i="1" s="1"/>
  <c r="T15" i="7"/>
  <c r="I48" i="146"/>
  <c r="G4" i="137"/>
  <c r="O65" i="1"/>
  <c r="T65" i="1" s="1"/>
  <c r="O43" i="1"/>
  <c r="L102" i="1"/>
  <c r="M102" i="1" s="1"/>
  <c r="O30" i="1"/>
  <c r="T30" i="1" s="1"/>
  <c r="D4" i="137"/>
  <c r="O192" i="1"/>
  <c r="L182" i="1"/>
  <c r="M182" i="1" s="1"/>
  <c r="J4" i="137"/>
  <c r="W8" i="29"/>
  <c r="W32" i="29" s="1"/>
  <c r="O32" i="7"/>
  <c r="O73" i="7" s="1"/>
  <c r="AI59" i="7"/>
  <c r="M6" i="7"/>
  <c r="R272" i="29"/>
  <c r="L197" i="1"/>
  <c r="M197" i="1" s="1"/>
  <c r="D48" i="146"/>
  <c r="AF15" i="7"/>
  <c r="K234" i="29"/>
  <c r="Z6" i="7"/>
  <c r="F10" i="138"/>
  <c r="L229" i="1"/>
  <c r="M229" i="1" s="1"/>
  <c r="N56" i="7"/>
  <c r="C272" i="59"/>
  <c r="K23" i="144"/>
  <c r="O50" i="1"/>
  <c r="W6" i="7"/>
  <c r="F13" i="59"/>
  <c r="O252" i="1"/>
  <c r="P252" i="1" s="1"/>
  <c r="U252" i="1" s="1"/>
  <c r="L216" i="1"/>
  <c r="M216" i="1" s="1"/>
  <c r="O41" i="1"/>
  <c r="I113" i="59"/>
  <c r="K10" i="128"/>
  <c r="F293" i="29"/>
  <c r="F299" i="29" s="1"/>
  <c r="O10" i="138"/>
  <c r="L4" i="137"/>
  <c r="L114" i="1"/>
  <c r="M114" i="1" s="1"/>
  <c r="AD52" i="7"/>
  <c r="L275" i="1"/>
  <c r="M275" i="1" s="1"/>
  <c r="O274" i="1"/>
  <c r="G32" i="7"/>
  <c r="G73" i="7" s="1"/>
  <c r="O77" i="1"/>
  <c r="T77" i="1" s="1"/>
  <c r="L230" i="1"/>
  <c r="M230" i="1" s="1"/>
  <c r="D4" i="139"/>
  <c r="W13" i="29"/>
  <c r="J293" i="29"/>
  <c r="J299" i="29" s="1"/>
  <c r="S48" i="146"/>
  <c r="M234" i="59"/>
  <c r="O253" i="1"/>
  <c r="L52" i="7"/>
  <c r="L176" i="1"/>
  <c r="M176" i="1" s="1"/>
  <c r="R4" i="139"/>
  <c r="L58" i="1"/>
  <c r="M58" i="1" s="1"/>
  <c r="AB32" i="7"/>
  <c r="AB73" i="7" s="1"/>
  <c r="U48" i="146"/>
  <c r="F4" i="144"/>
  <c r="Q56" i="7"/>
  <c r="H13" i="59"/>
  <c r="L188" i="1"/>
  <c r="M188" i="1" s="1"/>
  <c r="AI15" i="7"/>
  <c r="Q13" i="146"/>
  <c r="L8" i="59"/>
  <c r="L32" i="59" s="1"/>
  <c r="D51" i="125"/>
  <c r="E51" i="125" s="1"/>
  <c r="F51" i="125" s="1"/>
  <c r="G51" i="125" s="1"/>
  <c r="H51" i="125" s="1"/>
  <c r="I51" i="125" s="1"/>
  <c r="J51" i="125" s="1"/>
  <c r="K51" i="125" s="1"/>
  <c r="L51" i="125" s="1"/>
  <c r="M51" i="125" s="1"/>
  <c r="N51" i="125" s="1"/>
  <c r="L7" i="1"/>
  <c r="M7" i="1" s="1"/>
  <c r="D10" i="138"/>
  <c r="H10" i="139"/>
  <c r="S10" i="139"/>
  <c r="L69" i="1"/>
  <c r="M69" i="1" s="1"/>
  <c r="V32" i="7"/>
  <c r="V73" i="7" s="1"/>
  <c r="E58" i="146"/>
  <c r="N15" i="7"/>
  <c r="E32" i="7"/>
  <c r="E73" i="7" s="1"/>
  <c r="AE32" i="7"/>
  <c r="AE73" i="7" s="1"/>
  <c r="L13" i="1"/>
  <c r="M13" i="1" s="1"/>
  <c r="P4" i="137"/>
  <c r="U32" i="7"/>
  <c r="U73" i="7" s="1"/>
  <c r="O67" i="1"/>
  <c r="L9" i="137"/>
  <c r="B145" i="29"/>
  <c r="D145" i="29" s="1"/>
  <c r="L252" i="1"/>
  <c r="M252" i="1" s="1"/>
  <c r="H4" i="146"/>
  <c r="L151" i="1"/>
  <c r="M151" i="1" s="1"/>
  <c r="L32" i="7"/>
  <c r="L73" i="7" s="1"/>
  <c r="E23" i="144"/>
  <c r="L263" i="1"/>
  <c r="M263" i="1" s="1"/>
  <c r="E221" i="29"/>
  <c r="E221" i="59"/>
  <c r="O221" i="59"/>
  <c r="N221" i="59"/>
  <c r="P221" i="29"/>
  <c r="Q221" i="29"/>
  <c r="V221" i="59"/>
  <c r="L12" i="37"/>
  <c r="G12" i="37"/>
  <c r="I12" i="37" s="1"/>
  <c r="B160" i="29"/>
  <c r="B145" i="59"/>
  <c r="B137" i="29"/>
  <c r="I217" i="59"/>
  <c r="AH56" i="7"/>
  <c r="L257" i="1"/>
  <c r="M257" i="1" s="1"/>
  <c r="G4" i="138"/>
  <c r="E4" i="128"/>
  <c r="E17" i="128" s="1"/>
  <c r="G56" i="7"/>
  <c r="L273" i="1"/>
  <c r="M273" i="1" s="1"/>
  <c r="L12" i="1"/>
  <c r="M12" i="1" s="1"/>
  <c r="G293" i="59"/>
  <c r="G299" i="59" s="1"/>
  <c r="L187" i="1"/>
  <c r="M187" i="1" s="1"/>
  <c r="P272" i="59"/>
  <c r="AJ52" i="7"/>
  <c r="Q272" i="29"/>
  <c r="J8" i="59"/>
  <c r="J32" i="59" s="1"/>
  <c r="D167" i="29"/>
  <c r="O102" i="1"/>
  <c r="T102" i="1" s="1"/>
  <c r="L190" i="1"/>
  <c r="M190" i="1" s="1"/>
  <c r="L281" i="1"/>
  <c r="M281" i="1" s="1"/>
  <c r="G59" i="7"/>
  <c r="K8" i="59"/>
  <c r="K32" i="59" s="1"/>
  <c r="J272" i="59"/>
  <c r="V217" i="59"/>
  <c r="L161" i="1"/>
  <c r="M161" i="1" s="1"/>
  <c r="L166" i="1"/>
  <c r="M166" i="1" s="1"/>
  <c r="G9" i="137"/>
  <c r="W10" i="138"/>
  <c r="L208" i="1"/>
  <c r="M208" i="1" s="1"/>
  <c r="F9" i="137"/>
  <c r="AJ59" i="7"/>
  <c r="R177" i="29"/>
  <c r="Q177" i="59"/>
  <c r="O180" i="59"/>
  <c r="I80" i="59"/>
  <c r="I81" i="59"/>
  <c r="M76" i="59"/>
  <c r="N81" i="59"/>
  <c r="Q81" i="59"/>
  <c r="R87" i="29"/>
  <c r="H77" i="29"/>
  <c r="G80" i="29"/>
  <c r="F77" i="59"/>
  <c r="G77" i="29"/>
  <c r="O87" i="29"/>
  <c r="J85" i="59"/>
  <c r="H76" i="59"/>
  <c r="M84" i="59"/>
  <c r="D87" i="29"/>
  <c r="J82" i="59"/>
  <c r="J81" i="29"/>
  <c r="P85" i="29"/>
  <c r="O81" i="59"/>
  <c r="E78" i="29"/>
  <c r="H84" i="29"/>
  <c r="O84" i="59"/>
  <c r="Q80" i="29"/>
  <c r="M79" i="29"/>
  <c r="I86" i="59"/>
  <c r="I77" i="29"/>
  <c r="G78" i="29"/>
  <c r="L76" i="29"/>
  <c r="Q82" i="59"/>
  <c r="F84" i="59"/>
  <c r="D81" i="29"/>
  <c r="P78" i="59"/>
  <c r="N83" i="29"/>
  <c r="P85" i="59"/>
  <c r="P83" i="59"/>
  <c r="E76" i="59"/>
  <c r="G86" i="59"/>
  <c r="L83" i="59"/>
  <c r="P76" i="29"/>
  <c r="G79" i="59"/>
  <c r="O77" i="59"/>
  <c r="Q83" i="59"/>
  <c r="N84" i="29"/>
  <c r="L85" i="29"/>
  <c r="J76" i="59"/>
  <c r="D81" i="59"/>
  <c r="K85" i="29"/>
  <c r="G85" i="29"/>
  <c r="N85" i="59"/>
  <c r="K76" i="59"/>
  <c r="M79" i="59"/>
  <c r="H85" i="29"/>
  <c r="E77" i="59"/>
  <c r="F81" i="59"/>
  <c r="E85" i="29"/>
  <c r="M78" i="29"/>
  <c r="Q85" i="59"/>
  <c r="F76" i="59"/>
  <c r="M77" i="59"/>
  <c r="E77" i="29"/>
  <c r="J86" i="59"/>
  <c r="I81" i="29"/>
  <c r="G84" i="29"/>
  <c r="Q87" i="29"/>
  <c r="N86" i="59"/>
  <c r="R82" i="59"/>
  <c r="J81" i="59"/>
  <c r="M85" i="59"/>
  <c r="K81" i="59"/>
  <c r="P82" i="59"/>
  <c r="D84" i="59"/>
  <c r="P77" i="59"/>
  <c r="L79" i="59"/>
  <c r="F87" i="59"/>
  <c r="Q84" i="59"/>
  <c r="J87" i="29"/>
  <c r="P81" i="59"/>
  <c r="N84" i="59"/>
  <c r="J77" i="59"/>
  <c r="Q77" i="59"/>
  <c r="M78" i="59"/>
  <c r="E84" i="29"/>
  <c r="I76" i="59"/>
  <c r="M80" i="59"/>
  <c r="L77" i="29"/>
  <c r="Q86" i="29"/>
  <c r="F86" i="59"/>
  <c r="K76" i="29"/>
  <c r="Q81" i="29"/>
  <c r="F76" i="29"/>
  <c r="Q87" i="59"/>
  <c r="F77" i="29"/>
  <c r="G80" i="59"/>
  <c r="L87" i="59"/>
  <c r="P77" i="29"/>
  <c r="K84" i="29"/>
  <c r="E81" i="29"/>
  <c r="J80" i="29"/>
  <c r="N78" i="29"/>
  <c r="Q79" i="59"/>
  <c r="K78" i="29"/>
  <c r="K79" i="59"/>
  <c r="G221" i="29"/>
  <c r="G221" i="59"/>
  <c r="O51" i="1"/>
  <c r="V217" i="29"/>
  <c r="Q9" i="137"/>
  <c r="O13" i="146"/>
  <c r="L15" i="7"/>
  <c r="S234" i="29"/>
  <c r="D13" i="59"/>
  <c r="D10" i="128"/>
  <c r="L34" i="1"/>
  <c r="M34" i="1" s="1"/>
  <c r="L95" i="1"/>
  <c r="M95" i="1" s="1"/>
  <c r="O34" i="1"/>
  <c r="O56" i="1"/>
  <c r="C159" i="29"/>
  <c r="O243" i="1"/>
  <c r="P243" i="1" s="1"/>
  <c r="U243" i="1" s="1"/>
  <c r="U10" i="139"/>
  <c r="P23" i="144"/>
  <c r="O29" i="1"/>
  <c r="L28" i="1"/>
  <c r="M28" i="1" s="1"/>
  <c r="L253" i="1"/>
  <c r="M253" i="1" s="1"/>
  <c r="L55" i="1"/>
  <c r="M55" i="1" s="1"/>
  <c r="L272" i="1"/>
  <c r="M272" i="1" s="1"/>
  <c r="O197" i="1"/>
  <c r="L127" i="1"/>
  <c r="M127" i="1" s="1"/>
  <c r="O184" i="1"/>
  <c r="J4" i="138"/>
  <c r="O14" i="1"/>
  <c r="L214" i="1"/>
  <c r="M214" i="1" s="1"/>
  <c r="O60" i="1"/>
  <c r="L48" i="146"/>
  <c r="AG59" i="7"/>
  <c r="AC15" i="7"/>
  <c r="U234" i="29"/>
  <c r="AG15" i="7"/>
  <c r="P59" i="7"/>
  <c r="V52" i="7"/>
  <c r="O8" i="1"/>
  <c r="O162" i="1"/>
  <c r="O6" i="1"/>
  <c r="E272" i="59"/>
  <c r="P293" i="29"/>
  <c r="P299" i="29" s="1"/>
  <c r="H10" i="138"/>
  <c r="L204" i="1"/>
  <c r="M204" i="1" s="1"/>
  <c r="L144" i="1"/>
  <c r="M144" i="1" s="1"/>
  <c r="O258" i="1"/>
  <c r="T258" i="1" s="1"/>
  <c r="O64" i="1"/>
  <c r="P64" i="1" s="1"/>
  <c r="U64" i="1" s="1"/>
  <c r="V58" i="146"/>
  <c r="L165" i="1"/>
  <c r="M165" i="1" s="1"/>
  <c r="G15" i="37"/>
  <c r="I15" i="37" s="1"/>
  <c r="L15" i="37"/>
  <c r="J15" i="37"/>
  <c r="K15" i="37" s="1"/>
  <c r="L20" i="37"/>
  <c r="O79" i="59"/>
  <c r="C38" i="144" a="1"/>
  <c r="C38" i="144" s="1"/>
  <c r="Q78" i="59"/>
  <c r="J83" i="59"/>
  <c r="R78" i="29"/>
  <c r="B32" i="30" a="1"/>
  <c r="B32" i="30" s="1"/>
  <c r="C117" i="59" s="1"/>
  <c r="B168" i="30" a="1"/>
  <c r="B168" i="30" s="1"/>
  <c r="T276" i="1"/>
  <c r="P276" i="1"/>
  <c r="U276" i="1" s="1"/>
  <c r="C152" i="59"/>
  <c r="H152" i="59" s="1"/>
  <c r="C152" i="29"/>
  <c r="R152" i="29" s="1"/>
  <c r="A47" i="7"/>
  <c r="A2" i="144"/>
  <c r="B6" i="59"/>
  <c r="B6" i="29"/>
  <c r="B225" i="29"/>
  <c r="B225" i="59"/>
  <c r="L11" i="38"/>
  <c r="G29" i="37"/>
  <c r="I29" i="37" s="1"/>
  <c r="J29" i="37"/>
  <c r="C245" i="29"/>
  <c r="C245" i="59"/>
  <c r="B94" i="59"/>
  <c r="B94" i="29"/>
  <c r="I82" i="29"/>
  <c r="I83" i="59"/>
  <c r="I83" i="29"/>
  <c r="I82" i="59"/>
  <c r="C243" i="59"/>
  <c r="C243" i="29"/>
  <c r="E86" i="29"/>
  <c r="E87" i="29"/>
  <c r="E87" i="59"/>
  <c r="E86" i="59"/>
  <c r="C174" i="59"/>
  <c r="C174" i="29"/>
  <c r="O83" i="59"/>
  <c r="O82" i="59"/>
  <c r="O83" i="29"/>
  <c r="O82" i="29"/>
  <c r="F83" i="29"/>
  <c r="D79" i="29"/>
  <c r="D78" i="29"/>
  <c r="J19" i="37"/>
  <c r="K19" i="37" s="1"/>
  <c r="L19" i="37"/>
  <c r="L51" i="37"/>
  <c r="L27" i="37"/>
  <c r="G51" i="37"/>
  <c r="I51" i="37" s="1"/>
  <c r="O78" i="29"/>
  <c r="R79" i="29"/>
  <c r="H83" i="59"/>
  <c r="F82" i="59"/>
  <c r="F83" i="59"/>
  <c r="I221" i="59"/>
  <c r="D79" i="59"/>
  <c r="B219" i="29"/>
  <c r="R78" i="59"/>
  <c r="R79" i="59"/>
  <c r="B202" i="29"/>
  <c r="Q86" i="59"/>
  <c r="L20" i="38"/>
  <c r="G47" i="37"/>
  <c r="I47" i="37" s="1"/>
  <c r="J47" i="37"/>
  <c r="D82" i="59"/>
  <c r="D82" i="29"/>
  <c r="D83" i="29"/>
  <c r="H79" i="59"/>
  <c r="H78" i="59"/>
  <c r="H79" i="29"/>
  <c r="E142" i="29"/>
  <c r="E143" i="29" s="1"/>
  <c r="K82" i="29"/>
  <c r="K83" i="29"/>
  <c r="K83" i="59"/>
  <c r="K82" i="59"/>
  <c r="I142" i="29"/>
  <c r="I143" i="29" s="1"/>
  <c r="K142" i="29"/>
  <c r="K143" i="29" s="1"/>
  <c r="G142" i="29"/>
  <c r="G143" i="29" s="1"/>
  <c r="P142" i="29"/>
  <c r="P143" i="29" s="1"/>
  <c r="L142" i="29"/>
  <c r="L143" i="29" s="1"/>
  <c r="D142" i="29"/>
  <c r="D143" i="29" s="1"/>
  <c r="V142" i="29"/>
  <c r="V143" i="29" s="1"/>
  <c r="O142" i="29"/>
  <c r="O143" i="29" s="1"/>
  <c r="C244" i="59"/>
  <c r="J55" i="37"/>
  <c r="K55" i="37" s="1"/>
  <c r="G55" i="37"/>
  <c r="I55" i="37" s="1"/>
  <c r="B132" i="59"/>
  <c r="B163" i="59"/>
  <c r="J28" i="37"/>
  <c r="K28" i="37" s="1"/>
  <c r="L28" i="37"/>
  <c r="C132" i="59"/>
  <c r="C132" i="29"/>
  <c r="D132" i="29" s="1"/>
  <c r="E132" i="29" s="1"/>
  <c r="F132" i="29" s="1"/>
  <c r="Y6" i="7"/>
  <c r="O277" i="1"/>
  <c r="L45" i="1"/>
  <c r="M45" i="1" s="1"/>
  <c r="N4" i="139"/>
  <c r="K48" i="146"/>
  <c r="O32" i="1"/>
  <c r="L89" i="1"/>
  <c r="M89" i="1" s="1"/>
  <c r="O54" i="1"/>
  <c r="O213" i="1"/>
  <c r="AE52" i="7"/>
  <c r="O93" i="1"/>
  <c r="O55" i="1"/>
  <c r="W23" i="144"/>
  <c r="F4" i="139"/>
  <c r="O275" i="1"/>
  <c r="T4" i="144"/>
  <c r="O212" i="1"/>
  <c r="D58" i="146"/>
  <c r="L198" i="1"/>
  <c r="M198" i="1" s="1"/>
  <c r="L23" i="144"/>
  <c r="L178" i="1"/>
  <c r="M178" i="1" s="1"/>
  <c r="L155" i="1"/>
  <c r="M155" i="1" s="1"/>
  <c r="L21" i="1"/>
  <c r="M21" i="1" s="1"/>
  <c r="S23" i="144"/>
  <c r="P234" i="59"/>
  <c r="L63" i="1"/>
  <c r="M63" i="1" s="1"/>
  <c r="O109" i="1"/>
  <c r="W4" i="144"/>
  <c r="Q272" i="59"/>
  <c r="L37" i="1"/>
  <c r="M37" i="1" s="1"/>
  <c r="M48" i="146"/>
  <c r="L78" i="1"/>
  <c r="M78" i="1" s="1"/>
  <c r="L174" i="1"/>
  <c r="M174" i="1" s="1"/>
  <c r="F59" i="7"/>
  <c r="O175" i="1"/>
  <c r="L278" i="1"/>
  <c r="M278" i="1" s="1"/>
  <c r="O267" i="1"/>
  <c r="O11" i="1"/>
  <c r="Q4" i="146"/>
  <c r="AE59" i="7"/>
  <c r="O108" i="1"/>
  <c r="O142" i="1"/>
  <c r="O112" i="1"/>
  <c r="I4" i="138"/>
  <c r="L126" i="1"/>
  <c r="M126" i="1" s="1"/>
  <c r="O69" i="1"/>
  <c r="AE15" i="7"/>
  <c r="L211" i="1"/>
  <c r="M211" i="1" s="1"/>
  <c r="L184" i="1"/>
  <c r="M184" i="1" s="1"/>
  <c r="O22" i="1"/>
  <c r="AB59" i="7"/>
  <c r="P13" i="146"/>
  <c r="P48" i="146"/>
  <c r="L83" i="1"/>
  <c r="M83" i="1" s="1"/>
  <c r="L39" i="1"/>
  <c r="M39" i="1" s="1"/>
  <c r="L4" i="146"/>
  <c r="L149" i="1"/>
  <c r="M149" i="1" s="1"/>
  <c r="AB15" i="7"/>
  <c r="K293" i="29"/>
  <c r="K299" i="29" s="1"/>
  <c r="AE6" i="7"/>
  <c r="AC59" i="7"/>
  <c r="J13" i="146"/>
  <c r="L147" i="1"/>
  <c r="M147" i="1" s="1"/>
  <c r="O75" i="1"/>
  <c r="G48" i="146"/>
  <c r="L135" i="1"/>
  <c r="M135" i="1" s="1"/>
  <c r="O23" i="1"/>
  <c r="P23" i="1" s="1"/>
  <c r="U23" i="1" s="1"/>
  <c r="O23" i="144"/>
  <c r="AG56" i="7"/>
  <c r="T4" i="146"/>
  <c r="D293" i="29"/>
  <c r="D299" i="29" s="1"/>
  <c r="G272" i="29"/>
  <c r="Q293" i="59"/>
  <c r="Q299" i="59" s="1"/>
  <c r="L79" i="1"/>
  <c r="M79" i="1" s="1"/>
  <c r="S6" i="7"/>
  <c r="P15" i="7"/>
  <c r="O53" i="1"/>
  <c r="O90" i="1"/>
  <c r="M113" i="29"/>
  <c r="H48" i="146"/>
  <c r="O66" i="1"/>
  <c r="O268" i="1"/>
  <c r="V272" i="29"/>
  <c r="R113" i="59"/>
  <c r="J59" i="7"/>
  <c r="O262" i="1"/>
  <c r="Q48" i="146"/>
  <c r="O269" i="1"/>
  <c r="O199" i="1"/>
  <c r="L90" i="1"/>
  <c r="M90" i="1" s="1"/>
  <c r="L47" i="1"/>
  <c r="M47" i="1" s="1"/>
  <c r="F23" i="144"/>
  <c r="O94" i="1"/>
  <c r="O44" i="1"/>
  <c r="L212" i="1"/>
  <c r="M212" i="1" s="1"/>
  <c r="D8" i="59"/>
  <c r="D32" i="59" s="1"/>
  <c r="C236" i="29"/>
  <c r="C293" i="29"/>
  <c r="C299" i="29" s="1"/>
  <c r="L162" i="1"/>
  <c r="M162" i="1" s="1"/>
  <c r="O116" i="1"/>
  <c r="L172" i="1"/>
  <c r="M172" i="1" s="1"/>
  <c r="S4" i="137"/>
  <c r="L168" i="1"/>
  <c r="M168" i="1" s="1"/>
  <c r="S13" i="146"/>
  <c r="D4" i="138"/>
  <c r="L241" i="1"/>
  <c r="M241" i="1" s="1"/>
  <c r="I10" i="138"/>
  <c r="O200" i="1"/>
  <c r="L243" i="1"/>
  <c r="M243" i="1" s="1"/>
  <c r="O138" i="1"/>
  <c r="O63" i="1"/>
  <c r="O237" i="1"/>
  <c r="X59" i="7"/>
  <c r="O241" i="1"/>
  <c r="J4" i="146"/>
  <c r="L282" i="1"/>
  <c r="M282" i="1" s="1"/>
  <c r="L228" i="1"/>
  <c r="M228" i="1" s="1"/>
  <c r="H4" i="137"/>
  <c r="M13" i="146"/>
  <c r="F48" i="146"/>
  <c r="L246" i="1"/>
  <c r="M246" i="1" s="1"/>
  <c r="L29" i="1"/>
  <c r="M29" i="1" s="1"/>
  <c r="L223" i="1"/>
  <c r="M223" i="1" s="1"/>
  <c r="O130" i="1"/>
  <c r="R8" i="59"/>
  <c r="R32" i="59" s="1"/>
  <c r="E13" i="59"/>
  <c r="L224" i="1"/>
  <c r="M224" i="1" s="1"/>
  <c r="K58" i="146"/>
  <c r="L92" i="1"/>
  <c r="M92" i="1" s="1"/>
  <c r="O39" i="1"/>
  <c r="L26" i="1"/>
  <c r="M26" i="1" s="1"/>
  <c r="O136" i="1"/>
  <c r="O96" i="1"/>
  <c r="W59" i="7"/>
  <c r="O143" i="1"/>
  <c r="L186" i="1"/>
  <c r="M186" i="1" s="1"/>
  <c r="O126" i="1"/>
  <c r="K4" i="138"/>
  <c r="AF32" i="7"/>
  <c r="AF73" i="7" s="1"/>
  <c r="S59" i="7"/>
  <c r="R10" i="128"/>
  <c r="AI6" i="7"/>
  <c r="V4" i="138"/>
  <c r="L180" i="1"/>
  <c r="M180" i="1" s="1"/>
  <c r="L32" i="1"/>
  <c r="M32" i="1" s="1"/>
  <c r="G4" i="128"/>
  <c r="G17" i="128" s="1"/>
  <c r="O228" i="1"/>
  <c r="O159" i="1"/>
  <c r="O4" i="146"/>
  <c r="L116" i="1"/>
  <c r="M116" i="1" s="1"/>
  <c r="R4" i="146"/>
  <c r="AF59" i="7"/>
  <c r="L222" i="1"/>
  <c r="M222" i="1" s="1"/>
  <c r="O189" i="1"/>
  <c r="N48" i="146"/>
  <c r="AA52" i="7"/>
  <c r="L62" i="1"/>
  <c r="M62" i="1" s="1"/>
  <c r="L15" i="1"/>
  <c r="M15" i="1" s="1"/>
  <c r="O239" i="1"/>
  <c r="L51" i="1"/>
  <c r="M51" i="1" s="1"/>
  <c r="L11" i="1"/>
  <c r="M11" i="1" s="1"/>
  <c r="L146" i="1"/>
  <c r="M146" i="1" s="1"/>
  <c r="W234" i="59"/>
  <c r="L48" i="1"/>
  <c r="M48" i="1" s="1"/>
  <c r="L206" i="1"/>
  <c r="M206" i="1" s="1"/>
  <c r="Z15" i="7"/>
  <c r="L76" i="1"/>
  <c r="M76" i="1" s="1"/>
  <c r="L85" i="1"/>
  <c r="M85" i="1" s="1"/>
  <c r="X56" i="7"/>
  <c r="L265" i="1"/>
  <c r="M265" i="1" s="1"/>
  <c r="U4" i="128"/>
  <c r="U17" i="128" s="1"/>
  <c r="L14" i="1"/>
  <c r="M14" i="1" s="1"/>
  <c r="K10" i="139"/>
  <c r="O250" i="1"/>
  <c r="R4" i="138"/>
  <c r="G23" i="144"/>
  <c r="O168" i="1"/>
  <c r="T9" i="137"/>
  <c r="J6" i="7"/>
  <c r="O179" i="1"/>
  <c r="O208" i="1"/>
  <c r="AJ6" i="7"/>
  <c r="O259" i="1"/>
  <c r="O234" i="1"/>
  <c r="L134" i="1"/>
  <c r="M134" i="1" s="1"/>
  <c r="M23" i="144"/>
  <c r="O273" i="1"/>
  <c r="L133" i="1"/>
  <c r="M133" i="1" s="1"/>
  <c r="I52" i="7"/>
  <c r="L82" i="1"/>
  <c r="M82" i="1" s="1"/>
  <c r="O12" i="1"/>
  <c r="L239" i="1"/>
  <c r="M239" i="1" s="1"/>
  <c r="L68" i="1"/>
  <c r="M68" i="1" s="1"/>
  <c r="O24" i="1"/>
  <c r="L175" i="1"/>
  <c r="M175" i="1" s="1"/>
  <c r="E217" i="59"/>
  <c r="O155" i="1"/>
  <c r="H13" i="146"/>
  <c r="N272" i="29"/>
  <c r="V13" i="146"/>
  <c r="AC32" i="7"/>
  <c r="AC73" i="7" s="1"/>
  <c r="O35" i="1"/>
  <c r="L86" i="1"/>
  <c r="M86" i="1" s="1"/>
  <c r="W58" i="146"/>
  <c r="U13" i="29"/>
  <c r="O194" i="1"/>
  <c r="O178" i="1"/>
  <c r="AH15" i="7"/>
  <c r="L13" i="146"/>
  <c r="L157" i="1"/>
  <c r="M157" i="1" s="1"/>
  <c r="O113" i="29"/>
  <c r="Q234" i="59"/>
  <c r="O231" i="1"/>
  <c r="N8" i="59"/>
  <c r="N32" i="59" s="1"/>
  <c r="G4" i="146"/>
  <c r="O261" i="1"/>
  <c r="M4" i="138"/>
  <c r="O181" i="1"/>
  <c r="L183" i="1"/>
  <c r="M183" i="1" s="1"/>
  <c r="AJ56" i="7"/>
  <c r="L233" i="1"/>
  <c r="M233" i="1" s="1"/>
  <c r="K4" i="137"/>
  <c r="R293" i="29"/>
  <c r="R299" i="29" s="1"/>
  <c r="L130" i="1"/>
  <c r="M130" i="1" s="1"/>
  <c r="AA6" i="7"/>
  <c r="AA56" i="7"/>
  <c r="C159" i="59"/>
  <c r="T23" i="144"/>
  <c r="L100" i="1"/>
  <c r="M100" i="1" s="1"/>
  <c r="F6" i="7"/>
  <c r="L122" i="1"/>
  <c r="M122" i="1" s="1"/>
  <c r="J113" i="59"/>
  <c r="H8" i="59"/>
  <c r="H32" i="59" s="1"/>
  <c r="O46" i="1"/>
  <c r="L220" i="1"/>
  <c r="M220" i="1" s="1"/>
  <c r="L98" i="1"/>
  <c r="M98" i="1" s="1"/>
  <c r="L202" i="1"/>
  <c r="M202" i="1" s="1"/>
  <c r="L141" i="1"/>
  <c r="M141" i="1" s="1"/>
  <c r="O206" i="1"/>
  <c r="Q58" i="146"/>
  <c r="L87" i="1"/>
  <c r="M87" i="1" s="1"/>
  <c r="J217" i="29"/>
  <c r="O202" i="1"/>
  <c r="P202" i="1" s="1"/>
  <c r="U202" i="1" s="1"/>
  <c r="D272" i="59"/>
  <c r="O80" i="1"/>
  <c r="L181" i="1"/>
  <c r="M181" i="1" s="1"/>
  <c r="O71" i="1"/>
  <c r="L99" i="1"/>
  <c r="M99" i="1" s="1"/>
  <c r="E13" i="146"/>
  <c r="L163" i="1"/>
  <c r="M163" i="1" s="1"/>
  <c r="L260" i="1"/>
  <c r="M260" i="1" s="1"/>
  <c r="L113" i="1"/>
  <c r="M113" i="1" s="1"/>
  <c r="O105" i="1"/>
  <c r="L52" i="1"/>
  <c r="M52" i="1" s="1"/>
  <c r="L35" i="1"/>
  <c r="M35" i="1" s="1"/>
  <c r="L54" i="1"/>
  <c r="M54" i="1" s="1"/>
  <c r="L195" i="1"/>
  <c r="M195" i="1" s="1"/>
  <c r="O230" i="1"/>
  <c r="AH32" i="7"/>
  <c r="AH73" i="7" s="1"/>
  <c r="O104" i="1"/>
  <c r="T10" i="139"/>
  <c r="O120" i="1"/>
  <c r="O221" i="1"/>
  <c r="L10" i="139"/>
  <c r="L235" i="1"/>
  <c r="M235" i="1" s="1"/>
  <c r="K4" i="144"/>
  <c r="O165" i="1"/>
  <c r="O180" i="1"/>
  <c r="O190" i="1"/>
  <c r="L50" i="1"/>
  <c r="M50" i="1" s="1"/>
  <c r="L103" i="1"/>
  <c r="M103" i="1" s="1"/>
  <c r="U58" i="146"/>
  <c r="L136" i="1"/>
  <c r="M136" i="1" s="1"/>
  <c r="AA15" i="7"/>
  <c r="L205" i="1"/>
  <c r="M205" i="1" s="1"/>
  <c r="O260" i="1"/>
  <c r="O61" i="1"/>
  <c r="T61" i="1" s="1"/>
  <c r="L191" i="1"/>
  <c r="M191" i="1" s="1"/>
  <c r="O48" i="146"/>
  <c r="T32" i="7"/>
  <c r="T73" i="7" s="1"/>
  <c r="L16" i="1"/>
  <c r="M16" i="1" s="1"/>
  <c r="AD15" i="7"/>
  <c r="K113" i="59"/>
  <c r="J23" i="144"/>
  <c r="L199" i="1"/>
  <c r="M199" i="1" s="1"/>
  <c r="O124" i="1"/>
  <c r="L259" i="1"/>
  <c r="M259" i="1" s="1"/>
  <c r="O31" i="1"/>
  <c r="O81" i="1"/>
  <c r="O242" i="1"/>
  <c r="P242" i="1" s="1"/>
  <c r="U242" i="1" s="1"/>
  <c r="O45" i="1"/>
  <c r="J43" i="37"/>
  <c r="K43" i="37" s="1"/>
  <c r="L43" i="37"/>
  <c r="G43" i="37"/>
  <c r="I43" i="37" s="1"/>
  <c r="B212" i="59"/>
  <c r="T142" i="29"/>
  <c r="T143" i="29" s="1"/>
  <c r="M142" i="29"/>
  <c r="M143" i="29" s="1"/>
  <c r="W142" i="29"/>
  <c r="W143" i="29" s="1"/>
  <c r="U142" i="29"/>
  <c r="U143" i="29" s="1"/>
  <c r="H142" i="29"/>
  <c r="H143" i="29" s="1"/>
  <c r="F142" i="29"/>
  <c r="F143" i="29" s="1"/>
  <c r="R142" i="29"/>
  <c r="R143" i="29" s="1"/>
  <c r="J142" i="29"/>
  <c r="J143" i="29" s="1"/>
  <c r="N142" i="29"/>
  <c r="N143" i="29" s="1"/>
  <c r="Q142" i="29"/>
  <c r="Q143" i="29" s="1"/>
  <c r="S142" i="29"/>
  <c r="S143" i="29" s="1"/>
  <c r="P79" i="59"/>
  <c r="P79" i="29"/>
  <c r="P78" i="29"/>
  <c r="L17" i="38"/>
  <c r="J40" i="37"/>
  <c r="G40" i="37"/>
  <c r="C238" i="59"/>
  <c r="C238" i="29"/>
  <c r="N79" i="29"/>
  <c r="N78" i="59"/>
  <c r="H234" i="59"/>
  <c r="L8" i="1"/>
  <c r="M8" i="1" s="1"/>
  <c r="U4" i="144"/>
  <c r="O232" i="1"/>
  <c r="D23" i="144"/>
  <c r="S58" i="146"/>
  <c r="O91" i="1"/>
  <c r="AA32" i="7"/>
  <c r="AA73" i="7" s="1"/>
  <c r="U234" i="59"/>
  <c r="L219" i="1"/>
  <c r="M219" i="1" s="1"/>
  <c r="M113" i="59"/>
  <c r="O119" i="1"/>
  <c r="R52" i="7"/>
  <c r="P4" i="139"/>
  <c r="I13" i="59"/>
  <c r="M58" i="146"/>
  <c r="O216" i="1"/>
  <c r="F13" i="29"/>
  <c r="O170" i="1"/>
  <c r="O173" i="1"/>
  <c r="S4" i="128"/>
  <c r="S17" i="128" s="1"/>
  <c r="Q10" i="139"/>
  <c r="O103" i="1"/>
  <c r="V4" i="137"/>
  <c r="O117" i="1"/>
  <c r="W13" i="146"/>
  <c r="K13" i="146"/>
  <c r="J9" i="137"/>
  <c r="L110" i="1"/>
  <c r="M110" i="1" s="1"/>
  <c r="L121" i="1"/>
  <c r="M121" i="1" s="1"/>
  <c r="D234" i="59"/>
  <c r="U23" i="144"/>
  <c r="M13" i="59"/>
  <c r="V9" i="137"/>
  <c r="W13" i="59"/>
  <c r="O111" i="1"/>
  <c r="J234" i="59"/>
  <c r="Z59" i="7"/>
  <c r="Q10" i="128"/>
  <c r="G6" i="7"/>
  <c r="AF56" i="7"/>
  <c r="S13" i="29"/>
  <c r="K4" i="139"/>
  <c r="L143" i="1"/>
  <c r="M143" i="1" s="1"/>
  <c r="O58" i="146"/>
  <c r="R32" i="7"/>
  <c r="R73" i="7" s="1"/>
  <c r="C240" i="29"/>
  <c r="C240" i="59"/>
  <c r="O77" i="29"/>
  <c r="O76" i="59"/>
  <c r="G84" i="59"/>
  <c r="H78" i="29"/>
  <c r="E78" i="59"/>
  <c r="K79" i="29"/>
  <c r="H80" i="29"/>
  <c r="P81" i="29"/>
  <c r="R86" i="29"/>
  <c r="G85" i="59"/>
  <c r="O86" i="29"/>
  <c r="R84" i="59"/>
  <c r="J49" i="37"/>
  <c r="K49" i="37" s="1"/>
  <c r="L49" i="37"/>
  <c r="D28" i="30"/>
  <c r="E234" i="30"/>
  <c r="G234" i="30"/>
  <c r="B234" i="30" s="1" a="1"/>
  <c r="B234" i="30" s="1"/>
  <c r="C234" i="30"/>
  <c r="F28" i="30"/>
  <c r="D234" i="30"/>
  <c r="E28" i="30"/>
  <c r="F234" i="30"/>
  <c r="E135" i="29"/>
  <c r="D135" i="29"/>
  <c r="G135" i="29"/>
  <c r="I135" i="59"/>
  <c r="F135" i="59"/>
  <c r="S135" i="59"/>
  <c r="K135" i="59"/>
  <c r="O135" i="29"/>
  <c r="I135" i="29"/>
  <c r="L135" i="29"/>
  <c r="H135" i="29"/>
  <c r="J135" i="29"/>
  <c r="N135" i="59"/>
  <c r="F135" i="29"/>
  <c r="J135" i="59"/>
  <c r="V135" i="29"/>
  <c r="H135" i="59"/>
  <c r="G135" i="59"/>
  <c r="P135" i="59"/>
  <c r="T135" i="29"/>
  <c r="W135" i="29"/>
  <c r="R135" i="29"/>
  <c r="P135" i="29"/>
  <c r="V135" i="59"/>
  <c r="U135" i="59"/>
  <c r="R135" i="59"/>
  <c r="T135" i="59"/>
  <c r="L135" i="59"/>
  <c r="E135" i="59"/>
  <c r="N135" i="29"/>
  <c r="S135" i="29"/>
  <c r="M135" i="59"/>
  <c r="D135" i="59"/>
  <c r="O135" i="59"/>
  <c r="U135" i="29"/>
  <c r="Q135" i="29"/>
  <c r="K135" i="29"/>
  <c r="W135" i="59"/>
  <c r="M135" i="29"/>
  <c r="Q135" i="59"/>
  <c r="D195" i="30" l="1"/>
  <c r="R13" i="47"/>
  <c r="H18" i="47"/>
  <c r="H20" i="47" s="1"/>
  <c r="D210" i="30" s="1"/>
  <c r="P62" i="1"/>
  <c r="U62" i="1" s="1"/>
  <c r="T177" i="1"/>
  <c r="P38" i="1"/>
  <c r="U38" i="1" s="1"/>
  <c r="P279" i="1"/>
  <c r="U279" i="1" s="1"/>
  <c r="P7" i="1"/>
  <c r="U7" i="1" s="1"/>
  <c r="C273" i="29"/>
  <c r="C210" i="30"/>
  <c r="G210" i="30"/>
  <c r="B210" i="30" s="1" a="1"/>
  <c r="B210" i="30" s="1"/>
  <c r="C273" i="59"/>
  <c r="E210" i="30"/>
  <c r="P266" i="1"/>
  <c r="U266" i="1" s="1"/>
  <c r="T219" i="1"/>
  <c r="P99" i="1"/>
  <c r="U99" i="1" s="1"/>
  <c r="P207" i="1"/>
  <c r="U207" i="1" s="1"/>
  <c r="P33" i="1"/>
  <c r="U33" i="1" s="1"/>
  <c r="P132" i="1"/>
  <c r="U132" i="1" s="1"/>
  <c r="T114" i="1"/>
  <c r="T153" i="1"/>
  <c r="T158" i="1"/>
  <c r="T227" i="1"/>
  <c r="T205" i="1"/>
  <c r="P257" i="1"/>
  <c r="U257" i="1" s="1"/>
  <c r="P106" i="1"/>
  <c r="U106" i="1" s="1"/>
  <c r="T226" i="1"/>
  <c r="P87" i="1"/>
  <c r="U87" i="1" s="1"/>
  <c r="P161" i="1"/>
  <c r="U161" i="1" s="1"/>
  <c r="P256" i="1"/>
  <c r="U256" i="1" s="1"/>
  <c r="P83" i="1"/>
  <c r="U83" i="1" s="1"/>
  <c r="T70" i="1"/>
  <c r="P169" i="1"/>
  <c r="U169" i="1" s="1"/>
  <c r="T167" i="1"/>
  <c r="P217" i="1"/>
  <c r="U217" i="1" s="1"/>
  <c r="T270" i="1"/>
  <c r="T154" i="1"/>
  <c r="T144" i="1"/>
  <c r="M83" i="59"/>
  <c r="O237" i="59" s="1"/>
  <c r="P187" i="1"/>
  <c r="U187" i="1" s="1"/>
  <c r="P15" i="1"/>
  <c r="U15" i="1" s="1"/>
  <c r="P128" i="1"/>
  <c r="U128" i="1" s="1"/>
  <c r="P249" i="1"/>
  <c r="U249" i="1" s="1"/>
  <c r="T150" i="1"/>
  <c r="T209" i="1"/>
  <c r="D160" i="29"/>
  <c r="E160" i="29" s="1"/>
  <c r="F160" i="29" s="1"/>
  <c r="G160" i="29" s="1"/>
  <c r="H160" i="29" s="1"/>
  <c r="I160" i="29" s="1"/>
  <c r="J160" i="29" s="1"/>
  <c r="K160" i="29" s="1"/>
  <c r="L160" i="29" s="1"/>
  <c r="M160" i="29" s="1"/>
  <c r="N160" i="29" s="1"/>
  <c r="O160" i="29" s="1"/>
  <c r="P160" i="29" s="1"/>
  <c r="Q160" i="29" s="1"/>
  <c r="R160" i="29" s="1"/>
  <c r="S160" i="29" s="1"/>
  <c r="T160" i="29" s="1"/>
  <c r="U160" i="29" s="1"/>
  <c r="V160" i="29" s="1"/>
  <c r="W160" i="29" s="1"/>
  <c r="T151" i="1"/>
  <c r="M83" i="29"/>
  <c r="W104" i="29" s="1" a="1"/>
  <c r="W104" i="29" s="1"/>
  <c r="T97" i="1"/>
  <c r="M82" i="29"/>
  <c r="P254" i="1"/>
  <c r="U254" i="1" s="1"/>
  <c r="B51" i="146" a="1"/>
  <c r="B51" i="146" s="1"/>
  <c r="B89" i="146" s="1"/>
  <c r="A89" i="146"/>
  <c r="A61" i="146"/>
  <c r="B61" i="146" s="1" a="1"/>
  <c r="B61" i="146" s="1"/>
  <c r="A25" i="146"/>
  <c r="A16" i="146"/>
  <c r="B7" i="146" a="1"/>
  <c r="B7" i="146" s="1"/>
  <c r="B25" i="146" s="1"/>
  <c r="P248" i="1"/>
  <c r="U248" i="1" s="1"/>
  <c r="T25" i="1"/>
  <c r="P272" i="1"/>
  <c r="U272" i="1" s="1"/>
  <c r="P223" i="1"/>
  <c r="U223" i="1" s="1"/>
  <c r="P82" i="1"/>
  <c r="U82" i="1" s="1"/>
  <c r="R152" i="59"/>
  <c r="T163" i="1"/>
  <c r="P264" i="1"/>
  <c r="U264" i="1" s="1"/>
  <c r="P220" i="1"/>
  <c r="U220" i="1" s="1"/>
  <c r="T133" i="1"/>
  <c r="P146" i="1"/>
  <c r="U146" i="1" s="1"/>
  <c r="P18" i="1"/>
  <c r="U18" i="1" s="1"/>
  <c r="T147" i="1"/>
  <c r="P9" i="1"/>
  <c r="U9" i="1" s="1"/>
  <c r="P27" i="1"/>
  <c r="U27" i="1" s="1"/>
  <c r="T107" i="1"/>
  <c r="T47" i="1"/>
  <c r="P195" i="1"/>
  <c r="U195" i="1" s="1"/>
  <c r="T156" i="1"/>
  <c r="P186" i="1"/>
  <c r="U186" i="1" s="1"/>
  <c r="E92" i="29"/>
  <c r="T185" i="1"/>
  <c r="T19" i="1"/>
  <c r="T118" i="1"/>
  <c r="P113" i="1"/>
  <c r="U113" i="1" s="1"/>
  <c r="C118" i="29"/>
  <c r="C116" i="29"/>
  <c r="T125" i="1"/>
  <c r="P17" i="1"/>
  <c r="U17" i="1" s="1"/>
  <c r="C120" i="59"/>
  <c r="C122" i="29"/>
  <c r="T245" i="1"/>
  <c r="C116" i="59"/>
  <c r="T204" i="1"/>
  <c r="P152" i="1"/>
  <c r="U152" i="1" s="1"/>
  <c r="P193" i="1"/>
  <c r="U193" i="1" s="1"/>
  <c r="T110" i="1"/>
  <c r="C121" i="59"/>
  <c r="P129" i="1"/>
  <c r="U129" i="1" s="1"/>
  <c r="T10" i="1"/>
  <c r="T57" i="1"/>
  <c r="C115" i="29"/>
  <c r="C121" i="29"/>
  <c r="T89" i="1"/>
  <c r="P210" i="1"/>
  <c r="U210" i="1" s="1"/>
  <c r="T224" i="1"/>
  <c r="T191" i="1"/>
  <c r="T196" i="1"/>
  <c r="P240" i="1"/>
  <c r="U240" i="1" s="1"/>
  <c r="T188" i="1"/>
  <c r="C120" i="29"/>
  <c r="D91" i="29"/>
  <c r="D243" i="29" s="1"/>
  <c r="T131" i="1"/>
  <c r="C117" i="29"/>
  <c r="T68" i="1"/>
  <c r="C125" i="59"/>
  <c r="T127" i="1"/>
  <c r="T166" i="1"/>
  <c r="P174" i="1"/>
  <c r="U174" i="1" s="1"/>
  <c r="T137" i="1"/>
  <c r="P233" i="1"/>
  <c r="U233" i="1" s="1"/>
  <c r="T21" i="1"/>
  <c r="T100" i="1"/>
  <c r="T121" i="1"/>
  <c r="T238" i="1"/>
  <c r="P139" i="1"/>
  <c r="U139" i="1" s="1"/>
  <c r="T182" i="1"/>
  <c r="P225" i="1"/>
  <c r="U225" i="1" s="1"/>
  <c r="P282" i="1"/>
  <c r="U282" i="1" s="1"/>
  <c r="T265" i="1"/>
  <c r="C167" i="59"/>
  <c r="P73" i="1"/>
  <c r="U73" i="1" s="1"/>
  <c r="P211" i="1"/>
  <c r="U211" i="1" s="1"/>
  <c r="T135" i="1"/>
  <c r="T86" i="1"/>
  <c r="T235" i="1"/>
  <c r="T40" i="1"/>
  <c r="P52" i="1"/>
  <c r="U52" i="1" s="1"/>
  <c r="P218" i="1"/>
  <c r="U218" i="1" s="1"/>
  <c r="T85" i="1"/>
  <c r="T229" i="1"/>
  <c r="P203" i="1"/>
  <c r="U203" i="1" s="1"/>
  <c r="P92" i="1"/>
  <c r="U92" i="1" s="1"/>
  <c r="P278" i="1"/>
  <c r="U278" i="1" s="1"/>
  <c r="P140" i="1"/>
  <c r="U140" i="1" s="1"/>
  <c r="M4" i="38"/>
  <c r="L5" i="38"/>
  <c r="K276" i="59"/>
  <c r="K277" i="59" s="1"/>
  <c r="E276" i="59"/>
  <c r="E277" i="59" s="1"/>
  <c r="H276" i="29"/>
  <c r="H277" i="29" s="1"/>
  <c r="K276" i="29"/>
  <c r="K277" i="29" s="1"/>
  <c r="Q276" i="29"/>
  <c r="Q277" i="29" s="1"/>
  <c r="D276" i="59"/>
  <c r="D277" i="59" s="1"/>
  <c r="J276" i="29"/>
  <c r="J277" i="29" s="1"/>
  <c r="P276" i="29"/>
  <c r="P277" i="29" s="1"/>
  <c r="T276" i="29"/>
  <c r="T277" i="29" s="1"/>
  <c r="W276" i="29"/>
  <c r="W277" i="29" s="1"/>
  <c r="O276" i="59"/>
  <c r="O277" i="59" s="1"/>
  <c r="V276" i="29"/>
  <c r="V277" i="29" s="1"/>
  <c r="D276" i="29"/>
  <c r="D277" i="29" s="1"/>
  <c r="O276" i="29"/>
  <c r="O277" i="29" s="1"/>
  <c r="T276" i="59"/>
  <c r="T277" i="59" s="1"/>
  <c r="C276" i="29"/>
  <c r="C277" i="29" s="1"/>
  <c r="R276" i="29"/>
  <c r="R277" i="29" s="1"/>
  <c r="G276" i="29"/>
  <c r="G277" i="29" s="1"/>
  <c r="I276" i="29"/>
  <c r="I277" i="29" s="1"/>
  <c r="F276" i="59"/>
  <c r="F277" i="59" s="1"/>
  <c r="F276" i="29"/>
  <c r="F277" i="29" s="1"/>
  <c r="P276" i="59"/>
  <c r="P277" i="59" s="1"/>
  <c r="L276" i="59"/>
  <c r="L277" i="59" s="1"/>
  <c r="M276" i="29"/>
  <c r="M277" i="29" s="1"/>
  <c r="N276" i="29"/>
  <c r="N277" i="29" s="1"/>
  <c r="M276" i="59"/>
  <c r="M277" i="59" s="1"/>
  <c r="U276" i="29"/>
  <c r="U277" i="29" s="1"/>
  <c r="N276" i="59"/>
  <c r="N277" i="59" s="1"/>
  <c r="V276" i="59"/>
  <c r="V277" i="59" s="1"/>
  <c r="H276" i="59"/>
  <c r="H277" i="59" s="1"/>
  <c r="G276" i="59"/>
  <c r="G277" i="59" s="1"/>
  <c r="W276" i="59"/>
  <c r="W277" i="59" s="1"/>
  <c r="S276" i="59"/>
  <c r="S277" i="59" s="1"/>
  <c r="E276" i="29"/>
  <c r="E277" i="29" s="1"/>
  <c r="C276" i="59"/>
  <c r="C277" i="59" s="1"/>
  <c r="J276" i="59"/>
  <c r="J277" i="59" s="1"/>
  <c r="Q276" i="59"/>
  <c r="Q277" i="59" s="1"/>
  <c r="I276" i="59"/>
  <c r="I277" i="59" s="1"/>
  <c r="R276" i="59"/>
  <c r="R277" i="59" s="1"/>
  <c r="S276" i="29"/>
  <c r="S277" i="29" s="1"/>
  <c r="U276" i="59"/>
  <c r="U277" i="59" s="1"/>
  <c r="L276" i="29"/>
  <c r="L277" i="29" s="1"/>
  <c r="F229" i="30"/>
  <c r="D229" i="30"/>
  <c r="E229" i="30"/>
  <c r="C229" i="30"/>
  <c r="G229" i="30"/>
  <c r="B229" i="30" s="1" a="1"/>
  <c r="B229" i="30" s="1"/>
  <c r="K44" i="37" s="1"/>
  <c r="L44" i="37" s="1"/>
  <c r="T20" i="1"/>
  <c r="F91" i="29"/>
  <c r="P141" i="1"/>
  <c r="U141" i="1" s="1"/>
  <c r="T141" i="1"/>
  <c r="P101" i="1"/>
  <c r="U101" i="1" s="1"/>
  <c r="T98" i="1"/>
  <c r="P271" i="1"/>
  <c r="U271" i="1" s="1"/>
  <c r="T271" i="1"/>
  <c r="G92" i="29"/>
  <c r="T236" i="1"/>
  <c r="P214" i="1"/>
  <c r="U214" i="1" s="1"/>
  <c r="T214" i="1"/>
  <c r="T247" i="1"/>
  <c r="P247" i="1"/>
  <c r="U247" i="1" s="1"/>
  <c r="T149" i="1"/>
  <c r="P149" i="1"/>
  <c r="U149" i="1" s="1"/>
  <c r="P48" i="1"/>
  <c r="U48" i="1" s="1"/>
  <c r="T48" i="1"/>
  <c r="T281" i="1"/>
  <c r="S152" i="59"/>
  <c r="P148" i="1"/>
  <c r="U148" i="1" s="1"/>
  <c r="T244" i="1"/>
  <c r="T42" i="1"/>
  <c r="P59" i="1"/>
  <c r="U59" i="1" s="1"/>
  <c r="T198" i="1"/>
  <c r="P78" i="1"/>
  <c r="U78" i="1" s="1"/>
  <c r="R92" i="29"/>
  <c r="P74" i="1"/>
  <c r="U74" i="1" s="1"/>
  <c r="T251" i="1"/>
  <c r="T171" i="1"/>
  <c r="P171" i="1"/>
  <c r="U171" i="1" s="1"/>
  <c r="P263" i="1"/>
  <c r="U263" i="1" s="1"/>
  <c r="T263" i="1"/>
  <c r="T183" i="1"/>
  <c r="T36" i="1"/>
  <c r="P49" i="1"/>
  <c r="U49" i="1" s="1"/>
  <c r="T49" i="1"/>
  <c r="P157" i="1"/>
  <c r="U157" i="1" s="1"/>
  <c r="T157" i="1"/>
  <c r="P152" i="29"/>
  <c r="C115" i="59"/>
  <c r="C123" i="59"/>
  <c r="N92" i="29"/>
  <c r="T255" i="1"/>
  <c r="T88" i="1"/>
  <c r="P88" i="1"/>
  <c r="U88" i="1" s="1"/>
  <c r="T58" i="1"/>
  <c r="E152" i="59"/>
  <c r="C122" i="59"/>
  <c r="C126" i="59"/>
  <c r="P108" i="29" a="1"/>
  <c r="P108" i="29" s="1"/>
  <c r="Q92" i="29"/>
  <c r="T215" i="1"/>
  <c r="P122" i="1"/>
  <c r="U122" i="1" s="1"/>
  <c r="T26" i="1"/>
  <c r="P115" i="1"/>
  <c r="U115" i="1" s="1"/>
  <c r="T115" i="1"/>
  <c r="P28" i="1"/>
  <c r="U28" i="1" s="1"/>
  <c r="T176" i="1"/>
  <c r="C118" i="59"/>
  <c r="C123" i="29"/>
  <c r="C126" i="29"/>
  <c r="C125" i="29"/>
  <c r="D145" i="59"/>
  <c r="E145" i="59" s="1"/>
  <c r="F145" i="59" s="1"/>
  <c r="G145" i="59" s="1"/>
  <c r="H145" i="59" s="1"/>
  <c r="I145" i="59" s="1"/>
  <c r="J145" i="59" s="1"/>
  <c r="K145" i="59" s="1"/>
  <c r="L145" i="59" s="1"/>
  <c r="M145" i="59" s="1"/>
  <c r="N145" i="59" s="1"/>
  <c r="O145" i="59" s="1"/>
  <c r="P145" i="59" s="1"/>
  <c r="Q145" i="59" s="1"/>
  <c r="R145" i="59" s="1"/>
  <c r="S145" i="59" s="1"/>
  <c r="T145" i="59" s="1"/>
  <c r="U145" i="59" s="1"/>
  <c r="V145" i="59" s="1"/>
  <c r="W145" i="59" s="1"/>
  <c r="P222" i="1"/>
  <c r="U222" i="1" s="1"/>
  <c r="T222" i="1"/>
  <c r="T172" i="1"/>
  <c r="P172" i="1"/>
  <c r="U172" i="1" s="1"/>
  <c r="P37" i="1"/>
  <c r="U37" i="1" s="1"/>
  <c r="T37" i="1"/>
  <c r="P65" i="1"/>
  <c r="U65" i="1" s="1"/>
  <c r="D152" i="59"/>
  <c r="D153" i="59" s="1"/>
  <c r="D158" i="59" s="1"/>
  <c r="T152" i="59"/>
  <c r="N152" i="59"/>
  <c r="T23" i="1"/>
  <c r="F152" i="59"/>
  <c r="V152" i="59"/>
  <c r="T243" i="1"/>
  <c r="P152" i="59"/>
  <c r="K152" i="59"/>
  <c r="G152" i="59"/>
  <c r="O152" i="29"/>
  <c r="P95" i="1"/>
  <c r="U95" i="1" s="1"/>
  <c r="D91" i="59"/>
  <c r="D243" i="59" s="1"/>
  <c r="P100" i="29" a="1"/>
  <c r="P100" i="29" s="1"/>
  <c r="M106" i="59" a="1"/>
  <c r="M106" i="59" s="1"/>
  <c r="R106" i="29" a="1"/>
  <c r="R106" i="29" s="1"/>
  <c r="S152" i="29"/>
  <c r="O99" i="29" a="1"/>
  <c r="O99" i="29" s="1"/>
  <c r="D137" i="29"/>
  <c r="E137" i="29" s="1"/>
  <c r="F137" i="29" s="1"/>
  <c r="G137" i="29" s="1"/>
  <c r="H137" i="29" s="1"/>
  <c r="I137" i="29" s="1"/>
  <c r="J137" i="29" s="1"/>
  <c r="K137" i="29" s="1"/>
  <c r="L137" i="29" s="1"/>
  <c r="M137" i="29" s="1"/>
  <c r="N137" i="29" s="1"/>
  <c r="O137" i="29" s="1"/>
  <c r="P137" i="29" s="1"/>
  <c r="Q137" i="29" s="1"/>
  <c r="R137" i="29" s="1"/>
  <c r="S137" i="29" s="1"/>
  <c r="T137" i="29" s="1"/>
  <c r="U137" i="29" s="1"/>
  <c r="V137" i="29" s="1"/>
  <c r="W137" i="29" s="1"/>
  <c r="E91" i="29"/>
  <c r="E148" i="59"/>
  <c r="E149" i="59" s="1"/>
  <c r="T152" i="29"/>
  <c r="T242" i="1"/>
  <c r="P30" i="1"/>
  <c r="U30" i="1" s="1"/>
  <c r="U104" i="29" a="1"/>
  <c r="U104" i="29" s="1"/>
  <c r="P61" i="1"/>
  <c r="U61" i="1" s="1"/>
  <c r="D132" i="59"/>
  <c r="E132" i="59" s="1"/>
  <c r="F92" i="29"/>
  <c r="W152" i="29"/>
  <c r="H152" i="29"/>
  <c r="I152" i="29"/>
  <c r="I237" i="59"/>
  <c r="D134" i="29"/>
  <c r="D171" i="29" s="1"/>
  <c r="J152" i="59"/>
  <c r="L152" i="29"/>
  <c r="T252" i="1"/>
  <c r="V100" i="59" a="1"/>
  <c r="V100" i="59" s="1"/>
  <c r="I92" i="29"/>
  <c r="H237" i="59"/>
  <c r="G237" i="59"/>
  <c r="E152" i="29"/>
  <c r="D152" i="29"/>
  <c r="D153" i="29" s="1"/>
  <c r="P101" i="59" a="1"/>
  <c r="P101" i="59" s="1"/>
  <c r="F91" i="59"/>
  <c r="L92" i="29"/>
  <c r="D106" i="59" a="1"/>
  <c r="D106" i="59" s="1"/>
  <c r="G152" i="29"/>
  <c r="J152" i="29"/>
  <c r="U152" i="59"/>
  <c r="I152" i="59"/>
  <c r="V152" i="29"/>
  <c r="Q106" i="59" a="1"/>
  <c r="Q106" i="59" s="1"/>
  <c r="N105" i="59" a="1"/>
  <c r="N105" i="59" s="1"/>
  <c r="U152" i="29"/>
  <c r="C248" i="29"/>
  <c r="Q152" i="29"/>
  <c r="M152" i="29"/>
  <c r="R98" i="59" a="1"/>
  <c r="R98" i="59" s="1"/>
  <c r="M152" i="59"/>
  <c r="N152" i="29"/>
  <c r="L152" i="59"/>
  <c r="W152" i="59"/>
  <c r="K152" i="29"/>
  <c r="P92" i="29"/>
  <c r="F237" i="59"/>
  <c r="D137" i="59"/>
  <c r="E137" i="59" s="1"/>
  <c r="F137" i="59" s="1"/>
  <c r="G137" i="59" s="1"/>
  <c r="H137" i="59" s="1"/>
  <c r="I137" i="59" s="1"/>
  <c r="J137" i="59" s="1"/>
  <c r="K137" i="59" s="1"/>
  <c r="L137" i="59" s="1"/>
  <c r="M137" i="59" s="1"/>
  <c r="N137" i="59" s="1"/>
  <c r="O137" i="59" s="1"/>
  <c r="P137" i="59" s="1"/>
  <c r="Q137" i="59" s="1"/>
  <c r="R137" i="59" s="1"/>
  <c r="S137" i="59" s="1"/>
  <c r="T137" i="59" s="1"/>
  <c r="U137" i="59" s="1"/>
  <c r="V137" i="59" s="1"/>
  <c r="W137" i="59" s="1"/>
  <c r="F152" i="29"/>
  <c r="Q152" i="59"/>
  <c r="O152" i="59"/>
  <c r="T202" i="1"/>
  <c r="C247" i="29"/>
  <c r="N102" i="59" a="1"/>
  <c r="N102" i="59" s="1"/>
  <c r="P102" i="1"/>
  <c r="U102" i="1" s="1"/>
  <c r="T34" i="1"/>
  <c r="P34" i="1"/>
  <c r="U34" i="1" s="1"/>
  <c r="T274" i="1"/>
  <c r="P274" i="1"/>
  <c r="U274" i="1" s="1"/>
  <c r="P192" i="1"/>
  <c r="U192" i="1" s="1"/>
  <c r="T192" i="1"/>
  <c r="T50" i="1"/>
  <c r="P50" i="1"/>
  <c r="U50" i="1" s="1"/>
  <c r="P13" i="1"/>
  <c r="U13" i="1" s="1"/>
  <c r="T13" i="1"/>
  <c r="D146" i="29"/>
  <c r="C257" i="29"/>
  <c r="C258" i="29" s="1"/>
  <c r="P77" i="1"/>
  <c r="U77" i="1" s="1"/>
  <c r="P280" i="1"/>
  <c r="U280" i="1" s="1"/>
  <c r="T280" i="1"/>
  <c r="T72" i="1"/>
  <c r="P72" i="1"/>
  <c r="U72" i="1" s="1"/>
  <c r="T84" i="1"/>
  <c r="P84" i="1"/>
  <c r="U84" i="1" s="1"/>
  <c r="P123" i="1"/>
  <c r="U123" i="1" s="1"/>
  <c r="T123" i="1"/>
  <c r="S98" i="29" a="1"/>
  <c r="S98" i="29" s="1"/>
  <c r="P29" i="1"/>
  <c r="U29" i="1" s="1"/>
  <c r="T29" i="1"/>
  <c r="T51" i="1"/>
  <c r="P51" i="1"/>
  <c r="U51" i="1" s="1"/>
  <c r="J92" i="29"/>
  <c r="T164" i="1"/>
  <c r="P164" i="1"/>
  <c r="U164" i="1" s="1"/>
  <c r="P162" i="1"/>
  <c r="U162" i="1" s="1"/>
  <c r="T162" i="1"/>
  <c r="B218" i="29"/>
  <c r="B218" i="59"/>
  <c r="T60" i="1"/>
  <c r="P60" i="1"/>
  <c r="U60" i="1" s="1"/>
  <c r="T253" i="1"/>
  <c r="P253" i="1"/>
  <c r="U253" i="1" s="1"/>
  <c r="D155" i="29"/>
  <c r="E237" i="59"/>
  <c r="E145" i="29"/>
  <c r="F145" i="29" s="1"/>
  <c r="G145" i="29" s="1"/>
  <c r="H145" i="29" s="1"/>
  <c r="I145" i="29" s="1"/>
  <c r="J145" i="29" s="1"/>
  <c r="K145" i="29" s="1"/>
  <c r="L145" i="29" s="1"/>
  <c r="M145" i="29" s="1"/>
  <c r="N145" i="29" s="1"/>
  <c r="O145" i="29" s="1"/>
  <c r="P145" i="29" s="1"/>
  <c r="Q145" i="29" s="1"/>
  <c r="R145" i="29" s="1"/>
  <c r="S145" i="29" s="1"/>
  <c r="T145" i="29" s="1"/>
  <c r="U145" i="29" s="1"/>
  <c r="V145" i="29" s="1"/>
  <c r="W145" i="29" s="1"/>
  <c r="W146" i="29" s="1"/>
  <c r="P258" i="1"/>
  <c r="U258" i="1" s="1"/>
  <c r="V106" i="29" a="1"/>
  <c r="V106" i="29" s="1"/>
  <c r="P184" i="1"/>
  <c r="U184" i="1" s="1"/>
  <c r="T184" i="1"/>
  <c r="T67" i="1"/>
  <c r="P67" i="1"/>
  <c r="U67" i="1" s="1"/>
  <c r="J237" i="59"/>
  <c r="T8" i="1"/>
  <c r="P8" i="1"/>
  <c r="U8" i="1" s="1"/>
  <c r="C167" i="29"/>
  <c r="E167" i="29"/>
  <c r="F167" i="29" s="1"/>
  <c r="G167" i="29" s="1"/>
  <c r="H167" i="29" s="1"/>
  <c r="I167" i="29" s="1"/>
  <c r="J167" i="29" s="1"/>
  <c r="K167" i="29" s="1"/>
  <c r="L167" i="29" s="1"/>
  <c r="M167" i="29" s="1"/>
  <c r="N167" i="29" s="1"/>
  <c r="O167" i="29" s="1"/>
  <c r="P167" i="29" s="1"/>
  <c r="Q167" i="29" s="1"/>
  <c r="R167" i="29" s="1"/>
  <c r="S167" i="29" s="1"/>
  <c r="T167" i="29" s="1"/>
  <c r="U167" i="29" s="1"/>
  <c r="V167" i="29" s="1"/>
  <c r="W167" i="29" s="1"/>
  <c r="T41" i="1"/>
  <c r="P41" i="1"/>
  <c r="U41" i="1" s="1"/>
  <c r="T64" i="1"/>
  <c r="C249" i="29"/>
  <c r="F148" i="59"/>
  <c r="F149" i="59" s="1"/>
  <c r="P43" i="1"/>
  <c r="U43" i="1" s="1"/>
  <c r="T43" i="1"/>
  <c r="T160" i="1"/>
  <c r="P160" i="1"/>
  <c r="U160" i="1" s="1"/>
  <c r="T16" i="1"/>
  <c r="P16" i="1"/>
  <c r="U16" i="1" s="1"/>
  <c r="T79" i="1"/>
  <c r="P79" i="1"/>
  <c r="U79" i="1" s="1"/>
  <c r="P56" i="1"/>
  <c r="U56" i="1" s="1"/>
  <c r="T56" i="1"/>
  <c r="P14" i="1"/>
  <c r="U14" i="1" s="1"/>
  <c r="T14" i="1"/>
  <c r="E134" i="29"/>
  <c r="E171" i="29" s="1"/>
  <c r="R100" i="59" a="1"/>
  <c r="R100" i="59" s="1"/>
  <c r="N107" i="29" a="1"/>
  <c r="N107" i="29" s="1"/>
  <c r="T6" i="1"/>
  <c r="P6" i="1"/>
  <c r="U6" i="1" s="1"/>
  <c r="T197" i="1"/>
  <c r="P197" i="1"/>
  <c r="U197" i="1" s="1"/>
  <c r="T201" i="1"/>
  <c r="P201" i="1"/>
  <c r="U201" i="1" s="1"/>
  <c r="Q104" i="59" a="1"/>
  <c r="Q104" i="59" s="1"/>
  <c r="P99" i="29" a="1"/>
  <c r="P99" i="29" s="1"/>
  <c r="O92" i="29"/>
  <c r="E91" i="59"/>
  <c r="P99" i="59" a="1"/>
  <c r="P99" i="59" s="1"/>
  <c r="R105" i="59" a="1"/>
  <c r="R105" i="59" s="1"/>
  <c r="V104" i="29" a="1"/>
  <c r="V104" i="29" s="1"/>
  <c r="U104" i="59" a="1"/>
  <c r="U104" i="59" s="1"/>
  <c r="R100" i="29" a="1"/>
  <c r="R100" i="29" s="1"/>
  <c r="W101" i="29" a="1"/>
  <c r="W101" i="29" s="1"/>
  <c r="F107" i="59" a="1"/>
  <c r="F107" i="59" s="1"/>
  <c r="O108" i="29" a="1"/>
  <c r="O108" i="29" s="1"/>
  <c r="C175" i="29"/>
  <c r="C184" i="29"/>
  <c r="C184" i="59"/>
  <c r="C175" i="59"/>
  <c r="Q104" i="29" a="1"/>
  <c r="Q104" i="29" s="1"/>
  <c r="U99" i="29" a="1"/>
  <c r="U99" i="29" s="1"/>
  <c r="O102" i="29" a="1"/>
  <c r="O102" i="29" s="1"/>
  <c r="E101" i="29" a="1"/>
  <c r="E101" i="29" s="1"/>
  <c r="M97" i="29" a="1"/>
  <c r="M97" i="29" s="1"/>
  <c r="M100" i="29" a="1"/>
  <c r="M100" i="29" s="1"/>
  <c r="R105" i="29" a="1"/>
  <c r="R105" i="29" s="1"/>
  <c r="I106" i="29" a="1"/>
  <c r="I106" i="29" s="1"/>
  <c r="V102" i="29" a="1"/>
  <c r="V102" i="29" s="1"/>
  <c r="N108" i="29" a="1"/>
  <c r="N108" i="29" s="1"/>
  <c r="S101" i="29" a="1"/>
  <c r="S101" i="29" s="1"/>
  <c r="S104" i="29" a="1"/>
  <c r="S104" i="29" s="1"/>
  <c r="M98" i="29" a="1"/>
  <c r="M98" i="29" s="1"/>
  <c r="O97" i="29" a="1"/>
  <c r="O97" i="29" s="1"/>
  <c r="F100" i="29" a="1"/>
  <c r="F100" i="29" s="1"/>
  <c r="L104" i="29" a="1"/>
  <c r="L104" i="29" s="1"/>
  <c r="L108" i="29" a="1"/>
  <c r="L108" i="29" s="1"/>
  <c r="M108" i="29" a="1"/>
  <c r="M108" i="29" s="1"/>
  <c r="G99" i="29" a="1"/>
  <c r="G99" i="29" s="1"/>
  <c r="E102" i="29" a="1"/>
  <c r="E102" i="29" s="1"/>
  <c r="R107" i="29" a="1"/>
  <c r="R107" i="29" s="1"/>
  <c r="P106" i="29" a="1"/>
  <c r="P106" i="29" s="1"/>
  <c r="D97" i="29" a="1"/>
  <c r="D97" i="29" s="1"/>
  <c r="O100" i="29" a="1"/>
  <c r="O100" i="29" s="1"/>
  <c r="E97" i="29" a="1"/>
  <c r="E97" i="29" s="1"/>
  <c r="F107" i="29" a="1"/>
  <c r="F107" i="29" s="1"/>
  <c r="S100" i="29" a="1"/>
  <c r="S100" i="29" s="1"/>
  <c r="J103" i="29" a="1"/>
  <c r="J103" i="29" s="1"/>
  <c r="U108" i="29" a="1"/>
  <c r="U108" i="29" s="1"/>
  <c r="M101" i="29" a="1"/>
  <c r="M101" i="29" s="1"/>
  <c r="R97" i="29" a="1"/>
  <c r="R97" i="29" s="1"/>
  <c r="E108" i="29" a="1"/>
  <c r="E108" i="29" s="1"/>
  <c r="L99" i="29" a="1"/>
  <c r="L99" i="29" s="1"/>
  <c r="T108" i="29" a="1"/>
  <c r="T108" i="29" s="1"/>
  <c r="M99" i="29" a="1"/>
  <c r="M99" i="29" s="1"/>
  <c r="Q97" i="29" a="1"/>
  <c r="Q97" i="29" s="1"/>
  <c r="J97" i="29" a="1"/>
  <c r="J97" i="29" s="1"/>
  <c r="P97" i="29" a="1"/>
  <c r="P97" i="29" s="1"/>
  <c r="I100" i="29" a="1"/>
  <c r="I100" i="29" s="1"/>
  <c r="U98" i="29" a="1"/>
  <c r="U98" i="29" s="1"/>
  <c r="P98" i="29" a="1"/>
  <c r="P98" i="29" s="1"/>
  <c r="I102" i="29" a="1"/>
  <c r="I102" i="29" s="1"/>
  <c r="T106" i="29" a="1"/>
  <c r="T106" i="29" s="1"/>
  <c r="T98" i="29" a="1"/>
  <c r="T98" i="29" s="1"/>
  <c r="R98" i="29" a="1"/>
  <c r="R98" i="29" s="1"/>
  <c r="N99" i="29" a="1"/>
  <c r="N99" i="29" s="1"/>
  <c r="J106" i="29" a="1"/>
  <c r="J106" i="29" s="1"/>
  <c r="K102" i="29" a="1"/>
  <c r="K102" i="29" s="1"/>
  <c r="I97" i="29" a="1"/>
  <c r="I97" i="29" s="1"/>
  <c r="F108" i="29" a="1"/>
  <c r="F108" i="29" s="1"/>
  <c r="Q99" i="29" a="1"/>
  <c r="Q99" i="29" s="1"/>
  <c r="G97" i="29" a="1"/>
  <c r="G97" i="29" s="1"/>
  <c r="V107" i="29" a="1"/>
  <c r="V107" i="29" s="1"/>
  <c r="F98" i="29" a="1"/>
  <c r="F98" i="29" s="1"/>
  <c r="W99" i="29" a="1"/>
  <c r="W99" i="29" s="1"/>
  <c r="Q107" i="29" a="1"/>
  <c r="Q107" i="29" s="1"/>
  <c r="D102" i="29" a="1"/>
  <c r="D102" i="29" s="1"/>
  <c r="H106" i="29" a="1"/>
  <c r="H106" i="29" s="1"/>
  <c r="T100" i="29" a="1"/>
  <c r="T100" i="29" s="1"/>
  <c r="G100" i="29" a="1"/>
  <c r="G100" i="29" s="1"/>
  <c r="P105" i="29" a="1"/>
  <c r="P105" i="29" s="1"/>
  <c r="N97" i="29" a="1"/>
  <c r="N97" i="29" s="1"/>
  <c r="F103" i="29" a="1"/>
  <c r="F103" i="29" s="1"/>
  <c r="P102" i="29" a="1"/>
  <c r="P102" i="29" s="1"/>
  <c r="H105" i="29" a="1"/>
  <c r="H105" i="29" s="1"/>
  <c r="I103" i="29" a="1"/>
  <c r="I103" i="29" s="1"/>
  <c r="H107" i="29" a="1"/>
  <c r="H107" i="29" s="1"/>
  <c r="H104" i="29" a="1"/>
  <c r="H104" i="29" s="1"/>
  <c r="G108" i="29" a="1"/>
  <c r="G108" i="29" s="1"/>
  <c r="H97" i="29" a="1"/>
  <c r="H97" i="29" s="1"/>
  <c r="V98" i="29" a="1"/>
  <c r="V98" i="29" s="1"/>
  <c r="G102" i="29" a="1"/>
  <c r="G102" i="29" s="1"/>
  <c r="V100" i="29" a="1"/>
  <c r="V100" i="29" s="1"/>
  <c r="K105" i="29" a="1"/>
  <c r="K105" i="29" s="1"/>
  <c r="S108" i="29" a="1"/>
  <c r="S108" i="29" s="1"/>
  <c r="F99" i="29" a="1"/>
  <c r="F99" i="29" s="1"/>
  <c r="I98" i="29" a="1"/>
  <c r="I98" i="29" s="1"/>
  <c r="L100" i="29" a="1"/>
  <c r="L100" i="29" s="1"/>
  <c r="D100" i="29" a="1"/>
  <c r="D100" i="29" s="1"/>
  <c r="W106" i="29" a="1"/>
  <c r="W106" i="29" s="1"/>
  <c r="L107" i="29" a="1"/>
  <c r="L107" i="29" s="1"/>
  <c r="K99" i="29" a="1"/>
  <c r="K99" i="29" s="1"/>
  <c r="O101" i="29" a="1"/>
  <c r="O101" i="29" s="1"/>
  <c r="K107" i="29" a="1"/>
  <c r="K107" i="29" s="1"/>
  <c r="J102" i="29" a="1"/>
  <c r="J102" i="29" s="1"/>
  <c r="Q106" i="29" a="1"/>
  <c r="Q106" i="29" s="1"/>
  <c r="S107" i="29" a="1"/>
  <c r="S107" i="29" s="1"/>
  <c r="O104" i="29" a="1"/>
  <c r="O104" i="29" s="1"/>
  <c r="W108" i="29" a="1"/>
  <c r="W108" i="29" s="1"/>
  <c r="E106" i="29" a="1"/>
  <c r="E106" i="29" s="1"/>
  <c r="F105" i="29" a="1"/>
  <c r="F105" i="29" s="1"/>
  <c r="K98" i="29" a="1"/>
  <c r="K98" i="29" s="1"/>
  <c r="J107" i="29" a="1"/>
  <c r="J107" i="29" s="1"/>
  <c r="S102" i="29" a="1"/>
  <c r="S102" i="29" s="1"/>
  <c r="E107" i="29" a="1"/>
  <c r="E107" i="29" s="1"/>
  <c r="J101" i="29" a="1"/>
  <c r="J101" i="29" s="1"/>
  <c r="F102" i="29" a="1"/>
  <c r="F102" i="29" s="1"/>
  <c r="J100" i="29" a="1"/>
  <c r="J100" i="29" s="1"/>
  <c r="G98" i="29" a="1"/>
  <c r="G98" i="29" s="1"/>
  <c r="N100" i="29" a="1"/>
  <c r="N100" i="29" s="1"/>
  <c r="K97" i="29" a="1"/>
  <c r="K97" i="29" s="1"/>
  <c r="K108" i="29" a="1"/>
  <c r="K108" i="29" s="1"/>
  <c r="T102" i="29" a="1"/>
  <c r="T102" i="29" s="1"/>
  <c r="O107" i="29" a="1"/>
  <c r="O107" i="29" s="1"/>
  <c r="M102" i="29" a="1"/>
  <c r="M102" i="29" s="1"/>
  <c r="V103" i="29" a="1"/>
  <c r="V103" i="29" s="1"/>
  <c r="N102" i="29" a="1"/>
  <c r="N102" i="29" s="1"/>
  <c r="J105" i="29" a="1"/>
  <c r="J105" i="29" s="1"/>
  <c r="U102" i="29" a="1"/>
  <c r="U102" i="29" s="1"/>
  <c r="K101" i="29" a="1"/>
  <c r="K101" i="29" s="1"/>
  <c r="T103" i="29" a="1"/>
  <c r="T103" i="29" s="1"/>
  <c r="M107" i="29" a="1"/>
  <c r="M107" i="29" s="1"/>
  <c r="Q98" i="29" a="1"/>
  <c r="Q98" i="29" s="1"/>
  <c r="U97" i="29" a="1"/>
  <c r="U97" i="29" s="1"/>
  <c r="W107" i="29" a="1"/>
  <c r="W107" i="29" s="1"/>
  <c r="M104" i="29" a="1"/>
  <c r="M104" i="29" s="1"/>
  <c r="S103" i="29" a="1"/>
  <c r="S103" i="29" s="1"/>
  <c r="W97" i="29" a="1"/>
  <c r="W97" i="29" s="1"/>
  <c r="R103" i="29" a="1"/>
  <c r="R103" i="29" s="1"/>
  <c r="L105" i="29" a="1"/>
  <c r="L105" i="29" s="1"/>
  <c r="T97" i="29" a="1"/>
  <c r="T97" i="29" s="1"/>
  <c r="J108" i="29" a="1"/>
  <c r="J108" i="29" s="1"/>
  <c r="V101" i="29" a="1"/>
  <c r="V101" i="29" s="1"/>
  <c r="D99" i="29" a="1"/>
  <c r="D99" i="29" s="1"/>
  <c r="I107" i="29" a="1"/>
  <c r="I107" i="29" s="1"/>
  <c r="Q101" i="29" a="1"/>
  <c r="Q101" i="29" s="1"/>
  <c r="L97" i="29" a="1"/>
  <c r="L97" i="29" s="1"/>
  <c r="G104" i="29" a="1"/>
  <c r="G104" i="29" s="1"/>
  <c r="P103" i="29" a="1"/>
  <c r="P103" i="29" s="1"/>
  <c r="I105" i="29" a="1"/>
  <c r="I105" i="29" s="1"/>
  <c r="H101" i="29" a="1"/>
  <c r="H101" i="29" s="1"/>
  <c r="M106" i="29" a="1"/>
  <c r="M106" i="29" s="1"/>
  <c r="K106" i="29" a="1"/>
  <c r="K106" i="29" s="1"/>
  <c r="E99" i="29" a="1"/>
  <c r="E99" i="29" s="1"/>
  <c r="E100" i="29" a="1"/>
  <c r="E100" i="29" s="1"/>
  <c r="Q105" i="29" a="1"/>
  <c r="Q105" i="29" s="1"/>
  <c r="U107" i="29" a="1"/>
  <c r="U107" i="29" s="1"/>
  <c r="R102" i="29" a="1"/>
  <c r="R102" i="29" s="1"/>
  <c r="J104" i="29" a="1"/>
  <c r="J104" i="29" s="1"/>
  <c r="H103" i="29" a="1"/>
  <c r="H103" i="29" s="1"/>
  <c r="S97" i="29" a="1"/>
  <c r="S97" i="29" s="1"/>
  <c r="T104" i="29" a="1"/>
  <c r="T104" i="29" s="1"/>
  <c r="Q103" i="29" a="1"/>
  <c r="Q103" i="29" s="1"/>
  <c r="M103" i="29" a="1"/>
  <c r="M103" i="29" s="1"/>
  <c r="E104" i="29" a="1"/>
  <c r="E104" i="29" s="1"/>
  <c r="P104" i="29" a="1"/>
  <c r="P104" i="29" s="1"/>
  <c r="Q102" i="29" a="1"/>
  <c r="Q102" i="29" s="1"/>
  <c r="W98" i="29" a="1"/>
  <c r="W98" i="29" s="1"/>
  <c r="D108" i="29" a="1"/>
  <c r="D108" i="29" s="1"/>
  <c r="L103" i="29" a="1"/>
  <c r="L103" i="29" s="1"/>
  <c r="R104" i="29" a="1"/>
  <c r="R104" i="29" s="1"/>
  <c r="T107" i="29" a="1"/>
  <c r="T107" i="29" s="1"/>
  <c r="O106" i="29" a="1"/>
  <c r="O106" i="29" s="1"/>
  <c r="V97" i="29" a="1"/>
  <c r="V97" i="29" s="1"/>
  <c r="U105" i="29" a="1"/>
  <c r="U105" i="29" s="1"/>
  <c r="U106" i="29" a="1"/>
  <c r="U106" i="29" s="1"/>
  <c r="D101" i="29" a="1"/>
  <c r="D101" i="29" s="1"/>
  <c r="O103" i="29" a="1"/>
  <c r="O103" i="29" s="1"/>
  <c r="D104" i="29" a="1"/>
  <c r="D104" i="29" s="1"/>
  <c r="L102" i="29" a="1"/>
  <c r="L102" i="29" s="1"/>
  <c r="T105" i="29" a="1"/>
  <c r="T105" i="29" s="1"/>
  <c r="N101" i="29" a="1"/>
  <c r="N101" i="29" s="1"/>
  <c r="K100" i="29" a="1"/>
  <c r="K100" i="29" s="1"/>
  <c r="H99" i="29" a="1"/>
  <c r="H99" i="29" s="1"/>
  <c r="P107" i="29" a="1"/>
  <c r="P107" i="29" s="1"/>
  <c r="H108" i="29" a="1"/>
  <c r="H108" i="29" s="1"/>
  <c r="S99" i="29" a="1"/>
  <c r="S99" i="29" s="1"/>
  <c r="R108" i="29" a="1"/>
  <c r="R108" i="29" s="1"/>
  <c r="U101" i="29" a="1"/>
  <c r="U101" i="29" s="1"/>
  <c r="K104" i="29" a="1"/>
  <c r="K104" i="29" s="1"/>
  <c r="G105" i="29" a="1"/>
  <c r="G105" i="29" s="1"/>
  <c r="E98" i="29" a="1"/>
  <c r="E98" i="29" s="1"/>
  <c r="F97" i="29" a="1"/>
  <c r="F97" i="29" s="1"/>
  <c r="G103" i="29" a="1"/>
  <c r="G103" i="29" s="1"/>
  <c r="F106" i="29" a="1"/>
  <c r="F106" i="29" s="1"/>
  <c r="V105" i="29" a="1"/>
  <c r="V105" i="29" s="1"/>
  <c r="L106" i="29" a="1"/>
  <c r="L106" i="29" s="1"/>
  <c r="T101" i="29" a="1"/>
  <c r="T101" i="29" s="1"/>
  <c r="G101" i="29" a="1"/>
  <c r="G101" i="29" s="1"/>
  <c r="H100" i="29" a="1"/>
  <c r="H100" i="29" s="1"/>
  <c r="N98" i="29" a="1"/>
  <c r="N98" i="29" s="1"/>
  <c r="G107" i="29" a="1"/>
  <c r="G107" i="29" s="1"/>
  <c r="N106" i="29" a="1"/>
  <c r="N106" i="29" s="1"/>
  <c r="D103" i="29" a="1"/>
  <c r="D103" i="29" s="1"/>
  <c r="E103" i="29" a="1"/>
  <c r="E103" i="29" s="1"/>
  <c r="W105" i="29" a="1"/>
  <c r="W105" i="29" s="1"/>
  <c r="K103" i="29" a="1"/>
  <c r="K103" i="29" s="1"/>
  <c r="Q108" i="29" a="1"/>
  <c r="Q108" i="29" s="1"/>
  <c r="E105" i="29" a="1"/>
  <c r="E105" i="29" s="1"/>
  <c r="L101" i="29" a="1"/>
  <c r="L101" i="29" s="1"/>
  <c r="D106" i="29" a="1"/>
  <c r="D106" i="29" s="1"/>
  <c r="S106" i="29" a="1"/>
  <c r="S106" i="29" s="1"/>
  <c r="J98" i="29" a="1"/>
  <c r="J98" i="29" s="1"/>
  <c r="S105" i="29" a="1"/>
  <c r="S105" i="29" s="1"/>
  <c r="I101" i="29" a="1"/>
  <c r="I101" i="29" s="1"/>
  <c r="L98" i="29" a="1"/>
  <c r="L98" i="29" s="1"/>
  <c r="D107" i="29" a="1"/>
  <c r="D107" i="29" s="1"/>
  <c r="G106" i="29" a="1"/>
  <c r="G106" i="29" s="1"/>
  <c r="T99" i="29" a="1"/>
  <c r="T99" i="29" s="1"/>
  <c r="J99" i="29" a="1"/>
  <c r="J99" i="29" s="1"/>
  <c r="D98" i="29" a="1"/>
  <c r="D98" i="29" s="1"/>
  <c r="V108" i="29" a="1"/>
  <c r="V108" i="29" s="1"/>
  <c r="I108" i="29" a="1"/>
  <c r="I108" i="29" s="1"/>
  <c r="O98" i="29" a="1"/>
  <c r="O98" i="29" s="1"/>
  <c r="O105" i="29" a="1"/>
  <c r="O105" i="29" s="1"/>
  <c r="D105" i="29" a="1"/>
  <c r="D105" i="29" s="1"/>
  <c r="H102" i="29" a="1"/>
  <c r="H102" i="29" s="1"/>
  <c r="W102" i="29" a="1"/>
  <c r="W102" i="29" s="1"/>
  <c r="N105" i="29" a="1"/>
  <c r="N105" i="29" s="1"/>
  <c r="Q100" i="29" a="1"/>
  <c r="Q100" i="29" s="1"/>
  <c r="W100" i="29" a="1"/>
  <c r="W100" i="29" s="1"/>
  <c r="F104" i="29" a="1"/>
  <c r="F104" i="29" s="1"/>
  <c r="I104" i="29" a="1"/>
  <c r="I104" i="29" s="1"/>
  <c r="I99" i="29" a="1"/>
  <c r="I99" i="29" s="1"/>
  <c r="F101" i="29" a="1"/>
  <c r="F101" i="29" s="1"/>
  <c r="H98" i="29" a="1"/>
  <c r="H98" i="29" s="1"/>
  <c r="M105" i="29" a="1"/>
  <c r="M105" i="29" s="1"/>
  <c r="V99" i="29" a="1"/>
  <c r="V99" i="29" s="1"/>
  <c r="P101" i="29" a="1"/>
  <c r="P101" i="29" s="1"/>
  <c r="J97" i="59" a="1"/>
  <c r="J97" i="59" s="1"/>
  <c r="O101" i="59" a="1"/>
  <c r="O101" i="59" s="1"/>
  <c r="N107" i="59" a="1"/>
  <c r="N107" i="59" s="1"/>
  <c r="K102" i="59" a="1"/>
  <c r="K102" i="59" s="1"/>
  <c r="V97" i="59" a="1"/>
  <c r="V97" i="59" s="1"/>
  <c r="P108" i="59" a="1"/>
  <c r="P108" i="59" s="1"/>
  <c r="I101" i="59" a="1"/>
  <c r="I101" i="59" s="1"/>
  <c r="G107" i="59" a="1"/>
  <c r="G107" i="59" s="1"/>
  <c r="P97" i="59" a="1"/>
  <c r="P97" i="59" s="1"/>
  <c r="L100" i="59" a="1"/>
  <c r="L100" i="59" s="1"/>
  <c r="V99" i="59" a="1"/>
  <c r="V99" i="59" s="1"/>
  <c r="J104" i="59" a="1"/>
  <c r="J104" i="59" s="1"/>
  <c r="E105" i="59" a="1"/>
  <c r="E105" i="59" s="1"/>
  <c r="D99" i="59" a="1"/>
  <c r="D99" i="59" s="1"/>
  <c r="D105" i="59" a="1"/>
  <c r="D105" i="59" s="1"/>
  <c r="D97" i="59" a="1"/>
  <c r="D97" i="59" s="1"/>
  <c r="U100" i="59" a="1"/>
  <c r="U100" i="59" s="1"/>
  <c r="K101" i="59" a="1"/>
  <c r="K101" i="59" s="1"/>
  <c r="I102" i="59" a="1"/>
  <c r="I102" i="59" s="1"/>
  <c r="P98" i="59" a="1"/>
  <c r="P98" i="59" s="1"/>
  <c r="N100" i="59" a="1"/>
  <c r="N100" i="59" s="1"/>
  <c r="E99" i="59" a="1"/>
  <c r="E99" i="59" s="1"/>
  <c r="T105" i="59" a="1"/>
  <c r="T105" i="59" s="1"/>
  <c r="E98" i="59" a="1"/>
  <c r="E98" i="59" s="1"/>
  <c r="V104" i="59" a="1"/>
  <c r="V104" i="59" s="1"/>
  <c r="J101" i="59" a="1"/>
  <c r="J101" i="59" s="1"/>
  <c r="U99" i="59" a="1"/>
  <c r="U99" i="59" s="1"/>
  <c r="I97" i="59" a="1"/>
  <c r="I97" i="59" s="1"/>
  <c r="F98" i="59" a="1"/>
  <c r="F98" i="59" s="1"/>
  <c r="F101" i="59" a="1"/>
  <c r="F101" i="59" s="1"/>
  <c r="R101" i="59" a="1"/>
  <c r="R101" i="59" s="1"/>
  <c r="I106" i="59" a="1"/>
  <c r="I106" i="59" s="1"/>
  <c r="F104" i="59" a="1"/>
  <c r="F104" i="59" s="1"/>
  <c r="K100" i="59" a="1"/>
  <c r="K100" i="59" s="1"/>
  <c r="F102" i="59" a="1"/>
  <c r="F102" i="59" s="1"/>
  <c r="T99" i="59" a="1"/>
  <c r="T99" i="59" s="1"/>
  <c r="U105" i="59" a="1"/>
  <c r="U105" i="59" s="1"/>
  <c r="U97" i="59" a="1"/>
  <c r="U97" i="59" s="1"/>
  <c r="R107" i="59" a="1"/>
  <c r="R107" i="59" s="1"/>
  <c r="W107" i="59" a="1"/>
  <c r="W107" i="59" s="1"/>
  <c r="G103" i="59" a="1"/>
  <c r="G103" i="59" s="1"/>
  <c r="K103" i="59" a="1"/>
  <c r="K103" i="59" s="1"/>
  <c r="H99" i="59" a="1"/>
  <c r="H99" i="59" s="1"/>
  <c r="I99" i="59" a="1"/>
  <c r="I99" i="59" s="1"/>
  <c r="F105" i="59" a="1"/>
  <c r="F105" i="59" s="1"/>
  <c r="F97" i="59" a="1"/>
  <c r="F97" i="59" s="1"/>
  <c r="H97" i="59" a="1"/>
  <c r="H97" i="59" s="1"/>
  <c r="D98" i="59" a="1"/>
  <c r="D98" i="59" s="1"/>
  <c r="W100" i="59" a="1"/>
  <c r="W100" i="59" s="1"/>
  <c r="L102" i="59" a="1"/>
  <c r="L102" i="59" s="1"/>
  <c r="F108" i="59" a="1"/>
  <c r="F108" i="59" s="1"/>
  <c r="I107" i="59" a="1"/>
  <c r="I107" i="59" s="1"/>
  <c r="K108" i="59" a="1"/>
  <c r="K108" i="59" s="1"/>
  <c r="E108" i="59" a="1"/>
  <c r="E108" i="59" s="1"/>
  <c r="V108" i="59" a="1"/>
  <c r="V108" i="59" s="1"/>
  <c r="F106" i="59" a="1"/>
  <c r="F106" i="59" s="1"/>
  <c r="L105" i="59" a="1"/>
  <c r="L105" i="59" s="1"/>
  <c r="T97" i="59" a="1"/>
  <c r="T97" i="59" s="1"/>
  <c r="H104" i="59" a="1"/>
  <c r="H104" i="59" s="1"/>
  <c r="T103" i="59" a="1"/>
  <c r="T103" i="59" s="1"/>
  <c r="S104" i="59" a="1"/>
  <c r="S104" i="59" s="1"/>
  <c r="J108" i="59" a="1"/>
  <c r="J108" i="59" s="1"/>
  <c r="V101" i="59" a="1"/>
  <c r="V101" i="59" s="1"/>
  <c r="G102" i="59" a="1"/>
  <c r="G102" i="59" s="1"/>
  <c r="D102" i="59" a="1"/>
  <c r="D102" i="59" s="1"/>
  <c r="P107" i="59" a="1"/>
  <c r="P107" i="59" s="1"/>
  <c r="O107" i="59" a="1"/>
  <c r="O107" i="59" s="1"/>
  <c r="U107" i="59" a="1"/>
  <c r="U107" i="59" s="1"/>
  <c r="W99" i="59" a="1"/>
  <c r="W99" i="59" s="1"/>
  <c r="K107" i="59" a="1"/>
  <c r="K107" i="59" s="1"/>
  <c r="W101" i="59" a="1"/>
  <c r="W101" i="59" s="1"/>
  <c r="M102" i="59" a="1"/>
  <c r="M102" i="59" s="1"/>
  <c r="V103" i="59" a="1"/>
  <c r="V103" i="59" s="1"/>
  <c r="T106" i="59" a="1"/>
  <c r="T106" i="59" s="1"/>
  <c r="G98" i="59" a="1"/>
  <c r="G98" i="59" s="1"/>
  <c r="G105" i="59" a="1"/>
  <c r="G105" i="59" s="1"/>
  <c r="H105" i="59" a="1"/>
  <c r="H105" i="59" s="1"/>
  <c r="J107" i="59" a="1"/>
  <c r="J107" i="59" s="1"/>
  <c r="V107" i="59" a="1"/>
  <c r="V107" i="59" s="1"/>
  <c r="E102" i="59" a="1"/>
  <c r="E102" i="59" s="1"/>
  <c r="G99" i="59" a="1"/>
  <c r="G99" i="59" s="1"/>
  <c r="H102" i="59" a="1"/>
  <c r="H102" i="59" s="1"/>
  <c r="K97" i="59" a="1"/>
  <c r="K97" i="59" s="1"/>
  <c r="I104" i="59" a="1"/>
  <c r="I104" i="59" s="1"/>
  <c r="G104" i="59" a="1"/>
  <c r="G104" i="59" s="1"/>
  <c r="O104" i="59" a="1"/>
  <c r="O104" i="59" s="1"/>
  <c r="O108" i="59" a="1"/>
  <c r="O108" i="59" s="1"/>
  <c r="R103" i="59" a="1"/>
  <c r="R103" i="59" s="1"/>
  <c r="L98" i="59" a="1"/>
  <c r="L98" i="59" s="1"/>
  <c r="T104" i="59" a="1"/>
  <c r="T104" i="59" s="1"/>
  <c r="W105" i="59" a="1"/>
  <c r="W105" i="59" s="1"/>
  <c r="K106" i="59" a="1"/>
  <c r="K106" i="59" s="1"/>
  <c r="U101" i="59" a="1"/>
  <c r="U101" i="59" s="1"/>
  <c r="O106" i="59" a="1"/>
  <c r="O106" i="59" s="1"/>
  <c r="P104" i="59" a="1"/>
  <c r="P104" i="59" s="1"/>
  <c r="S97" i="59" a="1"/>
  <c r="S97" i="59" s="1"/>
  <c r="V105" i="59" a="1"/>
  <c r="V105" i="59" s="1"/>
  <c r="H107" i="59" a="1"/>
  <c r="H107" i="59" s="1"/>
  <c r="U102" i="59" a="1"/>
  <c r="U102" i="59" s="1"/>
  <c r="M101" i="59" a="1"/>
  <c r="M101" i="59" s="1"/>
  <c r="S108" i="59" a="1"/>
  <c r="S108" i="59" s="1"/>
  <c r="S98" i="59" a="1"/>
  <c r="S98" i="59" s="1"/>
  <c r="F99" i="59" a="1"/>
  <c r="F99" i="59" s="1"/>
  <c r="M103" i="59" a="1"/>
  <c r="M103" i="59" s="1"/>
  <c r="J103" i="59" a="1"/>
  <c r="J103" i="59" s="1"/>
  <c r="N101" i="59" a="1"/>
  <c r="N101" i="59" s="1"/>
  <c r="M107" i="59" a="1"/>
  <c r="M107" i="59" s="1"/>
  <c r="L101" i="59" a="1"/>
  <c r="L101" i="59" s="1"/>
  <c r="W108" i="59" a="1"/>
  <c r="W108" i="59" s="1"/>
  <c r="Q102" i="59" a="1"/>
  <c r="Q102" i="59" s="1"/>
  <c r="G100" i="59" a="1"/>
  <c r="G100" i="59" s="1"/>
  <c r="Q98" i="59" a="1"/>
  <c r="Q98" i="59" s="1"/>
  <c r="V98" i="59" a="1"/>
  <c r="V98" i="59" s="1"/>
  <c r="I105" i="59" a="1"/>
  <c r="I105" i="59" s="1"/>
  <c r="P100" i="59" a="1"/>
  <c r="P100" i="59" s="1"/>
  <c r="G108" i="59" a="1"/>
  <c r="G108" i="59" s="1"/>
  <c r="S101" i="59" a="1"/>
  <c r="S101" i="59" s="1"/>
  <c r="I108" i="59" a="1"/>
  <c r="I108" i="59" s="1"/>
  <c r="N106" i="59" a="1"/>
  <c r="N106" i="59" s="1"/>
  <c r="I98" i="59" a="1"/>
  <c r="I98" i="59" s="1"/>
  <c r="H98" i="59" a="1"/>
  <c r="H98" i="59" s="1"/>
  <c r="L107" i="59" a="1"/>
  <c r="L107" i="59" s="1"/>
  <c r="D100" i="59" a="1"/>
  <c r="D100" i="59" s="1"/>
  <c r="P105" i="59" a="1"/>
  <c r="P105" i="59" s="1"/>
  <c r="U106" i="59" a="1"/>
  <c r="U106" i="59" s="1"/>
  <c r="D103" i="59" a="1"/>
  <c r="D103" i="59" s="1"/>
  <c r="M104" i="59" a="1"/>
  <c r="M104" i="59" s="1"/>
  <c r="L104" i="59" a="1"/>
  <c r="L104" i="59" s="1"/>
  <c r="M98" i="59" a="1"/>
  <c r="M98" i="59" s="1"/>
  <c r="J102" i="59" a="1"/>
  <c r="J102" i="59" s="1"/>
  <c r="D108" i="59" a="1"/>
  <c r="D108" i="59" s="1"/>
  <c r="H101" i="59" a="1"/>
  <c r="H101" i="59" s="1"/>
  <c r="N108" i="59" a="1"/>
  <c r="N108" i="59" s="1"/>
  <c r="H106" i="59" a="1"/>
  <c r="H106" i="59" s="1"/>
  <c r="T98" i="59" a="1"/>
  <c r="T98" i="59" s="1"/>
  <c r="T100" i="59" a="1"/>
  <c r="T100" i="59" s="1"/>
  <c r="P106" i="59" a="1"/>
  <c r="P106" i="59" s="1"/>
  <c r="E97" i="59" a="1"/>
  <c r="E97" i="59" s="1"/>
  <c r="W102" i="59" a="1"/>
  <c r="W102" i="59" s="1"/>
  <c r="U108" i="59" a="1"/>
  <c r="U108" i="59" s="1"/>
  <c r="Q108" i="59" a="1"/>
  <c r="Q108" i="59" s="1"/>
  <c r="M100" i="59" a="1"/>
  <c r="M100" i="59" s="1"/>
  <c r="L99" i="59" a="1"/>
  <c r="L99" i="59" s="1"/>
  <c r="L97" i="59" a="1"/>
  <c r="L97" i="59" s="1"/>
  <c r="N98" i="59" a="1"/>
  <c r="N98" i="59" s="1"/>
  <c r="D107" i="59" a="1"/>
  <c r="D107" i="59" s="1"/>
  <c r="L103" i="59" a="1"/>
  <c r="L103" i="59" s="1"/>
  <c r="M97" i="59" a="1"/>
  <c r="M97" i="59" s="1"/>
  <c r="O102" i="59" a="1"/>
  <c r="O102" i="59" s="1"/>
  <c r="V106" i="59" a="1"/>
  <c r="V106" i="59" s="1"/>
  <c r="Q99" i="59" a="1"/>
  <c r="Q99" i="59" s="1"/>
  <c r="E100" i="59" a="1"/>
  <c r="E100" i="59" s="1"/>
  <c r="E106" i="59" a="1"/>
  <c r="E106" i="59" s="1"/>
  <c r="O105" i="59" a="1"/>
  <c r="O105" i="59" s="1"/>
  <c r="T107" i="59" a="1"/>
  <c r="T107" i="59" s="1"/>
  <c r="K104" i="59" a="1"/>
  <c r="K104" i="59" s="1"/>
  <c r="I103" i="59" a="1"/>
  <c r="I103" i="59" s="1"/>
  <c r="S103" i="59" a="1"/>
  <c r="S103" i="59" s="1"/>
  <c r="V102" i="59" a="1"/>
  <c r="V102" i="59" s="1"/>
  <c r="S102" i="59" a="1"/>
  <c r="S102" i="59" s="1"/>
  <c r="K99" i="59" a="1"/>
  <c r="K99" i="59" s="1"/>
  <c r="L108" i="59" a="1"/>
  <c r="L108" i="59" s="1"/>
  <c r="Q100" i="59" a="1"/>
  <c r="Q100" i="59" s="1"/>
  <c r="H100" i="59" a="1"/>
  <c r="H100" i="59" s="1"/>
  <c r="I100" i="59" a="1"/>
  <c r="I100" i="59" s="1"/>
  <c r="E107" i="59" a="1"/>
  <c r="E107" i="59" s="1"/>
  <c r="Q107" i="59" a="1"/>
  <c r="Q107" i="59" s="1"/>
  <c r="M108" i="59" a="1"/>
  <c r="M108" i="59" s="1"/>
  <c r="O100" i="59" a="1"/>
  <c r="O100" i="59" s="1"/>
  <c r="G101" i="59" a="1"/>
  <c r="G101" i="59" s="1"/>
  <c r="G97" i="59" a="1"/>
  <c r="G97" i="59" s="1"/>
  <c r="E101" i="59" a="1"/>
  <c r="E101" i="59" s="1"/>
  <c r="W98" i="59" a="1"/>
  <c r="W98" i="59" s="1"/>
  <c r="U98" i="59" a="1"/>
  <c r="U98" i="59" s="1"/>
  <c r="G106" i="59" a="1"/>
  <c r="G106" i="59" s="1"/>
  <c r="F103" i="59" a="1"/>
  <c r="F103" i="59" s="1"/>
  <c r="D101" i="59" a="1"/>
  <c r="D101" i="59" s="1"/>
  <c r="S105" i="59" a="1"/>
  <c r="S105" i="59" s="1"/>
  <c r="R97" i="59" a="1"/>
  <c r="R97" i="59" s="1"/>
  <c r="Q101" i="59" a="1"/>
  <c r="Q101" i="59" s="1"/>
  <c r="N99" i="59" a="1"/>
  <c r="N99" i="59" s="1"/>
  <c r="S99" i="59" a="1"/>
  <c r="S99" i="59" s="1"/>
  <c r="S107" i="59" a="1"/>
  <c r="S107" i="59" s="1"/>
  <c r="R104" i="59" a="1"/>
  <c r="R104" i="59" s="1"/>
  <c r="Q103" i="59" a="1"/>
  <c r="Q103" i="59" s="1"/>
  <c r="T101" i="59" a="1"/>
  <c r="T101" i="59" s="1"/>
  <c r="M99" i="59" a="1"/>
  <c r="M99" i="59" s="1"/>
  <c r="Q97" i="59" a="1"/>
  <c r="Q97" i="59" s="1"/>
  <c r="P103" i="59" a="1"/>
  <c r="P103" i="59" s="1"/>
  <c r="R106" i="59" a="1"/>
  <c r="R106" i="59" s="1"/>
  <c r="M105" i="59" a="1"/>
  <c r="M105" i="59" s="1"/>
  <c r="J99" i="59" a="1"/>
  <c r="J99" i="59" s="1"/>
  <c r="H103" i="59" a="1"/>
  <c r="H103" i="59" s="1"/>
  <c r="J105" i="59" a="1"/>
  <c r="J105" i="59" s="1"/>
  <c r="R102" i="59" a="1"/>
  <c r="R102" i="59" s="1"/>
  <c r="S106" i="59" a="1"/>
  <c r="S106" i="59" s="1"/>
  <c r="F100" i="59" a="1"/>
  <c r="F100" i="59" s="1"/>
  <c r="E104" i="59" a="1"/>
  <c r="E104" i="59" s="1"/>
  <c r="J106" i="59" a="1"/>
  <c r="J106" i="59" s="1"/>
  <c r="K98" i="59" a="1"/>
  <c r="K98" i="59" s="1"/>
  <c r="O97" i="59" a="1"/>
  <c r="O97" i="59" s="1"/>
  <c r="L106" i="59" a="1"/>
  <c r="L106" i="59" s="1"/>
  <c r="R108" i="59" a="1"/>
  <c r="R108" i="59" s="1"/>
  <c r="P102" i="59" a="1"/>
  <c r="P102" i="59" s="1"/>
  <c r="N97" i="59" a="1"/>
  <c r="N97" i="59" s="1"/>
  <c r="D104" i="59" a="1"/>
  <c r="D104" i="59" s="1"/>
  <c r="K105" i="59" a="1"/>
  <c r="K105" i="59" s="1"/>
  <c r="T108" i="59" a="1"/>
  <c r="T108" i="59" s="1"/>
  <c r="T102" i="59" a="1"/>
  <c r="T102" i="59" s="1"/>
  <c r="J100" i="59" a="1"/>
  <c r="J100" i="59" s="1"/>
  <c r="O98" i="59" a="1"/>
  <c r="O98" i="59" s="1"/>
  <c r="H108" i="59" a="1"/>
  <c r="H108" i="59" s="1"/>
  <c r="S100" i="59" a="1"/>
  <c r="S100" i="59" s="1"/>
  <c r="J98" i="59" a="1"/>
  <c r="J98" i="59" s="1"/>
  <c r="W97" i="59" a="1"/>
  <c r="W97" i="59" s="1"/>
  <c r="E103" i="59" a="1"/>
  <c r="E103" i="59" s="1"/>
  <c r="W106" i="59" a="1"/>
  <c r="W106" i="59" s="1"/>
  <c r="W103" i="59" a="1"/>
  <c r="W103" i="59" s="1"/>
  <c r="N104" i="59" a="1"/>
  <c r="N104" i="59" s="1"/>
  <c r="O103" i="59" a="1"/>
  <c r="O103" i="59" s="1"/>
  <c r="G132" i="29"/>
  <c r="G155" i="29" s="1"/>
  <c r="F134" i="29"/>
  <c r="F171" i="29" s="1"/>
  <c r="T199" i="1"/>
  <c r="P199" i="1"/>
  <c r="U199" i="1" s="1"/>
  <c r="P213" i="1"/>
  <c r="U213" i="1" s="1"/>
  <c r="T213" i="1"/>
  <c r="Q142" i="59"/>
  <c r="Q143" i="59" s="1"/>
  <c r="U142" i="59"/>
  <c r="U143" i="59" s="1"/>
  <c r="H142" i="59"/>
  <c r="H143" i="59" s="1"/>
  <c r="D244" i="59"/>
  <c r="L142" i="59"/>
  <c r="L143" i="59" s="1"/>
  <c r="G142" i="59"/>
  <c r="G143" i="59" s="1"/>
  <c r="C248" i="59"/>
  <c r="V142" i="59"/>
  <c r="V143" i="59" s="1"/>
  <c r="R142" i="59"/>
  <c r="R143" i="59" s="1"/>
  <c r="K142" i="59"/>
  <c r="K143" i="59" s="1"/>
  <c r="C249" i="59"/>
  <c r="T142" i="59"/>
  <c r="T143" i="59" s="1"/>
  <c r="E142" i="59"/>
  <c r="E143" i="59" s="1"/>
  <c r="F142" i="59"/>
  <c r="F143" i="59" s="1"/>
  <c r="P142" i="59"/>
  <c r="P143" i="59" s="1"/>
  <c r="W142" i="59"/>
  <c r="W143" i="59" s="1"/>
  <c r="J142" i="59"/>
  <c r="J143" i="59" s="1"/>
  <c r="N142" i="59"/>
  <c r="N143" i="59" s="1"/>
  <c r="D142" i="59"/>
  <c r="D143" i="59" s="1"/>
  <c r="O142" i="59"/>
  <c r="O143" i="59" s="1"/>
  <c r="M142" i="59"/>
  <c r="M143" i="59" s="1"/>
  <c r="I142" i="59"/>
  <c r="I143" i="59" s="1"/>
  <c r="C247" i="59"/>
  <c r="S142" i="59"/>
  <c r="S143" i="59" s="1"/>
  <c r="K237" i="59"/>
  <c r="P261" i="1"/>
  <c r="U261" i="1" s="1"/>
  <c r="T261" i="1"/>
  <c r="T234" i="1"/>
  <c r="P234" i="1"/>
  <c r="U234" i="1" s="1"/>
  <c r="T237" i="1"/>
  <c r="P237" i="1"/>
  <c r="U237" i="1" s="1"/>
  <c r="P269" i="1"/>
  <c r="U269" i="1" s="1"/>
  <c r="T269" i="1"/>
  <c r="T75" i="1"/>
  <c r="P75" i="1"/>
  <c r="U75" i="1" s="1"/>
  <c r="T54" i="1"/>
  <c r="P54" i="1"/>
  <c r="U54" i="1" s="1"/>
  <c r="D163" i="59"/>
  <c r="E163" i="59" s="1"/>
  <c r="F163" i="59" s="1"/>
  <c r="G163" i="59" s="1"/>
  <c r="H163" i="59" s="1"/>
  <c r="I163" i="59" s="1"/>
  <c r="J163" i="59" s="1"/>
  <c r="K163" i="59" s="1"/>
  <c r="L163" i="59" s="1"/>
  <c r="M163" i="59" s="1"/>
  <c r="N163" i="59" s="1"/>
  <c r="O163" i="59" s="1"/>
  <c r="P163" i="59" s="1"/>
  <c r="Q163" i="59" s="1"/>
  <c r="R163" i="59" s="1"/>
  <c r="S163" i="59" s="1"/>
  <c r="T163" i="59" s="1"/>
  <c r="U163" i="59" s="1"/>
  <c r="V163" i="59" s="1"/>
  <c r="W163" i="59" s="1"/>
  <c r="E239" i="29"/>
  <c r="T81" i="1"/>
  <c r="P81" i="1"/>
  <c r="U81" i="1" s="1"/>
  <c r="T31" i="1"/>
  <c r="P31" i="1"/>
  <c r="U31" i="1" s="1"/>
  <c r="T221" i="1"/>
  <c r="P221" i="1"/>
  <c r="U221" i="1" s="1"/>
  <c r="P71" i="1"/>
  <c r="U71" i="1" s="1"/>
  <c r="T71" i="1"/>
  <c r="P206" i="1"/>
  <c r="U206" i="1" s="1"/>
  <c r="T206" i="1"/>
  <c r="T178" i="1"/>
  <c r="P178" i="1"/>
  <c r="U178" i="1" s="1"/>
  <c r="T12" i="1"/>
  <c r="P12" i="1"/>
  <c r="U12" i="1" s="1"/>
  <c r="T259" i="1"/>
  <c r="P259" i="1"/>
  <c r="U259" i="1" s="1"/>
  <c r="P239" i="1"/>
  <c r="U239" i="1" s="1"/>
  <c r="T239" i="1"/>
  <c r="T143" i="1"/>
  <c r="P143" i="1"/>
  <c r="U143" i="1" s="1"/>
  <c r="P63" i="1"/>
  <c r="U63" i="1" s="1"/>
  <c r="T63" i="1"/>
  <c r="T275" i="1"/>
  <c r="P275" i="1"/>
  <c r="U275" i="1" s="1"/>
  <c r="U103" i="29" a="1"/>
  <c r="U103" i="29" s="1"/>
  <c r="K92" i="29"/>
  <c r="T108" i="1"/>
  <c r="P108" i="1"/>
  <c r="U108" i="1" s="1"/>
  <c r="P212" i="1"/>
  <c r="U212" i="1" s="1"/>
  <c r="T212" i="1"/>
  <c r="P138" i="1"/>
  <c r="U138" i="1" s="1"/>
  <c r="T138" i="1"/>
  <c r="P262" i="1"/>
  <c r="U262" i="1" s="1"/>
  <c r="T262" i="1"/>
  <c r="P32" i="1"/>
  <c r="U32" i="1" s="1"/>
  <c r="T32" i="1"/>
  <c r="P190" i="1"/>
  <c r="U190" i="1" s="1"/>
  <c r="T190" i="1"/>
  <c r="P105" i="1"/>
  <c r="U105" i="1" s="1"/>
  <c r="T105" i="1"/>
  <c r="T80" i="1"/>
  <c r="P80" i="1"/>
  <c r="U80" i="1" s="1"/>
  <c r="P231" i="1"/>
  <c r="U231" i="1" s="1"/>
  <c r="T231" i="1"/>
  <c r="P155" i="1"/>
  <c r="U155" i="1" s="1"/>
  <c r="T155" i="1"/>
  <c r="T208" i="1"/>
  <c r="P208" i="1"/>
  <c r="U208" i="1" s="1"/>
  <c r="P96" i="1"/>
  <c r="U96" i="1" s="1"/>
  <c r="T96" i="1"/>
  <c r="T94" i="1"/>
  <c r="P94" i="1"/>
  <c r="U94" i="1" s="1"/>
  <c r="T53" i="1"/>
  <c r="P53" i="1"/>
  <c r="U53" i="1" s="1"/>
  <c r="T267" i="1"/>
  <c r="P267" i="1"/>
  <c r="U267" i="1" s="1"/>
  <c r="G239" i="29"/>
  <c r="R99" i="59" a="1"/>
  <c r="R99" i="59" s="1"/>
  <c r="G148" i="29"/>
  <c r="G149" i="29" s="1"/>
  <c r="F148" i="29"/>
  <c r="F149" i="29" s="1"/>
  <c r="D92" i="29"/>
  <c r="D239" i="29"/>
  <c r="N103" i="29" a="1"/>
  <c r="N103" i="29" s="1"/>
  <c r="E148" i="29"/>
  <c r="E149" i="29" s="1"/>
  <c r="D148" i="29"/>
  <c r="D149" i="29" s="1"/>
  <c r="P124" i="1"/>
  <c r="U124" i="1" s="1"/>
  <c r="T124" i="1"/>
  <c r="T194" i="1"/>
  <c r="P194" i="1"/>
  <c r="U194" i="1" s="1"/>
  <c r="T250" i="1"/>
  <c r="P250" i="1"/>
  <c r="U250" i="1" s="1"/>
  <c r="T44" i="1"/>
  <c r="P44" i="1"/>
  <c r="U44" i="1" s="1"/>
  <c r="T90" i="1"/>
  <c r="P90" i="1"/>
  <c r="U90" i="1" s="1"/>
  <c r="P69" i="1"/>
  <c r="U69" i="1" s="1"/>
  <c r="T69" i="1"/>
  <c r="T11" i="1"/>
  <c r="P11" i="1"/>
  <c r="U11" i="1" s="1"/>
  <c r="T260" i="1"/>
  <c r="P260" i="1"/>
  <c r="U260" i="1" s="1"/>
  <c r="T180" i="1"/>
  <c r="P180" i="1"/>
  <c r="U180" i="1" s="1"/>
  <c r="T104" i="1"/>
  <c r="P104" i="1"/>
  <c r="U104" i="1" s="1"/>
  <c r="T179" i="1"/>
  <c r="P179" i="1"/>
  <c r="U179" i="1" s="1"/>
  <c r="T159" i="1"/>
  <c r="P159" i="1"/>
  <c r="U159" i="1" s="1"/>
  <c r="P136" i="1"/>
  <c r="U136" i="1" s="1"/>
  <c r="T136" i="1"/>
  <c r="T130" i="1"/>
  <c r="P130" i="1"/>
  <c r="U130" i="1" s="1"/>
  <c r="P200" i="1"/>
  <c r="U200" i="1" s="1"/>
  <c r="T200" i="1"/>
  <c r="P116" i="1"/>
  <c r="U116" i="1" s="1"/>
  <c r="T116" i="1"/>
  <c r="T55" i="1"/>
  <c r="P55" i="1"/>
  <c r="U55" i="1" s="1"/>
  <c r="D148" i="59"/>
  <c r="D149" i="59" s="1"/>
  <c r="D237" i="59"/>
  <c r="N103" i="59" a="1"/>
  <c r="N103" i="59" s="1"/>
  <c r="L237" i="59"/>
  <c r="P120" i="1"/>
  <c r="U120" i="1" s="1"/>
  <c r="T120" i="1"/>
  <c r="N104" i="29" a="1"/>
  <c r="N104" i="29" s="1"/>
  <c r="T45" i="1"/>
  <c r="P45" i="1"/>
  <c r="U45" i="1" s="1"/>
  <c r="P165" i="1"/>
  <c r="U165" i="1" s="1"/>
  <c r="T165" i="1"/>
  <c r="P273" i="1"/>
  <c r="U273" i="1" s="1"/>
  <c r="T273" i="1"/>
  <c r="T228" i="1"/>
  <c r="P228" i="1"/>
  <c r="U228" i="1" s="1"/>
  <c r="P112" i="1"/>
  <c r="U112" i="1" s="1"/>
  <c r="T112" i="1"/>
  <c r="T175" i="1"/>
  <c r="P175" i="1"/>
  <c r="U175" i="1" s="1"/>
  <c r="T109" i="1"/>
  <c r="P109" i="1"/>
  <c r="U109" i="1" s="1"/>
  <c r="T93" i="1"/>
  <c r="P93" i="1"/>
  <c r="U93" i="1" s="1"/>
  <c r="F239" i="29"/>
  <c r="C257" i="59"/>
  <c r="D257" i="59" s="1"/>
  <c r="E257" i="59" s="1"/>
  <c r="F257" i="59" s="1"/>
  <c r="G257" i="59" s="1"/>
  <c r="H257" i="59" s="1"/>
  <c r="I257" i="59" s="1"/>
  <c r="J257" i="59" s="1"/>
  <c r="K257" i="59" s="1"/>
  <c r="T168" i="1"/>
  <c r="P168" i="1"/>
  <c r="U168" i="1" s="1"/>
  <c r="P126" i="1"/>
  <c r="U126" i="1" s="1"/>
  <c r="T126" i="1"/>
  <c r="T66" i="1"/>
  <c r="P66" i="1"/>
  <c r="U66" i="1" s="1"/>
  <c r="T230" i="1"/>
  <c r="P230" i="1"/>
  <c r="U230" i="1" s="1"/>
  <c r="T46" i="1"/>
  <c r="P46" i="1"/>
  <c r="U46" i="1" s="1"/>
  <c r="P181" i="1"/>
  <c r="U181" i="1" s="1"/>
  <c r="T181" i="1"/>
  <c r="P35" i="1"/>
  <c r="U35" i="1" s="1"/>
  <c r="T35" i="1"/>
  <c r="T24" i="1"/>
  <c r="P24" i="1"/>
  <c r="U24" i="1" s="1"/>
  <c r="T189" i="1"/>
  <c r="P189" i="1"/>
  <c r="U189" i="1" s="1"/>
  <c r="P39" i="1"/>
  <c r="U39" i="1" s="1"/>
  <c r="T39" i="1"/>
  <c r="T241" i="1"/>
  <c r="P241" i="1"/>
  <c r="U241" i="1" s="1"/>
  <c r="T268" i="1"/>
  <c r="P268" i="1"/>
  <c r="U268" i="1" s="1"/>
  <c r="P22" i="1"/>
  <c r="U22" i="1" s="1"/>
  <c r="T22" i="1"/>
  <c r="T142" i="1"/>
  <c r="P142" i="1"/>
  <c r="U142" i="1" s="1"/>
  <c r="P277" i="1"/>
  <c r="U277" i="1" s="1"/>
  <c r="T277" i="1"/>
  <c r="U103" i="59" a="1"/>
  <c r="U103" i="59" s="1"/>
  <c r="H92" i="29"/>
  <c r="K148" i="29"/>
  <c r="K149" i="29" s="1"/>
  <c r="R101" i="29" a="1"/>
  <c r="R101" i="29" s="1"/>
  <c r="I148" i="29"/>
  <c r="I149" i="29" s="1"/>
  <c r="H148" i="29"/>
  <c r="H149" i="29" s="1"/>
  <c r="J148" i="29"/>
  <c r="J149" i="29" s="1"/>
  <c r="L148" i="29"/>
  <c r="L149" i="29" s="1"/>
  <c r="O99" i="59" a="1"/>
  <c r="O99" i="59" s="1"/>
  <c r="I148" i="59"/>
  <c r="I149" i="59" s="1"/>
  <c r="K239" i="29"/>
  <c r="H239" i="29"/>
  <c r="R99" i="29" a="1"/>
  <c r="R99" i="29" s="1"/>
  <c r="I239" i="29"/>
  <c r="J239" i="29"/>
  <c r="L239" i="29"/>
  <c r="T103" i="1"/>
  <c r="P103" i="1"/>
  <c r="U103" i="1" s="1"/>
  <c r="B238" i="59"/>
  <c r="G14" i="7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4" i="7" s="1"/>
  <c r="AI14" i="7" s="1"/>
  <c r="AJ14" i="7" s="1"/>
  <c r="B240" i="29"/>
  <c r="B238" i="29"/>
  <c r="U238" i="29" s="1"/>
  <c r="D302" i="29"/>
  <c r="E302" i="29" s="1"/>
  <c r="F302" i="29" s="1"/>
  <c r="G302" i="29" s="1"/>
  <c r="H302" i="29" s="1"/>
  <c r="I302" i="29" s="1"/>
  <c r="J302" i="29" s="1"/>
  <c r="K302" i="29" s="1"/>
  <c r="L302" i="29" s="1"/>
  <c r="M302" i="29" s="1"/>
  <c r="N302" i="29" s="1"/>
  <c r="O302" i="29" s="1"/>
  <c r="P302" i="29" s="1"/>
  <c r="Q302" i="29" s="1"/>
  <c r="R302" i="29" s="1"/>
  <c r="S302" i="29" s="1"/>
  <c r="T302" i="29" s="1"/>
  <c r="U302" i="29" s="1"/>
  <c r="V302" i="29" s="1"/>
  <c r="W302" i="29" s="1"/>
  <c r="D302" i="59"/>
  <c r="E302" i="59" s="1"/>
  <c r="F302" i="59" s="1"/>
  <c r="G302" i="59" s="1"/>
  <c r="H302" i="59" s="1"/>
  <c r="I302" i="59" s="1"/>
  <c r="J302" i="59" s="1"/>
  <c r="K302" i="59" s="1"/>
  <c r="L302" i="59" s="1"/>
  <c r="M302" i="59" s="1"/>
  <c r="N302" i="59" s="1"/>
  <c r="O302" i="59" s="1"/>
  <c r="P302" i="59" s="1"/>
  <c r="Q302" i="59" s="1"/>
  <c r="R302" i="59" s="1"/>
  <c r="S302" i="59" s="1"/>
  <c r="T302" i="59" s="1"/>
  <c r="U302" i="59" s="1"/>
  <c r="V302" i="59" s="1"/>
  <c r="W302" i="59" s="1"/>
  <c r="B240" i="59"/>
  <c r="R240" i="59" s="1"/>
  <c r="P111" i="1"/>
  <c r="U111" i="1" s="1"/>
  <c r="T111" i="1"/>
  <c r="T173" i="1"/>
  <c r="P173" i="1"/>
  <c r="U173" i="1" s="1"/>
  <c r="P119" i="1"/>
  <c r="U119" i="1" s="1"/>
  <c r="T119" i="1"/>
  <c r="T232" i="1"/>
  <c r="P232" i="1"/>
  <c r="U232" i="1" s="1"/>
  <c r="T91" i="1"/>
  <c r="P91" i="1"/>
  <c r="U91" i="1" s="1"/>
  <c r="Q105" i="59" a="1"/>
  <c r="Q105" i="59" s="1"/>
  <c r="H148" i="59"/>
  <c r="H149" i="59" s="1"/>
  <c r="G148" i="59"/>
  <c r="G149" i="59" s="1"/>
  <c r="J148" i="59"/>
  <c r="J149" i="59" s="1"/>
  <c r="K148" i="59"/>
  <c r="K149" i="59" s="1"/>
  <c r="L148" i="59"/>
  <c r="L149" i="59" s="1"/>
  <c r="P170" i="1"/>
  <c r="U170" i="1" s="1"/>
  <c r="T170" i="1"/>
  <c r="I40" i="37"/>
  <c r="G6" i="37"/>
  <c r="U100" i="29" a="1"/>
  <c r="U100" i="29" s="1"/>
  <c r="T117" i="1"/>
  <c r="P117" i="1"/>
  <c r="U117" i="1" s="1"/>
  <c r="P216" i="1"/>
  <c r="U216" i="1" s="1"/>
  <c r="T216" i="1"/>
  <c r="E155" i="29"/>
  <c r="F155" i="29"/>
  <c r="F195" i="30" l="1"/>
  <c r="G195" i="30"/>
  <c r="B195" i="30" s="1" a="1"/>
  <c r="B195" i="30" s="1"/>
  <c r="C263" i="29" s="1"/>
  <c r="D263" i="29" s="1"/>
  <c r="E263" i="29" s="1"/>
  <c r="F263" i="29" s="1"/>
  <c r="G263" i="29" s="1"/>
  <c r="H263" i="29" s="1"/>
  <c r="I263" i="29" s="1"/>
  <c r="J263" i="29" s="1"/>
  <c r="K263" i="29" s="1"/>
  <c r="L263" i="29" s="1"/>
  <c r="M263" i="29" s="1"/>
  <c r="N263" i="29" s="1"/>
  <c r="O263" i="29" s="1"/>
  <c r="P263" i="29" s="1"/>
  <c r="Q263" i="29" s="1"/>
  <c r="R263" i="29" s="1"/>
  <c r="S263" i="29" s="1"/>
  <c r="T263" i="29" s="1"/>
  <c r="U263" i="29" s="1"/>
  <c r="V263" i="29" s="1"/>
  <c r="W263" i="29" s="1"/>
  <c r="E195" i="30"/>
  <c r="C195" i="30"/>
  <c r="G190" i="30"/>
  <c r="B190" i="30" s="1" a="1"/>
  <c r="B190" i="30" s="1"/>
  <c r="E190" i="30"/>
  <c r="D190" i="30"/>
  <c r="F190" i="30"/>
  <c r="C190" i="30"/>
  <c r="F210" i="30"/>
  <c r="W237" i="59"/>
  <c r="R148" i="59"/>
  <c r="R149" i="59" s="1"/>
  <c r="N148" i="59"/>
  <c r="N149" i="59" s="1"/>
  <c r="T148" i="59"/>
  <c r="T149" i="59" s="1"/>
  <c r="R237" i="59"/>
  <c r="R238" i="59" s="1"/>
  <c r="R15" i="59" s="1"/>
  <c r="R25" i="144" s="1"/>
  <c r="S237" i="59"/>
  <c r="S238" i="59" s="1"/>
  <c r="D9" i="7"/>
  <c r="D7" i="7"/>
  <c r="D11" i="7"/>
  <c r="D8" i="7"/>
  <c r="D10" i="7"/>
  <c r="D12" i="7"/>
  <c r="Q148" i="29"/>
  <c r="Q149" i="29" s="1"/>
  <c r="O148" i="29"/>
  <c r="O149" i="29" s="1"/>
  <c r="N239" i="29"/>
  <c r="V239" i="29"/>
  <c r="V240" i="29" s="1"/>
  <c r="O239" i="29"/>
  <c r="O240" i="29" s="1"/>
  <c r="R239" i="29"/>
  <c r="R240" i="29" s="1"/>
  <c r="M92" i="29"/>
  <c r="M148" i="29"/>
  <c r="M149" i="29" s="1"/>
  <c r="N148" i="29"/>
  <c r="N149" i="29" s="1"/>
  <c r="S239" i="29"/>
  <c r="S240" i="29" s="1"/>
  <c r="M239" i="29"/>
  <c r="M240" i="29" s="1"/>
  <c r="T148" i="29"/>
  <c r="T149" i="29" s="1"/>
  <c r="W148" i="29"/>
  <c r="W149" i="29" s="1"/>
  <c r="V148" i="29"/>
  <c r="V149" i="29" s="1"/>
  <c r="W103" i="29" a="1"/>
  <c r="W103" i="29" s="1"/>
  <c r="W110" i="29" s="1"/>
  <c r="W239" i="29"/>
  <c r="W240" i="29" s="1"/>
  <c r="S148" i="29"/>
  <c r="S149" i="29" s="1"/>
  <c r="R148" i="29"/>
  <c r="R149" i="29" s="1"/>
  <c r="P239" i="29"/>
  <c r="P240" i="29" s="1"/>
  <c r="T239" i="29"/>
  <c r="T240" i="29" s="1"/>
  <c r="U239" i="29"/>
  <c r="U240" i="29" s="1"/>
  <c r="U15" i="29" s="1"/>
  <c r="U6" i="144" s="1"/>
  <c r="U148" i="29"/>
  <c r="U149" i="29" s="1"/>
  <c r="P148" i="29"/>
  <c r="P149" i="29" s="1"/>
  <c r="P150" i="29" s="1"/>
  <c r="P153" i="29" s="1"/>
  <c r="P158" i="29" s="1"/>
  <c r="P164" i="29" s="1"/>
  <c r="Q239" i="29"/>
  <c r="Q240" i="29" s="1"/>
  <c r="O148" i="59"/>
  <c r="O149" i="59" s="1"/>
  <c r="U237" i="59"/>
  <c r="U238" i="59" s="1"/>
  <c r="N237" i="59"/>
  <c r="N238" i="59" s="1"/>
  <c r="M148" i="59"/>
  <c r="M149" i="59" s="1"/>
  <c r="T237" i="59"/>
  <c r="T238" i="59" s="1"/>
  <c r="P237" i="59"/>
  <c r="P238" i="59" s="1"/>
  <c r="W148" i="59"/>
  <c r="W149" i="59" s="1"/>
  <c r="Q237" i="59"/>
  <c r="Q238" i="59" s="1"/>
  <c r="U148" i="59"/>
  <c r="U149" i="59" s="1"/>
  <c r="M237" i="59"/>
  <c r="M238" i="59" s="1"/>
  <c r="S148" i="59"/>
  <c r="S149" i="59" s="1"/>
  <c r="Q148" i="59"/>
  <c r="Q149" i="59" s="1"/>
  <c r="W104" i="59" a="1"/>
  <c r="W104" i="59" s="1"/>
  <c r="W110" i="59" s="1"/>
  <c r="V237" i="59"/>
  <c r="V238" i="59" s="1"/>
  <c r="V148" i="59"/>
  <c r="V149" i="59" s="1"/>
  <c r="P148" i="59"/>
  <c r="P149" i="59" s="1"/>
  <c r="E243" i="29"/>
  <c r="F243" i="29" s="1"/>
  <c r="G243" i="29" s="1"/>
  <c r="H243" i="29" s="1"/>
  <c r="I243" i="29" s="1"/>
  <c r="A33" i="146"/>
  <c r="B16" i="146" a="1"/>
  <c r="B16" i="146" s="1"/>
  <c r="B33" i="146" s="1"/>
  <c r="K41" i="37"/>
  <c r="L41" i="37" s="1"/>
  <c r="K150" i="29"/>
  <c r="K153" i="29" s="1"/>
  <c r="K158" i="29" s="1"/>
  <c r="K164" i="29" s="1"/>
  <c r="F150" i="59"/>
  <c r="F153" i="59" s="1"/>
  <c r="F158" i="59" s="1"/>
  <c r="D138" i="29"/>
  <c r="D195" i="29" s="1"/>
  <c r="C278" i="29"/>
  <c r="C280" i="29"/>
  <c r="C291" i="29" s="1"/>
  <c r="C280" i="59"/>
  <c r="C291" i="59" s="1"/>
  <c r="C278" i="59"/>
  <c r="K13" i="37"/>
  <c r="L13" i="37" s="1"/>
  <c r="K35" i="37"/>
  <c r="L35" i="37" s="1"/>
  <c r="K36" i="37"/>
  <c r="L36" i="37" s="1"/>
  <c r="K58" i="37"/>
  <c r="L58" i="37" s="1"/>
  <c r="K32" i="37"/>
  <c r="L32" i="37" s="1"/>
  <c r="K37" i="37"/>
  <c r="L37" i="37" s="1"/>
  <c r="K38" i="37"/>
  <c r="L38" i="37" s="1"/>
  <c r="K48" i="37"/>
  <c r="L48" i="37" s="1"/>
  <c r="K11" i="37"/>
  <c r="L11" i="37" s="1"/>
  <c r="K23" i="37"/>
  <c r="L23" i="37" s="1"/>
  <c r="K17" i="37"/>
  <c r="L17" i="37" s="1"/>
  <c r="K29" i="37"/>
  <c r="L29" i="37" s="1"/>
  <c r="K47" i="37"/>
  <c r="L47" i="37" s="1"/>
  <c r="K40" i="37"/>
  <c r="L40" i="37" s="1"/>
  <c r="L146" i="29"/>
  <c r="D245" i="59"/>
  <c r="D248" i="59" s="1"/>
  <c r="N146" i="29"/>
  <c r="E146" i="29"/>
  <c r="T146" i="29"/>
  <c r="G146" i="29"/>
  <c r="R146" i="29"/>
  <c r="V146" i="29"/>
  <c r="D146" i="59"/>
  <c r="E134" i="59"/>
  <c r="E171" i="59" s="1"/>
  <c r="F132" i="59"/>
  <c r="G132" i="59" s="1"/>
  <c r="H132" i="59" s="1"/>
  <c r="I132" i="59" s="1"/>
  <c r="J132" i="59" s="1"/>
  <c r="J155" i="59" s="1"/>
  <c r="O146" i="29"/>
  <c r="J146" i="29"/>
  <c r="D134" i="59"/>
  <c r="D171" i="59" s="1"/>
  <c r="D155" i="59"/>
  <c r="D156" i="59" s="1"/>
  <c r="E150" i="59"/>
  <c r="E153" i="59" s="1"/>
  <c r="E158" i="59" s="1"/>
  <c r="F146" i="29"/>
  <c r="K146" i="29"/>
  <c r="U146" i="29"/>
  <c r="H146" i="29"/>
  <c r="E78" i="7"/>
  <c r="D177" i="59" s="1"/>
  <c r="Q146" i="29"/>
  <c r="I146" i="29"/>
  <c r="S146" i="29"/>
  <c r="P146" i="29"/>
  <c r="M146" i="29"/>
  <c r="E243" i="59"/>
  <c r="F243" i="59" s="1"/>
  <c r="G243" i="59" s="1"/>
  <c r="H243" i="59" s="1"/>
  <c r="P110" i="29"/>
  <c r="H110" i="59"/>
  <c r="F150" i="29"/>
  <c r="F153" i="29" s="1"/>
  <c r="D120" i="59"/>
  <c r="E155" i="59"/>
  <c r="R110" i="59"/>
  <c r="R238" i="29"/>
  <c r="D240" i="29"/>
  <c r="O110" i="29"/>
  <c r="H150" i="29"/>
  <c r="H153" i="29" s="1"/>
  <c r="H158" i="29" s="1"/>
  <c r="H164" i="29" s="1"/>
  <c r="Q238" i="29"/>
  <c r="M110" i="29"/>
  <c r="E150" i="29"/>
  <c r="E153" i="29" s="1"/>
  <c r="E158" i="29" s="1"/>
  <c r="E164" i="29" s="1"/>
  <c r="D257" i="29"/>
  <c r="E257" i="29" s="1"/>
  <c r="F257" i="29" s="1"/>
  <c r="G257" i="29" s="1"/>
  <c r="H257" i="29" s="1"/>
  <c r="I257" i="29" s="1"/>
  <c r="J257" i="29" s="1"/>
  <c r="K257" i="29" s="1"/>
  <c r="L257" i="29" s="1"/>
  <c r="M257" i="29" s="1"/>
  <c r="K110" i="59"/>
  <c r="H110" i="29"/>
  <c r="G110" i="59"/>
  <c r="F110" i="29"/>
  <c r="N110" i="59"/>
  <c r="W238" i="29"/>
  <c r="E110" i="59"/>
  <c r="D110" i="29"/>
  <c r="I150" i="59"/>
  <c r="I153" i="59" s="1"/>
  <c r="I158" i="59" s="1"/>
  <c r="P238" i="29"/>
  <c r="J240" i="29"/>
  <c r="K110" i="29"/>
  <c r="F238" i="29"/>
  <c r="O238" i="29"/>
  <c r="P146" i="59"/>
  <c r="E146" i="59"/>
  <c r="M146" i="59"/>
  <c r="U146" i="59"/>
  <c r="T146" i="59"/>
  <c r="G146" i="59"/>
  <c r="W238" i="59"/>
  <c r="H238" i="29"/>
  <c r="O110" i="59"/>
  <c r="M110" i="59"/>
  <c r="Q110" i="59"/>
  <c r="U110" i="59"/>
  <c r="K238" i="29"/>
  <c r="M238" i="29"/>
  <c r="J150" i="29"/>
  <c r="J153" i="29" s="1"/>
  <c r="J158" i="29" s="1"/>
  <c r="J164" i="29" s="1"/>
  <c r="V110" i="59"/>
  <c r="K150" i="59"/>
  <c r="K153" i="59" s="1"/>
  <c r="K158" i="59" s="1"/>
  <c r="K164" i="59" s="1"/>
  <c r="J238" i="29"/>
  <c r="R110" i="29"/>
  <c r="O238" i="59"/>
  <c r="R146" i="59"/>
  <c r="P110" i="59"/>
  <c r="G238" i="29"/>
  <c r="W146" i="59"/>
  <c r="F146" i="59"/>
  <c r="V238" i="29"/>
  <c r="D238" i="29"/>
  <c r="T238" i="29"/>
  <c r="I238" i="29"/>
  <c r="C215" i="59"/>
  <c r="C209" i="59" s="1"/>
  <c r="C185" i="59"/>
  <c r="N146" i="59"/>
  <c r="I146" i="59"/>
  <c r="H150" i="59"/>
  <c r="H153" i="59" s="1"/>
  <c r="G150" i="59"/>
  <c r="G153" i="59" s="1"/>
  <c r="G158" i="59" s="1"/>
  <c r="G164" i="59" s="1"/>
  <c r="D238" i="59"/>
  <c r="N238" i="29"/>
  <c r="S238" i="29"/>
  <c r="L238" i="29"/>
  <c r="F240" i="29"/>
  <c r="C258" i="59"/>
  <c r="C261" i="59" s="1"/>
  <c r="L146" i="59"/>
  <c r="T110" i="59"/>
  <c r="S110" i="29"/>
  <c r="J146" i="59"/>
  <c r="S146" i="59"/>
  <c r="J110" i="59"/>
  <c r="Q110" i="29"/>
  <c r="C215" i="29"/>
  <c r="C209" i="29" s="1"/>
  <c r="C185" i="29"/>
  <c r="N110" i="29"/>
  <c r="L110" i="59"/>
  <c r="D110" i="59"/>
  <c r="J110" i="29"/>
  <c r="G110" i="29"/>
  <c r="V110" i="29"/>
  <c r="S110" i="59"/>
  <c r="F110" i="59"/>
  <c r="T110" i="29"/>
  <c r="I110" i="29"/>
  <c r="L110" i="29"/>
  <c r="E110" i="29"/>
  <c r="M240" i="59"/>
  <c r="E238" i="29"/>
  <c r="F240" i="59"/>
  <c r="I110" i="59"/>
  <c r="D244" i="29"/>
  <c r="D245" i="29" s="1"/>
  <c r="O146" i="59"/>
  <c r="R150" i="59"/>
  <c r="R153" i="59" s="1"/>
  <c r="R158" i="59" s="1"/>
  <c r="R164" i="59" s="1"/>
  <c r="I238" i="59"/>
  <c r="E238" i="59"/>
  <c r="H132" i="29"/>
  <c r="G134" i="29"/>
  <c r="G171" i="29" s="1"/>
  <c r="N150" i="59"/>
  <c r="N153" i="59" s="1"/>
  <c r="N158" i="59" s="1"/>
  <c r="G240" i="29"/>
  <c r="V146" i="59"/>
  <c r="H146" i="59"/>
  <c r="Q146" i="59"/>
  <c r="E240" i="29"/>
  <c r="I240" i="29"/>
  <c r="C261" i="29"/>
  <c r="C260" i="29"/>
  <c r="K146" i="59"/>
  <c r="L150" i="29"/>
  <c r="L153" i="29" s="1"/>
  <c r="I150" i="29"/>
  <c r="I153" i="29" s="1"/>
  <c r="H238" i="59"/>
  <c r="G150" i="29"/>
  <c r="G153" i="29" s="1"/>
  <c r="G158" i="29" s="1"/>
  <c r="G164" i="29" s="1"/>
  <c r="E244" i="59"/>
  <c r="D258" i="59"/>
  <c r="D158" i="29"/>
  <c r="D161" i="29" s="1"/>
  <c r="D156" i="29"/>
  <c r="I6" i="37"/>
  <c r="N240" i="29"/>
  <c r="K240" i="59"/>
  <c r="D240" i="59"/>
  <c r="J240" i="59"/>
  <c r="S240" i="59"/>
  <c r="U110" i="29"/>
  <c r="K238" i="59"/>
  <c r="T240" i="59"/>
  <c r="U240" i="59"/>
  <c r="H240" i="29"/>
  <c r="L240" i="59"/>
  <c r="I240" i="59"/>
  <c r="W240" i="59"/>
  <c r="J150" i="59"/>
  <c r="J153" i="59" s="1"/>
  <c r="L240" i="29"/>
  <c r="K240" i="29"/>
  <c r="N240" i="59"/>
  <c r="P240" i="59"/>
  <c r="H240" i="59"/>
  <c r="L257" i="59"/>
  <c r="Q240" i="59"/>
  <c r="O240" i="59"/>
  <c r="E240" i="59"/>
  <c r="G238" i="59"/>
  <c r="L238" i="59"/>
  <c r="J238" i="59"/>
  <c r="L150" i="59"/>
  <c r="L153" i="59" s="1"/>
  <c r="V240" i="59"/>
  <c r="G240" i="59"/>
  <c r="F238" i="59"/>
  <c r="D164" i="59"/>
  <c r="D161" i="59"/>
  <c r="D138" i="59"/>
  <c r="C263" i="59" l="1"/>
  <c r="C266" i="59" s="1"/>
  <c r="C267" i="59" s="1"/>
  <c r="D267" i="59" s="1"/>
  <c r="E267" i="59" s="1"/>
  <c r="F267" i="59" s="1"/>
  <c r="G267" i="59" s="1"/>
  <c r="H267" i="59" s="1"/>
  <c r="I267" i="59" s="1"/>
  <c r="J267" i="59" s="1"/>
  <c r="K267" i="59" s="1"/>
  <c r="L267" i="59" s="1"/>
  <c r="M267" i="59" s="1"/>
  <c r="N267" i="59" s="1"/>
  <c r="O267" i="59" s="1"/>
  <c r="P267" i="59" s="1"/>
  <c r="Q267" i="59" s="1"/>
  <c r="R267" i="59" s="1"/>
  <c r="S267" i="59" s="1"/>
  <c r="T267" i="59" s="1"/>
  <c r="U267" i="59" s="1"/>
  <c r="V267" i="59" s="1"/>
  <c r="W267" i="59" s="1"/>
  <c r="D263" i="59"/>
  <c r="E263" i="59" s="1"/>
  <c r="F263" i="59" s="1"/>
  <c r="G263" i="59" s="1"/>
  <c r="H263" i="59" s="1"/>
  <c r="I263" i="59" s="1"/>
  <c r="J263" i="59" s="1"/>
  <c r="K263" i="59" s="1"/>
  <c r="L263" i="59" s="1"/>
  <c r="M263" i="59" s="1"/>
  <c r="N263" i="59" s="1"/>
  <c r="O263" i="59" s="1"/>
  <c r="P263" i="59" s="1"/>
  <c r="Q263" i="59" s="1"/>
  <c r="R263" i="59" s="1"/>
  <c r="S263" i="59" s="1"/>
  <c r="T263" i="59" s="1"/>
  <c r="U263" i="59" s="1"/>
  <c r="V263" i="59" s="1"/>
  <c r="W263" i="59" s="1"/>
  <c r="D273" i="29"/>
  <c r="D273" i="59"/>
  <c r="T150" i="59"/>
  <c r="T153" i="59" s="1"/>
  <c r="T158" i="59" s="1"/>
  <c r="T164" i="59" s="1"/>
  <c r="C266" i="29"/>
  <c r="C267" i="29" s="1"/>
  <c r="D267" i="29" s="1"/>
  <c r="E267" i="29" s="1"/>
  <c r="F267" i="29" s="1"/>
  <c r="G267" i="29" s="1"/>
  <c r="H267" i="29" s="1"/>
  <c r="I267" i="29" s="1"/>
  <c r="J267" i="29" s="1"/>
  <c r="K267" i="29" s="1"/>
  <c r="L267" i="29" s="1"/>
  <c r="M267" i="29" s="1"/>
  <c r="N267" i="29" s="1"/>
  <c r="O267" i="29" s="1"/>
  <c r="P267" i="29" s="1"/>
  <c r="Q267" i="29" s="1"/>
  <c r="R267" i="29" s="1"/>
  <c r="S267" i="29" s="1"/>
  <c r="T267" i="29" s="1"/>
  <c r="U267" i="29" s="1"/>
  <c r="V267" i="29" s="1"/>
  <c r="W267" i="29" s="1"/>
  <c r="D125" i="59"/>
  <c r="V150" i="29"/>
  <c r="V153" i="29" s="1"/>
  <c r="V158" i="29" s="1"/>
  <c r="Q150" i="29"/>
  <c r="Q153" i="29" s="1"/>
  <c r="Q138" i="29" s="1"/>
  <c r="U150" i="29"/>
  <c r="U153" i="29" s="1"/>
  <c r="U158" i="29" s="1"/>
  <c r="U164" i="29" s="1"/>
  <c r="O150" i="29"/>
  <c r="O153" i="29" s="1"/>
  <c r="O158" i="29" s="1"/>
  <c r="P161" i="29" s="1"/>
  <c r="P14" i="29" s="1"/>
  <c r="M150" i="29"/>
  <c r="M153" i="29" s="1"/>
  <c r="M158" i="29" s="1"/>
  <c r="M164" i="29" s="1"/>
  <c r="W150" i="29"/>
  <c r="W153" i="29" s="1"/>
  <c r="W158" i="29" s="1"/>
  <c r="W164" i="29" s="1"/>
  <c r="M150" i="59"/>
  <c r="M153" i="59" s="1"/>
  <c r="M158" i="59" s="1"/>
  <c r="M164" i="59" s="1"/>
  <c r="R150" i="29"/>
  <c r="R153" i="29" s="1"/>
  <c r="R158" i="29" s="1"/>
  <c r="R164" i="29" s="1"/>
  <c r="N150" i="29"/>
  <c r="N153" i="29" s="1"/>
  <c r="N158" i="29" s="1"/>
  <c r="N164" i="29" s="1"/>
  <c r="T150" i="29"/>
  <c r="T153" i="29" s="1"/>
  <c r="W150" i="59"/>
  <c r="W153" i="59" s="1"/>
  <c r="W158" i="59" s="1"/>
  <c r="W164" i="59" s="1"/>
  <c r="S150" i="29"/>
  <c r="S153" i="29" s="1"/>
  <c r="S158" i="29" s="1"/>
  <c r="S164" i="29" s="1"/>
  <c r="V150" i="59"/>
  <c r="V153" i="59" s="1"/>
  <c r="V158" i="59" s="1"/>
  <c r="S150" i="59"/>
  <c r="S153" i="59" s="1"/>
  <c r="S158" i="59" s="1"/>
  <c r="O150" i="59"/>
  <c r="O153" i="59" s="1"/>
  <c r="O158" i="59" s="1"/>
  <c r="O164" i="59" s="1"/>
  <c r="U150" i="59"/>
  <c r="U153" i="59" s="1"/>
  <c r="U158" i="59" s="1"/>
  <c r="U164" i="59" s="1"/>
  <c r="Q150" i="59"/>
  <c r="Q153" i="59" s="1"/>
  <c r="Q158" i="59" s="1"/>
  <c r="R161" i="59" s="1"/>
  <c r="R14" i="59" s="1"/>
  <c r="P150" i="59"/>
  <c r="P153" i="59" s="1"/>
  <c r="P158" i="59" s="1"/>
  <c r="E53" i="7"/>
  <c r="D118" i="29" s="1"/>
  <c r="D115" i="29"/>
  <c r="I15" i="29"/>
  <c r="I6" i="144" s="1"/>
  <c r="E245" i="59"/>
  <c r="E247" i="59" s="1"/>
  <c r="D247" i="59"/>
  <c r="D249" i="59"/>
  <c r="D251" i="59" s="1"/>
  <c r="D283" i="59" s="1"/>
  <c r="V15" i="29"/>
  <c r="V6" i="144" s="1"/>
  <c r="L6" i="37"/>
  <c r="M6" i="37" s="1"/>
  <c r="E57" i="7"/>
  <c r="D117" i="29" s="1"/>
  <c r="F134" i="59"/>
  <c r="F171" i="59" s="1"/>
  <c r="D177" i="29"/>
  <c r="I155" i="59"/>
  <c r="E138" i="29"/>
  <c r="E195" i="29" s="1"/>
  <c r="E156" i="29"/>
  <c r="F156" i="29" s="1"/>
  <c r="J138" i="59"/>
  <c r="N15" i="29"/>
  <c r="N6" i="144" s="1"/>
  <c r="Q15" i="29"/>
  <c r="Q6" i="144" s="1"/>
  <c r="I134" i="59"/>
  <c r="I171" i="59" s="1"/>
  <c r="G155" i="59"/>
  <c r="F138" i="59"/>
  <c r="N15" i="59"/>
  <c r="N25" i="144" s="1"/>
  <c r="E15" i="29"/>
  <c r="E6" i="144" s="1"/>
  <c r="D260" i="59"/>
  <c r="H134" i="59"/>
  <c r="H171" i="59" s="1"/>
  <c r="E15" i="59"/>
  <c r="E25" i="144" s="1"/>
  <c r="E138" i="59"/>
  <c r="E195" i="59" s="1"/>
  <c r="O15" i="59"/>
  <c r="O25" i="144" s="1"/>
  <c r="F138" i="29"/>
  <c r="F158" i="29"/>
  <c r="F164" i="29" s="1"/>
  <c r="H15" i="59"/>
  <c r="H25" i="144" s="1"/>
  <c r="K15" i="29"/>
  <c r="K6" i="144" s="1"/>
  <c r="O15" i="29"/>
  <c r="O6" i="144" s="1"/>
  <c r="H155" i="59"/>
  <c r="D121" i="59"/>
  <c r="I138" i="59"/>
  <c r="Q15" i="59"/>
  <c r="Q25" i="144" s="1"/>
  <c r="G134" i="59"/>
  <c r="G171" i="59" s="1"/>
  <c r="P15" i="29"/>
  <c r="P6" i="144" s="1"/>
  <c r="F155" i="59"/>
  <c r="D15" i="29"/>
  <c r="D6" i="144" s="1"/>
  <c r="G15" i="29"/>
  <c r="G6" i="144" s="1"/>
  <c r="J15" i="29"/>
  <c r="J6" i="144" s="1"/>
  <c r="R15" i="29"/>
  <c r="R6" i="144" s="1"/>
  <c r="M15" i="29"/>
  <c r="M6" i="144" s="1"/>
  <c r="I138" i="29"/>
  <c r="E54" i="7"/>
  <c r="D123" i="59" s="1"/>
  <c r="H15" i="29"/>
  <c r="H6" i="144" s="1"/>
  <c r="W15" i="59"/>
  <c r="W25" i="144" s="1"/>
  <c r="F15" i="59"/>
  <c r="F25" i="144" s="1"/>
  <c r="E58" i="7"/>
  <c r="D122" i="29" s="1"/>
  <c r="F15" i="29"/>
  <c r="F6" i="144" s="1"/>
  <c r="L15" i="29"/>
  <c r="L6" i="144" s="1"/>
  <c r="W15" i="29"/>
  <c r="W6" i="144" s="1"/>
  <c r="I15" i="59"/>
  <c r="I25" i="144" s="1"/>
  <c r="V15" i="59"/>
  <c r="V25" i="144" s="1"/>
  <c r="S15" i="29"/>
  <c r="S6" i="144" s="1"/>
  <c r="D116" i="59"/>
  <c r="D116" i="29"/>
  <c r="H158" i="59"/>
  <c r="H164" i="59" s="1"/>
  <c r="G138" i="59"/>
  <c r="D179" i="29"/>
  <c r="I158" i="29"/>
  <c r="I161" i="29" s="1"/>
  <c r="L138" i="59"/>
  <c r="H138" i="59"/>
  <c r="J138" i="29"/>
  <c r="M15" i="59"/>
  <c r="M25" i="144" s="1"/>
  <c r="C260" i="59"/>
  <c r="T15" i="29"/>
  <c r="T6" i="144" s="1"/>
  <c r="K138" i="29"/>
  <c r="L138" i="29"/>
  <c r="H161" i="29"/>
  <c r="H14" i="29" s="1"/>
  <c r="L158" i="29"/>
  <c r="L164" i="29" s="1"/>
  <c r="D164" i="29"/>
  <c r="D14" i="29" s="1"/>
  <c r="D5" i="144" s="1"/>
  <c r="G138" i="29"/>
  <c r="H138" i="29"/>
  <c r="K15" i="59"/>
  <c r="K25" i="144" s="1"/>
  <c r="C190" i="59"/>
  <c r="C199" i="59"/>
  <c r="C212" i="59" s="1"/>
  <c r="P15" i="59"/>
  <c r="P25" i="144" s="1"/>
  <c r="D120" i="29"/>
  <c r="D15" i="59"/>
  <c r="D25" i="144" s="1"/>
  <c r="C190" i="29"/>
  <c r="C199" i="29"/>
  <c r="C212" i="29" s="1"/>
  <c r="J15" i="59"/>
  <c r="J25" i="144" s="1"/>
  <c r="U15" i="59"/>
  <c r="U25" i="144" s="1"/>
  <c r="L15" i="59"/>
  <c r="L25" i="144" s="1"/>
  <c r="S15" i="59"/>
  <c r="S25" i="144" s="1"/>
  <c r="D258" i="29"/>
  <c r="E244" i="29"/>
  <c r="E245" i="29" s="1"/>
  <c r="D248" i="29"/>
  <c r="D247" i="29"/>
  <c r="D249" i="29"/>
  <c r="D251" i="29" s="1"/>
  <c r="F244" i="59"/>
  <c r="E258" i="59"/>
  <c r="E260" i="59" s="1"/>
  <c r="I132" i="29"/>
  <c r="I155" i="29" s="1"/>
  <c r="H134" i="29"/>
  <c r="H171" i="29" s="1"/>
  <c r="H155" i="29"/>
  <c r="K132" i="59"/>
  <c r="K155" i="59" s="1"/>
  <c r="J134" i="59"/>
  <c r="J171" i="59" s="1"/>
  <c r="J158" i="59"/>
  <c r="J164" i="59" s="1"/>
  <c r="L158" i="59"/>
  <c r="L161" i="59" s="1"/>
  <c r="K138" i="59"/>
  <c r="P282" i="29"/>
  <c r="H282" i="29"/>
  <c r="E282" i="29"/>
  <c r="U282" i="29"/>
  <c r="O282" i="29"/>
  <c r="T282" i="29"/>
  <c r="I282" i="29"/>
  <c r="J282" i="29"/>
  <c r="R282" i="29"/>
  <c r="F282" i="29"/>
  <c r="M282" i="29"/>
  <c r="Q282" i="29"/>
  <c r="G282" i="29"/>
  <c r="C282" i="29"/>
  <c r="K282" i="29"/>
  <c r="V282" i="29"/>
  <c r="L282" i="29"/>
  <c r="W282" i="29"/>
  <c r="N282" i="29"/>
  <c r="D282" i="29"/>
  <c r="S282" i="29"/>
  <c r="I243" i="59"/>
  <c r="N257" i="29"/>
  <c r="J243" i="29"/>
  <c r="F78" i="7"/>
  <c r="E177" i="59" s="1"/>
  <c r="T15" i="59"/>
  <c r="T25" i="144" s="1"/>
  <c r="M257" i="59"/>
  <c r="G15" i="59"/>
  <c r="G25" i="144" s="1"/>
  <c r="D126" i="29"/>
  <c r="D126" i="59"/>
  <c r="E161" i="29"/>
  <c r="E14" i="29" s="1"/>
  <c r="E5" i="144" s="1"/>
  <c r="K161" i="29"/>
  <c r="K14" i="29" s="1"/>
  <c r="K5" i="144" s="1"/>
  <c r="D14" i="59"/>
  <c r="D24" i="144" s="1"/>
  <c r="N164" i="59"/>
  <c r="D195" i="59"/>
  <c r="E156" i="59"/>
  <c r="D179" i="59"/>
  <c r="F161" i="59"/>
  <c r="E164" i="59"/>
  <c r="E161" i="59"/>
  <c r="G161" i="59"/>
  <c r="G14" i="59" s="1"/>
  <c r="F164" i="59"/>
  <c r="I164" i="59"/>
  <c r="F116" i="29"/>
  <c r="E120" i="59" a="1"/>
  <c r="E125" i="29" a="1"/>
  <c r="F116" i="59" a="1"/>
  <c r="E126" i="59" a="1"/>
  <c r="E126" i="29" a="1"/>
  <c r="E125" i="59" a="1"/>
  <c r="E120" i="29" a="1"/>
  <c r="E273" i="59" l="1"/>
  <c r="D280" i="59"/>
  <c r="E273" i="29"/>
  <c r="D280" i="29"/>
  <c r="T161" i="59"/>
  <c r="T14" i="59" s="1"/>
  <c r="T24" i="144" s="1"/>
  <c r="D125" i="29"/>
  <c r="P138" i="29"/>
  <c r="Q158" i="29"/>
  <c r="Q161" i="29" s="1"/>
  <c r="M138" i="29"/>
  <c r="M195" i="29" s="1"/>
  <c r="N161" i="59"/>
  <c r="N14" i="59" s="1"/>
  <c r="N24" i="144" s="1"/>
  <c r="M138" i="59"/>
  <c r="M195" i="59" s="1"/>
  <c r="U138" i="29"/>
  <c r="N138" i="59"/>
  <c r="V138" i="29"/>
  <c r="R138" i="29"/>
  <c r="O138" i="29"/>
  <c r="W138" i="29"/>
  <c r="T158" i="29"/>
  <c r="T161" i="29" s="1"/>
  <c r="W161" i="29"/>
  <c r="W14" i="29" s="1"/>
  <c r="W5" i="144" s="1"/>
  <c r="N161" i="29"/>
  <c r="N14" i="29" s="1"/>
  <c r="N5" i="144" s="1"/>
  <c r="S161" i="29"/>
  <c r="S14" i="29" s="1"/>
  <c r="S5" i="144" s="1"/>
  <c r="W161" i="59"/>
  <c r="W14" i="59" s="1"/>
  <c r="W24" i="144" s="1"/>
  <c r="S161" i="59"/>
  <c r="S138" i="59"/>
  <c r="T138" i="59"/>
  <c r="S138" i="29"/>
  <c r="T138" i="29"/>
  <c r="N138" i="29"/>
  <c r="E248" i="59"/>
  <c r="S164" i="59"/>
  <c r="O138" i="59"/>
  <c r="E249" i="59"/>
  <c r="E251" i="59" s="1"/>
  <c r="E252" i="59" s="1"/>
  <c r="Q161" i="59"/>
  <c r="P161" i="59"/>
  <c r="P138" i="59"/>
  <c r="P164" i="59"/>
  <c r="U138" i="59"/>
  <c r="U161" i="59"/>
  <c r="U14" i="59" s="1"/>
  <c r="U24" i="144" s="1"/>
  <c r="V161" i="59"/>
  <c r="W138" i="59"/>
  <c r="V164" i="59"/>
  <c r="Q164" i="59"/>
  <c r="V138" i="59"/>
  <c r="R138" i="59"/>
  <c r="O161" i="59"/>
  <c r="O14" i="59" s="1"/>
  <c r="O24" i="144" s="1"/>
  <c r="Q138" i="59"/>
  <c r="D252" i="59"/>
  <c r="D118" i="59"/>
  <c r="D115" i="59"/>
  <c r="D180" i="29"/>
  <c r="D182" i="29" s="1"/>
  <c r="D194" i="29" s="1"/>
  <c r="D180" i="59"/>
  <c r="D182" i="59" s="1"/>
  <c r="D117" i="59"/>
  <c r="F53" i="7"/>
  <c r="F57" i="7"/>
  <c r="F116" i="59"/>
  <c r="E179" i="29"/>
  <c r="E187" i="29" s="1"/>
  <c r="F195" i="29"/>
  <c r="F195" i="59"/>
  <c r="G161" i="29"/>
  <c r="G14" i="29" s="1"/>
  <c r="G5" i="144" s="1"/>
  <c r="G195" i="59"/>
  <c r="D122" i="59"/>
  <c r="E261" i="59"/>
  <c r="E264" i="59" s="1"/>
  <c r="D261" i="59"/>
  <c r="D266" i="59" s="1"/>
  <c r="D268" i="59" s="1"/>
  <c r="D21" i="59" s="1"/>
  <c r="X6" i="144"/>
  <c r="F54" i="7"/>
  <c r="D123" i="29"/>
  <c r="F161" i="29"/>
  <c r="F14" i="29" s="1"/>
  <c r="F5" i="144" s="1"/>
  <c r="D121" i="29"/>
  <c r="F58" i="7"/>
  <c r="E120" i="29"/>
  <c r="E120" i="59"/>
  <c r="Z6" i="144"/>
  <c r="Y6" i="144"/>
  <c r="V164" i="29"/>
  <c r="V161" i="29"/>
  <c r="D187" i="29"/>
  <c r="I161" i="59"/>
  <c r="I14" i="59" s="1"/>
  <c r="I24" i="144" s="1"/>
  <c r="H161" i="59"/>
  <c r="H14" i="59" s="1"/>
  <c r="H24" i="144" s="1"/>
  <c r="J195" i="59"/>
  <c r="L161" i="29"/>
  <c r="L14" i="29" s="1"/>
  <c r="L5" i="144" s="1"/>
  <c r="M161" i="29"/>
  <c r="M14" i="29" s="1"/>
  <c r="M5" i="144" s="1"/>
  <c r="J161" i="29"/>
  <c r="J14" i="29" s="1"/>
  <c r="J5" i="144" s="1"/>
  <c r="I164" i="29"/>
  <c r="I14" i="29" s="1"/>
  <c r="I5" i="144" s="1"/>
  <c r="O164" i="29"/>
  <c r="I195" i="59"/>
  <c r="H195" i="59"/>
  <c r="J195" i="29"/>
  <c r="Z25" i="144"/>
  <c r="K195" i="29"/>
  <c r="G195" i="29"/>
  <c r="H195" i="29"/>
  <c r="L195" i="29"/>
  <c r="M161" i="59"/>
  <c r="M14" i="59" s="1"/>
  <c r="M24" i="144" s="1"/>
  <c r="O161" i="29"/>
  <c r="L164" i="59"/>
  <c r="L14" i="59" s="1"/>
  <c r="L24" i="144" s="1"/>
  <c r="I195" i="29"/>
  <c r="J161" i="59"/>
  <c r="J14" i="59" s="1"/>
  <c r="J24" i="144" s="1"/>
  <c r="E249" i="29"/>
  <c r="E251" i="29" s="1"/>
  <c r="E252" i="29" s="1"/>
  <c r="E259" i="29" s="1"/>
  <c r="F244" i="29"/>
  <c r="E258" i="29"/>
  <c r="E247" i="29"/>
  <c r="E248" i="29"/>
  <c r="G244" i="59"/>
  <c r="F258" i="59"/>
  <c r="F260" i="59" s="1"/>
  <c r="F261" i="59" s="1"/>
  <c r="Y25" i="144"/>
  <c r="F245" i="59"/>
  <c r="F247" i="59" s="1"/>
  <c r="D252" i="29"/>
  <c r="D259" i="29" s="1"/>
  <c r="D260" i="29" s="1"/>
  <c r="D283" i="29"/>
  <c r="K134" i="59"/>
  <c r="K171" i="59" s="1"/>
  <c r="L132" i="59"/>
  <c r="L155" i="59" s="1"/>
  <c r="D284" i="59"/>
  <c r="D285" i="59" s="1"/>
  <c r="C268" i="59"/>
  <c r="C268" i="29"/>
  <c r="J132" i="29"/>
  <c r="J155" i="29" s="1"/>
  <c r="I134" i="29"/>
  <c r="I171" i="29" s="1"/>
  <c r="K195" i="59"/>
  <c r="L195" i="59"/>
  <c r="K161" i="59"/>
  <c r="K14" i="59" s="1"/>
  <c r="K24" i="144" s="1"/>
  <c r="E125" i="59"/>
  <c r="E125" i="29"/>
  <c r="E126" i="29"/>
  <c r="E126" i="59"/>
  <c r="K243" i="29"/>
  <c r="J243" i="59"/>
  <c r="O257" i="29"/>
  <c r="N257" i="59"/>
  <c r="V286" i="59"/>
  <c r="U286" i="29"/>
  <c r="V286" i="29"/>
  <c r="U286" i="59"/>
  <c r="G286" i="29"/>
  <c r="L286" i="59"/>
  <c r="P286" i="59"/>
  <c r="S286" i="59"/>
  <c r="G286" i="59"/>
  <c r="N286" i="29"/>
  <c r="S286" i="29"/>
  <c r="J286" i="59"/>
  <c r="D286" i="29"/>
  <c r="D286" i="59"/>
  <c r="P286" i="29"/>
  <c r="W286" i="29"/>
  <c r="R286" i="29"/>
  <c r="T286" i="29"/>
  <c r="E286" i="29"/>
  <c r="J286" i="29"/>
  <c r="Q286" i="59"/>
  <c r="K286" i="29"/>
  <c r="H286" i="59"/>
  <c r="F286" i="59"/>
  <c r="L286" i="29"/>
  <c r="I286" i="29"/>
  <c r="N286" i="59"/>
  <c r="O286" i="59"/>
  <c r="M286" i="59"/>
  <c r="R286" i="59"/>
  <c r="Q286" i="29"/>
  <c r="K286" i="59"/>
  <c r="F286" i="29"/>
  <c r="T286" i="59"/>
  <c r="H286" i="29"/>
  <c r="E286" i="59"/>
  <c r="W286" i="59"/>
  <c r="I286" i="59"/>
  <c r="O286" i="29"/>
  <c r="M286" i="29"/>
  <c r="D170" i="29"/>
  <c r="D172" i="29"/>
  <c r="D169" i="29"/>
  <c r="X25" i="144"/>
  <c r="G57" i="7"/>
  <c r="G53" i="7"/>
  <c r="E177" i="29"/>
  <c r="E180" i="29"/>
  <c r="E180" i="59"/>
  <c r="G78" i="7"/>
  <c r="F177" i="59" s="1"/>
  <c r="E14" i="59"/>
  <c r="E24" i="144" s="1"/>
  <c r="G24" i="144"/>
  <c r="R24" i="144"/>
  <c r="P5" i="144"/>
  <c r="D187" i="59"/>
  <c r="E179" i="59"/>
  <c r="F156" i="59"/>
  <c r="F179" i="29"/>
  <c r="G156" i="29"/>
  <c r="H5" i="144"/>
  <c r="F14" i="59"/>
  <c r="E122" i="59" a="1"/>
  <c r="F117" i="29" a="1"/>
  <c r="F121" i="29" a="1"/>
  <c r="E116" i="29"/>
  <c r="E115" i="59" a="1"/>
  <c r="F121" i="59" a="1"/>
  <c r="F118" i="29" a="1"/>
  <c r="E118" i="59" a="1"/>
  <c r="E123" i="29" a="1"/>
  <c r="F126" i="29" a="1"/>
  <c r="F115" i="29" a="1"/>
  <c r="F118" i="59" a="1"/>
  <c r="F125" i="59" a="1"/>
  <c r="E122" i="29" a="1"/>
  <c r="E121" i="29" a="1"/>
  <c r="E121" i="59" a="1"/>
  <c r="E118" i="29" a="1"/>
  <c r="H115" i="29" a="1"/>
  <c r="F117" i="59" a="1"/>
  <c r="E117" i="29" a="1"/>
  <c r="E117" i="59" a="1"/>
  <c r="F125" i="29" a="1"/>
  <c r="E115" i="29" a="1"/>
  <c r="E123" i="59" a="1"/>
  <c r="F126" i="59" a="1"/>
  <c r="E116" i="59" a="1"/>
  <c r="H115" i="59" a="1"/>
  <c r="F115" i="59" a="1"/>
  <c r="E280" i="29" l="1"/>
  <c r="F273" i="29"/>
  <c r="E280" i="59"/>
  <c r="F273" i="59"/>
  <c r="R161" i="29"/>
  <c r="R14" i="29" s="1"/>
  <c r="R5" i="144" s="1"/>
  <c r="Q164" i="29"/>
  <c r="Q14" i="29" s="1"/>
  <c r="Q5" i="144" s="1"/>
  <c r="N195" i="59"/>
  <c r="T164" i="29"/>
  <c r="T14" i="29" s="1"/>
  <c r="T5" i="144" s="1"/>
  <c r="U161" i="29"/>
  <c r="U14" i="29" s="1"/>
  <c r="U5" i="144" s="1"/>
  <c r="O195" i="59"/>
  <c r="R195" i="29"/>
  <c r="O195" i="29"/>
  <c r="V195" i="29"/>
  <c r="S14" i="59"/>
  <c r="S24" i="144" s="1"/>
  <c r="P195" i="59"/>
  <c r="T195" i="29"/>
  <c r="W195" i="29"/>
  <c r="E283" i="59"/>
  <c r="E284" i="59" s="1"/>
  <c r="E285" i="59" s="1"/>
  <c r="E287" i="59" s="1"/>
  <c r="E289" i="59" s="1"/>
  <c r="U195" i="29"/>
  <c r="Q195" i="29"/>
  <c r="N195" i="29"/>
  <c r="S195" i="29"/>
  <c r="P195" i="29"/>
  <c r="P14" i="59"/>
  <c r="P24" i="144" s="1"/>
  <c r="Q14" i="59"/>
  <c r="Q24" i="144" s="1"/>
  <c r="V14" i="59"/>
  <c r="V24" i="144" s="1"/>
  <c r="T195" i="59"/>
  <c r="U195" i="59"/>
  <c r="V195" i="59"/>
  <c r="Q195" i="59"/>
  <c r="R195" i="59"/>
  <c r="W195" i="59"/>
  <c r="S195" i="59"/>
  <c r="D170" i="59"/>
  <c r="D172" i="59"/>
  <c r="D169" i="59"/>
  <c r="D181" i="59"/>
  <c r="D11" i="59" s="1"/>
  <c r="D181" i="29"/>
  <c r="D11" i="29" s="1"/>
  <c r="E266" i="59"/>
  <c r="E268" i="59" s="1"/>
  <c r="E21" i="59" s="1"/>
  <c r="E32" i="144" s="1"/>
  <c r="E116" i="59"/>
  <c r="E115" i="29"/>
  <c r="E115" i="59"/>
  <c r="E117" i="29"/>
  <c r="E117" i="59"/>
  <c r="F115" i="29"/>
  <c r="F115" i="59"/>
  <c r="E118" i="29"/>
  <c r="E118" i="59"/>
  <c r="D264" i="59"/>
  <c r="F121" i="59"/>
  <c r="F121" i="29"/>
  <c r="E123" i="59"/>
  <c r="E123" i="29"/>
  <c r="G54" i="7"/>
  <c r="G58" i="7"/>
  <c r="E121" i="59"/>
  <c r="E121" i="29"/>
  <c r="E122" i="59"/>
  <c r="E122" i="29"/>
  <c r="V14" i="29"/>
  <c r="V5" i="144" s="1"/>
  <c r="D32" i="144"/>
  <c r="F248" i="59"/>
  <c r="E260" i="29"/>
  <c r="E261" i="29" s="1"/>
  <c r="D183" i="29"/>
  <c r="E181" i="59"/>
  <c r="E11" i="59" s="1"/>
  <c r="O14" i="29"/>
  <c r="O5" i="144" s="1"/>
  <c r="E181" i="29"/>
  <c r="E11" i="29" s="1"/>
  <c r="F266" i="59"/>
  <c r="F268" i="59" s="1"/>
  <c r="F21" i="59" s="1"/>
  <c r="F264" i="59"/>
  <c r="G244" i="29"/>
  <c r="F258" i="29"/>
  <c r="D284" i="29"/>
  <c r="D285" i="29" s="1"/>
  <c r="D287" i="29" s="1"/>
  <c r="D289" i="29" s="1"/>
  <c r="D261" i="29"/>
  <c r="K132" i="29"/>
  <c r="K155" i="29" s="1"/>
  <c r="J134" i="29"/>
  <c r="J171" i="29" s="1"/>
  <c r="H244" i="59"/>
  <c r="G258" i="59"/>
  <c r="G260" i="59" s="1"/>
  <c r="E182" i="29"/>
  <c r="E194" i="29" s="1"/>
  <c r="D287" i="59"/>
  <c r="D289" i="59" s="1"/>
  <c r="L134" i="59"/>
  <c r="L171" i="59" s="1"/>
  <c r="M132" i="59"/>
  <c r="F245" i="29"/>
  <c r="F248" i="29" s="1"/>
  <c r="G245" i="59"/>
  <c r="G247" i="59" s="1"/>
  <c r="F249" i="59"/>
  <c r="F251" i="59" s="1"/>
  <c r="E283" i="29"/>
  <c r="E284" i="29" s="1"/>
  <c r="E285" i="29" s="1"/>
  <c r="E287" i="29" s="1"/>
  <c r="F125" i="29"/>
  <c r="F125" i="59"/>
  <c r="F118" i="29"/>
  <c r="F118" i="59"/>
  <c r="H115" i="59"/>
  <c r="H115" i="29"/>
  <c r="F117" i="29"/>
  <c r="F117" i="59"/>
  <c r="F126" i="29"/>
  <c r="F126" i="59"/>
  <c r="F180" i="59"/>
  <c r="F180" i="29"/>
  <c r="F177" i="29"/>
  <c r="H78" i="7"/>
  <c r="G177" i="59" s="1"/>
  <c r="D173" i="29"/>
  <c r="D10" i="29"/>
  <c r="D174" i="29"/>
  <c r="O257" i="59"/>
  <c r="L243" i="29"/>
  <c r="P257" i="29"/>
  <c r="K243" i="59"/>
  <c r="H57" i="7"/>
  <c r="E182" i="59"/>
  <c r="E194" i="59" s="1"/>
  <c r="Y5" i="144"/>
  <c r="F179" i="59"/>
  <c r="G156" i="59"/>
  <c r="F24" i="144"/>
  <c r="H156" i="29"/>
  <c r="G179" i="29"/>
  <c r="G187" i="29" s="1"/>
  <c r="E187" i="59"/>
  <c r="X5" i="144"/>
  <c r="F187" i="29"/>
  <c r="D183" i="59"/>
  <c r="D194" i="59"/>
  <c r="G117" i="59" a="1"/>
  <c r="G116" i="29"/>
  <c r="G126" i="29" a="1"/>
  <c r="H116" i="29"/>
  <c r="G121" i="29" a="1"/>
  <c r="G115" i="59" a="1"/>
  <c r="F123" i="29" a="1"/>
  <c r="I116" i="29"/>
  <c r="G121" i="59" a="1"/>
  <c r="G115" i="29" a="1"/>
  <c r="G125" i="59" a="1"/>
  <c r="F123" i="59" a="1"/>
  <c r="I116" i="59" a="1"/>
  <c r="G118" i="59" a="1"/>
  <c r="H116" i="59" a="1"/>
  <c r="G118" i="29" a="1"/>
  <c r="F120" i="29" a="1"/>
  <c r="F122" i="59" a="1"/>
  <c r="G116" i="59" a="1"/>
  <c r="G117" i="29" a="1"/>
  <c r="F120" i="59" a="1"/>
  <c r="G125" i="29" a="1"/>
  <c r="F122" i="29" a="1"/>
  <c r="G126" i="59" a="1"/>
  <c r="G273" i="59" l="1"/>
  <c r="F280" i="59"/>
  <c r="G273" i="29"/>
  <c r="F280" i="29"/>
  <c r="H58" i="7"/>
  <c r="D174" i="59"/>
  <c r="D184" i="59" s="1"/>
  <c r="D185" i="59" s="1"/>
  <c r="D173" i="59"/>
  <c r="D10" i="59"/>
  <c r="H116" i="59"/>
  <c r="G115" i="59"/>
  <c r="G115" i="29"/>
  <c r="E169" i="29"/>
  <c r="E172" i="29"/>
  <c r="D294" i="59"/>
  <c r="D295" i="59" s="1"/>
  <c r="D303" i="59" s="1"/>
  <c r="E170" i="29"/>
  <c r="G116" i="59"/>
  <c r="E172" i="59"/>
  <c r="E169" i="59"/>
  <c r="E170" i="59"/>
  <c r="E294" i="59"/>
  <c r="E295" i="59" s="1"/>
  <c r="E303" i="59" s="1"/>
  <c r="F122" i="59"/>
  <c r="F122" i="29"/>
  <c r="G121" i="29"/>
  <c r="G121" i="59"/>
  <c r="F123" i="29"/>
  <c r="F123" i="59"/>
  <c r="F120" i="29"/>
  <c r="F120" i="59"/>
  <c r="F182" i="29"/>
  <c r="F194" i="29" s="1"/>
  <c r="F181" i="29"/>
  <c r="F11" i="29" s="1"/>
  <c r="E183" i="29"/>
  <c r="E289" i="29"/>
  <c r="E291" i="29" s="1"/>
  <c r="N132" i="59"/>
  <c r="M134" i="59"/>
  <c r="M171" i="59" s="1"/>
  <c r="M155" i="59"/>
  <c r="F249" i="29"/>
  <c r="F251" i="29" s="1"/>
  <c r="G245" i="29"/>
  <c r="G248" i="29" s="1"/>
  <c r="F247" i="29"/>
  <c r="G258" i="29"/>
  <c r="H244" i="29"/>
  <c r="L132" i="29"/>
  <c r="L155" i="29" s="1"/>
  <c r="K134" i="29"/>
  <c r="K171" i="29" s="1"/>
  <c r="F252" i="59"/>
  <c r="F283" i="59"/>
  <c r="G261" i="59"/>
  <c r="D264" i="29"/>
  <c r="D294" i="29" s="1"/>
  <c r="D295" i="29" s="1"/>
  <c r="D300" i="29" s="1"/>
  <c r="D266" i="29"/>
  <c r="D268" i="29" s="1"/>
  <c r="D21" i="29" s="1"/>
  <c r="G248" i="59"/>
  <c r="G249" i="59"/>
  <c r="G251" i="59" s="1"/>
  <c r="G252" i="59" s="1"/>
  <c r="H245" i="59"/>
  <c r="I244" i="59"/>
  <c r="H258" i="59"/>
  <c r="H260" i="59" s="1"/>
  <c r="H261" i="59" s="1"/>
  <c r="E266" i="29"/>
  <c r="E268" i="29" s="1"/>
  <c r="E21" i="29" s="1"/>
  <c r="E264" i="29"/>
  <c r="E294" i="29" s="1"/>
  <c r="E295" i="29" s="1"/>
  <c r="F32" i="144"/>
  <c r="G117" i="29"/>
  <c r="G117" i="59"/>
  <c r="I116" i="59"/>
  <c r="G126" i="29"/>
  <c r="G126" i="59"/>
  <c r="G125" i="59"/>
  <c r="G125" i="29"/>
  <c r="G118" i="29"/>
  <c r="G118" i="59"/>
  <c r="D291" i="29"/>
  <c r="D22" i="29"/>
  <c r="G180" i="29"/>
  <c r="G177" i="29"/>
  <c r="G180" i="59"/>
  <c r="I78" i="7"/>
  <c r="H177" i="59" s="1"/>
  <c r="P257" i="59"/>
  <c r="I57" i="7"/>
  <c r="D175" i="29"/>
  <c r="D184" i="29"/>
  <c r="D185" i="29" s="1"/>
  <c r="D186" i="29" s="1"/>
  <c r="D202" i="29" s="1"/>
  <c r="F170" i="29"/>
  <c r="F169" i="29"/>
  <c r="F172" i="29"/>
  <c r="E22" i="59"/>
  <c r="E291" i="59"/>
  <c r="Q257" i="29"/>
  <c r="D22" i="59"/>
  <c r="D291" i="59"/>
  <c r="L243" i="59"/>
  <c r="M243" i="29"/>
  <c r="E183" i="59"/>
  <c r="Z24" i="144"/>
  <c r="Z5" i="144"/>
  <c r="F181" i="59"/>
  <c r="F187" i="59"/>
  <c r="X24" i="144"/>
  <c r="H179" i="29"/>
  <c r="I156" i="29"/>
  <c r="F182" i="59"/>
  <c r="Y24" i="144"/>
  <c r="H156" i="59"/>
  <c r="G179" i="59"/>
  <c r="I115" i="29" a="1"/>
  <c r="G123" i="29" a="1"/>
  <c r="H125" i="59" a="1"/>
  <c r="I120" i="59" a="1"/>
  <c r="G120" i="59" a="1"/>
  <c r="G122" i="59" a="1"/>
  <c r="H125" i="29" a="1"/>
  <c r="I115" i="59" a="1"/>
  <c r="J115" i="59" a="1"/>
  <c r="H118" i="59" a="1"/>
  <c r="G120" i="29" a="1"/>
  <c r="H126" i="59" a="1"/>
  <c r="G123" i="59" a="1"/>
  <c r="H126" i="29" a="1"/>
  <c r="H117" i="59" a="1"/>
  <c r="H118" i="29" a="1"/>
  <c r="G122" i="29" a="1"/>
  <c r="J115" i="29" a="1"/>
  <c r="I120" i="29" a="1"/>
  <c r="H117" i="29" a="1"/>
  <c r="G280" i="29" l="1"/>
  <c r="H273" i="29"/>
  <c r="G280" i="59"/>
  <c r="H273" i="59"/>
  <c r="D175" i="59"/>
  <c r="G122" i="59"/>
  <c r="G122" i="29"/>
  <c r="I115" i="59"/>
  <c r="I115" i="29"/>
  <c r="E174" i="29"/>
  <c r="E175" i="29" s="1"/>
  <c r="E173" i="29"/>
  <c r="E10" i="29"/>
  <c r="E300" i="59"/>
  <c r="D300" i="59"/>
  <c r="E10" i="59"/>
  <c r="E173" i="59"/>
  <c r="E174" i="59"/>
  <c r="E175" i="59" s="1"/>
  <c r="F169" i="59"/>
  <c r="G123" i="59"/>
  <c r="G123" i="29"/>
  <c r="G120" i="29"/>
  <c r="G120" i="59"/>
  <c r="F172" i="59"/>
  <c r="F170" i="59"/>
  <c r="I58" i="7"/>
  <c r="G182" i="29"/>
  <c r="G183" i="29" s="1"/>
  <c r="F183" i="29"/>
  <c r="E22" i="29"/>
  <c r="E14" i="144" s="1"/>
  <c r="E300" i="29"/>
  <c r="E303" i="29"/>
  <c r="G266" i="59"/>
  <c r="G268" i="59" s="1"/>
  <c r="G21" i="59" s="1"/>
  <c r="G264" i="59"/>
  <c r="I244" i="29"/>
  <c r="H258" i="29"/>
  <c r="H249" i="59"/>
  <c r="H251" i="59" s="1"/>
  <c r="H252" i="59" s="1"/>
  <c r="I245" i="59"/>
  <c r="E13" i="144"/>
  <c r="G283" i="59"/>
  <c r="G284" i="59" s="1"/>
  <c r="G285" i="59" s="1"/>
  <c r="G287" i="59" s="1"/>
  <c r="F284" i="59"/>
  <c r="F285" i="59" s="1"/>
  <c r="F287" i="59" s="1"/>
  <c r="G181" i="29"/>
  <c r="G11" i="29" s="1"/>
  <c r="O132" i="59"/>
  <c r="O155" i="59" s="1"/>
  <c r="N134" i="59"/>
  <c r="N171" i="59" s="1"/>
  <c r="N155" i="59"/>
  <c r="H247" i="59"/>
  <c r="D13" i="144"/>
  <c r="D303" i="29"/>
  <c r="H248" i="59"/>
  <c r="G247" i="29"/>
  <c r="G249" i="29"/>
  <c r="G251" i="29" s="1"/>
  <c r="H245" i="29"/>
  <c r="H247" i="29" s="1"/>
  <c r="M132" i="29"/>
  <c r="L134" i="29"/>
  <c r="L171" i="29" s="1"/>
  <c r="F283" i="29"/>
  <c r="F284" i="29" s="1"/>
  <c r="F285" i="29" s="1"/>
  <c r="F287" i="29" s="1"/>
  <c r="F252" i="29"/>
  <c r="F259" i="29" s="1"/>
  <c r="F260" i="29" s="1"/>
  <c r="J244" i="59"/>
  <c r="I258" i="59"/>
  <c r="I260" i="59" s="1"/>
  <c r="H266" i="59"/>
  <c r="H268" i="59" s="1"/>
  <c r="H21" i="59" s="1"/>
  <c r="H264" i="59"/>
  <c r="D190" i="29"/>
  <c r="D193" i="29" s="1"/>
  <c r="H126" i="59"/>
  <c r="H126" i="29"/>
  <c r="H125" i="29"/>
  <c r="H125" i="59"/>
  <c r="H118" i="59"/>
  <c r="H118" i="29"/>
  <c r="J115" i="59"/>
  <c r="J115" i="29"/>
  <c r="I120" i="29"/>
  <c r="I120" i="59"/>
  <c r="H117" i="59"/>
  <c r="H117" i="29"/>
  <c r="J57" i="7"/>
  <c r="J58" i="7"/>
  <c r="J78" i="7"/>
  <c r="I177" i="59" s="1"/>
  <c r="F173" i="29"/>
  <c r="F10" i="29"/>
  <c r="M243" i="59"/>
  <c r="Q257" i="59"/>
  <c r="H180" i="59"/>
  <c r="H177" i="29"/>
  <c r="H180" i="29"/>
  <c r="E33" i="144"/>
  <c r="N243" i="29"/>
  <c r="D33" i="144"/>
  <c r="R257" i="29"/>
  <c r="D14" i="144"/>
  <c r="G170" i="29"/>
  <c r="G172" i="29"/>
  <c r="G169" i="29"/>
  <c r="G181" i="59"/>
  <c r="H179" i="59"/>
  <c r="H187" i="59" s="1"/>
  <c r="I156" i="59"/>
  <c r="D190" i="59"/>
  <c r="D186" i="59"/>
  <c r="D202" i="59" s="1"/>
  <c r="I179" i="29"/>
  <c r="I187" i="29" s="1"/>
  <c r="J156" i="29"/>
  <c r="F11" i="59"/>
  <c r="G182" i="59"/>
  <c r="F194" i="59"/>
  <c r="F183" i="59"/>
  <c r="H187" i="29"/>
  <c r="G187" i="59"/>
  <c r="H121" i="29" a="1"/>
  <c r="H121" i="59" a="1"/>
  <c r="H123" i="29" a="1"/>
  <c r="H120" i="59" a="1"/>
  <c r="I123" i="59" a="1"/>
  <c r="I125" i="29" a="1"/>
  <c r="H123" i="59" a="1"/>
  <c r="K115" i="29" a="1"/>
  <c r="I125" i="59" a="1"/>
  <c r="K115" i="59" a="1"/>
  <c r="I123" i="29" a="1"/>
  <c r="I122" i="29" a="1"/>
  <c r="J120" i="59" a="1"/>
  <c r="I121" i="59" a="1"/>
  <c r="I122" i="59" a="1"/>
  <c r="J120" i="29" a="1"/>
  <c r="J116" i="59" a="1"/>
  <c r="I118" i="29" a="1"/>
  <c r="I118" i="59" a="1"/>
  <c r="H122" i="29" a="1"/>
  <c r="I117" i="29" a="1"/>
  <c r="I117" i="59" a="1"/>
  <c r="H122" i="59" a="1"/>
  <c r="H120" i="29" a="1"/>
  <c r="J116" i="29"/>
  <c r="I126" i="29" a="1"/>
  <c r="I126" i="59" a="1"/>
  <c r="I121" i="29" a="1"/>
  <c r="H280" i="59" l="1"/>
  <c r="I273" i="59"/>
  <c r="I273" i="29"/>
  <c r="H280" i="29"/>
  <c r="J116" i="59"/>
  <c r="F174" i="29"/>
  <c r="F175" i="29" s="1"/>
  <c r="E184" i="29"/>
  <c r="E185" i="29" s="1"/>
  <c r="E190" i="29" s="1"/>
  <c r="E193" i="29" s="1"/>
  <c r="E196" i="29" s="1"/>
  <c r="I121" i="29"/>
  <c r="I121" i="59"/>
  <c r="E184" i="59"/>
  <c r="E185" i="59" s="1"/>
  <c r="E190" i="59" s="1"/>
  <c r="E191" i="59" s="1"/>
  <c r="E16" i="59" s="1"/>
  <c r="F173" i="59"/>
  <c r="G170" i="59"/>
  <c r="G172" i="59"/>
  <c r="F10" i="59"/>
  <c r="G169" i="59"/>
  <c r="F174" i="59"/>
  <c r="F184" i="59" s="1"/>
  <c r="H120" i="29"/>
  <c r="H120" i="59"/>
  <c r="H123" i="59"/>
  <c r="H123" i="29"/>
  <c r="H122" i="29"/>
  <c r="H122" i="59"/>
  <c r="H121" i="29"/>
  <c r="H121" i="59"/>
  <c r="G194" i="29"/>
  <c r="H181" i="29"/>
  <c r="H11" i="29" s="1"/>
  <c r="D191" i="29"/>
  <c r="D16" i="29" s="1"/>
  <c r="D7" i="144" s="1"/>
  <c r="G289" i="59"/>
  <c r="G294" i="59"/>
  <c r="G295" i="59" s="1"/>
  <c r="D204" i="29"/>
  <c r="D206" i="29" s="1"/>
  <c r="D207" i="29" s="1"/>
  <c r="D215" i="29" s="1"/>
  <c r="F289" i="29"/>
  <c r="G252" i="29"/>
  <c r="G259" i="29" s="1"/>
  <c r="G260" i="29" s="1"/>
  <c r="G261" i="29" s="1"/>
  <c r="G283" i="29"/>
  <c r="G284" i="29" s="1"/>
  <c r="G285" i="29" s="1"/>
  <c r="G287" i="29" s="1"/>
  <c r="G32" i="144"/>
  <c r="H182" i="29"/>
  <c r="H183" i="29" s="1"/>
  <c r="H32" i="144"/>
  <c r="N132" i="29"/>
  <c r="N155" i="29" s="1"/>
  <c r="M134" i="29"/>
  <c r="M171" i="29" s="1"/>
  <c r="M155" i="29"/>
  <c r="P132" i="59"/>
  <c r="O134" i="59"/>
  <c r="O171" i="59" s="1"/>
  <c r="I247" i="59"/>
  <c r="I249" i="59"/>
  <c r="I251" i="59" s="1"/>
  <c r="I252" i="59" s="1"/>
  <c r="J245" i="59"/>
  <c r="J248" i="59" s="1"/>
  <c r="I261" i="59"/>
  <c r="H283" i="59"/>
  <c r="H284" i="59" s="1"/>
  <c r="H285" i="59" s="1"/>
  <c r="H287" i="59" s="1"/>
  <c r="I248" i="59"/>
  <c r="K244" i="59"/>
  <c r="J258" i="59"/>
  <c r="J260" i="59" s="1"/>
  <c r="F294" i="59"/>
  <c r="F295" i="59" s="1"/>
  <c r="F289" i="59"/>
  <c r="F261" i="29"/>
  <c r="H248" i="29"/>
  <c r="H249" i="29"/>
  <c r="H251" i="29" s="1"/>
  <c r="I245" i="29"/>
  <c r="I248" i="29" s="1"/>
  <c r="J244" i="29"/>
  <c r="I258" i="29"/>
  <c r="K115" i="29"/>
  <c r="K115" i="59"/>
  <c r="I117" i="29"/>
  <c r="I117" i="59"/>
  <c r="I126" i="29"/>
  <c r="I126" i="59"/>
  <c r="I122" i="29"/>
  <c r="I122" i="59"/>
  <c r="I123" i="59"/>
  <c r="I123" i="29"/>
  <c r="J120" i="29"/>
  <c r="J120" i="59"/>
  <c r="I125" i="29"/>
  <c r="I125" i="59"/>
  <c r="I118" i="29"/>
  <c r="I118" i="59"/>
  <c r="S257" i="29"/>
  <c r="I180" i="29"/>
  <c r="I177" i="29"/>
  <c r="I180" i="59"/>
  <c r="N243" i="59"/>
  <c r="K57" i="7"/>
  <c r="K58" i="7"/>
  <c r="H170" i="29"/>
  <c r="H169" i="29"/>
  <c r="H172" i="29"/>
  <c r="K78" i="7"/>
  <c r="J177" i="59" s="1"/>
  <c r="R257" i="59"/>
  <c r="O243" i="29"/>
  <c r="G10" i="29"/>
  <c r="G173" i="29"/>
  <c r="H182" i="59"/>
  <c r="H183" i="59" s="1"/>
  <c r="D193" i="59"/>
  <c r="D204" i="59"/>
  <c r="D206" i="59" s="1"/>
  <c r="D191" i="59"/>
  <c r="D16" i="59" s="1"/>
  <c r="K156" i="29"/>
  <c r="J179" i="29"/>
  <c r="G194" i="59"/>
  <c r="I179" i="59"/>
  <c r="I187" i="59" s="1"/>
  <c r="J156" i="59"/>
  <c r="H181" i="59"/>
  <c r="G11" i="59"/>
  <c r="G183" i="59"/>
  <c r="D196" i="29"/>
  <c r="J118" i="59" a="1"/>
  <c r="K116" i="59" a="1"/>
  <c r="K120" i="29" a="1"/>
  <c r="J126" i="29" a="1"/>
  <c r="J123" i="29" a="1"/>
  <c r="J126" i="59" a="1"/>
  <c r="J121" i="59" a="1"/>
  <c r="J118" i="29" a="1"/>
  <c r="K120" i="59" a="1"/>
  <c r="J123" i="59" a="1"/>
  <c r="J117" i="59" a="1"/>
  <c r="J125" i="59" a="1"/>
  <c r="J125" i="29" a="1"/>
  <c r="J122" i="59" a="1"/>
  <c r="J122" i="29" a="1"/>
  <c r="K116" i="29"/>
  <c r="J117" i="29" a="1"/>
  <c r="J121" i="29" a="1"/>
  <c r="J273" i="29" l="1"/>
  <c r="I280" i="29"/>
  <c r="I280" i="59"/>
  <c r="J273" i="59"/>
  <c r="K116" i="59"/>
  <c r="E191" i="29"/>
  <c r="E16" i="29" s="1"/>
  <c r="E186" i="29"/>
  <c r="E202" i="29" s="1"/>
  <c r="E204" i="29" s="1"/>
  <c r="E206" i="29" s="1"/>
  <c r="E207" i="29" s="1"/>
  <c r="E215" i="29" s="1"/>
  <c r="F184" i="29"/>
  <c r="F185" i="29" s="1"/>
  <c r="G174" i="29"/>
  <c r="G175" i="29" s="1"/>
  <c r="J121" i="59"/>
  <c r="J121" i="29"/>
  <c r="E193" i="59"/>
  <c r="E196" i="59" s="1"/>
  <c r="F185" i="59"/>
  <c r="F186" i="59" s="1"/>
  <c r="F202" i="59" s="1"/>
  <c r="E186" i="59"/>
  <c r="E202" i="59" s="1"/>
  <c r="E204" i="59" s="1"/>
  <c r="E206" i="59" s="1"/>
  <c r="E208" i="59" s="1"/>
  <c r="G173" i="59"/>
  <c r="H172" i="59"/>
  <c r="G10" i="59"/>
  <c r="G174" i="59"/>
  <c r="G184" i="59" s="1"/>
  <c r="G185" i="59" s="1"/>
  <c r="F175" i="59"/>
  <c r="H170" i="59"/>
  <c r="H169" i="59"/>
  <c r="J247" i="59"/>
  <c r="I181" i="29"/>
  <c r="I11" i="29" s="1"/>
  <c r="I182" i="29"/>
  <c r="I194" i="29" s="1"/>
  <c r="D208" i="29"/>
  <c r="H194" i="29"/>
  <c r="X32" i="144"/>
  <c r="H294" i="59"/>
  <c r="H295" i="59" s="1"/>
  <c r="H289" i="59"/>
  <c r="H283" i="29"/>
  <c r="I266" i="59"/>
  <c r="I268" i="59" s="1"/>
  <c r="I21" i="59" s="1"/>
  <c r="I264" i="59"/>
  <c r="L244" i="59"/>
  <c r="K258" i="59"/>
  <c r="K260" i="59" s="1"/>
  <c r="K261" i="59" s="1"/>
  <c r="J261" i="59"/>
  <c r="O132" i="29"/>
  <c r="N134" i="29"/>
  <c r="N171" i="29" s="1"/>
  <c r="H252" i="29"/>
  <c r="H259" i="29" s="1"/>
  <c r="H260" i="29" s="1"/>
  <c r="H261" i="29" s="1"/>
  <c r="K245" i="59"/>
  <c r="K247" i="59" s="1"/>
  <c r="J249" i="59"/>
  <c r="J251" i="59" s="1"/>
  <c r="J252" i="59" s="1"/>
  <c r="G289" i="29"/>
  <c r="F264" i="29"/>
  <c r="F294" i="29" s="1"/>
  <c r="F295" i="29" s="1"/>
  <c r="F266" i="29"/>
  <c r="F268" i="29" s="1"/>
  <c r="F21" i="29" s="1"/>
  <c r="G266" i="29"/>
  <c r="G268" i="29" s="1"/>
  <c r="G21" i="29" s="1"/>
  <c r="G264" i="29"/>
  <c r="G294" i="29" s="1"/>
  <c r="G295" i="29" s="1"/>
  <c r="I283" i="59"/>
  <c r="F291" i="59"/>
  <c r="F22" i="59"/>
  <c r="F291" i="29"/>
  <c r="F22" i="29"/>
  <c r="K244" i="29"/>
  <c r="J258" i="29"/>
  <c r="F300" i="59"/>
  <c r="F303" i="59"/>
  <c r="G300" i="59"/>
  <c r="G303" i="59"/>
  <c r="I247" i="29"/>
  <c r="I249" i="29"/>
  <c r="I251" i="29" s="1"/>
  <c r="I252" i="29" s="1"/>
  <c r="I259" i="29" s="1"/>
  <c r="I260" i="29" s="1"/>
  <c r="J245" i="29"/>
  <c r="J247" i="29" s="1"/>
  <c r="Q132" i="59"/>
  <c r="Q155" i="59" s="1"/>
  <c r="P134" i="59"/>
  <c r="P171" i="59" s="1"/>
  <c r="P155" i="59"/>
  <c r="G291" i="59"/>
  <c r="G22" i="59"/>
  <c r="J118" i="59"/>
  <c r="J118" i="29"/>
  <c r="J117" i="29"/>
  <c r="J117" i="59"/>
  <c r="J125" i="29"/>
  <c r="J125" i="59"/>
  <c r="J126" i="59"/>
  <c r="J126" i="29"/>
  <c r="K120" i="29"/>
  <c r="K120" i="59"/>
  <c r="J122" i="29"/>
  <c r="J122" i="59"/>
  <c r="J123" i="29"/>
  <c r="J123" i="59"/>
  <c r="P243" i="29"/>
  <c r="H173" i="29"/>
  <c r="H10" i="29"/>
  <c r="O243" i="59"/>
  <c r="T257" i="29"/>
  <c r="L78" i="7"/>
  <c r="K177" i="59" s="1"/>
  <c r="J180" i="29"/>
  <c r="J177" i="29"/>
  <c r="J180" i="59"/>
  <c r="S257" i="59"/>
  <c r="I170" i="59"/>
  <c r="I172" i="59"/>
  <c r="I169" i="59"/>
  <c r="I170" i="29"/>
  <c r="I172" i="29"/>
  <c r="I169" i="29"/>
  <c r="L58" i="7"/>
  <c r="L57" i="7"/>
  <c r="J187" i="29"/>
  <c r="H194" i="59"/>
  <c r="E197" i="29"/>
  <c r="E199" i="29"/>
  <c r="D208" i="59"/>
  <c r="D207" i="59"/>
  <c r="D215" i="59" s="1"/>
  <c r="D196" i="59"/>
  <c r="J179" i="59"/>
  <c r="K156" i="59"/>
  <c r="I181" i="59"/>
  <c r="I182" i="59"/>
  <c r="D26" i="144"/>
  <c r="E26" i="144"/>
  <c r="D218" i="29"/>
  <c r="D222" i="29" s="1"/>
  <c r="D223" i="29" s="1"/>
  <c r="D219" i="29"/>
  <c r="D225" i="29" s="1"/>
  <c r="D197" i="29"/>
  <c r="D199" i="29"/>
  <c r="H11" i="59"/>
  <c r="L156" i="29"/>
  <c r="K179" i="29"/>
  <c r="L115" i="59" a="1"/>
  <c r="K126" i="59" a="1"/>
  <c r="L116" i="59" a="1"/>
  <c r="K126" i="29" a="1"/>
  <c r="K122" i="29" a="1"/>
  <c r="K117" i="59" a="1"/>
  <c r="L120" i="59" a="1"/>
  <c r="K117" i="29" a="1"/>
  <c r="K123" i="59" a="1"/>
  <c r="K123" i="29" a="1"/>
  <c r="K118" i="29" a="1"/>
  <c r="K125" i="29" a="1"/>
  <c r="M116" i="59" a="1"/>
  <c r="L120" i="29" a="1"/>
  <c r="K118" i="59" a="1"/>
  <c r="M115" i="29" a="1"/>
  <c r="M115" i="59" a="1"/>
  <c r="K121" i="29" a="1"/>
  <c r="L115" i="29" a="1"/>
  <c r="K125" i="59" a="1"/>
  <c r="L116" i="29"/>
  <c r="K121" i="59" a="1"/>
  <c r="K122" i="59" a="1"/>
  <c r="M116" i="29"/>
  <c r="J280" i="59" l="1"/>
  <c r="K273" i="59"/>
  <c r="K273" i="29"/>
  <c r="J280" i="29"/>
  <c r="L115" i="29"/>
  <c r="L115" i="59"/>
  <c r="L116" i="59"/>
  <c r="H174" i="29"/>
  <c r="H184" i="29" s="1"/>
  <c r="E7" i="144"/>
  <c r="F186" i="29"/>
  <c r="F202" i="29" s="1"/>
  <c r="F190" i="29"/>
  <c r="F191" i="29" s="1"/>
  <c r="F16" i="29" s="1"/>
  <c r="F7" i="144" s="1"/>
  <c r="G184" i="29"/>
  <c r="G185" i="29" s="1"/>
  <c r="G186" i="29" s="1"/>
  <c r="G202" i="29" s="1"/>
  <c r="E208" i="29"/>
  <c r="E209" i="29" s="1"/>
  <c r="E210" i="29" s="1"/>
  <c r="F190" i="59"/>
  <c r="F204" i="59" s="1"/>
  <c r="F206" i="59" s="1"/>
  <c r="K121" i="29"/>
  <c r="K121" i="59"/>
  <c r="E207" i="59"/>
  <c r="E215" i="59" s="1"/>
  <c r="E218" i="59" s="1"/>
  <c r="E222" i="59" s="1"/>
  <c r="H174" i="59"/>
  <c r="H184" i="59" s="1"/>
  <c r="H185" i="59" s="1"/>
  <c r="H186" i="59" s="1"/>
  <c r="H202" i="59" s="1"/>
  <c r="G175" i="59"/>
  <c r="H173" i="59"/>
  <c r="H10" i="59"/>
  <c r="I183" i="29"/>
  <c r="J182" i="59"/>
  <c r="J183" i="59" s="1"/>
  <c r="K264" i="59"/>
  <c r="K266" i="59"/>
  <c r="K268" i="59" s="1"/>
  <c r="K21" i="59" s="1"/>
  <c r="G300" i="29"/>
  <c r="G303" i="29"/>
  <c r="I261" i="29"/>
  <c r="F33" i="144"/>
  <c r="F13" i="144"/>
  <c r="I32" i="144"/>
  <c r="R132" i="59"/>
  <c r="R155" i="59" s="1"/>
  <c r="Q134" i="59"/>
  <c r="Q171" i="59" s="1"/>
  <c r="F300" i="29"/>
  <c r="F303" i="29"/>
  <c r="P132" i="29"/>
  <c r="O134" i="29"/>
  <c r="O171" i="29" s="1"/>
  <c r="O155" i="29"/>
  <c r="G33" i="144"/>
  <c r="K245" i="29"/>
  <c r="K247" i="29" s="1"/>
  <c r="J249" i="29"/>
  <c r="J251" i="29" s="1"/>
  <c r="J248" i="29"/>
  <c r="I284" i="59"/>
  <c r="I285" i="59" s="1"/>
  <c r="I287" i="59" s="1"/>
  <c r="G22" i="29"/>
  <c r="G291" i="29"/>
  <c r="J264" i="59"/>
  <c r="J266" i="59"/>
  <c r="J268" i="59" s="1"/>
  <c r="J21" i="59" s="1"/>
  <c r="J181" i="29"/>
  <c r="J11" i="29" s="1"/>
  <c r="I283" i="29"/>
  <c r="I284" i="29" s="1"/>
  <c r="I285" i="29" s="1"/>
  <c r="I287" i="29" s="1"/>
  <c r="I289" i="29" s="1"/>
  <c r="H284" i="29"/>
  <c r="H285" i="29" s="1"/>
  <c r="H287" i="29" s="1"/>
  <c r="H289" i="29" s="1"/>
  <c r="L244" i="29"/>
  <c r="K258" i="29"/>
  <c r="G13" i="144"/>
  <c r="J283" i="59"/>
  <c r="J284" i="59" s="1"/>
  <c r="J285" i="59" s="1"/>
  <c r="J287" i="59" s="1"/>
  <c r="H22" i="59"/>
  <c r="H291" i="59"/>
  <c r="F14" i="144"/>
  <c r="H266" i="29"/>
  <c r="H268" i="29" s="1"/>
  <c r="H21" i="29" s="1"/>
  <c r="H264" i="29"/>
  <c r="L245" i="59"/>
  <c r="L248" i="59" s="1"/>
  <c r="K249" i="59"/>
  <c r="K251" i="59" s="1"/>
  <c r="K248" i="59"/>
  <c r="H300" i="59"/>
  <c r="H303" i="59"/>
  <c r="M244" i="59"/>
  <c r="L258" i="59"/>
  <c r="L260" i="59" s="1"/>
  <c r="L261" i="59" s="1"/>
  <c r="K122" i="29"/>
  <c r="K122" i="59"/>
  <c r="K125" i="59"/>
  <c r="K125" i="29"/>
  <c r="M115" i="29"/>
  <c r="M115" i="59"/>
  <c r="M116" i="59"/>
  <c r="K118" i="29"/>
  <c r="K118" i="59"/>
  <c r="L120" i="29"/>
  <c r="L120" i="59"/>
  <c r="K123" i="59"/>
  <c r="K123" i="29"/>
  <c r="K117" i="29"/>
  <c r="K117" i="59"/>
  <c r="K126" i="59"/>
  <c r="K126" i="29"/>
  <c r="I10" i="59"/>
  <c r="I173" i="59"/>
  <c r="M57" i="7"/>
  <c r="M58" i="7"/>
  <c r="T257" i="59"/>
  <c r="J182" i="29"/>
  <c r="K180" i="59"/>
  <c r="K177" i="29"/>
  <c r="K180" i="29"/>
  <c r="Q243" i="29"/>
  <c r="J170" i="59"/>
  <c r="J169" i="59"/>
  <c r="J172" i="59"/>
  <c r="I10" i="29"/>
  <c r="I173" i="29"/>
  <c r="M78" i="7"/>
  <c r="L177" i="59" s="1"/>
  <c r="U257" i="29"/>
  <c r="J169" i="29"/>
  <c r="J170" i="29"/>
  <c r="J172" i="29"/>
  <c r="P243" i="59"/>
  <c r="J187" i="59"/>
  <c r="D197" i="59"/>
  <c r="D199" i="59"/>
  <c r="L179" i="29"/>
  <c r="M156" i="29"/>
  <c r="G186" i="59"/>
  <c r="G202" i="59" s="1"/>
  <c r="G190" i="59"/>
  <c r="K179" i="59"/>
  <c r="L156" i="59"/>
  <c r="D209" i="29"/>
  <c r="D210" i="29" s="1"/>
  <c r="D212" i="29"/>
  <c r="D213" i="29" s="1"/>
  <c r="D17" i="29" s="1"/>
  <c r="D200" i="29"/>
  <c r="I11" i="59"/>
  <c r="J181" i="59"/>
  <c r="I194" i="59"/>
  <c r="I183" i="59"/>
  <c r="E212" i="29"/>
  <c r="E213" i="29" s="1"/>
  <c r="E17" i="29" s="1"/>
  <c r="D218" i="59"/>
  <c r="D222" i="59" s="1"/>
  <c r="D223" i="59" s="1"/>
  <c r="D219" i="59"/>
  <c r="D225" i="59" s="1"/>
  <c r="E218" i="29"/>
  <c r="E222" i="29" s="1"/>
  <c r="E223" i="29" s="1"/>
  <c r="E219" i="29"/>
  <c r="E225" i="29" s="1"/>
  <c r="D228" i="29"/>
  <c r="D226" i="29"/>
  <c r="D229" i="29" s="1"/>
  <c r="K187" i="29"/>
  <c r="E197" i="59"/>
  <c r="E199" i="59"/>
  <c r="L117" i="59" a="1"/>
  <c r="L126" i="29" a="1"/>
  <c r="L117" i="29" a="1"/>
  <c r="L126" i="59" a="1"/>
  <c r="L118" i="59" a="1"/>
  <c r="L123" i="29" a="1"/>
  <c r="N116" i="29"/>
  <c r="L125" i="29" a="1"/>
  <c r="L125" i="59" a="1"/>
  <c r="L121" i="29" a="1"/>
  <c r="N115" i="29" a="1"/>
  <c r="L123" i="59" a="1"/>
  <c r="L118" i="29" a="1"/>
  <c r="L121" i="59" a="1"/>
  <c r="N116" i="59" a="1"/>
  <c r="L122" i="59" a="1"/>
  <c r="N115" i="59" a="1"/>
  <c r="L122" i="29" a="1"/>
  <c r="L273" i="29" l="1"/>
  <c r="K280" i="29"/>
  <c r="K280" i="59"/>
  <c r="L273" i="59"/>
  <c r="L121" i="59"/>
  <c r="L121" i="29"/>
  <c r="I174" i="29"/>
  <c r="I175" i="29" s="1"/>
  <c r="H175" i="29"/>
  <c r="F193" i="29"/>
  <c r="F196" i="29" s="1"/>
  <c r="F197" i="29" s="1"/>
  <c r="F204" i="29"/>
  <c r="F206" i="29" s="1"/>
  <c r="F208" i="29" s="1"/>
  <c r="F191" i="59"/>
  <c r="F16" i="59" s="1"/>
  <c r="F193" i="59"/>
  <c r="F196" i="59" s="1"/>
  <c r="G190" i="29"/>
  <c r="G191" i="29" s="1"/>
  <c r="G16" i="29" s="1"/>
  <c r="G193" i="59"/>
  <c r="E219" i="59"/>
  <c r="E225" i="59" s="1"/>
  <c r="E228" i="59" s="1"/>
  <c r="I174" i="59"/>
  <c r="I184" i="59" s="1"/>
  <c r="I185" i="59" s="1"/>
  <c r="H175" i="59"/>
  <c r="L247" i="59"/>
  <c r="K248" i="29"/>
  <c r="J194" i="59"/>
  <c r="H190" i="59"/>
  <c r="H204" i="59" s="1"/>
  <c r="H206" i="59" s="1"/>
  <c r="H294" i="29"/>
  <c r="H295" i="29" s="1"/>
  <c r="H300" i="29" s="1"/>
  <c r="J294" i="59"/>
  <c r="J295" i="59" s="1"/>
  <c r="J289" i="59"/>
  <c r="H33" i="144"/>
  <c r="X33" i="144" s="1"/>
  <c r="L258" i="29"/>
  <c r="M244" i="29"/>
  <c r="J32" i="144"/>
  <c r="K249" i="29"/>
  <c r="K251" i="29" s="1"/>
  <c r="L245" i="29"/>
  <c r="L247" i="29" s="1"/>
  <c r="S132" i="59"/>
  <c r="R134" i="59"/>
  <c r="R171" i="59" s="1"/>
  <c r="I264" i="29"/>
  <c r="I294" i="29" s="1"/>
  <c r="I295" i="29" s="1"/>
  <c r="I266" i="29"/>
  <c r="I268" i="29" s="1"/>
  <c r="I21" i="29" s="1"/>
  <c r="J283" i="29"/>
  <c r="J284" i="29" s="1"/>
  <c r="J285" i="29" s="1"/>
  <c r="J287" i="29" s="1"/>
  <c r="K182" i="29"/>
  <c r="K183" i="29" s="1"/>
  <c r="L266" i="59"/>
  <c r="L268" i="59" s="1"/>
  <c r="L21" i="59" s="1"/>
  <c r="L264" i="59"/>
  <c r="K283" i="59"/>
  <c r="K284" i="59" s="1"/>
  <c r="K285" i="59" s="1"/>
  <c r="K287" i="59" s="1"/>
  <c r="K252" i="59"/>
  <c r="L249" i="59"/>
  <c r="L251" i="59" s="1"/>
  <c r="L283" i="59" s="1"/>
  <c r="M245" i="59"/>
  <c r="M248" i="59" s="1"/>
  <c r="N244" i="59"/>
  <c r="M258" i="59"/>
  <c r="M260" i="59" s="1"/>
  <c r="I22" i="29"/>
  <c r="I291" i="29"/>
  <c r="G14" i="144"/>
  <c r="P134" i="29"/>
  <c r="P171" i="29" s="1"/>
  <c r="Q132" i="29"/>
  <c r="P155" i="29"/>
  <c r="K32" i="144"/>
  <c r="H13" i="144"/>
  <c r="X13" i="144" s="1"/>
  <c r="H291" i="29"/>
  <c r="H22" i="29"/>
  <c r="J252" i="29"/>
  <c r="J259" i="29" s="1"/>
  <c r="J260" i="29" s="1"/>
  <c r="I289" i="59"/>
  <c r="I294" i="59"/>
  <c r="I295" i="59" s="1"/>
  <c r="L122" i="59"/>
  <c r="L122" i="29"/>
  <c r="L117" i="59"/>
  <c r="L117" i="29"/>
  <c r="L118" i="59"/>
  <c r="L118" i="29"/>
  <c r="L126" i="59"/>
  <c r="L126" i="29"/>
  <c r="N115" i="59"/>
  <c r="N115" i="29"/>
  <c r="N116" i="59"/>
  <c r="L123" i="59"/>
  <c r="L123" i="29"/>
  <c r="L125" i="29"/>
  <c r="L125" i="59"/>
  <c r="Q243" i="59"/>
  <c r="J183" i="29"/>
  <c r="J194" i="29"/>
  <c r="J10" i="59"/>
  <c r="J173" i="59"/>
  <c r="H185" i="29"/>
  <c r="L177" i="29"/>
  <c r="L180" i="29"/>
  <c r="L180" i="59"/>
  <c r="V257" i="29"/>
  <c r="K181" i="29"/>
  <c r="K11" i="29" s="1"/>
  <c r="U257" i="59"/>
  <c r="R243" i="29"/>
  <c r="N78" i="7"/>
  <c r="M177" i="59" s="1"/>
  <c r="N58" i="7"/>
  <c r="N57" i="7"/>
  <c r="K170" i="29"/>
  <c r="K169" i="29"/>
  <c r="K172" i="29"/>
  <c r="J173" i="29"/>
  <c r="J10" i="29"/>
  <c r="K169" i="59"/>
  <c r="K170" i="59"/>
  <c r="K172" i="59"/>
  <c r="D231" i="29"/>
  <c r="D306" i="29" s="1"/>
  <c r="D307" i="29" s="1"/>
  <c r="D309" i="29" s="1"/>
  <c r="D311" i="29" s="1"/>
  <c r="D23" i="29" s="1"/>
  <c r="D15" i="144" s="1"/>
  <c r="E223" i="59"/>
  <c r="D18" i="29"/>
  <c r="E209" i="59"/>
  <c r="E210" i="59" s="1"/>
  <c r="E212" i="59"/>
  <c r="E213" i="59" s="1"/>
  <c r="E17" i="59" s="1"/>
  <c r="G204" i="59"/>
  <c r="G206" i="59" s="1"/>
  <c r="G208" i="59" s="1"/>
  <c r="G191" i="59"/>
  <c r="G16" i="59" s="1"/>
  <c r="E228" i="29"/>
  <c r="E226" i="29"/>
  <c r="E229" i="29" s="1"/>
  <c r="E8" i="144"/>
  <c r="M179" i="29"/>
  <c r="M187" i="29" s="1"/>
  <c r="N156" i="29"/>
  <c r="K181" i="59"/>
  <c r="K187" i="59"/>
  <c r="K182" i="59"/>
  <c r="F208" i="59"/>
  <c r="F207" i="59"/>
  <c r="J11" i="59"/>
  <c r="D8" i="144"/>
  <c r="L179" i="59"/>
  <c r="M156" i="59"/>
  <c r="D209" i="59"/>
  <c r="D210" i="59" s="1"/>
  <c r="D212" i="59"/>
  <c r="D213" i="59" s="1"/>
  <c r="D17" i="59" s="1"/>
  <c r="D200" i="59"/>
  <c r="D226" i="59"/>
  <c r="D229" i="59" s="1"/>
  <c r="D228" i="59"/>
  <c r="L187" i="29"/>
  <c r="D232" i="29"/>
  <c r="M122" i="59" a="1"/>
  <c r="M120" i="29" a="1"/>
  <c r="O115" i="59" a="1"/>
  <c r="M121" i="59" a="1"/>
  <c r="N121" i="29" a="1"/>
  <c r="M117" i="59" a="1"/>
  <c r="O116" i="59" a="1"/>
  <c r="M126" i="29" a="1"/>
  <c r="M121" i="29" a="1"/>
  <c r="N120" i="29" a="1"/>
  <c r="O115" i="29" a="1"/>
  <c r="M117" i="29" a="1"/>
  <c r="N121" i="59" a="1"/>
  <c r="M118" i="59" a="1"/>
  <c r="M125" i="29" a="1"/>
  <c r="M118" i="29" a="1"/>
  <c r="M126" i="59" a="1"/>
  <c r="M122" i="29" a="1"/>
  <c r="M123" i="59" a="1"/>
  <c r="O116" i="29"/>
  <c r="M125" i="59" a="1"/>
  <c r="N120" i="59" a="1"/>
  <c r="M120" i="59" a="1"/>
  <c r="M123" i="29" a="1"/>
  <c r="L280" i="59" l="1"/>
  <c r="M273" i="59"/>
  <c r="M273" i="29"/>
  <c r="L280" i="29"/>
  <c r="M121" i="29"/>
  <c r="M121" i="59"/>
  <c r="M120" i="59"/>
  <c r="M120" i="29"/>
  <c r="I184" i="29"/>
  <c r="I185" i="29" s="1"/>
  <c r="I190" i="29" s="1"/>
  <c r="I191" i="29" s="1"/>
  <c r="I16" i="29" s="1"/>
  <c r="I7" i="144" s="1"/>
  <c r="J174" i="29"/>
  <c r="J184" i="29" s="1"/>
  <c r="F26" i="144"/>
  <c r="F199" i="29"/>
  <c r="F209" i="29" s="1"/>
  <c r="F210" i="29" s="1"/>
  <c r="G193" i="29"/>
  <c r="G196" i="29" s="1"/>
  <c r="G197" i="29" s="1"/>
  <c r="F207" i="29"/>
  <c r="F215" i="29" s="1"/>
  <c r="F218" i="29" s="1"/>
  <c r="F222" i="29" s="1"/>
  <c r="F223" i="29" s="1"/>
  <c r="G204" i="29"/>
  <c r="G206" i="29" s="1"/>
  <c r="G208" i="29" s="1"/>
  <c r="F215" i="59"/>
  <c r="F219" i="59" s="1"/>
  <c r="F225" i="59" s="1"/>
  <c r="G196" i="59"/>
  <c r="G197" i="59" s="1"/>
  <c r="E226" i="59"/>
  <c r="E229" i="59" s="1"/>
  <c r="I175" i="59"/>
  <c r="J174" i="59"/>
  <c r="J175" i="59" s="1"/>
  <c r="H303" i="29"/>
  <c r="L181" i="29"/>
  <c r="L11" i="29" s="1"/>
  <c r="H191" i="59"/>
  <c r="H16" i="59" s="1"/>
  <c r="H193" i="59"/>
  <c r="H196" i="59" s="1"/>
  <c r="L182" i="29"/>
  <c r="L194" i="29" s="1"/>
  <c r="K194" i="29"/>
  <c r="I303" i="59"/>
  <c r="I300" i="59"/>
  <c r="M261" i="59"/>
  <c r="I13" i="144"/>
  <c r="L248" i="29"/>
  <c r="J300" i="59"/>
  <c r="J303" i="59"/>
  <c r="I22" i="59"/>
  <c r="I291" i="59"/>
  <c r="O244" i="59"/>
  <c r="N258" i="59"/>
  <c r="N260" i="59" s="1"/>
  <c r="N261" i="59" s="1"/>
  <c r="L252" i="59"/>
  <c r="I303" i="29"/>
  <c r="I300" i="29"/>
  <c r="N244" i="29"/>
  <c r="M258" i="29"/>
  <c r="N245" i="59"/>
  <c r="M249" i="59"/>
  <c r="M251" i="59" s="1"/>
  <c r="J261" i="29"/>
  <c r="L284" i="59"/>
  <c r="L285" i="59" s="1"/>
  <c r="L287" i="59" s="1"/>
  <c r="I14" i="144"/>
  <c r="T132" i="59"/>
  <c r="T155" i="59" s="1"/>
  <c r="S134" i="59"/>
  <c r="S171" i="59" s="1"/>
  <c r="S155" i="59"/>
  <c r="L32" i="144"/>
  <c r="M245" i="29"/>
  <c r="M248" i="29" s="1"/>
  <c r="L249" i="29"/>
  <c r="L251" i="29" s="1"/>
  <c r="L252" i="29" s="1"/>
  <c r="L259" i="29" s="1"/>
  <c r="L260" i="29" s="1"/>
  <c r="K294" i="59"/>
  <c r="K295" i="59" s="1"/>
  <c r="K289" i="59"/>
  <c r="K283" i="29"/>
  <c r="K284" i="29" s="1"/>
  <c r="K285" i="29" s="1"/>
  <c r="K287" i="29" s="1"/>
  <c r="K289" i="29" s="1"/>
  <c r="K252" i="29"/>
  <c r="K259" i="29" s="1"/>
  <c r="K260" i="29" s="1"/>
  <c r="J289" i="29"/>
  <c r="R132" i="29"/>
  <c r="Q134" i="29"/>
  <c r="Q171" i="29" s="1"/>
  <c r="Q155" i="29"/>
  <c r="H14" i="144"/>
  <c r="X14" i="144" s="1"/>
  <c r="M247" i="59"/>
  <c r="J291" i="59"/>
  <c r="J22" i="59"/>
  <c r="M125" i="29"/>
  <c r="M125" i="59"/>
  <c r="M122" i="29"/>
  <c r="M122" i="59"/>
  <c r="M126" i="29"/>
  <c r="M126" i="59"/>
  <c r="M117" i="29"/>
  <c r="M117" i="59"/>
  <c r="O116" i="59"/>
  <c r="M118" i="29"/>
  <c r="M118" i="59"/>
  <c r="N120" i="59"/>
  <c r="N120" i="29"/>
  <c r="O115" i="59"/>
  <c r="O115" i="29"/>
  <c r="M123" i="29"/>
  <c r="M123" i="59"/>
  <c r="N121" i="59"/>
  <c r="N121" i="29"/>
  <c r="W257" i="29"/>
  <c r="L170" i="29"/>
  <c r="L172" i="29"/>
  <c r="L169" i="29"/>
  <c r="V257" i="59"/>
  <c r="L170" i="59"/>
  <c r="L172" i="59"/>
  <c r="L169" i="59"/>
  <c r="K173" i="59"/>
  <c r="K10" i="59"/>
  <c r="G7" i="144"/>
  <c r="O78" i="7"/>
  <c r="S243" i="29"/>
  <c r="K10" i="29"/>
  <c r="K173" i="29"/>
  <c r="M177" i="29"/>
  <c r="M180" i="59"/>
  <c r="M180" i="29"/>
  <c r="O57" i="7"/>
  <c r="O58" i="7"/>
  <c r="H190" i="29"/>
  <c r="H186" i="29"/>
  <c r="H202" i="29" s="1"/>
  <c r="R243" i="59"/>
  <c r="D9" i="144"/>
  <c r="D19" i="29"/>
  <c r="D24" i="29"/>
  <c r="E18" i="29"/>
  <c r="E232" i="29"/>
  <c r="G207" i="59"/>
  <c r="G215" i="59" s="1"/>
  <c r="D232" i="59"/>
  <c r="H208" i="59"/>
  <c r="D18" i="59"/>
  <c r="D231" i="59"/>
  <c r="D306" i="59" s="1"/>
  <c r="D307" i="59" s="1"/>
  <c r="D309" i="59" s="1"/>
  <c r="D311" i="59" s="1"/>
  <c r="D23" i="59" s="1"/>
  <c r="L181" i="59"/>
  <c r="L182" i="59"/>
  <c r="L183" i="59" s="1"/>
  <c r="D27" i="144"/>
  <c r="N179" i="29"/>
  <c r="N187" i="29" s="1"/>
  <c r="O156" i="29"/>
  <c r="D16" i="144"/>
  <c r="D20" i="144" s="1"/>
  <c r="I186" i="59"/>
  <c r="I202" i="59" s="1"/>
  <c r="I190" i="59"/>
  <c r="G26" i="144"/>
  <c r="E27" i="144"/>
  <c r="F197" i="59"/>
  <c r="F199" i="59"/>
  <c r="N156" i="59"/>
  <c r="M179" i="59"/>
  <c r="M187" i="59" s="1"/>
  <c r="H207" i="59"/>
  <c r="K194" i="59"/>
  <c r="K183" i="59"/>
  <c r="L187" i="59"/>
  <c r="E231" i="29"/>
  <c r="E306" i="29" s="1"/>
  <c r="E307" i="29" s="1"/>
  <c r="E309" i="29" s="1"/>
  <c r="E311" i="29" s="1"/>
  <c r="E23" i="29" s="1"/>
  <c r="K11" i="59"/>
  <c r="N118" i="29" a="1"/>
  <c r="O121" i="59" a="1"/>
  <c r="N123" i="59" a="1"/>
  <c r="N117" i="59" a="1"/>
  <c r="N117" i="29" a="1"/>
  <c r="N118" i="59" a="1"/>
  <c r="N122" i="29" a="1"/>
  <c r="N122" i="59" a="1"/>
  <c r="N126" i="59" a="1"/>
  <c r="N125" i="29" a="1"/>
  <c r="N123" i="29" a="1"/>
  <c r="O120" i="29" a="1"/>
  <c r="P115" i="59" a="1"/>
  <c r="P116" i="59" a="1"/>
  <c r="N126" i="29" a="1"/>
  <c r="P116" i="29"/>
  <c r="P115" i="29" a="1"/>
  <c r="O120" i="59" a="1"/>
  <c r="N125" i="59" a="1"/>
  <c r="O121" i="29" a="1"/>
  <c r="M280" i="59" l="1"/>
  <c r="N273" i="59"/>
  <c r="M280" i="29"/>
  <c r="N273" i="29"/>
  <c r="D28" i="144"/>
  <c r="J175" i="29"/>
  <c r="I186" i="29"/>
  <c r="I202" i="29" s="1"/>
  <c r="I204" i="29" s="1"/>
  <c r="I206" i="29" s="1"/>
  <c r="K174" i="29"/>
  <c r="K175" i="29" s="1"/>
  <c r="J185" i="29"/>
  <c r="J190" i="29" s="1"/>
  <c r="J193" i="29" s="1"/>
  <c r="F212" i="29"/>
  <c r="F213" i="29" s="1"/>
  <c r="F17" i="29" s="1"/>
  <c r="G199" i="59"/>
  <c r="G209" i="59" s="1"/>
  <c r="G210" i="59" s="1"/>
  <c r="F218" i="59"/>
  <c r="F222" i="59" s="1"/>
  <c r="F223" i="59" s="1"/>
  <c r="G207" i="29"/>
  <c r="G215" i="29" s="1"/>
  <c r="G199" i="29"/>
  <c r="G209" i="29" s="1"/>
  <c r="G210" i="29" s="1"/>
  <c r="F219" i="29"/>
  <c r="F225" i="29" s="1"/>
  <c r="F228" i="29" s="1"/>
  <c r="G218" i="59"/>
  <c r="G222" i="59" s="1"/>
  <c r="J184" i="59"/>
  <c r="J185" i="59" s="1"/>
  <c r="J186" i="59" s="1"/>
  <c r="J202" i="59" s="1"/>
  <c r="K174" i="59"/>
  <c r="K175" i="59" s="1"/>
  <c r="E231" i="59"/>
  <c r="E306" i="59" s="1"/>
  <c r="E307" i="59" s="1"/>
  <c r="E309" i="59" s="1"/>
  <c r="E311" i="59" s="1"/>
  <c r="E23" i="59" s="1"/>
  <c r="E24" i="59" s="1"/>
  <c r="E232" i="59"/>
  <c r="E18" i="59"/>
  <c r="M247" i="29"/>
  <c r="H26" i="144"/>
  <c r="X26" i="144" s="1"/>
  <c r="H215" i="59"/>
  <c r="H218" i="59" s="1"/>
  <c r="H222" i="59" s="1"/>
  <c r="L183" i="29"/>
  <c r="M182" i="29"/>
  <c r="M183" i="29" s="1"/>
  <c r="H204" i="29"/>
  <c r="H206" i="29" s="1"/>
  <c r="H208" i="29" s="1"/>
  <c r="M181" i="29"/>
  <c r="M11" i="29" s="1"/>
  <c r="K22" i="29"/>
  <c r="K291" i="29"/>
  <c r="J22" i="29"/>
  <c r="J291" i="29"/>
  <c r="U132" i="59"/>
  <c r="T134" i="59"/>
  <c r="T171" i="59" s="1"/>
  <c r="M252" i="59"/>
  <c r="M283" i="59"/>
  <c r="L261" i="29"/>
  <c r="N247" i="59"/>
  <c r="N249" i="59"/>
  <c r="N251" i="59" s="1"/>
  <c r="O245" i="59"/>
  <c r="O247" i="59" s="1"/>
  <c r="N248" i="59"/>
  <c r="P244" i="59"/>
  <c r="O258" i="59"/>
  <c r="O260" i="59" s="1"/>
  <c r="N266" i="59"/>
  <c r="N268" i="59" s="1"/>
  <c r="N21" i="59" s="1"/>
  <c r="N264" i="59"/>
  <c r="K22" i="59"/>
  <c r="K291" i="59"/>
  <c r="M264" i="59"/>
  <c r="M266" i="59"/>
  <c r="M268" i="59" s="1"/>
  <c r="M21" i="59" s="1"/>
  <c r="K300" i="59"/>
  <c r="K303" i="59"/>
  <c r="L294" i="59"/>
  <c r="L295" i="59" s="1"/>
  <c r="L289" i="59"/>
  <c r="N258" i="29"/>
  <c r="O244" i="29"/>
  <c r="I33" i="144"/>
  <c r="K261" i="29"/>
  <c r="J33" i="144"/>
  <c r="S132" i="29"/>
  <c r="R134" i="29"/>
  <c r="R171" i="29" s="1"/>
  <c r="R155" i="29"/>
  <c r="L283" i="29"/>
  <c r="M249" i="29"/>
  <c r="M251" i="29" s="1"/>
  <c r="M252" i="29" s="1"/>
  <c r="M259" i="29" s="1"/>
  <c r="M260" i="29" s="1"/>
  <c r="N245" i="29"/>
  <c r="N248" i="29" s="1"/>
  <c r="J266" i="29"/>
  <c r="J268" i="29" s="1"/>
  <c r="J21" i="29" s="1"/>
  <c r="J264" i="29"/>
  <c r="J294" i="29" s="1"/>
  <c r="J295" i="29" s="1"/>
  <c r="O120" i="59"/>
  <c r="O120" i="29"/>
  <c r="N122" i="29"/>
  <c r="N122" i="59"/>
  <c r="N117" i="59"/>
  <c r="N117" i="29"/>
  <c r="P115" i="29"/>
  <c r="P115" i="59"/>
  <c r="N123" i="29"/>
  <c r="N123" i="59"/>
  <c r="N118" i="29"/>
  <c r="N118" i="59"/>
  <c r="P116" i="59"/>
  <c r="N126" i="29"/>
  <c r="N126" i="59"/>
  <c r="O121" i="29"/>
  <c r="O121" i="59"/>
  <c r="N125" i="59"/>
  <c r="N125" i="29"/>
  <c r="M169" i="29"/>
  <c r="M172" i="29"/>
  <c r="M170" i="29"/>
  <c r="M172" i="59"/>
  <c r="M170" i="59"/>
  <c r="M169" i="59"/>
  <c r="H193" i="29"/>
  <c r="H191" i="29"/>
  <c r="H16" i="29" s="1"/>
  <c r="I193" i="29"/>
  <c r="P78" i="7"/>
  <c r="T243" i="29"/>
  <c r="P58" i="7"/>
  <c r="P57" i="7"/>
  <c r="L173" i="59"/>
  <c r="L10" i="59"/>
  <c r="W257" i="59"/>
  <c r="S243" i="59"/>
  <c r="L173" i="29"/>
  <c r="L10" i="29"/>
  <c r="D26" i="29"/>
  <c r="D27" i="29" s="1"/>
  <c r="D10" i="144" s="1"/>
  <c r="D11" i="144" s="1"/>
  <c r="D12" i="144" s="1"/>
  <c r="G219" i="59"/>
  <c r="G225" i="59" s="1"/>
  <c r="G228" i="59" s="1"/>
  <c r="D19" i="59"/>
  <c r="E9" i="144"/>
  <c r="E19" i="29"/>
  <c r="F209" i="59"/>
  <c r="F210" i="59" s="1"/>
  <c r="F212" i="59"/>
  <c r="F213" i="59" s="1"/>
  <c r="F17" i="59" s="1"/>
  <c r="H197" i="59"/>
  <c r="H199" i="59"/>
  <c r="F228" i="59"/>
  <c r="F226" i="59"/>
  <c r="F229" i="59" s="1"/>
  <c r="P156" i="29"/>
  <c r="O179" i="29"/>
  <c r="O187" i="29" s="1"/>
  <c r="I191" i="59"/>
  <c r="I16" i="59" s="1"/>
  <c r="I204" i="59"/>
  <c r="I206" i="59" s="1"/>
  <c r="I193" i="59"/>
  <c r="E24" i="29"/>
  <c r="E15" i="144"/>
  <c r="L194" i="59"/>
  <c r="D34" i="144"/>
  <c r="D24" i="59"/>
  <c r="L11" i="59"/>
  <c r="M181" i="59"/>
  <c r="M182" i="59"/>
  <c r="M183" i="59" s="1"/>
  <c r="O156" i="59"/>
  <c r="N179" i="59"/>
  <c r="N187" i="59" s="1"/>
  <c r="Q115" i="59" a="1"/>
  <c r="P121" i="59" a="1"/>
  <c r="Q115" i="29" a="1"/>
  <c r="P120" i="29" a="1"/>
  <c r="Q116" i="29"/>
  <c r="P120" i="59" a="1"/>
  <c r="O126" i="29" a="1"/>
  <c r="O123" i="59" a="1"/>
  <c r="O122" i="59" a="1"/>
  <c r="O125" i="59" a="1"/>
  <c r="O117" i="29" a="1"/>
  <c r="O125" i="29" a="1"/>
  <c r="O118" i="59" a="1"/>
  <c r="P121" i="29" a="1"/>
  <c r="O118" i="29" a="1"/>
  <c r="O122" i="29" a="1"/>
  <c r="Q116" i="59" a="1"/>
  <c r="O117" i="59" a="1"/>
  <c r="O123" i="29" a="1"/>
  <c r="O126" i="59" a="1"/>
  <c r="N280" i="29" l="1"/>
  <c r="O273" i="29"/>
  <c r="O273" i="59"/>
  <c r="N280" i="59"/>
  <c r="E28" i="144"/>
  <c r="K184" i="29"/>
  <c r="K185" i="29" s="1"/>
  <c r="K190" i="29" s="1"/>
  <c r="K191" i="29" s="1"/>
  <c r="K16" i="29" s="1"/>
  <c r="L174" i="29"/>
  <c r="M174" i="29" s="1"/>
  <c r="M175" i="29" s="1"/>
  <c r="J186" i="29"/>
  <c r="J202" i="29" s="1"/>
  <c r="J204" i="29" s="1"/>
  <c r="J206" i="29" s="1"/>
  <c r="J207" i="29" s="1"/>
  <c r="J215" i="29" s="1"/>
  <c r="F8" i="144"/>
  <c r="G223" i="59"/>
  <c r="G218" i="29"/>
  <c r="G222" i="29" s="1"/>
  <c r="G223" i="29" s="1"/>
  <c r="G219" i="29"/>
  <c r="G225" i="29" s="1"/>
  <c r="G228" i="29" s="1"/>
  <c r="G212" i="59"/>
  <c r="G213" i="59" s="1"/>
  <c r="G17" i="59" s="1"/>
  <c r="F226" i="29"/>
  <c r="F229" i="29" s="1"/>
  <c r="F18" i="29" s="1"/>
  <c r="F19" i="29" s="1"/>
  <c r="H223" i="59"/>
  <c r="G212" i="29"/>
  <c r="G213" i="29" s="1"/>
  <c r="G17" i="29" s="1"/>
  <c r="E34" i="144"/>
  <c r="E35" i="144" s="1"/>
  <c r="K184" i="59"/>
  <c r="K185" i="59" s="1"/>
  <c r="K190" i="59" s="1"/>
  <c r="J190" i="59"/>
  <c r="J193" i="59" s="1"/>
  <c r="J196" i="59" s="1"/>
  <c r="L174" i="59"/>
  <c r="L175" i="59" s="1"/>
  <c r="E19" i="59"/>
  <c r="E26" i="59" s="1"/>
  <c r="E27" i="59" s="1"/>
  <c r="E29" i="144" s="1"/>
  <c r="O248" i="59"/>
  <c r="H219" i="59"/>
  <c r="H225" i="59" s="1"/>
  <c r="H228" i="59" s="1"/>
  <c r="M194" i="29"/>
  <c r="H207" i="29"/>
  <c r="H215" i="29" s="1"/>
  <c r="H219" i="29" s="1"/>
  <c r="H225" i="29" s="1"/>
  <c r="H228" i="29" s="1"/>
  <c r="M261" i="29"/>
  <c r="K264" i="29"/>
  <c r="K294" i="29" s="1"/>
  <c r="K295" i="29" s="1"/>
  <c r="K266" i="29"/>
  <c r="K268" i="29" s="1"/>
  <c r="K21" i="29" s="1"/>
  <c r="N247" i="29"/>
  <c r="M32" i="144"/>
  <c r="Y32" i="144" s="1"/>
  <c r="O249" i="59"/>
  <c r="O251" i="59" s="1"/>
  <c r="O252" i="59" s="1"/>
  <c r="P245" i="59"/>
  <c r="P247" i="59" s="1"/>
  <c r="V132" i="59"/>
  <c r="U134" i="59"/>
  <c r="U171" i="59" s="1"/>
  <c r="U155" i="59"/>
  <c r="L303" i="59"/>
  <c r="L300" i="59"/>
  <c r="Q244" i="59"/>
  <c r="P258" i="59"/>
  <c r="P260" i="59" s="1"/>
  <c r="N252" i="59"/>
  <c r="N283" i="59"/>
  <c r="N284" i="59" s="1"/>
  <c r="N285" i="59" s="1"/>
  <c r="N287" i="59" s="1"/>
  <c r="J300" i="29"/>
  <c r="J303" i="29"/>
  <c r="T132" i="29"/>
  <c r="S134" i="29"/>
  <c r="S171" i="29" s="1"/>
  <c r="S155" i="29"/>
  <c r="P244" i="29"/>
  <c r="O258" i="29"/>
  <c r="O261" i="59"/>
  <c r="J14" i="144"/>
  <c r="M283" i="29"/>
  <c r="M284" i="29" s="1"/>
  <c r="M285" i="29" s="1"/>
  <c r="M287" i="29" s="1"/>
  <c r="M289" i="29" s="1"/>
  <c r="J13" i="144"/>
  <c r="K33" i="144"/>
  <c r="L266" i="29"/>
  <c r="L268" i="29" s="1"/>
  <c r="L21" i="29" s="1"/>
  <c r="L264" i="29"/>
  <c r="N249" i="29"/>
  <c r="N251" i="29" s="1"/>
  <c r="N252" i="29" s="1"/>
  <c r="N259" i="29" s="1"/>
  <c r="N260" i="29" s="1"/>
  <c r="N261" i="29" s="1"/>
  <c r="O245" i="29"/>
  <c r="O247" i="29" s="1"/>
  <c r="L22" i="59"/>
  <c r="L291" i="59"/>
  <c r="M284" i="59"/>
  <c r="M285" i="59" s="1"/>
  <c r="M287" i="59" s="1"/>
  <c r="K14" i="144"/>
  <c r="N32" i="144"/>
  <c r="L284" i="29"/>
  <c r="L285" i="29" s="1"/>
  <c r="L287" i="29" s="1"/>
  <c r="L289" i="29" s="1"/>
  <c r="Q116" i="59"/>
  <c r="O126" i="59"/>
  <c r="O126" i="29"/>
  <c r="O118" i="29"/>
  <c r="O118" i="59"/>
  <c r="P121" i="59"/>
  <c r="P121" i="29"/>
  <c r="O122" i="29"/>
  <c r="O122" i="59"/>
  <c r="Q115" i="59"/>
  <c r="Q115" i="29"/>
  <c r="O125" i="59"/>
  <c r="O125" i="29"/>
  <c r="O123" i="29"/>
  <c r="O123" i="59"/>
  <c r="O117" i="29"/>
  <c r="O117" i="59"/>
  <c r="P120" i="59"/>
  <c r="P120" i="29"/>
  <c r="N172" i="29"/>
  <c r="N169" i="29"/>
  <c r="N170" i="29"/>
  <c r="N178" i="29" s="1"/>
  <c r="Q78" i="7"/>
  <c r="I208" i="29"/>
  <c r="I207" i="29"/>
  <c r="I215" i="29" s="1"/>
  <c r="M10" i="29"/>
  <c r="M173" i="29"/>
  <c r="N170" i="59"/>
  <c r="N178" i="59" s="1"/>
  <c r="N203" i="59" s="1"/>
  <c r="N172" i="59"/>
  <c r="N169" i="59"/>
  <c r="T243" i="59"/>
  <c r="U243" i="29"/>
  <c r="H196" i="29"/>
  <c r="I196" i="29"/>
  <c r="J191" i="29"/>
  <c r="J16" i="29" s="1"/>
  <c r="J196" i="29"/>
  <c r="M173" i="59"/>
  <c r="M10" i="59"/>
  <c r="Q57" i="7"/>
  <c r="Q58" i="7"/>
  <c r="H7" i="144"/>
  <c r="X7" i="144" s="1"/>
  <c r="D28" i="29"/>
  <c r="D18" i="144"/>
  <c r="D19" i="144" s="1"/>
  <c r="D26" i="59"/>
  <c r="D27" i="59" s="1"/>
  <c r="D29" i="144" s="1"/>
  <c r="E26" i="29"/>
  <c r="E27" i="29" s="1"/>
  <c r="E10" i="144" s="1"/>
  <c r="G226" i="59"/>
  <c r="G229" i="59" s="1"/>
  <c r="F232" i="59"/>
  <c r="F18" i="59"/>
  <c r="I196" i="59"/>
  <c r="F27" i="144"/>
  <c r="H209" i="59"/>
  <c r="H210" i="59" s="1"/>
  <c r="H212" i="59"/>
  <c r="H213" i="59" s="1"/>
  <c r="H17" i="59" s="1"/>
  <c r="M11" i="59"/>
  <c r="I208" i="59"/>
  <c r="I207" i="59"/>
  <c r="I215" i="59" s="1"/>
  <c r="P156" i="59"/>
  <c r="O179" i="59"/>
  <c r="O187" i="59" s="1"/>
  <c r="I26" i="144"/>
  <c r="E16" i="144"/>
  <c r="E20" i="144" s="1"/>
  <c r="Q156" i="29"/>
  <c r="P179" i="29"/>
  <c r="M194" i="59"/>
  <c r="D35" i="144"/>
  <c r="F231" i="59"/>
  <c r="F306" i="59" s="1"/>
  <c r="F307" i="59" s="1"/>
  <c r="F309" i="59" s="1"/>
  <c r="F311" i="59" s="1"/>
  <c r="F23" i="59" s="1"/>
  <c r="P125" i="29" a="1"/>
  <c r="Q120" i="29" a="1"/>
  <c r="P117" i="59" a="1"/>
  <c r="P126" i="59" a="1"/>
  <c r="P123" i="29" a="1"/>
  <c r="P117" i="29" a="1"/>
  <c r="Q120" i="59" a="1"/>
  <c r="P122" i="59" a="1"/>
  <c r="Q121" i="29" a="1"/>
  <c r="P125" i="59" a="1"/>
  <c r="Q121" i="59" a="1"/>
  <c r="P123" i="59" a="1"/>
  <c r="P118" i="29" a="1"/>
  <c r="P118" i="59" a="1"/>
  <c r="R116" i="29"/>
  <c r="R115" i="29" a="1"/>
  <c r="R116" i="59" a="1"/>
  <c r="P122" i="29" a="1"/>
  <c r="R115" i="59" a="1"/>
  <c r="P126" i="29" a="1"/>
  <c r="P273" i="29" l="1"/>
  <c r="O280" i="29"/>
  <c r="P273" i="59"/>
  <c r="O280" i="59"/>
  <c r="E30" i="144"/>
  <c r="E37" i="144" s="1"/>
  <c r="E38" i="144" s="1"/>
  <c r="F28" i="144"/>
  <c r="K193" i="29"/>
  <c r="K196" i="29" s="1"/>
  <c r="L175" i="29"/>
  <c r="K186" i="29"/>
  <c r="K202" i="29" s="1"/>
  <c r="K204" i="29" s="1"/>
  <c r="K206" i="29" s="1"/>
  <c r="K207" i="29" s="1"/>
  <c r="L184" i="29"/>
  <c r="L185" i="29" s="1"/>
  <c r="L186" i="29" s="1"/>
  <c r="L202" i="29" s="1"/>
  <c r="G226" i="29"/>
  <c r="G229" i="29" s="1"/>
  <c r="G27" i="144"/>
  <c r="F232" i="29"/>
  <c r="F231" i="29"/>
  <c r="F306" i="29" s="1"/>
  <c r="F307" i="29" s="1"/>
  <c r="F309" i="29" s="1"/>
  <c r="F311" i="29" s="1"/>
  <c r="F23" i="29" s="1"/>
  <c r="F24" i="29" s="1"/>
  <c r="F26" i="29" s="1"/>
  <c r="G8" i="144"/>
  <c r="K186" i="59"/>
  <c r="K202" i="59" s="1"/>
  <c r="K204" i="59" s="1"/>
  <c r="K206" i="59" s="1"/>
  <c r="M174" i="59"/>
  <c r="M184" i="59" s="1"/>
  <c r="L184" i="59"/>
  <c r="L185" i="59" s="1"/>
  <c r="L190" i="59" s="1"/>
  <c r="L191" i="59" s="1"/>
  <c r="L16" i="59" s="1"/>
  <c r="J204" i="59"/>
  <c r="J206" i="59" s="1"/>
  <c r="J207" i="59" s="1"/>
  <c r="J215" i="59" s="1"/>
  <c r="J218" i="59" s="1"/>
  <c r="J222" i="59" s="1"/>
  <c r="J191" i="59"/>
  <c r="J16" i="59" s="1"/>
  <c r="P248" i="59"/>
  <c r="F9" i="144"/>
  <c r="H226" i="59"/>
  <c r="H229" i="59" s="1"/>
  <c r="H218" i="29"/>
  <c r="H222" i="29" s="1"/>
  <c r="H223" i="29" s="1"/>
  <c r="L294" i="29"/>
  <c r="L295" i="29" s="1"/>
  <c r="L303" i="29" s="1"/>
  <c r="N264" i="29"/>
  <c r="N266" i="29"/>
  <c r="N268" i="29" s="1"/>
  <c r="N21" i="29" s="1"/>
  <c r="N283" i="29"/>
  <c r="P258" i="29"/>
  <c r="Q244" i="29"/>
  <c r="N294" i="59"/>
  <c r="N295" i="59" s="1"/>
  <c r="N289" i="59"/>
  <c r="M294" i="59"/>
  <c r="M295" i="59" s="1"/>
  <c r="M289" i="59"/>
  <c r="L13" i="144"/>
  <c r="M291" i="29"/>
  <c r="M22" i="29"/>
  <c r="U132" i="29"/>
  <c r="T134" i="29"/>
  <c r="T171" i="29" s="1"/>
  <c r="T155" i="29"/>
  <c r="W132" i="59"/>
  <c r="V134" i="59"/>
  <c r="V171" i="59" s="1"/>
  <c r="V155" i="59"/>
  <c r="L291" i="29"/>
  <c r="L22" i="29"/>
  <c r="O264" i="59"/>
  <c r="O266" i="59"/>
  <c r="O268" i="59" s="1"/>
  <c r="O21" i="59" s="1"/>
  <c r="R244" i="59"/>
  <c r="Q258" i="59"/>
  <c r="Q260" i="59" s="1"/>
  <c r="Q261" i="59" s="1"/>
  <c r="P249" i="59"/>
  <c r="P251" i="59" s="1"/>
  <c r="P252" i="59" s="1"/>
  <c r="Q245" i="59"/>
  <c r="K13" i="144"/>
  <c r="O248" i="29"/>
  <c r="O283" i="59"/>
  <c r="O284" i="59" s="1"/>
  <c r="O285" i="59" s="1"/>
  <c r="O287" i="59" s="1"/>
  <c r="K303" i="29"/>
  <c r="K300" i="29"/>
  <c r="N182" i="59"/>
  <c r="N183" i="59" s="1"/>
  <c r="L33" i="144"/>
  <c r="P261" i="59"/>
  <c r="M264" i="29"/>
  <c r="M294" i="29" s="1"/>
  <c r="M295" i="29" s="1"/>
  <c r="M266" i="29"/>
  <c r="M268" i="29" s="1"/>
  <c r="M21" i="29" s="1"/>
  <c r="P245" i="29"/>
  <c r="P248" i="29" s="1"/>
  <c r="O249" i="29"/>
  <c r="O251" i="29" s="1"/>
  <c r="N181" i="59"/>
  <c r="J208" i="29"/>
  <c r="P123" i="29"/>
  <c r="P123" i="59"/>
  <c r="P117" i="59"/>
  <c r="P117" i="29"/>
  <c r="P126" i="59"/>
  <c r="P126" i="29"/>
  <c r="R115" i="59"/>
  <c r="R115" i="29"/>
  <c r="Q120" i="59"/>
  <c r="Q120" i="29"/>
  <c r="P118" i="59"/>
  <c r="P118" i="29"/>
  <c r="P125" i="29"/>
  <c r="P125" i="59"/>
  <c r="R116" i="59"/>
  <c r="P122" i="59"/>
  <c r="P122" i="29"/>
  <c r="Q121" i="59"/>
  <c r="Q121" i="29"/>
  <c r="J219" i="29"/>
  <c r="J225" i="29" s="1"/>
  <c r="J228" i="29" s="1"/>
  <c r="J218" i="29"/>
  <c r="J222" i="29" s="1"/>
  <c r="H197" i="29"/>
  <c r="H199" i="29"/>
  <c r="N10" i="59"/>
  <c r="N173" i="59"/>
  <c r="N203" i="29"/>
  <c r="N181" i="29"/>
  <c r="N182" i="29"/>
  <c r="J7" i="144"/>
  <c r="N173" i="29"/>
  <c r="N10" i="29"/>
  <c r="O169" i="29"/>
  <c r="O172" i="29"/>
  <c r="O170" i="29"/>
  <c r="O178" i="29" s="1"/>
  <c r="R58" i="7"/>
  <c r="R57" i="7"/>
  <c r="N174" i="29"/>
  <c r="N175" i="29" s="1"/>
  <c r="M184" i="29"/>
  <c r="U243" i="59"/>
  <c r="I219" i="29"/>
  <c r="I225" i="29" s="1"/>
  <c r="I218" i="29"/>
  <c r="I222" i="29" s="1"/>
  <c r="H226" i="29"/>
  <c r="H229" i="29" s="1"/>
  <c r="V243" i="29"/>
  <c r="R78" i="7"/>
  <c r="J197" i="29"/>
  <c r="J199" i="29"/>
  <c r="I199" i="29"/>
  <c r="I197" i="29"/>
  <c r="O172" i="59"/>
  <c r="O170" i="59"/>
  <c r="O178" i="59" s="1"/>
  <c r="O203" i="59" s="1"/>
  <c r="O169" i="59"/>
  <c r="D28" i="59"/>
  <c r="F19" i="59"/>
  <c r="G231" i="59"/>
  <c r="G306" i="59" s="1"/>
  <c r="G307" i="59" s="1"/>
  <c r="G309" i="59" s="1"/>
  <c r="G311" i="59" s="1"/>
  <c r="G23" i="59" s="1"/>
  <c r="G24" i="59" s="1"/>
  <c r="G232" i="59"/>
  <c r="G18" i="59"/>
  <c r="E28" i="59"/>
  <c r="P179" i="59"/>
  <c r="P187" i="59" s="1"/>
  <c r="Q156" i="59"/>
  <c r="E28" i="29"/>
  <c r="E11" i="144"/>
  <c r="E18" i="144" s="1"/>
  <c r="H27" i="144"/>
  <c r="I218" i="59"/>
  <c r="I222" i="59" s="1"/>
  <c r="I223" i="59" s="1"/>
  <c r="I219" i="59"/>
  <c r="I225" i="59" s="1"/>
  <c r="I197" i="59"/>
  <c r="I199" i="59"/>
  <c r="J197" i="59"/>
  <c r="J199" i="59"/>
  <c r="K7" i="144"/>
  <c r="F34" i="144"/>
  <c r="F24" i="59"/>
  <c r="R156" i="29"/>
  <c r="Q179" i="29"/>
  <c r="Q187" i="29" s="1"/>
  <c r="P187" i="29"/>
  <c r="K191" i="59"/>
  <c r="K16" i="59" s="1"/>
  <c r="K193" i="59"/>
  <c r="D30" i="144"/>
  <c r="D37" i="144" s="1"/>
  <c r="R121" i="59" a="1"/>
  <c r="Q123" i="59" a="1"/>
  <c r="Q122" i="29" a="1"/>
  <c r="Q125" i="59" a="1"/>
  <c r="Q126" i="29" a="1"/>
  <c r="S116" i="59" a="1"/>
  <c r="Q125" i="29" a="1"/>
  <c r="Q126" i="59" a="1"/>
  <c r="S115" i="59" a="1"/>
  <c r="Q118" i="59" a="1"/>
  <c r="R121" i="29" a="1"/>
  <c r="S115" i="29" a="1"/>
  <c r="R120" i="59" a="1"/>
  <c r="R120" i="29" a="1"/>
  <c r="S116" i="29"/>
  <c r="Q123" i="29" a="1"/>
  <c r="Q122" i="59" a="1"/>
  <c r="Q117" i="59" a="1"/>
  <c r="Q117" i="29" a="1"/>
  <c r="Q118" i="29" a="1"/>
  <c r="P280" i="59" l="1"/>
  <c r="Q273" i="59"/>
  <c r="P280" i="29"/>
  <c r="Q273" i="29"/>
  <c r="G19" i="59"/>
  <c r="G26" i="59" s="1"/>
  <c r="G27" i="59" s="1"/>
  <c r="G29" i="144" s="1"/>
  <c r="K215" i="29"/>
  <c r="K218" i="29" s="1"/>
  <c r="K222" i="29" s="1"/>
  <c r="K223" i="29" s="1"/>
  <c r="K208" i="29"/>
  <c r="M185" i="29"/>
  <c r="M186" i="29" s="1"/>
  <c r="M202" i="29" s="1"/>
  <c r="L190" i="29"/>
  <c r="L204" i="29" s="1"/>
  <c r="L206" i="29" s="1"/>
  <c r="G18" i="29"/>
  <c r="G231" i="29"/>
  <c r="G306" i="29" s="1"/>
  <c r="G307" i="29" s="1"/>
  <c r="G309" i="29" s="1"/>
  <c r="G311" i="29" s="1"/>
  <c r="G23" i="29" s="1"/>
  <c r="G15" i="144" s="1"/>
  <c r="G16" i="144" s="1"/>
  <c r="G20" i="144" s="1"/>
  <c r="G232" i="29"/>
  <c r="X27" i="144"/>
  <c r="F15" i="144"/>
  <c r="F16" i="144" s="1"/>
  <c r="F20" i="144" s="1"/>
  <c r="J219" i="59"/>
  <c r="J225" i="59" s="1"/>
  <c r="J226" i="59" s="1"/>
  <c r="J229" i="59" s="1"/>
  <c r="L193" i="59"/>
  <c r="L196" i="59" s="1"/>
  <c r="L186" i="59"/>
  <c r="L202" i="59" s="1"/>
  <c r="L204" i="59" s="1"/>
  <c r="L206" i="59" s="1"/>
  <c r="L208" i="59" s="1"/>
  <c r="M185" i="59"/>
  <c r="M190" i="59" s="1"/>
  <c r="M193" i="59" s="1"/>
  <c r="N174" i="59"/>
  <c r="N184" i="59" s="1"/>
  <c r="N185" i="59" s="1"/>
  <c r="J208" i="59"/>
  <c r="J209" i="59" s="1"/>
  <c r="J210" i="59" s="1"/>
  <c r="M175" i="59"/>
  <c r="J26" i="144"/>
  <c r="L300" i="29"/>
  <c r="H232" i="59"/>
  <c r="H231" i="59"/>
  <c r="H306" i="59" s="1"/>
  <c r="H307" i="59" s="1"/>
  <c r="H309" i="59" s="1"/>
  <c r="H311" i="59" s="1"/>
  <c r="H23" i="59" s="1"/>
  <c r="H34" i="144" s="1"/>
  <c r="H35" i="144" s="1"/>
  <c r="H18" i="59"/>
  <c r="N194" i="59"/>
  <c r="I223" i="29"/>
  <c r="Q266" i="59"/>
  <c r="Q268" i="59" s="1"/>
  <c r="Q21" i="59" s="1"/>
  <c r="Q264" i="59"/>
  <c r="O283" i="29"/>
  <c r="O284" i="29" s="1"/>
  <c r="O285" i="29" s="1"/>
  <c r="O287" i="29" s="1"/>
  <c r="S244" i="59"/>
  <c r="R258" i="59"/>
  <c r="R260" i="59" s="1"/>
  <c r="R261" i="59" s="1"/>
  <c r="P249" i="29"/>
  <c r="P251" i="29" s="1"/>
  <c r="P252" i="29" s="1"/>
  <c r="P259" i="29" s="1"/>
  <c r="P260" i="29" s="1"/>
  <c r="Q245" i="29"/>
  <c r="Q247" i="29" s="1"/>
  <c r="O32" i="144"/>
  <c r="W134" i="59"/>
  <c r="W171" i="59" s="1"/>
  <c r="W155" i="59"/>
  <c r="P247" i="29"/>
  <c r="M13" i="144"/>
  <c r="Y13" i="144" s="1"/>
  <c r="M22" i="59"/>
  <c r="M291" i="59"/>
  <c r="Q258" i="29"/>
  <c r="R244" i="29"/>
  <c r="M300" i="29"/>
  <c r="M303" i="29"/>
  <c r="Q249" i="59"/>
  <c r="Q251" i="59" s="1"/>
  <c r="Q252" i="59" s="1"/>
  <c r="R245" i="59"/>
  <c r="R247" i="59" s="1"/>
  <c r="M300" i="59"/>
  <c r="M303" i="59"/>
  <c r="P264" i="59"/>
  <c r="P266" i="59"/>
  <c r="P268" i="59" s="1"/>
  <c r="P21" i="59" s="1"/>
  <c r="P283" i="59"/>
  <c r="P284" i="59" s="1"/>
  <c r="P285" i="59" s="1"/>
  <c r="P287" i="59" s="1"/>
  <c r="O252" i="29"/>
  <c r="O259" i="29" s="1"/>
  <c r="O260" i="29" s="1"/>
  <c r="O294" i="59"/>
  <c r="O295" i="59" s="1"/>
  <c r="O289" i="59"/>
  <c r="Q248" i="59"/>
  <c r="L14" i="144"/>
  <c r="V132" i="29"/>
  <c r="U134" i="29"/>
  <c r="U171" i="29" s="1"/>
  <c r="U155" i="29"/>
  <c r="N284" i="29"/>
  <c r="N285" i="29" s="1"/>
  <c r="N287" i="29" s="1"/>
  <c r="N289" i="29" s="1"/>
  <c r="M14" i="144"/>
  <c r="N13" i="144"/>
  <c r="N22" i="59"/>
  <c r="N291" i="59"/>
  <c r="Q247" i="59"/>
  <c r="N303" i="59"/>
  <c r="N300" i="59"/>
  <c r="H18" i="29"/>
  <c r="H9" i="144" s="1"/>
  <c r="N11" i="59"/>
  <c r="O182" i="59"/>
  <c r="O194" i="59" s="1"/>
  <c r="O181" i="59"/>
  <c r="O11" i="59" s="1"/>
  <c r="J223" i="29"/>
  <c r="Q125" i="59"/>
  <c r="Q125" i="29"/>
  <c r="Q118" i="29"/>
  <c r="Q118" i="59"/>
  <c r="Q117" i="29"/>
  <c r="Q117" i="59"/>
  <c r="Q123" i="59"/>
  <c r="Q123" i="29"/>
  <c r="R120" i="59"/>
  <c r="R120" i="29"/>
  <c r="Q122" i="29"/>
  <c r="Q122" i="59"/>
  <c r="R121" i="59"/>
  <c r="R121" i="29"/>
  <c r="S116" i="59"/>
  <c r="Q126" i="59"/>
  <c r="Q126" i="29"/>
  <c r="S115" i="59"/>
  <c r="S115" i="29"/>
  <c r="I228" i="29"/>
  <c r="J226" i="29"/>
  <c r="I226" i="29"/>
  <c r="I229" i="29" s="1"/>
  <c r="I209" i="29"/>
  <c r="I210" i="29" s="1"/>
  <c r="I212" i="29"/>
  <c r="I213" i="29" s="1"/>
  <c r="I17" i="29" s="1"/>
  <c r="S57" i="7"/>
  <c r="S58" i="7"/>
  <c r="N183" i="29"/>
  <c r="N194" i="29"/>
  <c r="S78" i="7"/>
  <c r="O10" i="59"/>
  <c r="O173" i="59"/>
  <c r="J212" i="29"/>
  <c r="J213" i="29" s="1"/>
  <c r="J17" i="29" s="1"/>
  <c r="J209" i="29"/>
  <c r="J210" i="29" s="1"/>
  <c r="W243" i="29"/>
  <c r="O203" i="29"/>
  <c r="O182" i="29"/>
  <c r="O181" i="29"/>
  <c r="N11" i="29"/>
  <c r="P170" i="29"/>
  <c r="P178" i="29" s="1"/>
  <c r="P172" i="29"/>
  <c r="P169" i="29"/>
  <c r="P170" i="59"/>
  <c r="P178" i="59" s="1"/>
  <c r="P203" i="59" s="1"/>
  <c r="P172" i="59"/>
  <c r="P169" i="59"/>
  <c r="O173" i="29"/>
  <c r="O10" i="29"/>
  <c r="V243" i="59"/>
  <c r="H212" i="29"/>
  <c r="H213" i="29" s="1"/>
  <c r="H17" i="29" s="1"/>
  <c r="H209" i="29"/>
  <c r="H210" i="29" s="1"/>
  <c r="O174" i="29"/>
  <c r="N184" i="29"/>
  <c r="N185" i="29" s="1"/>
  <c r="F26" i="59"/>
  <c r="F27" i="59" s="1"/>
  <c r="F29" i="144" s="1"/>
  <c r="G28" i="144"/>
  <c r="G34" i="144"/>
  <c r="G35" i="144" s="1"/>
  <c r="J223" i="59"/>
  <c r="D38" i="144"/>
  <c r="S156" i="29"/>
  <c r="R179" i="29"/>
  <c r="I228" i="59"/>
  <c r="I226" i="59"/>
  <c r="I229" i="59" s="1"/>
  <c r="I209" i="59"/>
  <c r="I210" i="59" s="1"/>
  <c r="I212" i="59"/>
  <c r="I213" i="59" s="1"/>
  <c r="I17" i="59" s="1"/>
  <c r="K197" i="29"/>
  <c r="K199" i="29"/>
  <c r="J212" i="59"/>
  <c r="J213" i="59" s="1"/>
  <c r="J17" i="59" s="1"/>
  <c r="K196" i="59"/>
  <c r="K26" i="144"/>
  <c r="L26" i="144"/>
  <c r="F35" i="144"/>
  <c r="E19" i="144"/>
  <c r="K208" i="59"/>
  <c r="K207" i="59"/>
  <c r="K215" i="59" s="1"/>
  <c r="F27" i="29"/>
  <c r="F10" i="144" s="1"/>
  <c r="R156" i="59"/>
  <c r="Q179" i="59"/>
  <c r="Q187" i="59" s="1"/>
  <c r="R123" i="29" a="1"/>
  <c r="T116" i="29"/>
  <c r="R122" i="59" a="1"/>
  <c r="R117" i="59" a="1"/>
  <c r="R118" i="59" a="1"/>
  <c r="T116" i="59" a="1"/>
  <c r="R126" i="29" a="1"/>
  <c r="R122" i="29" a="1"/>
  <c r="R123" i="59" a="1"/>
  <c r="T115" i="29" a="1"/>
  <c r="R125" i="59" a="1"/>
  <c r="R118" i="29" a="1"/>
  <c r="S120" i="59" a="1"/>
  <c r="S121" i="59" a="1"/>
  <c r="R125" i="29" a="1"/>
  <c r="T115" i="59" a="1"/>
  <c r="R117" i="29" a="1"/>
  <c r="R126" i="59" a="1"/>
  <c r="S121" i="29" a="1"/>
  <c r="S120" i="29" a="1"/>
  <c r="R273" i="29" l="1"/>
  <c r="Q280" i="29"/>
  <c r="R273" i="59"/>
  <c r="Q280" i="59"/>
  <c r="H28" i="144"/>
  <c r="X28" i="144" s="1"/>
  <c r="K219" i="29"/>
  <c r="K225" i="29" s="1"/>
  <c r="K228" i="29" s="1"/>
  <c r="G19" i="29"/>
  <c r="M190" i="29"/>
  <c r="M191" i="29" s="1"/>
  <c r="M16" i="29" s="1"/>
  <c r="G9" i="144"/>
  <c r="X9" i="144" s="1"/>
  <c r="G24" i="29"/>
  <c r="L193" i="29"/>
  <c r="L196" i="29" s="1"/>
  <c r="L191" i="29"/>
  <c r="L16" i="29" s="1"/>
  <c r="L7" i="144" s="1"/>
  <c r="M191" i="59"/>
  <c r="M16" i="59" s="1"/>
  <c r="J228" i="59"/>
  <c r="M196" i="59"/>
  <c r="M197" i="59" s="1"/>
  <c r="L207" i="59"/>
  <c r="L215" i="59" s="1"/>
  <c r="L218" i="59" s="1"/>
  <c r="L222" i="59" s="1"/>
  <c r="N175" i="59"/>
  <c r="M186" i="59"/>
  <c r="M202" i="59" s="1"/>
  <c r="M204" i="59" s="1"/>
  <c r="M206" i="59" s="1"/>
  <c r="M208" i="59" s="1"/>
  <c r="O174" i="59"/>
  <c r="O175" i="59" s="1"/>
  <c r="Y14" i="144"/>
  <c r="N294" i="29"/>
  <c r="N295" i="29" s="1"/>
  <c r="N303" i="29" s="1"/>
  <c r="H19" i="59"/>
  <c r="H24" i="59"/>
  <c r="H19" i="29"/>
  <c r="Q248" i="29"/>
  <c r="O300" i="59"/>
  <c r="O303" i="59"/>
  <c r="O261" i="29"/>
  <c r="P261" i="29"/>
  <c r="W132" i="29"/>
  <c r="V134" i="29"/>
  <c r="V171" i="29" s="1"/>
  <c r="V155" i="29"/>
  <c r="R258" i="29"/>
  <c r="S244" i="29"/>
  <c r="T244" i="59"/>
  <c r="S258" i="59"/>
  <c r="S260" i="59" s="1"/>
  <c r="S245" i="59"/>
  <c r="R249" i="59"/>
  <c r="R251" i="59" s="1"/>
  <c r="R283" i="59" s="1"/>
  <c r="R264" i="59"/>
  <c r="R266" i="59"/>
  <c r="R268" i="59" s="1"/>
  <c r="R21" i="59" s="1"/>
  <c r="P32" i="144"/>
  <c r="Q283" i="59"/>
  <c r="M33" i="144"/>
  <c r="Y33" i="144" s="1"/>
  <c r="R245" i="29"/>
  <c r="R248" i="29" s="1"/>
  <c r="Q249" i="29"/>
  <c r="Q251" i="29" s="1"/>
  <c r="Q283" i="29" s="1"/>
  <c r="O289" i="29"/>
  <c r="P294" i="59"/>
  <c r="P295" i="59" s="1"/>
  <c r="P289" i="59"/>
  <c r="P283" i="29"/>
  <c r="N33" i="144"/>
  <c r="N22" i="29"/>
  <c r="N291" i="29"/>
  <c r="O22" i="59"/>
  <c r="O291" i="59"/>
  <c r="R248" i="59"/>
  <c r="Q32" i="144"/>
  <c r="P182" i="59"/>
  <c r="P183" i="59" s="1"/>
  <c r="O183" i="59"/>
  <c r="P181" i="59"/>
  <c r="P11" i="59" s="1"/>
  <c r="L208" i="29"/>
  <c r="L207" i="29"/>
  <c r="S121" i="29"/>
  <c r="S121" i="59"/>
  <c r="R117" i="59"/>
  <c r="R117" i="29"/>
  <c r="T116" i="59"/>
  <c r="S120" i="59"/>
  <c r="S120" i="29"/>
  <c r="R126" i="59"/>
  <c r="R126" i="29"/>
  <c r="R125" i="29"/>
  <c r="R125" i="59"/>
  <c r="T115" i="59"/>
  <c r="T115" i="29"/>
  <c r="R118" i="29"/>
  <c r="R118" i="59"/>
  <c r="R122" i="29"/>
  <c r="R122" i="59"/>
  <c r="R123" i="29"/>
  <c r="R123" i="59"/>
  <c r="I18" i="29"/>
  <c r="I19" i="29" s="1"/>
  <c r="N186" i="29"/>
  <c r="N202" i="29" s="1"/>
  <c r="N190" i="29"/>
  <c r="I8" i="144"/>
  <c r="I231" i="29"/>
  <c r="I306" i="29" s="1"/>
  <c r="I307" i="29" s="1"/>
  <c r="I309" i="29" s="1"/>
  <c r="I311" i="29" s="1"/>
  <c r="I23" i="29" s="1"/>
  <c r="O175" i="29"/>
  <c r="P174" i="29"/>
  <c r="O184" i="29"/>
  <c r="O185" i="29" s="1"/>
  <c r="W243" i="59"/>
  <c r="P10" i="29"/>
  <c r="P173" i="29"/>
  <c r="O11" i="29"/>
  <c r="T57" i="7"/>
  <c r="T58" i="7"/>
  <c r="I232" i="29"/>
  <c r="Q172" i="59"/>
  <c r="Q169" i="59"/>
  <c r="Q170" i="59"/>
  <c r="Q178" i="59" s="1"/>
  <c r="Q203" i="59" s="1"/>
  <c r="O183" i="29"/>
  <c r="O194" i="29"/>
  <c r="J229" i="29"/>
  <c r="J18" i="29" s="1"/>
  <c r="J232" i="29"/>
  <c r="Q170" i="29"/>
  <c r="Q178" i="29" s="1"/>
  <c r="Q169" i="29"/>
  <c r="Q172" i="29"/>
  <c r="P10" i="59"/>
  <c r="P173" i="59"/>
  <c r="P203" i="29"/>
  <c r="P182" i="29"/>
  <c r="P181" i="29"/>
  <c r="J8" i="144"/>
  <c r="H231" i="29"/>
  <c r="H306" i="29" s="1"/>
  <c r="H307" i="29" s="1"/>
  <c r="H309" i="29" s="1"/>
  <c r="H311" i="29" s="1"/>
  <c r="H23" i="29" s="1"/>
  <c r="H232" i="29"/>
  <c r="H8" i="144"/>
  <c r="X8" i="144" s="1"/>
  <c r="G30" i="144"/>
  <c r="G37" i="144" s="1"/>
  <c r="I231" i="59"/>
  <c r="I306" i="59" s="1"/>
  <c r="I307" i="59" s="1"/>
  <c r="I309" i="59" s="1"/>
  <c r="I311" i="59" s="1"/>
  <c r="I23" i="59" s="1"/>
  <c r="I34" i="144" s="1"/>
  <c r="X34" i="144"/>
  <c r="X35" i="144" s="1"/>
  <c r="F28" i="59"/>
  <c r="J232" i="59"/>
  <c r="F28" i="29"/>
  <c r="J231" i="59"/>
  <c r="J306" i="59" s="1"/>
  <c r="J307" i="59" s="1"/>
  <c r="J309" i="59" s="1"/>
  <c r="J311" i="59" s="1"/>
  <c r="J23" i="59" s="1"/>
  <c r="J34" i="144" s="1"/>
  <c r="J35" i="144" s="1"/>
  <c r="R179" i="59"/>
  <c r="R187" i="59" s="1"/>
  <c r="S156" i="59"/>
  <c r="J18" i="59"/>
  <c r="S179" i="29"/>
  <c r="S187" i="29" s="1"/>
  <c r="T156" i="29"/>
  <c r="I18" i="59"/>
  <c r="I27" i="144"/>
  <c r="K197" i="59"/>
  <c r="K199" i="59"/>
  <c r="I232" i="59"/>
  <c r="K219" i="59"/>
  <c r="K225" i="59" s="1"/>
  <c r="K218" i="59"/>
  <c r="K222" i="59" s="1"/>
  <c r="K223" i="59" s="1"/>
  <c r="J27" i="144"/>
  <c r="R187" i="29"/>
  <c r="N190" i="59"/>
  <c r="N186" i="59"/>
  <c r="N202" i="59" s="1"/>
  <c r="F30" i="144"/>
  <c r="F37" i="144" s="1"/>
  <c r="L197" i="59"/>
  <c r="L199" i="59"/>
  <c r="F11" i="144"/>
  <c r="F18" i="144" s="1"/>
  <c r="G28" i="59"/>
  <c r="K212" i="29"/>
  <c r="K213" i="29" s="1"/>
  <c r="K17" i="29" s="1"/>
  <c r="K209" i="29"/>
  <c r="K210" i="29" s="1"/>
  <c r="U116" i="29"/>
  <c r="S126" i="29" a="1"/>
  <c r="S118" i="59" a="1"/>
  <c r="T121" i="59" a="1"/>
  <c r="S117" i="29" a="1"/>
  <c r="S118" i="29" a="1"/>
  <c r="T121" i="29" a="1"/>
  <c r="S125" i="59" a="1"/>
  <c r="S123" i="29" a="1"/>
  <c r="U116" i="59" a="1"/>
  <c r="S123" i="59" a="1"/>
  <c r="T120" i="59" a="1"/>
  <c r="U115" i="29" a="1"/>
  <c r="S125" i="29" a="1"/>
  <c r="S122" i="29" a="1"/>
  <c r="S122" i="59" a="1"/>
  <c r="T120" i="29" a="1"/>
  <c r="S117" i="59" a="1"/>
  <c r="S126" i="59" a="1"/>
  <c r="U115" i="59" a="1"/>
  <c r="R280" i="59" l="1"/>
  <c r="S273" i="59"/>
  <c r="S273" i="29"/>
  <c r="R280" i="29"/>
  <c r="I19" i="59"/>
  <c r="M26" i="144"/>
  <c r="Y26" i="144" s="1"/>
  <c r="J19" i="59"/>
  <c r="K226" i="29"/>
  <c r="K229" i="29" s="1"/>
  <c r="K18" i="29" s="1"/>
  <c r="K9" i="144" s="1"/>
  <c r="M204" i="29"/>
  <c r="M206" i="29" s="1"/>
  <c r="M208" i="29" s="1"/>
  <c r="G26" i="29"/>
  <c r="G27" i="29" s="1"/>
  <c r="G10" i="144" s="1"/>
  <c r="G11" i="144" s="1"/>
  <c r="G18" i="144" s="1"/>
  <c r="G19" i="144" s="1"/>
  <c r="M193" i="29"/>
  <c r="M196" i="29" s="1"/>
  <c r="M199" i="29" s="1"/>
  <c r="L215" i="29"/>
  <c r="L218" i="29" s="1"/>
  <c r="L222" i="29" s="1"/>
  <c r="L223" i="29" s="1"/>
  <c r="M207" i="59"/>
  <c r="M215" i="59" s="1"/>
  <c r="M219" i="59" s="1"/>
  <c r="M225" i="59" s="1"/>
  <c r="L219" i="59"/>
  <c r="L225" i="59" s="1"/>
  <c r="L228" i="59" s="1"/>
  <c r="M199" i="59"/>
  <c r="M212" i="59" s="1"/>
  <c r="M213" i="59" s="1"/>
  <c r="M17" i="59" s="1"/>
  <c r="O184" i="59"/>
  <c r="O185" i="59" s="1"/>
  <c r="O190" i="59" s="1"/>
  <c r="P174" i="59"/>
  <c r="P175" i="59" s="1"/>
  <c r="N300" i="29"/>
  <c r="H26" i="59"/>
  <c r="H27" i="59" s="1"/>
  <c r="H29" i="144" s="1"/>
  <c r="H30" i="144" s="1"/>
  <c r="H37" i="144" s="1"/>
  <c r="H38" i="144" s="1"/>
  <c r="R284" i="59"/>
  <c r="R285" i="59" s="1"/>
  <c r="R287" i="59" s="1"/>
  <c r="R294" i="59" s="1"/>
  <c r="R295" i="59" s="1"/>
  <c r="Q284" i="59"/>
  <c r="Q285" i="59" s="1"/>
  <c r="Q287" i="59" s="1"/>
  <c r="Q294" i="59" s="1"/>
  <c r="Q295" i="59" s="1"/>
  <c r="R252" i="59"/>
  <c r="P22" i="59"/>
  <c r="P291" i="59"/>
  <c r="N14" i="144"/>
  <c r="P300" i="59"/>
  <c r="P303" i="59"/>
  <c r="S248" i="59"/>
  <c r="S249" i="59"/>
  <c r="S251" i="59" s="1"/>
  <c r="T245" i="59"/>
  <c r="T247" i="59" s="1"/>
  <c r="P264" i="29"/>
  <c r="P266" i="29"/>
  <c r="P268" i="29" s="1"/>
  <c r="P21" i="29" s="1"/>
  <c r="O22" i="29"/>
  <c r="O291" i="29"/>
  <c r="O266" i="29"/>
  <c r="O268" i="29" s="1"/>
  <c r="O21" i="29" s="1"/>
  <c r="O264" i="29"/>
  <c r="O294" i="29" s="1"/>
  <c r="O295" i="29" s="1"/>
  <c r="S261" i="59"/>
  <c r="R32" i="144"/>
  <c r="S247" i="59"/>
  <c r="W134" i="29"/>
  <c r="W171" i="29" s="1"/>
  <c r="W155" i="29"/>
  <c r="R249" i="29"/>
  <c r="R251" i="29" s="1"/>
  <c r="S245" i="29"/>
  <c r="U244" i="59"/>
  <c r="T258" i="59"/>
  <c r="T260" i="59" s="1"/>
  <c r="T261" i="59" s="1"/>
  <c r="P284" i="29"/>
  <c r="P285" i="29" s="1"/>
  <c r="P287" i="29" s="1"/>
  <c r="Q284" i="29"/>
  <c r="Q285" i="29" s="1"/>
  <c r="Q287" i="29" s="1"/>
  <c r="S258" i="29"/>
  <c r="T244" i="29"/>
  <c r="O33" i="144"/>
  <c r="Q252" i="29"/>
  <c r="Q259" i="29" s="1"/>
  <c r="Q260" i="29" s="1"/>
  <c r="R247" i="29"/>
  <c r="P194" i="59"/>
  <c r="Q182" i="59"/>
  <c r="Q183" i="59" s="1"/>
  <c r="Q181" i="59"/>
  <c r="Q11" i="59" s="1"/>
  <c r="J231" i="29"/>
  <c r="J306" i="29" s="1"/>
  <c r="J307" i="29" s="1"/>
  <c r="J309" i="29" s="1"/>
  <c r="J311" i="29" s="1"/>
  <c r="J23" i="29" s="1"/>
  <c r="J24" i="29" s="1"/>
  <c r="T121" i="29"/>
  <c r="T121" i="59"/>
  <c r="S122" i="29"/>
  <c r="S122" i="59"/>
  <c r="U116" i="59"/>
  <c r="S123" i="29"/>
  <c r="S123" i="59"/>
  <c r="S118" i="29"/>
  <c r="S118" i="59"/>
  <c r="U115" i="29"/>
  <c r="U115" i="59"/>
  <c r="S125" i="29"/>
  <c r="S125" i="59"/>
  <c r="T120" i="29"/>
  <c r="T120" i="59"/>
  <c r="S126" i="29"/>
  <c r="S126" i="59"/>
  <c r="S117" i="59"/>
  <c r="S117" i="29"/>
  <c r="Q203" i="29"/>
  <c r="Q182" i="29"/>
  <c r="Q181" i="29"/>
  <c r="H24" i="29"/>
  <c r="H26" i="29" s="1"/>
  <c r="H27" i="29" s="1"/>
  <c r="H10" i="144" s="1"/>
  <c r="H11" i="144" s="1"/>
  <c r="H15" i="144"/>
  <c r="L199" i="29"/>
  <c r="L197" i="29"/>
  <c r="I15" i="144"/>
  <c r="I16" i="144" s="1"/>
  <c r="I20" i="144" s="1"/>
  <c r="I24" i="29"/>
  <c r="I26" i="29" s="1"/>
  <c r="I27" i="29" s="1"/>
  <c r="I10" i="144" s="1"/>
  <c r="I9" i="144"/>
  <c r="J9" i="144"/>
  <c r="J19" i="29"/>
  <c r="M7" i="144"/>
  <c r="Y7" i="144" s="1"/>
  <c r="R169" i="29"/>
  <c r="R172" i="29"/>
  <c r="R170" i="29"/>
  <c r="R178" i="29" s="1"/>
  <c r="R182" i="29" s="1"/>
  <c r="U58" i="7"/>
  <c r="U57" i="7"/>
  <c r="O186" i="29"/>
  <c r="O202" i="29" s="1"/>
  <c r="O190" i="29"/>
  <c r="N193" i="29"/>
  <c r="N191" i="29"/>
  <c r="N16" i="29" s="1"/>
  <c r="R169" i="59"/>
  <c r="R170" i="59"/>
  <c r="R178" i="59" s="1"/>
  <c r="R203" i="59" s="1"/>
  <c r="R172" i="59"/>
  <c r="P11" i="29"/>
  <c r="Q173" i="29"/>
  <c r="Q10" i="29"/>
  <c r="Q10" i="59"/>
  <c r="Q173" i="59"/>
  <c r="P175" i="29"/>
  <c r="Q174" i="29"/>
  <c r="Q175" i="29" s="1"/>
  <c r="P184" i="29"/>
  <c r="P185" i="29" s="1"/>
  <c r="P186" i="29" s="1"/>
  <c r="P202" i="29" s="1"/>
  <c r="N204" i="29"/>
  <c r="N206" i="29" s="1"/>
  <c r="P183" i="29"/>
  <c r="P194" i="29"/>
  <c r="G38" i="144"/>
  <c r="I24" i="59"/>
  <c r="J24" i="59"/>
  <c r="K8" i="144"/>
  <c r="F19" i="144"/>
  <c r="U156" i="29"/>
  <c r="T179" i="29"/>
  <c r="L212" i="59"/>
  <c r="L213" i="59" s="1"/>
  <c r="L17" i="59" s="1"/>
  <c r="L209" i="59"/>
  <c r="L210" i="59" s="1"/>
  <c r="L223" i="59"/>
  <c r="K226" i="59"/>
  <c r="K229" i="59" s="1"/>
  <c r="K228" i="59"/>
  <c r="F38" i="144"/>
  <c r="S179" i="59"/>
  <c r="T156" i="59"/>
  <c r="N204" i="59"/>
  <c r="N206" i="59" s="1"/>
  <c r="N191" i="59"/>
  <c r="N16" i="59" s="1"/>
  <c r="N193" i="59"/>
  <c r="K212" i="59"/>
  <c r="K213" i="59" s="1"/>
  <c r="K17" i="59" s="1"/>
  <c r="K209" i="59"/>
  <c r="K210" i="59" s="1"/>
  <c r="I28" i="144"/>
  <c r="J28" i="144"/>
  <c r="I35" i="144"/>
  <c r="V116" i="59" a="1"/>
  <c r="T125" i="29" a="1"/>
  <c r="T118" i="59" a="1"/>
  <c r="U120" i="29" a="1"/>
  <c r="V115" i="59" a="1"/>
  <c r="T125" i="59" a="1"/>
  <c r="U121" i="59" a="1"/>
  <c r="V115" i="29" a="1"/>
  <c r="T123" i="59" a="1"/>
  <c r="U121" i="29" a="1"/>
  <c r="T122" i="29" a="1"/>
  <c r="T118" i="29" a="1"/>
  <c r="T117" i="29" a="1"/>
  <c r="T123" i="29" a="1"/>
  <c r="V116" i="29"/>
  <c r="T122" i="59" a="1"/>
  <c r="T126" i="59" a="1"/>
  <c r="U120" i="59" a="1"/>
  <c r="T117" i="59" a="1"/>
  <c r="T126" i="29" a="1"/>
  <c r="T273" i="29" l="1"/>
  <c r="S280" i="29"/>
  <c r="S280" i="59"/>
  <c r="T273" i="59"/>
  <c r="I26" i="59"/>
  <c r="I27" i="59" s="1"/>
  <c r="I29" i="144" s="1"/>
  <c r="I30" i="144" s="1"/>
  <c r="I37" i="144" s="1"/>
  <c r="I38" i="144" s="1"/>
  <c r="J26" i="59"/>
  <c r="J27" i="59" s="1"/>
  <c r="J29" i="144" s="1"/>
  <c r="J30" i="144" s="1"/>
  <c r="J37" i="144" s="1"/>
  <c r="M27" i="144"/>
  <c r="K231" i="29"/>
  <c r="K306" i="29" s="1"/>
  <c r="K307" i="29" s="1"/>
  <c r="K309" i="29" s="1"/>
  <c r="K311" i="29" s="1"/>
  <c r="K23" i="29" s="1"/>
  <c r="K15" i="144" s="1"/>
  <c r="K232" i="29"/>
  <c r="G28" i="29"/>
  <c r="M207" i="29"/>
  <c r="M215" i="29" s="1"/>
  <c r="M218" i="29" s="1"/>
  <c r="M222" i="29" s="1"/>
  <c r="M223" i="29" s="1"/>
  <c r="L219" i="29"/>
  <c r="L225" i="29" s="1"/>
  <c r="L228" i="29" s="1"/>
  <c r="L226" i="59"/>
  <c r="L229" i="59" s="1"/>
  <c r="M218" i="59"/>
  <c r="M222" i="59" s="1"/>
  <c r="M223" i="59" s="1"/>
  <c r="M209" i="59"/>
  <c r="M210" i="59" s="1"/>
  <c r="O186" i="59"/>
  <c r="O202" i="59" s="1"/>
  <c r="O204" i="59" s="1"/>
  <c r="O206" i="59" s="1"/>
  <c r="P184" i="59"/>
  <c r="P185" i="59" s="1"/>
  <c r="P186" i="59" s="1"/>
  <c r="P202" i="59" s="1"/>
  <c r="Q174" i="59"/>
  <c r="Q184" i="59" s="1"/>
  <c r="R289" i="59"/>
  <c r="R22" i="59" s="1"/>
  <c r="X29" i="144"/>
  <c r="X30" i="144" s="1"/>
  <c r="X37" i="144" s="1"/>
  <c r="H28" i="59"/>
  <c r="Q289" i="59"/>
  <c r="Q291" i="59" s="1"/>
  <c r="Q194" i="59"/>
  <c r="R252" i="29"/>
  <c r="R259" i="29" s="1"/>
  <c r="R260" i="29" s="1"/>
  <c r="R261" i="29" s="1"/>
  <c r="R283" i="29"/>
  <c r="S266" i="59"/>
  <c r="S268" i="59" s="1"/>
  <c r="S21" i="59" s="1"/>
  <c r="S264" i="59"/>
  <c r="P13" i="144"/>
  <c r="Q289" i="29"/>
  <c r="T264" i="59"/>
  <c r="T266" i="59"/>
  <c r="T268" i="59" s="1"/>
  <c r="T21" i="59" s="1"/>
  <c r="O14" i="144"/>
  <c r="Q261" i="29"/>
  <c r="P294" i="29"/>
  <c r="P295" i="29" s="1"/>
  <c r="P289" i="29"/>
  <c r="O303" i="29"/>
  <c r="O300" i="29"/>
  <c r="T248" i="59"/>
  <c r="U245" i="59"/>
  <c r="T249" i="59"/>
  <c r="T251" i="59" s="1"/>
  <c r="T283" i="59" s="1"/>
  <c r="R300" i="59"/>
  <c r="R303" i="59"/>
  <c r="T245" i="29"/>
  <c r="T248" i="29" s="1"/>
  <c r="S249" i="29"/>
  <c r="S251" i="29" s="1"/>
  <c r="I11" i="144"/>
  <c r="I18" i="144" s="1"/>
  <c r="I19" i="144" s="1"/>
  <c r="O13" i="144"/>
  <c r="S252" i="59"/>
  <c r="S283" i="59"/>
  <c r="S247" i="29"/>
  <c r="T258" i="29"/>
  <c r="U244" i="29"/>
  <c r="Q300" i="59"/>
  <c r="Q303" i="59"/>
  <c r="P33" i="144"/>
  <c r="S248" i="29"/>
  <c r="V244" i="59"/>
  <c r="U258" i="59"/>
  <c r="U260" i="59" s="1"/>
  <c r="U261" i="59" s="1"/>
  <c r="H28" i="29"/>
  <c r="M197" i="29"/>
  <c r="P190" i="29"/>
  <c r="P193" i="29" s="1"/>
  <c r="R183" i="29"/>
  <c r="R182" i="59"/>
  <c r="R183" i="59" s="1"/>
  <c r="J15" i="144"/>
  <c r="J16" i="144" s="1"/>
  <c r="J20" i="144" s="1"/>
  <c r="R181" i="59"/>
  <c r="R11" i="59" s="1"/>
  <c r="V115" i="29"/>
  <c r="V115" i="59"/>
  <c r="T122" i="29"/>
  <c r="T122" i="59"/>
  <c r="T118" i="29"/>
  <c r="T118" i="59"/>
  <c r="V116" i="59"/>
  <c r="U120" i="29"/>
  <c r="U120" i="59"/>
  <c r="U121" i="29"/>
  <c r="U121" i="59"/>
  <c r="T126" i="59"/>
  <c r="T126" i="29"/>
  <c r="T117" i="29"/>
  <c r="T117" i="59"/>
  <c r="T125" i="29"/>
  <c r="T125" i="59"/>
  <c r="T123" i="59"/>
  <c r="T123" i="29"/>
  <c r="N207" i="29"/>
  <c r="N215" i="29" s="1"/>
  <c r="N208" i="29"/>
  <c r="L209" i="29"/>
  <c r="L210" i="29" s="1"/>
  <c r="L212" i="29"/>
  <c r="L213" i="29" s="1"/>
  <c r="L17" i="29" s="1"/>
  <c r="Q183" i="29"/>
  <c r="Q194" i="29"/>
  <c r="N196" i="29"/>
  <c r="R174" i="29"/>
  <c r="Q184" i="29"/>
  <c r="Q185" i="29" s="1"/>
  <c r="V57" i="7"/>
  <c r="V58" i="7"/>
  <c r="O191" i="29"/>
  <c r="O16" i="29" s="1"/>
  <c r="O193" i="29"/>
  <c r="O196" i="29" s="1"/>
  <c r="O204" i="29"/>
  <c r="O206" i="29" s="1"/>
  <c r="I28" i="29"/>
  <c r="R10" i="59"/>
  <c r="R173" i="59"/>
  <c r="R173" i="29"/>
  <c r="R10" i="29"/>
  <c r="J26" i="29"/>
  <c r="M209" i="29"/>
  <c r="M210" i="29" s="1"/>
  <c r="M212" i="29"/>
  <c r="M213" i="29" s="1"/>
  <c r="M17" i="29" s="1"/>
  <c r="S169" i="29"/>
  <c r="S172" i="29"/>
  <c r="S170" i="29"/>
  <c r="S178" i="29" s="1"/>
  <c r="N7" i="144"/>
  <c r="H18" i="144"/>
  <c r="R203" i="29"/>
  <c r="R181" i="29"/>
  <c r="R194" i="29"/>
  <c r="X10" i="144"/>
  <c r="X11" i="144" s="1"/>
  <c r="S169" i="59"/>
  <c r="S172" i="59"/>
  <c r="S170" i="59"/>
  <c r="S178" i="59" s="1"/>
  <c r="S203" i="59" s="1"/>
  <c r="H16" i="144"/>
  <c r="H20" i="144" s="1"/>
  <c r="X20" i="144" s="1"/>
  <c r="X15" i="144"/>
  <c r="X16" i="144" s="1"/>
  <c r="Q11" i="29"/>
  <c r="K19" i="29"/>
  <c r="K232" i="59"/>
  <c r="K18" i="59"/>
  <c r="K231" i="59"/>
  <c r="K306" i="59" s="1"/>
  <c r="K307" i="59" s="1"/>
  <c r="K309" i="59" s="1"/>
  <c r="K311" i="59" s="1"/>
  <c r="K23" i="59" s="1"/>
  <c r="K34" i="144" s="1"/>
  <c r="U179" i="29"/>
  <c r="V156" i="29"/>
  <c r="M228" i="59"/>
  <c r="M226" i="59"/>
  <c r="M229" i="59" s="1"/>
  <c r="N26" i="144"/>
  <c r="O191" i="59"/>
  <c r="O16" i="59" s="1"/>
  <c r="O193" i="59"/>
  <c r="O196" i="59" s="1"/>
  <c r="U156" i="59"/>
  <c r="T179" i="59"/>
  <c r="N196" i="59"/>
  <c r="N208" i="59"/>
  <c r="N207" i="59"/>
  <c r="N215" i="59" s="1"/>
  <c r="X38" i="144"/>
  <c r="K27" i="144"/>
  <c r="S187" i="59"/>
  <c r="L27" i="144"/>
  <c r="T187" i="29"/>
  <c r="U126" i="29" a="1"/>
  <c r="U126" i="59" a="1"/>
  <c r="U125" i="59" a="1"/>
  <c r="W115" i="29" a="1"/>
  <c r="U118" i="29" a="1"/>
  <c r="U123" i="29" a="1"/>
  <c r="W116" i="29"/>
  <c r="V121" i="59" a="1"/>
  <c r="U122" i="29" a="1"/>
  <c r="U125" i="29" a="1"/>
  <c r="V121" i="29" a="1"/>
  <c r="U123" i="59" a="1"/>
  <c r="V120" i="59" a="1"/>
  <c r="V120" i="29" a="1"/>
  <c r="W116" i="59" a="1"/>
  <c r="W115" i="59" a="1"/>
  <c r="U122" i="59" a="1"/>
  <c r="U117" i="29" a="1"/>
  <c r="U117" i="59" a="1"/>
  <c r="U118" i="59" a="1"/>
  <c r="T280" i="59" l="1"/>
  <c r="U273" i="59"/>
  <c r="T280" i="29"/>
  <c r="U273" i="29"/>
  <c r="I28" i="59"/>
  <c r="J28" i="59"/>
  <c r="K28" i="144"/>
  <c r="R291" i="59"/>
  <c r="K24" i="29"/>
  <c r="K26" i="29" s="1"/>
  <c r="K27" i="29" s="1"/>
  <c r="K10" i="144" s="1"/>
  <c r="M219" i="29"/>
  <c r="M225" i="29" s="1"/>
  <c r="M226" i="29" s="1"/>
  <c r="M232" i="29" s="1"/>
  <c r="L226" i="29"/>
  <c r="L229" i="29" s="1"/>
  <c r="L18" i="29" s="1"/>
  <c r="L18" i="59"/>
  <c r="L231" i="59"/>
  <c r="L306" i="59" s="1"/>
  <c r="L307" i="59" s="1"/>
  <c r="L309" i="59" s="1"/>
  <c r="L311" i="59" s="1"/>
  <c r="L23" i="59" s="1"/>
  <c r="L34" i="144" s="1"/>
  <c r="L35" i="144" s="1"/>
  <c r="L232" i="59"/>
  <c r="P190" i="59"/>
  <c r="P191" i="59" s="1"/>
  <c r="P16" i="59" s="1"/>
  <c r="Q185" i="59"/>
  <c r="Q186" i="59" s="1"/>
  <c r="Q202" i="59" s="1"/>
  <c r="R174" i="59"/>
  <c r="S174" i="59" s="1"/>
  <c r="Q175" i="59"/>
  <c r="Q22" i="59"/>
  <c r="T247" i="29"/>
  <c r="U266" i="59"/>
  <c r="U268" i="59" s="1"/>
  <c r="U21" i="59" s="1"/>
  <c r="U264" i="59"/>
  <c r="U249" i="59"/>
  <c r="U251" i="59" s="1"/>
  <c r="V245" i="59"/>
  <c r="P204" i="29"/>
  <c r="P206" i="29" s="1"/>
  <c r="P208" i="29" s="1"/>
  <c r="P191" i="29"/>
  <c r="P16" i="29" s="1"/>
  <c r="R33" i="144"/>
  <c r="Q22" i="29"/>
  <c r="Q291" i="29"/>
  <c r="S181" i="59"/>
  <c r="S11" i="59" s="1"/>
  <c r="S283" i="29"/>
  <c r="S32" i="144"/>
  <c r="V244" i="29"/>
  <c r="U258" i="29"/>
  <c r="U245" i="29"/>
  <c r="U248" i="29" s="1"/>
  <c r="T249" i="29"/>
  <c r="T251" i="29" s="1"/>
  <c r="T283" i="29" s="1"/>
  <c r="P291" i="29"/>
  <c r="P22" i="29"/>
  <c r="T32" i="144"/>
  <c r="S252" i="29"/>
  <c r="S259" i="29" s="1"/>
  <c r="S260" i="29" s="1"/>
  <c r="S261" i="29" s="1"/>
  <c r="W244" i="59"/>
  <c r="V258" i="59"/>
  <c r="V260" i="59" s="1"/>
  <c r="V261" i="59" s="1"/>
  <c r="R264" i="29"/>
  <c r="R266" i="29"/>
  <c r="R268" i="29" s="1"/>
  <c r="R21" i="29" s="1"/>
  <c r="U247" i="59"/>
  <c r="T252" i="59"/>
  <c r="P303" i="29"/>
  <c r="P300" i="29"/>
  <c r="R284" i="29"/>
  <c r="R285" i="29" s="1"/>
  <c r="R287" i="29" s="1"/>
  <c r="R289" i="29" s="1"/>
  <c r="U248" i="59"/>
  <c r="T284" i="59"/>
  <c r="T285" i="59" s="1"/>
  <c r="T287" i="59" s="1"/>
  <c r="S284" i="59"/>
  <c r="S285" i="59" s="1"/>
  <c r="S287" i="59" s="1"/>
  <c r="Q266" i="29"/>
  <c r="Q268" i="29" s="1"/>
  <c r="Q21" i="29" s="1"/>
  <c r="Q264" i="29"/>
  <c r="Q294" i="29" s="1"/>
  <c r="Q295" i="29" s="1"/>
  <c r="X18" i="144"/>
  <c r="R194" i="59"/>
  <c r="U118" i="59"/>
  <c r="U118" i="29"/>
  <c r="U122" i="29"/>
  <c r="U122" i="59"/>
  <c r="U117" i="59"/>
  <c r="U117" i="29"/>
  <c r="U123" i="29"/>
  <c r="U123" i="59"/>
  <c r="W116" i="59"/>
  <c r="W115" i="29"/>
  <c r="W115" i="59"/>
  <c r="V121" i="29"/>
  <c r="V121" i="59"/>
  <c r="U126" i="59"/>
  <c r="U126" i="29"/>
  <c r="V120" i="59"/>
  <c r="V120" i="29"/>
  <c r="U125" i="59"/>
  <c r="U125" i="29"/>
  <c r="H19" i="144"/>
  <c r="T169" i="29"/>
  <c r="T172" i="29"/>
  <c r="T170" i="29"/>
  <c r="T178" i="29" s="1"/>
  <c r="R11" i="29"/>
  <c r="J27" i="29"/>
  <c r="J10" i="144" s="1"/>
  <c r="J11" i="144" s="1"/>
  <c r="J18" i="144" s="1"/>
  <c r="O197" i="29"/>
  <c r="O199" i="29"/>
  <c r="S203" i="29"/>
  <c r="S182" i="29"/>
  <c r="S181" i="29"/>
  <c r="O7" i="144"/>
  <c r="N218" i="29"/>
  <c r="N222" i="29" s="1"/>
  <c r="N223" i="29" s="1"/>
  <c r="N219" i="29"/>
  <c r="N225" i="29" s="1"/>
  <c r="L8" i="144"/>
  <c r="R175" i="29"/>
  <c r="S174" i="29"/>
  <c r="R184" i="29"/>
  <c r="R185" i="29" s="1"/>
  <c r="N197" i="29"/>
  <c r="N199" i="29"/>
  <c r="O208" i="29"/>
  <c r="O207" i="29"/>
  <c r="O215" i="29" s="1"/>
  <c r="T169" i="59"/>
  <c r="T170" i="59"/>
  <c r="T178" i="59" s="1"/>
  <c r="T203" i="59" s="1"/>
  <c r="T172" i="59"/>
  <c r="S10" i="59"/>
  <c r="S173" i="59"/>
  <c r="S173" i="29"/>
  <c r="S10" i="29"/>
  <c r="W58" i="7"/>
  <c r="W57" i="7"/>
  <c r="Q190" i="29"/>
  <c r="Q186" i="29"/>
  <c r="Q202" i="29" s="1"/>
  <c r="S182" i="59"/>
  <c r="S183" i="59" s="1"/>
  <c r="M8" i="144"/>
  <c r="K19" i="59"/>
  <c r="M18" i="59"/>
  <c r="M231" i="59"/>
  <c r="M306" i="59" s="1"/>
  <c r="M307" i="59" s="1"/>
  <c r="M309" i="59" s="1"/>
  <c r="M311" i="59" s="1"/>
  <c r="M23" i="59" s="1"/>
  <c r="M34" i="144" s="1"/>
  <c r="M35" i="144" s="1"/>
  <c r="M232" i="59"/>
  <c r="J38" i="144"/>
  <c r="K24" i="59"/>
  <c r="O197" i="59"/>
  <c r="O199" i="59"/>
  <c r="K16" i="144"/>
  <c r="K20" i="144" s="1"/>
  <c r="N218" i="59"/>
  <c r="N222" i="59" s="1"/>
  <c r="N223" i="59" s="1"/>
  <c r="N219" i="59"/>
  <c r="N225" i="59" s="1"/>
  <c r="N197" i="59"/>
  <c r="N199" i="59"/>
  <c r="V179" i="29"/>
  <c r="W156" i="29"/>
  <c r="W179" i="29" s="1"/>
  <c r="U179" i="59"/>
  <c r="U187" i="59" s="1"/>
  <c r="V156" i="59"/>
  <c r="U187" i="29"/>
  <c r="O26" i="144"/>
  <c r="P196" i="29"/>
  <c r="O208" i="59"/>
  <c r="O207" i="59"/>
  <c r="O215" i="59" s="1"/>
  <c r="Y27" i="144"/>
  <c r="T187" i="59"/>
  <c r="K35" i="144"/>
  <c r="W120" i="29" a="1"/>
  <c r="V118" i="29" a="1"/>
  <c r="V122" i="59" a="1"/>
  <c r="V117" i="59" a="1"/>
  <c r="V123" i="59" a="1"/>
  <c r="W121" i="59" a="1"/>
  <c r="W121" i="29" a="1"/>
  <c r="V117" i="29" a="1"/>
  <c r="V122" i="29" a="1"/>
  <c r="V126" i="59" a="1"/>
  <c r="V125" i="59" a="1"/>
  <c r="V126" i="29" a="1"/>
  <c r="V123" i="29" a="1"/>
  <c r="W120" i="59" a="1"/>
  <c r="V118" i="59" a="1"/>
  <c r="V125" i="29" a="1"/>
  <c r="V273" i="29" l="1"/>
  <c r="U280" i="29"/>
  <c r="U280" i="59"/>
  <c r="V273" i="59"/>
  <c r="L19" i="59"/>
  <c r="Q33" i="144"/>
  <c r="P26" i="144"/>
  <c r="M228" i="29"/>
  <c r="L232" i="29"/>
  <c r="L24" i="59"/>
  <c r="P204" i="59"/>
  <c r="P206" i="59" s="1"/>
  <c r="P208" i="59" s="1"/>
  <c r="L28" i="144"/>
  <c r="Q190" i="59"/>
  <c r="Q191" i="59" s="1"/>
  <c r="Q16" i="59" s="1"/>
  <c r="R184" i="59"/>
  <c r="R185" i="59" s="1"/>
  <c r="R190" i="59" s="1"/>
  <c r="R175" i="59"/>
  <c r="P193" i="59"/>
  <c r="P196" i="59" s="1"/>
  <c r="P199" i="59" s="1"/>
  <c r="R294" i="29"/>
  <c r="R295" i="29" s="1"/>
  <c r="R300" i="29" s="1"/>
  <c r="P207" i="29"/>
  <c r="P215" i="29" s="1"/>
  <c r="P219" i="29" s="1"/>
  <c r="P225" i="29" s="1"/>
  <c r="T284" i="29"/>
  <c r="T285" i="29" s="1"/>
  <c r="T287" i="29" s="1"/>
  <c r="T289" i="29" s="1"/>
  <c r="U247" i="29"/>
  <c r="P7" i="144"/>
  <c r="S266" i="29"/>
  <c r="S268" i="29" s="1"/>
  <c r="S21" i="29" s="1"/>
  <c r="S264" i="29"/>
  <c r="S294" i="59"/>
  <c r="S295" i="59" s="1"/>
  <c r="S289" i="59"/>
  <c r="T294" i="59"/>
  <c r="T295" i="59" s="1"/>
  <c r="T289" i="59"/>
  <c r="W258" i="59"/>
  <c r="W260" i="59" s="1"/>
  <c r="W261" i="59" s="1"/>
  <c r="W244" i="29"/>
  <c r="V258" i="29"/>
  <c r="R13" i="144"/>
  <c r="W245" i="59"/>
  <c r="W249" i="59" s="1"/>
  <c r="W251" i="59" s="1"/>
  <c r="W283" i="59" s="1"/>
  <c r="V249" i="59"/>
  <c r="V251" i="59" s="1"/>
  <c r="P14" i="144"/>
  <c r="S184" i="59"/>
  <c r="R22" i="29"/>
  <c r="R291" i="29"/>
  <c r="V266" i="59"/>
  <c r="V268" i="59" s="1"/>
  <c r="V21" i="59" s="1"/>
  <c r="V264" i="59"/>
  <c r="U252" i="59"/>
  <c r="U283" i="59"/>
  <c r="Q303" i="29"/>
  <c r="Q300" i="29"/>
  <c r="S284" i="29"/>
  <c r="S285" i="29" s="1"/>
  <c r="S287" i="29" s="1"/>
  <c r="S289" i="29" s="1"/>
  <c r="V247" i="59"/>
  <c r="Q14" i="144"/>
  <c r="Q13" i="144"/>
  <c r="V248" i="59"/>
  <c r="U249" i="29"/>
  <c r="U251" i="29" s="1"/>
  <c r="V245" i="29"/>
  <c r="V247" i="29" s="1"/>
  <c r="T252" i="29"/>
  <c r="T259" i="29" s="1"/>
  <c r="T260" i="29" s="1"/>
  <c r="U32" i="144"/>
  <c r="L231" i="29"/>
  <c r="L306" i="29" s="1"/>
  <c r="L307" i="29" s="1"/>
  <c r="L309" i="29" s="1"/>
  <c r="L311" i="29" s="1"/>
  <c r="L23" i="29" s="1"/>
  <c r="L15" i="144" s="1"/>
  <c r="L16" i="144" s="1"/>
  <c r="L20" i="144" s="1"/>
  <c r="Q204" i="29"/>
  <c r="Q206" i="29" s="1"/>
  <c r="T182" i="59"/>
  <c r="T183" i="59" s="1"/>
  <c r="L19" i="29"/>
  <c r="L9" i="144"/>
  <c r="T181" i="59"/>
  <c r="T11" i="59" s="1"/>
  <c r="M229" i="29"/>
  <c r="M231" i="29" s="1"/>
  <c r="M306" i="29" s="1"/>
  <c r="M307" i="29" s="1"/>
  <c r="M309" i="29" s="1"/>
  <c r="M311" i="29" s="1"/>
  <c r="M23" i="29" s="1"/>
  <c r="V118" i="59"/>
  <c r="V118" i="29"/>
  <c r="V117" i="59"/>
  <c r="V117" i="29"/>
  <c r="V126" i="29"/>
  <c r="V126" i="59"/>
  <c r="V122" i="59"/>
  <c r="V122" i="29"/>
  <c r="W120" i="59"/>
  <c r="W120" i="29"/>
  <c r="V123" i="59"/>
  <c r="V123" i="29"/>
  <c r="W121" i="29"/>
  <c r="W121" i="59"/>
  <c r="V125" i="29"/>
  <c r="V125" i="59"/>
  <c r="X57" i="7"/>
  <c r="X58" i="7"/>
  <c r="S183" i="29"/>
  <c r="S194" i="29"/>
  <c r="J28" i="29"/>
  <c r="X19" i="144"/>
  <c r="Y8" i="144"/>
  <c r="O209" i="29"/>
  <c r="O210" i="29" s="1"/>
  <c r="O212" i="29"/>
  <c r="O213" i="29" s="1"/>
  <c r="O17" i="29" s="1"/>
  <c r="R186" i="29"/>
  <c r="R202" i="29" s="1"/>
  <c r="R190" i="29"/>
  <c r="R191" i="29" s="1"/>
  <c r="R16" i="29" s="1"/>
  <c r="U172" i="29"/>
  <c r="U170" i="29"/>
  <c r="U178" i="29" s="1"/>
  <c r="U169" i="29"/>
  <c r="T173" i="29"/>
  <c r="T10" i="29"/>
  <c r="J19" i="144"/>
  <c r="S194" i="59"/>
  <c r="N212" i="29"/>
  <c r="N213" i="29" s="1"/>
  <c r="N17" i="29" s="1"/>
  <c r="N209" i="29"/>
  <c r="N210" i="29" s="1"/>
  <c r="S175" i="29"/>
  <c r="T174" i="29"/>
  <c r="S184" i="29"/>
  <c r="S185" i="29" s="1"/>
  <c r="S186" i="29" s="1"/>
  <c r="S202" i="29" s="1"/>
  <c r="U169" i="59"/>
  <c r="U170" i="59"/>
  <c r="U178" i="59" s="1"/>
  <c r="U203" i="59" s="1"/>
  <c r="U172" i="59"/>
  <c r="T10" i="59"/>
  <c r="T173" i="59"/>
  <c r="T203" i="29"/>
  <c r="T182" i="29"/>
  <c r="T181" i="29"/>
  <c r="O219" i="29"/>
  <c r="O225" i="29" s="1"/>
  <c r="O218" i="29"/>
  <c r="O222" i="29" s="1"/>
  <c r="O223" i="29" s="1"/>
  <c r="Q193" i="29"/>
  <c r="Q196" i="29" s="1"/>
  <c r="Q197" i="29" s="1"/>
  <c r="Q191" i="29"/>
  <c r="Q16" i="29" s="1"/>
  <c r="S175" i="59"/>
  <c r="T174" i="59"/>
  <c r="N228" i="29"/>
  <c r="N226" i="29"/>
  <c r="S11" i="29"/>
  <c r="K26" i="59"/>
  <c r="K27" i="59" s="1"/>
  <c r="K29" i="144" s="1"/>
  <c r="K30" i="144" s="1"/>
  <c r="K37" i="144" s="1"/>
  <c r="M24" i="59"/>
  <c r="M28" i="144"/>
  <c r="K28" i="29"/>
  <c r="M19" i="59"/>
  <c r="O219" i="59"/>
  <c r="O225" i="59" s="1"/>
  <c r="O218" i="59"/>
  <c r="O222" i="59" s="1"/>
  <c r="O223" i="59" s="1"/>
  <c r="N226" i="59"/>
  <c r="N229" i="59" s="1"/>
  <c r="N228" i="59"/>
  <c r="W156" i="59"/>
  <c r="W179" i="59" s="1"/>
  <c r="V179" i="59"/>
  <c r="V187" i="59" s="1"/>
  <c r="O212" i="59"/>
  <c r="O213" i="59" s="1"/>
  <c r="O17" i="59" s="1"/>
  <c r="O209" i="59"/>
  <c r="O210" i="59" s="1"/>
  <c r="P197" i="29"/>
  <c r="P199" i="29"/>
  <c r="K11" i="144"/>
  <c r="K18" i="144" s="1"/>
  <c r="W187" i="29"/>
  <c r="V187" i="29"/>
  <c r="Y34" i="144"/>
  <c r="Y35" i="144" s="1"/>
  <c r="N209" i="59"/>
  <c r="N210" i="59" s="1"/>
  <c r="N212" i="59"/>
  <c r="N213" i="59" s="1"/>
  <c r="N17" i="59" s="1"/>
  <c r="W126" i="29" a="1"/>
  <c r="W123" i="29" a="1"/>
  <c r="W122" i="29" a="1"/>
  <c r="W118" i="59" a="1"/>
  <c r="W126" i="59" a="1"/>
  <c r="W117" i="59" a="1"/>
  <c r="W118" i="29" a="1"/>
  <c r="W123" i="59" a="1"/>
  <c r="W122" i="59" a="1"/>
  <c r="W125" i="29" a="1"/>
  <c r="W117" i="29" a="1"/>
  <c r="W125" i="59" a="1"/>
  <c r="V280" i="59" l="1"/>
  <c r="W273" i="59"/>
  <c r="W280" i="59" s="1"/>
  <c r="V280" i="29"/>
  <c r="W273" i="29"/>
  <c r="W280" i="29" s="1"/>
  <c r="L26" i="59"/>
  <c r="L27" i="59" s="1"/>
  <c r="L29" i="144" s="1"/>
  <c r="L30" i="144" s="1"/>
  <c r="L37" i="144" s="1"/>
  <c r="L38" i="144" s="1"/>
  <c r="Y28" i="144"/>
  <c r="P209" i="59"/>
  <c r="P210" i="59" s="1"/>
  <c r="P207" i="59"/>
  <c r="P215" i="59" s="1"/>
  <c r="P219" i="59" s="1"/>
  <c r="P225" i="59" s="1"/>
  <c r="P226" i="59" s="1"/>
  <c r="P229" i="59" s="1"/>
  <c r="R303" i="29"/>
  <c r="Q204" i="59"/>
  <c r="Q206" i="59" s="1"/>
  <c r="Q208" i="59" s="1"/>
  <c r="Q193" i="59"/>
  <c r="Q196" i="59" s="1"/>
  <c r="Q199" i="59" s="1"/>
  <c r="Q212" i="59" s="1"/>
  <c r="Q213" i="59" s="1"/>
  <c r="Q17" i="59" s="1"/>
  <c r="R193" i="59"/>
  <c r="Q26" i="144"/>
  <c r="S185" i="59"/>
  <c r="S186" i="59" s="1"/>
  <c r="S202" i="59" s="1"/>
  <c r="P197" i="59"/>
  <c r="R191" i="59"/>
  <c r="R16" i="59" s="1"/>
  <c r="P212" i="59"/>
  <c r="P213" i="59" s="1"/>
  <c r="P17" i="59" s="1"/>
  <c r="R186" i="59"/>
  <c r="R202" i="59" s="1"/>
  <c r="R204" i="59" s="1"/>
  <c r="R206" i="59" s="1"/>
  <c r="W248" i="59"/>
  <c r="P218" i="29"/>
  <c r="P222" i="29" s="1"/>
  <c r="P223" i="29" s="1"/>
  <c r="S190" i="29"/>
  <c r="S191" i="29" s="1"/>
  <c r="S16" i="29" s="1"/>
  <c r="L24" i="29"/>
  <c r="L26" i="29" s="1"/>
  <c r="L27" i="29" s="1"/>
  <c r="L10" i="144" s="1"/>
  <c r="L11" i="144" s="1"/>
  <c r="L18" i="144" s="1"/>
  <c r="W266" i="59"/>
  <c r="W268" i="59" s="1"/>
  <c r="W21" i="59" s="1"/>
  <c r="W264" i="59"/>
  <c r="T291" i="29"/>
  <c r="T22" i="29"/>
  <c r="T22" i="59"/>
  <c r="T291" i="59"/>
  <c r="U284" i="59"/>
  <c r="U285" i="59" s="1"/>
  <c r="U287" i="59" s="1"/>
  <c r="T303" i="59"/>
  <c r="T300" i="59"/>
  <c r="R14" i="144"/>
  <c r="T261" i="29"/>
  <c r="S22" i="59"/>
  <c r="S291" i="59"/>
  <c r="W245" i="29"/>
  <c r="W249" i="29" s="1"/>
  <c r="W251" i="29" s="1"/>
  <c r="W283" i="29" s="1"/>
  <c r="V249" i="29"/>
  <c r="V251" i="29" s="1"/>
  <c r="S22" i="29"/>
  <c r="S291" i="29"/>
  <c r="V252" i="59"/>
  <c r="W252" i="59"/>
  <c r="V283" i="59"/>
  <c r="W284" i="59" s="1"/>
  <c r="W285" i="59" s="1"/>
  <c r="W287" i="59" s="1"/>
  <c r="V248" i="29"/>
  <c r="S303" i="59"/>
  <c r="S300" i="59"/>
  <c r="U252" i="29"/>
  <c r="U259" i="29" s="1"/>
  <c r="U260" i="29" s="1"/>
  <c r="U283" i="29"/>
  <c r="V32" i="144"/>
  <c r="W258" i="29"/>
  <c r="S294" i="29"/>
  <c r="S295" i="29" s="1"/>
  <c r="W247" i="59"/>
  <c r="S13" i="144"/>
  <c r="T184" i="59"/>
  <c r="T185" i="59" s="1"/>
  <c r="T190" i="59" s="1"/>
  <c r="T194" i="59"/>
  <c r="Q208" i="29"/>
  <c r="Q207" i="29"/>
  <c r="Q215" i="29" s="1"/>
  <c r="Q199" i="29"/>
  <c r="Q212" i="29" s="1"/>
  <c r="Q213" i="29" s="1"/>
  <c r="Q17" i="29" s="1"/>
  <c r="M18" i="29"/>
  <c r="M15" i="144"/>
  <c r="M24" i="29"/>
  <c r="U182" i="59"/>
  <c r="U183" i="59" s="1"/>
  <c r="U181" i="59"/>
  <c r="U11" i="59" s="1"/>
  <c r="W117" i="59"/>
  <c r="W117" i="29"/>
  <c r="W118" i="29"/>
  <c r="W118" i="59"/>
  <c r="W123" i="29"/>
  <c r="W123" i="59"/>
  <c r="W125" i="59"/>
  <c r="W125" i="29"/>
  <c r="W126" i="59"/>
  <c r="W126" i="29"/>
  <c r="W122" i="59"/>
  <c r="W122" i="29"/>
  <c r="N229" i="29"/>
  <c r="N231" i="29" s="1"/>
  <c r="N306" i="29" s="1"/>
  <c r="N307" i="29" s="1"/>
  <c r="N309" i="29" s="1"/>
  <c r="N311" i="29" s="1"/>
  <c r="N23" i="29" s="1"/>
  <c r="N232" i="29"/>
  <c r="N8" i="144"/>
  <c r="O226" i="29"/>
  <c r="O229" i="29" s="1"/>
  <c r="O228" i="29"/>
  <c r="R204" i="29"/>
  <c r="R206" i="29" s="1"/>
  <c r="V172" i="29"/>
  <c r="V170" i="29"/>
  <c r="V178" i="29" s="1"/>
  <c r="V169" i="29"/>
  <c r="U174" i="29"/>
  <c r="T184" i="29"/>
  <c r="T185" i="29" s="1"/>
  <c r="T190" i="29" s="1"/>
  <c r="T175" i="59"/>
  <c r="U174" i="59"/>
  <c r="R7" i="144"/>
  <c r="Q7" i="144"/>
  <c r="T11" i="29"/>
  <c r="U10" i="59"/>
  <c r="U173" i="59"/>
  <c r="V169" i="59"/>
  <c r="V172" i="59"/>
  <c r="V170" i="59"/>
  <c r="V178" i="59" s="1"/>
  <c r="V203" i="59" s="1"/>
  <c r="T183" i="29"/>
  <c r="T194" i="29"/>
  <c r="U10" i="29"/>
  <c r="U173" i="29"/>
  <c r="T175" i="29"/>
  <c r="U203" i="29"/>
  <c r="U181" i="29"/>
  <c r="U182" i="29"/>
  <c r="O8" i="144"/>
  <c r="Y57" i="7"/>
  <c r="Y58" i="7"/>
  <c r="R193" i="29"/>
  <c r="R196" i="29" s="1"/>
  <c r="K28" i="59"/>
  <c r="K38" i="144"/>
  <c r="M26" i="59"/>
  <c r="M27" i="59" s="1"/>
  <c r="M29" i="144" s="1"/>
  <c r="M30" i="144" s="1"/>
  <c r="M37" i="144" s="1"/>
  <c r="W187" i="59"/>
  <c r="K19" i="144"/>
  <c r="P226" i="29"/>
  <c r="P229" i="29" s="1"/>
  <c r="P228" i="29"/>
  <c r="O27" i="144"/>
  <c r="O226" i="59"/>
  <c r="O229" i="59" s="1"/>
  <c r="O228" i="59"/>
  <c r="N232" i="59"/>
  <c r="N231" i="59"/>
  <c r="N306" i="59" s="1"/>
  <c r="N307" i="59" s="1"/>
  <c r="N309" i="59" s="1"/>
  <c r="N311" i="59" s="1"/>
  <c r="N23" i="59" s="1"/>
  <c r="P212" i="29"/>
  <c r="P213" i="29" s="1"/>
  <c r="P17" i="29" s="1"/>
  <c r="P209" i="29"/>
  <c r="P210" i="29" s="1"/>
  <c r="N27" i="144"/>
  <c r="N18" i="59"/>
  <c r="L28" i="59" l="1"/>
  <c r="N19" i="59"/>
  <c r="W248" i="29"/>
  <c r="R196" i="59"/>
  <c r="R199" i="59" s="1"/>
  <c r="R212" i="59" s="1"/>
  <c r="R213" i="59" s="1"/>
  <c r="R17" i="59" s="1"/>
  <c r="R208" i="59"/>
  <c r="Q207" i="59"/>
  <c r="Q215" i="59" s="1"/>
  <c r="S190" i="59"/>
  <c r="S191" i="59" s="1"/>
  <c r="S16" i="59" s="1"/>
  <c r="R26" i="144"/>
  <c r="R207" i="59"/>
  <c r="R215" i="59" s="1"/>
  <c r="Q209" i="59"/>
  <c r="Q210" i="59" s="1"/>
  <c r="P218" i="59"/>
  <c r="P222" i="59" s="1"/>
  <c r="P223" i="59" s="1"/>
  <c r="P18" i="59" s="1"/>
  <c r="P228" i="59"/>
  <c r="Q197" i="59"/>
  <c r="P27" i="144"/>
  <c r="S193" i="29"/>
  <c r="S196" i="29" s="1"/>
  <c r="S204" i="29"/>
  <c r="S206" i="29" s="1"/>
  <c r="S207" i="29" s="1"/>
  <c r="T186" i="59"/>
  <c r="T202" i="59" s="1"/>
  <c r="T204" i="59" s="1"/>
  <c r="T206" i="59" s="1"/>
  <c r="U184" i="59"/>
  <c r="U185" i="59" s="1"/>
  <c r="S303" i="29"/>
  <c r="S300" i="29"/>
  <c r="S14" i="144"/>
  <c r="T14" i="144"/>
  <c r="V252" i="29"/>
  <c r="V259" i="29" s="1"/>
  <c r="V260" i="29" s="1"/>
  <c r="V261" i="29" s="1"/>
  <c r="V283" i="29"/>
  <c r="W284" i="29" s="1"/>
  <c r="W285" i="29" s="1"/>
  <c r="W287" i="29" s="1"/>
  <c r="W289" i="29" s="1"/>
  <c r="W252" i="29"/>
  <c r="W259" i="29" s="1"/>
  <c r="W260" i="29" s="1"/>
  <c r="T266" i="29"/>
  <c r="T268" i="29" s="1"/>
  <c r="T21" i="29" s="1"/>
  <c r="T264" i="29"/>
  <c r="T294" i="29" s="1"/>
  <c r="T295" i="29" s="1"/>
  <c r="W247" i="29"/>
  <c r="W32" i="144"/>
  <c r="Z32" i="144" s="1"/>
  <c r="T33" i="144"/>
  <c r="W294" i="59"/>
  <c r="W295" i="59" s="1"/>
  <c r="W289" i="59"/>
  <c r="V284" i="59"/>
  <c r="V285" i="59" s="1"/>
  <c r="V287" i="59" s="1"/>
  <c r="S33" i="144"/>
  <c r="U294" i="59"/>
  <c r="U295" i="59" s="1"/>
  <c r="U289" i="59"/>
  <c r="U284" i="29"/>
  <c r="U285" i="29" s="1"/>
  <c r="U287" i="29" s="1"/>
  <c r="U261" i="29"/>
  <c r="T186" i="29"/>
  <c r="T202" i="29" s="1"/>
  <c r="T204" i="29" s="1"/>
  <c r="T206" i="29" s="1"/>
  <c r="Q209" i="29"/>
  <c r="Q210" i="29" s="1"/>
  <c r="L28" i="29"/>
  <c r="L19" i="144"/>
  <c r="V181" i="59"/>
  <c r="V11" i="59" s="1"/>
  <c r="O231" i="29"/>
  <c r="O306" i="29" s="1"/>
  <c r="O307" i="29" s="1"/>
  <c r="O309" i="29" s="1"/>
  <c r="O311" i="29" s="1"/>
  <c r="O23" i="29" s="1"/>
  <c r="O15" i="144" s="1"/>
  <c r="O16" i="144" s="1"/>
  <c r="O20" i="144" s="1"/>
  <c r="U194" i="59"/>
  <c r="Q219" i="29"/>
  <c r="Q225" i="29" s="1"/>
  <c r="Q218" i="29"/>
  <c r="Q222" i="29" s="1"/>
  <c r="Q223" i="29" s="1"/>
  <c r="M16" i="144"/>
  <c r="M20" i="144" s="1"/>
  <c r="Y20" i="144" s="1"/>
  <c r="Y15" i="144"/>
  <c r="Y16" i="144" s="1"/>
  <c r="N18" i="29"/>
  <c r="N9" i="144" s="1"/>
  <c r="M19" i="29"/>
  <c r="M9" i="144"/>
  <c r="Y9" i="144" s="1"/>
  <c r="U175" i="59"/>
  <c r="V174" i="59"/>
  <c r="N24" i="29"/>
  <c r="N15" i="144"/>
  <c r="N16" i="144" s="1"/>
  <c r="N20" i="144" s="1"/>
  <c r="U183" i="29"/>
  <c r="U194" i="29"/>
  <c r="R208" i="29"/>
  <c r="R207" i="29"/>
  <c r="R215" i="29" s="1"/>
  <c r="U11" i="29"/>
  <c r="V203" i="29"/>
  <c r="V181" i="29"/>
  <c r="V182" i="29"/>
  <c r="Z57" i="7"/>
  <c r="Z58" i="7"/>
  <c r="U175" i="29"/>
  <c r="V174" i="29"/>
  <c r="V175" i="29" s="1"/>
  <c r="U184" i="29"/>
  <c r="U185" i="29" s="1"/>
  <c r="R199" i="29"/>
  <c r="R197" i="29"/>
  <c r="V173" i="59"/>
  <c r="V10" i="59"/>
  <c r="O18" i="29"/>
  <c r="O232" i="29"/>
  <c r="W172" i="29"/>
  <c r="W169" i="29"/>
  <c r="W170" i="29"/>
  <c r="W178" i="29" s="1"/>
  <c r="V10" i="29"/>
  <c r="V173" i="29"/>
  <c r="V182" i="59"/>
  <c r="V183" i="59" s="1"/>
  <c r="W170" i="59"/>
  <c r="W178" i="59" s="1"/>
  <c r="W169" i="59"/>
  <c r="W172" i="59"/>
  <c r="Y29" i="144"/>
  <c r="Y30" i="144" s="1"/>
  <c r="Y37" i="144" s="1"/>
  <c r="M28" i="59"/>
  <c r="M38" i="144"/>
  <c r="N28" i="144"/>
  <c r="P231" i="29"/>
  <c r="P306" i="29" s="1"/>
  <c r="P307" i="29" s="1"/>
  <c r="P309" i="29" s="1"/>
  <c r="P311" i="29" s="1"/>
  <c r="P23" i="29" s="1"/>
  <c r="N24" i="59"/>
  <c r="N34" i="144"/>
  <c r="S7" i="144"/>
  <c r="Q8" i="144"/>
  <c r="P232" i="29"/>
  <c r="Q27" i="144"/>
  <c r="T191" i="29"/>
  <c r="T16" i="29" s="1"/>
  <c r="T193" i="29"/>
  <c r="P18" i="29"/>
  <c r="P19" i="29" s="1"/>
  <c r="O18" i="59"/>
  <c r="T191" i="59"/>
  <c r="T16" i="59" s="1"/>
  <c r="O231" i="59"/>
  <c r="O306" i="59" s="1"/>
  <c r="O307" i="59" s="1"/>
  <c r="O309" i="59" s="1"/>
  <c r="O311" i="59" s="1"/>
  <c r="O23" i="59" s="1"/>
  <c r="P8" i="144"/>
  <c r="O232" i="59"/>
  <c r="N26" i="59" l="1"/>
  <c r="N27" i="59" s="1"/>
  <c r="N29" i="144" s="1"/>
  <c r="N30" i="144" s="1"/>
  <c r="N37" i="144" s="1"/>
  <c r="R209" i="59"/>
  <c r="R210" i="59" s="1"/>
  <c r="R197" i="59"/>
  <c r="T193" i="59"/>
  <c r="S204" i="59"/>
  <c r="S206" i="59" s="1"/>
  <c r="T208" i="59" s="1"/>
  <c r="S193" i="59"/>
  <c r="Q219" i="59"/>
  <c r="Q225" i="59" s="1"/>
  <c r="Q226" i="59" s="1"/>
  <c r="Q229" i="59" s="1"/>
  <c r="R219" i="59"/>
  <c r="R225" i="59" s="1"/>
  <c r="R228" i="59" s="1"/>
  <c r="R218" i="59"/>
  <c r="R222" i="59" s="1"/>
  <c r="Q218" i="59"/>
  <c r="Q222" i="59" s="1"/>
  <c r="P232" i="59"/>
  <c r="P231" i="59"/>
  <c r="P306" i="59" s="1"/>
  <c r="P307" i="59" s="1"/>
  <c r="P309" i="59" s="1"/>
  <c r="P311" i="59" s="1"/>
  <c r="P23" i="59" s="1"/>
  <c r="P34" i="144" s="1"/>
  <c r="P35" i="144" s="1"/>
  <c r="V284" i="29"/>
  <c r="V285" i="29" s="1"/>
  <c r="V287" i="29" s="1"/>
  <c r="V289" i="29" s="1"/>
  <c r="V22" i="29" s="1"/>
  <c r="S208" i="29"/>
  <c r="S215" i="29"/>
  <c r="S219" i="29" s="1"/>
  <c r="S225" i="29" s="1"/>
  <c r="U266" i="29"/>
  <c r="U268" i="29" s="1"/>
  <c r="U21" i="29" s="1"/>
  <c r="U264" i="29"/>
  <c r="U294" i="29" s="1"/>
  <c r="U295" i="29" s="1"/>
  <c r="V264" i="29"/>
  <c r="V266" i="29"/>
  <c r="V268" i="29" s="1"/>
  <c r="V21" i="29" s="1"/>
  <c r="U289" i="29"/>
  <c r="V294" i="59"/>
  <c r="V295" i="59" s="1"/>
  <c r="V289" i="59"/>
  <c r="T300" i="29"/>
  <c r="T303" i="29"/>
  <c r="W22" i="59"/>
  <c r="W291" i="59"/>
  <c r="T13" i="144"/>
  <c r="W303" i="59"/>
  <c r="W300" i="59"/>
  <c r="U291" i="59"/>
  <c r="U22" i="59"/>
  <c r="W261" i="29"/>
  <c r="U303" i="59"/>
  <c r="U300" i="59"/>
  <c r="W22" i="29"/>
  <c r="W291" i="29"/>
  <c r="O24" i="29"/>
  <c r="N19" i="29"/>
  <c r="N26" i="29" s="1"/>
  <c r="V194" i="59"/>
  <c r="M26" i="29"/>
  <c r="Q226" i="29"/>
  <c r="Q228" i="29"/>
  <c r="W10" i="59"/>
  <c r="W173" i="59"/>
  <c r="U190" i="29"/>
  <c r="U186" i="29"/>
  <c r="U202" i="29" s="1"/>
  <c r="W203" i="59"/>
  <c r="W182" i="59"/>
  <c r="W181" i="59"/>
  <c r="W174" i="29"/>
  <c r="V184" i="29"/>
  <c r="R219" i="29"/>
  <c r="R225" i="29" s="1"/>
  <c r="R218" i="29"/>
  <c r="R222" i="29" s="1"/>
  <c r="R223" i="29" s="1"/>
  <c r="O19" i="29"/>
  <c r="O9" i="144"/>
  <c r="V183" i="29"/>
  <c r="V194" i="29"/>
  <c r="V175" i="59"/>
  <c r="W174" i="59"/>
  <c r="W203" i="29"/>
  <c r="W181" i="29"/>
  <c r="AA58" i="7"/>
  <c r="AA57" i="7"/>
  <c r="V11" i="29"/>
  <c r="W173" i="29"/>
  <c r="W10" i="29"/>
  <c r="W182" i="29"/>
  <c r="W194" i="29" s="1"/>
  <c r="V184" i="59"/>
  <c r="V185" i="59" s="1"/>
  <c r="V186" i="59" s="1"/>
  <c r="V202" i="59" s="1"/>
  <c r="R209" i="29"/>
  <c r="R210" i="29" s="1"/>
  <c r="R212" i="29"/>
  <c r="R213" i="29" s="1"/>
  <c r="R17" i="29" s="1"/>
  <c r="Y38" i="144"/>
  <c r="O28" i="144"/>
  <c r="O19" i="59"/>
  <c r="T208" i="29"/>
  <c r="T207" i="29"/>
  <c r="T215" i="29" s="1"/>
  <c r="P28" i="144"/>
  <c r="P19" i="59"/>
  <c r="T196" i="29"/>
  <c r="S197" i="29"/>
  <c r="S199" i="29"/>
  <c r="O34" i="144"/>
  <c r="O35" i="144" s="1"/>
  <c r="O24" i="59"/>
  <c r="S26" i="144"/>
  <c r="R27" i="144"/>
  <c r="P24" i="29"/>
  <c r="P26" i="29" s="1"/>
  <c r="P15" i="144"/>
  <c r="P16" i="144" s="1"/>
  <c r="P20" i="144" s="1"/>
  <c r="N35" i="144"/>
  <c r="T7" i="144"/>
  <c r="T26" i="144"/>
  <c r="P9" i="144"/>
  <c r="U190" i="59"/>
  <c r="U186" i="59"/>
  <c r="U202" i="59" s="1"/>
  <c r="T196" i="59" l="1"/>
  <c r="T197" i="59" s="1"/>
  <c r="S196" i="59"/>
  <c r="S197" i="59" s="1"/>
  <c r="R226" i="59"/>
  <c r="R229" i="59" s="1"/>
  <c r="S207" i="59"/>
  <c r="S215" i="59" s="1"/>
  <c r="S219" i="59" s="1"/>
  <c r="S225" i="59" s="1"/>
  <c r="T207" i="59"/>
  <c r="T215" i="59" s="1"/>
  <c r="S208" i="59"/>
  <c r="R223" i="59"/>
  <c r="Q223" i="59"/>
  <c r="Q231" i="59" s="1"/>
  <c r="Q306" i="59" s="1"/>
  <c r="Q307" i="59" s="1"/>
  <c r="Q309" i="59" s="1"/>
  <c r="Q311" i="59" s="1"/>
  <c r="Q23" i="59" s="1"/>
  <c r="Q34" i="144" s="1"/>
  <c r="Q35" i="144" s="1"/>
  <c r="Q228" i="59"/>
  <c r="P24" i="59"/>
  <c r="P26" i="59" s="1"/>
  <c r="P27" i="59" s="1"/>
  <c r="P29" i="144" s="1"/>
  <c r="P30" i="144" s="1"/>
  <c r="P37" i="144" s="1"/>
  <c r="V291" i="29"/>
  <c r="V294" i="29"/>
  <c r="V295" i="29" s="1"/>
  <c r="V300" i="29" s="1"/>
  <c r="S218" i="29"/>
  <c r="S222" i="29" s="1"/>
  <c r="S223" i="29" s="1"/>
  <c r="U300" i="29"/>
  <c r="U303" i="29"/>
  <c r="U33" i="144"/>
  <c r="V14" i="144"/>
  <c r="V13" i="144"/>
  <c r="W264" i="29"/>
  <c r="W294" i="29" s="1"/>
  <c r="W295" i="29" s="1"/>
  <c r="W266" i="29"/>
  <c r="W268" i="29" s="1"/>
  <c r="W21" i="29" s="1"/>
  <c r="W14" i="144"/>
  <c r="V291" i="59"/>
  <c r="V22" i="59"/>
  <c r="V303" i="59"/>
  <c r="V300" i="59"/>
  <c r="U13" i="144"/>
  <c r="W33" i="144"/>
  <c r="U22" i="29"/>
  <c r="U291" i="29"/>
  <c r="V190" i="59"/>
  <c r="V191" i="59" s="1"/>
  <c r="V16" i="59" s="1"/>
  <c r="W184" i="29"/>
  <c r="W185" i="29" s="1"/>
  <c r="Q229" i="29"/>
  <c r="Q18" i="29" s="1"/>
  <c r="Q232" i="29"/>
  <c r="M27" i="29"/>
  <c r="M10" i="144" s="1"/>
  <c r="W183" i="29"/>
  <c r="W175" i="29"/>
  <c r="W11" i="59"/>
  <c r="W175" i="59"/>
  <c r="W184" i="59"/>
  <c r="W185" i="59" s="1"/>
  <c r="W186" i="59" s="1"/>
  <c r="W202" i="59" s="1"/>
  <c r="R226" i="29"/>
  <c r="R228" i="29"/>
  <c r="N27" i="29"/>
  <c r="N10" i="144" s="1"/>
  <c r="N11" i="144" s="1"/>
  <c r="N18" i="144" s="1"/>
  <c r="W194" i="59"/>
  <c r="W183" i="59"/>
  <c r="V185" i="29"/>
  <c r="U204" i="29"/>
  <c r="U206" i="29" s="1"/>
  <c r="AB58" i="7"/>
  <c r="AB57" i="7"/>
  <c r="U191" i="29"/>
  <c r="U16" i="29" s="1"/>
  <c r="U193" i="29"/>
  <c r="U196" i="29" s="1"/>
  <c r="U197" i="29" s="1"/>
  <c r="R8" i="144"/>
  <c r="W11" i="29"/>
  <c r="O26" i="29"/>
  <c r="N28" i="59"/>
  <c r="S212" i="29"/>
  <c r="S213" i="29" s="1"/>
  <c r="S17" i="29" s="1"/>
  <c r="S209" i="29"/>
  <c r="S210" i="29" s="1"/>
  <c r="S228" i="29"/>
  <c r="S226" i="29"/>
  <c r="S229" i="29" s="1"/>
  <c r="P27" i="29"/>
  <c r="P10" i="144" s="1"/>
  <c r="P11" i="144" s="1"/>
  <c r="P18" i="144" s="1"/>
  <c r="N38" i="144"/>
  <c r="T197" i="29"/>
  <c r="T199" i="29"/>
  <c r="T218" i="29"/>
  <c r="T222" i="29" s="1"/>
  <c r="T219" i="29"/>
  <c r="T225" i="29" s="1"/>
  <c r="U204" i="59"/>
  <c r="U206" i="59" s="1"/>
  <c r="U191" i="59"/>
  <c r="U16" i="59" s="1"/>
  <c r="U193" i="59"/>
  <c r="O26" i="59"/>
  <c r="S199" i="59" l="1"/>
  <c r="S209" i="59" s="1"/>
  <c r="S210" i="59" s="1"/>
  <c r="T199" i="59"/>
  <c r="T212" i="59" s="1"/>
  <c r="T213" i="59" s="1"/>
  <c r="T17" i="59" s="1"/>
  <c r="R232" i="59"/>
  <c r="R18" i="59"/>
  <c r="Q232" i="59"/>
  <c r="R231" i="59"/>
  <c r="R306" i="59" s="1"/>
  <c r="R307" i="59" s="1"/>
  <c r="R309" i="59" s="1"/>
  <c r="R311" i="59" s="1"/>
  <c r="R23" i="59" s="1"/>
  <c r="R24" i="59" s="1"/>
  <c r="Q24" i="59"/>
  <c r="T219" i="59"/>
  <c r="T225" i="59" s="1"/>
  <c r="T228" i="59" s="1"/>
  <c r="S218" i="59"/>
  <c r="S222" i="59" s="1"/>
  <c r="S223" i="59" s="1"/>
  <c r="T218" i="59"/>
  <c r="T222" i="59" s="1"/>
  <c r="Q18" i="59"/>
  <c r="V303" i="29"/>
  <c r="T223" i="29"/>
  <c r="V193" i="59"/>
  <c r="V196" i="59" s="1"/>
  <c r="V204" i="59"/>
  <c r="V206" i="59" s="1"/>
  <c r="V207" i="59" s="1"/>
  <c r="W190" i="59"/>
  <c r="W191" i="59" s="1"/>
  <c r="W16" i="59" s="1"/>
  <c r="Q231" i="29"/>
  <c r="Q306" i="29" s="1"/>
  <c r="Q307" i="29" s="1"/>
  <c r="Q309" i="29" s="1"/>
  <c r="Q311" i="29" s="1"/>
  <c r="Q23" i="29" s="1"/>
  <c r="Q15" i="144" s="1"/>
  <c r="Q16" i="144" s="1"/>
  <c r="Q20" i="144" s="1"/>
  <c r="W13" i="144"/>
  <c r="Z13" i="144" s="1"/>
  <c r="W300" i="29"/>
  <c r="W303" i="29"/>
  <c r="U14" i="144"/>
  <c r="Z14" i="144" s="1"/>
  <c r="V33" i="144"/>
  <c r="Z33" i="144" s="1"/>
  <c r="S18" i="29"/>
  <c r="S19" i="29" s="1"/>
  <c r="M28" i="29"/>
  <c r="M11" i="144"/>
  <c r="M18" i="144" s="1"/>
  <c r="Y10" i="144"/>
  <c r="Y11" i="144" s="1"/>
  <c r="Y18" i="144" s="1"/>
  <c r="Q19" i="29"/>
  <c r="Q9" i="144"/>
  <c r="O27" i="29"/>
  <c r="O10" i="144" s="1"/>
  <c r="O11" i="144" s="1"/>
  <c r="O18" i="144" s="1"/>
  <c r="AC57" i="7"/>
  <c r="AC58" i="7"/>
  <c r="N28" i="29"/>
  <c r="U7" i="144"/>
  <c r="N19" i="144"/>
  <c r="W190" i="29"/>
  <c r="W191" i="29" s="1"/>
  <c r="W16" i="29" s="1"/>
  <c r="W186" i="29"/>
  <c r="W202" i="29" s="1"/>
  <c r="V186" i="29"/>
  <c r="V202" i="29" s="1"/>
  <c r="V190" i="29"/>
  <c r="U199" i="29"/>
  <c r="U212" i="29" s="1"/>
  <c r="U213" i="29" s="1"/>
  <c r="U17" i="29" s="1"/>
  <c r="U208" i="29"/>
  <c r="U207" i="29"/>
  <c r="U215" i="29" s="1"/>
  <c r="R229" i="29"/>
  <c r="R231" i="29" s="1"/>
  <c r="R306" i="29" s="1"/>
  <c r="R307" i="29" s="1"/>
  <c r="R309" i="29" s="1"/>
  <c r="R311" i="29" s="1"/>
  <c r="R23" i="29" s="1"/>
  <c r="R232" i="29"/>
  <c r="U208" i="59"/>
  <c r="U207" i="59"/>
  <c r="U215" i="59" s="1"/>
  <c r="S231" i="29"/>
  <c r="S306" i="29" s="1"/>
  <c r="S307" i="29" s="1"/>
  <c r="S309" i="29" s="1"/>
  <c r="S311" i="29" s="1"/>
  <c r="S23" i="29" s="1"/>
  <c r="V26" i="144"/>
  <c r="S232" i="29"/>
  <c r="S228" i="59"/>
  <c r="S226" i="59"/>
  <c r="S229" i="59" s="1"/>
  <c r="P38" i="144"/>
  <c r="T228" i="29"/>
  <c r="T226" i="29"/>
  <c r="T229" i="29" s="1"/>
  <c r="P28" i="59"/>
  <c r="S8" i="144"/>
  <c r="U196" i="59"/>
  <c r="T212" i="29"/>
  <c r="T213" i="29" s="1"/>
  <c r="T17" i="29" s="1"/>
  <c r="T209" i="29"/>
  <c r="T210" i="29" s="1"/>
  <c r="O27" i="59"/>
  <c r="O29" i="144" s="1"/>
  <c r="O30" i="144" s="1"/>
  <c r="O37" i="144" s="1"/>
  <c r="P19" i="144"/>
  <c r="U26" i="144"/>
  <c r="P28" i="29"/>
  <c r="T209" i="59" l="1"/>
  <c r="T210" i="59" s="1"/>
  <c r="R19" i="59"/>
  <c r="R26" i="59" s="1"/>
  <c r="R28" i="144"/>
  <c r="S212" i="59"/>
  <c r="S213" i="59" s="1"/>
  <c r="S17" i="59" s="1"/>
  <c r="R34" i="144"/>
  <c r="R35" i="144" s="1"/>
  <c r="T226" i="59"/>
  <c r="T229" i="59" s="1"/>
  <c r="Q28" i="144"/>
  <c r="T223" i="59"/>
  <c r="Q19" i="59"/>
  <c r="Q26" i="59" s="1"/>
  <c r="Q27" i="59" s="1"/>
  <c r="Q29" i="144" s="1"/>
  <c r="V208" i="59"/>
  <c r="V215" i="59"/>
  <c r="V219" i="59" s="1"/>
  <c r="V225" i="59" s="1"/>
  <c r="W193" i="59"/>
  <c r="W196" i="59" s="1"/>
  <c r="W197" i="59" s="1"/>
  <c r="W204" i="59"/>
  <c r="W206" i="59" s="1"/>
  <c r="W207" i="59" s="1"/>
  <c r="Q24" i="29"/>
  <c r="Q26" i="29" s="1"/>
  <c r="U8" i="144"/>
  <c r="S9" i="144"/>
  <c r="W7" i="144"/>
  <c r="R18" i="29"/>
  <c r="R9" i="144" s="1"/>
  <c r="V204" i="29"/>
  <c r="V206" i="29" s="1"/>
  <c r="V208" i="29" s="1"/>
  <c r="O28" i="29"/>
  <c r="M19" i="144"/>
  <c r="AD58" i="7"/>
  <c r="AD57" i="7"/>
  <c r="U209" i="29"/>
  <c r="U210" i="29" s="1"/>
  <c r="V193" i="29"/>
  <c r="V196" i="29" s="1"/>
  <c r="V191" i="29"/>
  <c r="V16" i="29" s="1"/>
  <c r="W193" i="29"/>
  <c r="U219" i="29"/>
  <c r="U225" i="29" s="1"/>
  <c r="U218" i="29"/>
  <c r="U222" i="29" s="1"/>
  <c r="U223" i="29" s="1"/>
  <c r="R24" i="29"/>
  <c r="R15" i="144"/>
  <c r="R16" i="144" s="1"/>
  <c r="R20" i="144" s="1"/>
  <c r="W204" i="29"/>
  <c r="W206" i="29" s="1"/>
  <c r="O19" i="144"/>
  <c r="S232" i="59"/>
  <c r="T232" i="29"/>
  <c r="S231" i="59"/>
  <c r="S306" i="59" s="1"/>
  <c r="S307" i="59" s="1"/>
  <c r="S309" i="59" s="1"/>
  <c r="S311" i="59" s="1"/>
  <c r="S23" i="59" s="1"/>
  <c r="S34" i="144" s="1"/>
  <c r="S35" i="144" s="1"/>
  <c r="T18" i="29"/>
  <c r="S18" i="59"/>
  <c r="T231" i="29"/>
  <c r="T306" i="29" s="1"/>
  <c r="T307" i="29" s="1"/>
  <c r="T309" i="29" s="1"/>
  <c r="T311" i="29" s="1"/>
  <c r="T23" i="29" s="1"/>
  <c r="T15" i="144" s="1"/>
  <c r="T16" i="144" s="1"/>
  <c r="T20" i="144" s="1"/>
  <c r="T8" i="144"/>
  <c r="V197" i="59"/>
  <c r="V199" i="59"/>
  <c r="W26" i="144"/>
  <c r="O38" i="144"/>
  <c r="U219" i="59"/>
  <c r="U225" i="59" s="1"/>
  <c r="U218" i="59"/>
  <c r="U222" i="59" s="1"/>
  <c r="U223" i="59" s="1"/>
  <c r="O28" i="59"/>
  <c r="T27" i="144"/>
  <c r="S15" i="144"/>
  <c r="S16" i="144" s="1"/>
  <c r="S20" i="144" s="1"/>
  <c r="S24" i="29"/>
  <c r="S26" i="29" s="1"/>
  <c r="U197" i="59"/>
  <c r="U199" i="59"/>
  <c r="S27" i="144" l="1"/>
  <c r="T18" i="59"/>
  <c r="T232" i="59"/>
  <c r="Q30" i="144"/>
  <c r="Q37" i="144" s="1"/>
  <c r="Q38" i="144" s="1"/>
  <c r="T231" i="59"/>
  <c r="T306" i="59" s="1"/>
  <c r="T307" i="59" s="1"/>
  <c r="T309" i="59" s="1"/>
  <c r="T311" i="59" s="1"/>
  <c r="T23" i="59" s="1"/>
  <c r="T24" i="59" s="1"/>
  <c r="W208" i="59"/>
  <c r="V218" i="59"/>
  <c r="V222" i="59" s="1"/>
  <c r="V223" i="59" s="1"/>
  <c r="W199" i="59"/>
  <c r="W215" i="59"/>
  <c r="W219" i="59" s="1"/>
  <c r="W225" i="59" s="1"/>
  <c r="Q27" i="29"/>
  <c r="Q10" i="144" s="1"/>
  <c r="Q11" i="144" s="1"/>
  <c r="Q18" i="144" s="1"/>
  <c r="Q19" i="144" s="1"/>
  <c r="V207" i="29"/>
  <c r="V215" i="29" s="1"/>
  <c r="R19" i="29"/>
  <c r="R26" i="29" s="1"/>
  <c r="Y19" i="144"/>
  <c r="W196" i="29"/>
  <c r="V7" i="144"/>
  <c r="Z7" i="144" s="1"/>
  <c r="AE57" i="7"/>
  <c r="AE58" i="7"/>
  <c r="V197" i="29"/>
  <c r="V199" i="29"/>
  <c r="W207" i="29"/>
  <c r="W215" i="29" s="1"/>
  <c r="W208" i="29"/>
  <c r="U228" i="29"/>
  <c r="U226" i="29"/>
  <c r="T19" i="29"/>
  <c r="S24" i="59"/>
  <c r="T24" i="29"/>
  <c r="T9" i="144"/>
  <c r="S28" i="144"/>
  <c r="S19" i="59"/>
  <c r="Q28" i="59"/>
  <c r="S27" i="29"/>
  <c r="S10" i="144" s="1"/>
  <c r="S11" i="144" s="1"/>
  <c r="S18" i="144" s="1"/>
  <c r="V226" i="59"/>
  <c r="V229" i="59" s="1"/>
  <c r="V228" i="59"/>
  <c r="U212" i="59"/>
  <c r="U213" i="59" s="1"/>
  <c r="U17" i="59" s="1"/>
  <c r="U209" i="59"/>
  <c r="U210" i="59" s="1"/>
  <c r="R27" i="59"/>
  <c r="R29" i="144" s="1"/>
  <c r="R30" i="144" s="1"/>
  <c r="R37" i="144" s="1"/>
  <c r="Z26" i="144"/>
  <c r="U228" i="59"/>
  <c r="U226" i="59"/>
  <c r="U229" i="59" s="1"/>
  <c r="V209" i="59"/>
  <c r="V210" i="59" s="1"/>
  <c r="V212" i="59"/>
  <c r="V213" i="59" s="1"/>
  <c r="V17" i="59" s="1"/>
  <c r="T19" i="59" l="1"/>
  <c r="T26" i="59" s="1"/>
  <c r="T27" i="59" s="1"/>
  <c r="T29" i="144" s="1"/>
  <c r="T28" i="144"/>
  <c r="T34" i="144"/>
  <c r="T35" i="144" s="1"/>
  <c r="W209" i="59"/>
  <c r="W210" i="59" s="1"/>
  <c r="W212" i="59"/>
  <c r="W213" i="59" s="1"/>
  <c r="W17" i="59" s="1"/>
  <c r="W218" i="59"/>
  <c r="W222" i="59" s="1"/>
  <c r="W223" i="59" s="1"/>
  <c r="Q28" i="29"/>
  <c r="U229" i="29"/>
  <c r="U231" i="29" s="1"/>
  <c r="U306" i="29" s="1"/>
  <c r="U307" i="29" s="1"/>
  <c r="U309" i="29" s="1"/>
  <c r="U311" i="29" s="1"/>
  <c r="U23" i="29" s="1"/>
  <c r="U232" i="29"/>
  <c r="AF57" i="7"/>
  <c r="AF58" i="7"/>
  <c r="R27" i="29"/>
  <c r="R10" i="144" s="1"/>
  <c r="R11" i="144" s="1"/>
  <c r="R18" i="144" s="1"/>
  <c r="V219" i="29"/>
  <c r="V225" i="29" s="1"/>
  <c r="V218" i="29"/>
  <c r="V222" i="29" s="1"/>
  <c r="V223" i="29" s="1"/>
  <c r="W218" i="29"/>
  <c r="W222" i="29" s="1"/>
  <c r="W219" i="29"/>
  <c r="W225" i="29" s="1"/>
  <c r="W228" i="29" s="1"/>
  <c r="W199" i="29"/>
  <c r="W197" i="29"/>
  <c r="V209" i="29"/>
  <c r="V210" i="29" s="1"/>
  <c r="V212" i="29"/>
  <c r="V213" i="29" s="1"/>
  <c r="V17" i="29" s="1"/>
  <c r="T26" i="29"/>
  <c r="T27" i="29" s="1"/>
  <c r="T10" i="144" s="1"/>
  <c r="T11" i="144" s="1"/>
  <c r="T18" i="144" s="1"/>
  <c r="S26" i="59"/>
  <c r="S27" i="59" s="1"/>
  <c r="S29" i="144" s="1"/>
  <c r="S30" i="144" s="1"/>
  <c r="S37" i="144" s="1"/>
  <c r="U18" i="59"/>
  <c r="R28" i="59"/>
  <c r="U232" i="59"/>
  <c r="U231" i="59"/>
  <c r="U306" i="59" s="1"/>
  <c r="U307" i="59" s="1"/>
  <c r="U309" i="59" s="1"/>
  <c r="U311" i="59" s="1"/>
  <c r="U23" i="59" s="1"/>
  <c r="U34" i="144" s="1"/>
  <c r="U35" i="144" s="1"/>
  <c r="S28" i="29"/>
  <c r="R38" i="144"/>
  <c r="V232" i="59"/>
  <c r="V18" i="59"/>
  <c r="V27" i="144"/>
  <c r="V231" i="59"/>
  <c r="V306" i="59" s="1"/>
  <c r="V307" i="59" s="1"/>
  <c r="V309" i="59" s="1"/>
  <c r="V311" i="59" s="1"/>
  <c r="V23" i="59" s="1"/>
  <c r="U27" i="144"/>
  <c r="S19" i="144"/>
  <c r="W228" i="59"/>
  <c r="W226" i="59"/>
  <c r="W229" i="59" s="1"/>
  <c r="U19" i="59" l="1"/>
  <c r="V19" i="59"/>
  <c r="T30" i="144"/>
  <c r="T37" i="144" s="1"/>
  <c r="T38" i="144" s="1"/>
  <c r="W27" i="144"/>
  <c r="Z27" i="144" s="1"/>
  <c r="U18" i="29"/>
  <c r="U9" i="144" s="1"/>
  <c r="R28" i="29"/>
  <c r="U24" i="29"/>
  <c r="U15" i="144"/>
  <c r="U16" i="144" s="1"/>
  <c r="U20" i="144" s="1"/>
  <c r="V8" i="144"/>
  <c r="W209" i="29"/>
  <c r="W210" i="29" s="1"/>
  <c r="W212" i="29"/>
  <c r="W213" i="29" s="1"/>
  <c r="W17" i="29" s="1"/>
  <c r="V226" i="29"/>
  <c r="V229" i="29" s="1"/>
  <c r="V228" i="29"/>
  <c r="W226" i="29"/>
  <c r="W229" i="29" s="1"/>
  <c r="AG58" i="7"/>
  <c r="AG57" i="7"/>
  <c r="R19" i="144"/>
  <c r="W223" i="29"/>
  <c r="S28" i="59"/>
  <c r="S38" i="144"/>
  <c r="U24" i="59"/>
  <c r="U28" i="144"/>
  <c r="T28" i="59"/>
  <c r="W231" i="59"/>
  <c r="W306" i="59" s="1"/>
  <c r="W307" i="59" s="1"/>
  <c r="W309" i="59" s="1"/>
  <c r="W311" i="59" s="1"/>
  <c r="W23" i="59" s="1"/>
  <c r="W24" i="59" s="1"/>
  <c r="T28" i="29"/>
  <c r="W232" i="59"/>
  <c r="W18" i="59"/>
  <c r="T19" i="144"/>
  <c r="V24" i="59"/>
  <c r="V34" i="144"/>
  <c r="V35" i="144" s="1"/>
  <c r="V28" i="144"/>
  <c r="U26" i="59" l="1"/>
  <c r="U27" i="59" s="1"/>
  <c r="U29" i="144" s="1"/>
  <c r="U30" i="144" s="1"/>
  <c r="U37" i="144" s="1"/>
  <c r="V26" i="59"/>
  <c r="V27" i="59" s="1"/>
  <c r="V29" i="144" s="1"/>
  <c r="V30" i="144" s="1"/>
  <c r="V37" i="144" s="1"/>
  <c r="W19" i="59"/>
  <c r="W26" i="59" s="1"/>
  <c r="W27" i="59" s="1"/>
  <c r="W29" i="144" s="1"/>
  <c r="U19" i="29"/>
  <c r="V231" i="29"/>
  <c r="V306" i="29" s="1"/>
  <c r="V307" i="29" s="1"/>
  <c r="V309" i="29" s="1"/>
  <c r="V311" i="29" s="1"/>
  <c r="V23" i="29" s="1"/>
  <c r="V24" i="29" s="1"/>
  <c r="V232" i="29"/>
  <c r="V18" i="29"/>
  <c r="V19" i="29" s="1"/>
  <c r="W232" i="29"/>
  <c r="W231" i="29"/>
  <c r="W306" i="29" s="1"/>
  <c r="W307" i="29" s="1"/>
  <c r="W309" i="29" s="1"/>
  <c r="W311" i="29" s="1"/>
  <c r="W23" i="29" s="1"/>
  <c r="W18" i="29"/>
  <c r="W8" i="144"/>
  <c r="Z8" i="144" s="1"/>
  <c r="AH57" i="7"/>
  <c r="AH58" i="7"/>
  <c r="W34" i="144"/>
  <c r="W35" i="144" s="1"/>
  <c r="W28" i="144"/>
  <c r="Z28" i="144" s="1"/>
  <c r="V15" i="144" l="1"/>
  <c r="V16" i="144" s="1"/>
  <c r="V20" i="144" s="1"/>
  <c r="U26" i="29"/>
  <c r="U27" i="29" s="1"/>
  <c r="U10" i="144" s="1"/>
  <c r="U11" i="144" s="1"/>
  <c r="U18" i="144" s="1"/>
  <c r="V26" i="29"/>
  <c r="V27" i="29" s="1"/>
  <c r="V10" i="144" s="1"/>
  <c r="V9" i="144"/>
  <c r="AI58" i="7"/>
  <c r="AI57" i="7"/>
  <c r="W24" i="29"/>
  <c r="W15" i="144"/>
  <c r="W9" i="144"/>
  <c r="W19" i="29"/>
  <c r="Z34" i="144"/>
  <c r="Z35" i="144" s="1"/>
  <c r="Z29" i="144"/>
  <c r="Z30" i="144" s="1"/>
  <c r="U28" i="59"/>
  <c r="W30" i="144"/>
  <c r="W37" i="144" s="1"/>
  <c r="U38" i="144"/>
  <c r="W28" i="59"/>
  <c r="V38" i="144"/>
  <c r="V28" i="59"/>
  <c r="Z9" i="144" l="1"/>
  <c r="V11" i="144"/>
  <c r="V18" i="144" s="1"/>
  <c r="V19" i="144" s="1"/>
  <c r="V28" i="29"/>
  <c r="U28" i="29"/>
  <c r="U19" i="144"/>
  <c r="W16" i="144"/>
  <c r="W20" i="144" s="1"/>
  <c r="Z20" i="144" s="1"/>
  <c r="Z15" i="144"/>
  <c r="Z16" i="144" s="1"/>
  <c r="W26" i="29"/>
  <c r="AJ58" i="7"/>
  <c r="AJ57" i="7"/>
  <c r="Z37" i="144"/>
  <c r="W38" i="144"/>
  <c r="W27" i="29" l="1"/>
  <c r="W10" i="144" s="1"/>
  <c r="Z38" i="144"/>
  <c r="W28" i="29" l="1"/>
  <c r="Z10" i="144"/>
  <c r="Z11" i="144" s="1"/>
  <c r="Z18" i="144" s="1"/>
  <c r="W11" i="144"/>
  <c r="W18" i="144" s="1"/>
  <c r="W19" i="144" l="1"/>
  <c r="Z19" i="144" l="1"/>
  <c r="Z41" i="144" l="1"/>
  <c r="D7" i="128" l="1"/>
  <c r="E7" i="128"/>
  <c r="F7" i="128"/>
  <c r="G7" i="128"/>
  <c r="H7" i="128"/>
  <c r="I7" i="128"/>
  <c r="J7" i="128"/>
  <c r="K7" i="128"/>
  <c r="L7" i="128"/>
  <c r="M7" i="128"/>
  <c r="N7" i="128"/>
  <c r="O7" i="128"/>
  <c r="P7" i="128"/>
  <c r="Q7" i="128"/>
  <c r="R7" i="128"/>
  <c r="S7" i="128"/>
  <c r="T7" i="128"/>
  <c r="U7" i="128"/>
  <c r="V7" i="128"/>
  <c r="W7" i="128"/>
  <c r="D14" i="128"/>
  <c r="E14" i="128"/>
  <c r="F14" i="128"/>
  <c r="G14" i="128"/>
  <c r="H14" i="128"/>
  <c r="I14" i="128"/>
  <c r="J14" i="128"/>
  <c r="K14" i="128"/>
  <c r="L14" i="128"/>
  <c r="M14" i="128"/>
  <c r="N14" i="128"/>
  <c r="O14" i="128"/>
  <c r="P14" i="128"/>
  <c r="Q14" i="128"/>
  <c r="R14" i="128"/>
  <c r="S14" i="128"/>
  <c r="T14" i="128"/>
  <c r="U14" i="128"/>
  <c r="V14" i="128"/>
  <c r="W14" i="128"/>
  <c r="D27" i="128"/>
  <c r="D32" i="128" s="1"/>
  <c r="E27" i="128"/>
  <c r="F27" i="128"/>
  <c r="G27" i="128"/>
  <c r="H27" i="128"/>
  <c r="I27" i="128"/>
  <c r="J27" i="128"/>
  <c r="K27" i="128"/>
  <c r="L27" i="128"/>
  <c r="M27" i="128"/>
  <c r="N27" i="128"/>
  <c r="O27" i="128"/>
  <c r="P27" i="128"/>
  <c r="Q27" i="128"/>
  <c r="R27" i="128"/>
  <c r="S27" i="128"/>
  <c r="T27" i="128"/>
  <c r="U27" i="128"/>
  <c r="V27" i="128"/>
  <c r="W27" i="128"/>
  <c r="H32" i="128"/>
  <c r="I32" i="128"/>
  <c r="J32" i="128"/>
  <c r="K32" i="128"/>
  <c r="P32" i="128"/>
  <c r="Q32" i="128"/>
  <c r="R32" i="128"/>
  <c r="S32" i="128"/>
  <c r="D7" i="138"/>
  <c r="E7" i="138"/>
  <c r="F7" i="138"/>
  <c r="G7" i="138"/>
  <c r="H7" i="138"/>
  <c r="I7" i="138"/>
  <c r="J7" i="138"/>
  <c r="K7" i="138"/>
  <c r="L7" i="138"/>
  <c r="M7" i="138"/>
  <c r="N7" i="138"/>
  <c r="O7" i="138"/>
  <c r="P7" i="138"/>
  <c r="Q7" i="138"/>
  <c r="R7" i="138"/>
  <c r="S7" i="138"/>
  <c r="T7" i="138"/>
  <c r="U7" i="138"/>
  <c r="V7" i="138"/>
  <c r="W7" i="138"/>
  <c r="D13" i="138"/>
  <c r="E13" i="138"/>
  <c r="F13" i="138"/>
  <c r="G13" i="138"/>
  <c r="H13" i="138"/>
  <c r="I13" i="138"/>
  <c r="J13" i="138"/>
  <c r="K13" i="138"/>
  <c r="L13" i="138"/>
  <c r="M13" i="138"/>
  <c r="N13" i="138"/>
  <c r="O13" i="138"/>
  <c r="P13" i="138"/>
  <c r="Q13" i="138"/>
  <c r="R13" i="138"/>
  <c r="S13" i="138"/>
  <c r="T13" i="138"/>
  <c r="U13" i="138"/>
  <c r="V13" i="138"/>
  <c r="W13" i="138"/>
  <c r="D9" i="146"/>
  <c r="D27" i="146" s="1"/>
  <c r="E9" i="146"/>
  <c r="E27" i="146" s="1"/>
  <c r="F9" i="146"/>
  <c r="F27" i="146" s="1"/>
  <c r="G9" i="146"/>
  <c r="G27" i="146" s="1"/>
  <c r="H9" i="146"/>
  <c r="H27" i="146" s="1"/>
  <c r="I9" i="146"/>
  <c r="I27" i="146" s="1"/>
  <c r="J9" i="146"/>
  <c r="J27" i="146" s="1"/>
  <c r="K9" i="146"/>
  <c r="K27" i="146" s="1"/>
  <c r="L9" i="146"/>
  <c r="L27" i="146" s="1"/>
  <c r="M9" i="146"/>
  <c r="M27" i="146" s="1"/>
  <c r="N9" i="146"/>
  <c r="N27" i="146" s="1"/>
  <c r="O9" i="146"/>
  <c r="O27" i="146" s="1"/>
  <c r="P9" i="146"/>
  <c r="P27" i="146" s="1"/>
  <c r="Q9" i="146"/>
  <c r="Q27" i="146" s="1"/>
  <c r="R9" i="146"/>
  <c r="R27" i="146" s="1"/>
  <c r="S9" i="146"/>
  <c r="S27" i="146" s="1"/>
  <c r="T9" i="146"/>
  <c r="T27" i="146" s="1"/>
  <c r="U9" i="146"/>
  <c r="U27" i="146" s="1"/>
  <c r="V9" i="146"/>
  <c r="V27" i="146" s="1"/>
  <c r="W9" i="146"/>
  <c r="W27" i="146" s="1"/>
  <c r="X9" i="146"/>
  <c r="X27" i="146" s="1"/>
  <c r="D10" i="146"/>
  <c r="D28" i="146" s="1"/>
  <c r="E10" i="146"/>
  <c r="E28" i="146" s="1"/>
  <c r="F10" i="146"/>
  <c r="F28" i="146" s="1"/>
  <c r="G10" i="146"/>
  <c r="G28" i="146" s="1"/>
  <c r="H10" i="146"/>
  <c r="H28" i="146" s="1"/>
  <c r="I10" i="146"/>
  <c r="I28" i="146" s="1"/>
  <c r="J10" i="146"/>
  <c r="J28" i="146" s="1"/>
  <c r="K10" i="146"/>
  <c r="K28" i="146" s="1"/>
  <c r="L10" i="146"/>
  <c r="L28" i="146" s="1"/>
  <c r="M10" i="146"/>
  <c r="M28" i="146" s="1"/>
  <c r="N10" i="146"/>
  <c r="N28" i="146" s="1"/>
  <c r="O10" i="146"/>
  <c r="O28" i="146" s="1"/>
  <c r="P10" i="146"/>
  <c r="P28" i="146" s="1"/>
  <c r="Q10" i="146"/>
  <c r="Q28" i="146" s="1"/>
  <c r="R10" i="146"/>
  <c r="R28" i="146" s="1"/>
  <c r="S10" i="146"/>
  <c r="S28" i="146" s="1"/>
  <c r="T10" i="146"/>
  <c r="T28" i="146" s="1"/>
  <c r="U10" i="146"/>
  <c r="U28" i="146" s="1"/>
  <c r="V10" i="146"/>
  <c r="V28" i="146" s="1"/>
  <c r="W10" i="146"/>
  <c r="W28" i="146" s="1"/>
  <c r="X10" i="146"/>
  <c r="X28" i="146" s="1"/>
  <c r="D18" i="146"/>
  <c r="D35" i="146" s="1"/>
  <c r="E18" i="146"/>
  <c r="E35" i="146" s="1"/>
  <c r="F18" i="146"/>
  <c r="F35" i="146" s="1"/>
  <c r="G18" i="146"/>
  <c r="G35" i="146" s="1"/>
  <c r="H18" i="146"/>
  <c r="H35" i="146" s="1"/>
  <c r="I18" i="146"/>
  <c r="I35" i="146" s="1"/>
  <c r="J18" i="146"/>
  <c r="J35" i="146" s="1"/>
  <c r="K18" i="146"/>
  <c r="K35" i="146" s="1"/>
  <c r="L18" i="146"/>
  <c r="L35" i="146" s="1"/>
  <c r="M18" i="146"/>
  <c r="M35" i="146" s="1"/>
  <c r="N18" i="146"/>
  <c r="N35" i="146" s="1"/>
  <c r="O18" i="146"/>
  <c r="O35" i="146" s="1"/>
  <c r="P18" i="146"/>
  <c r="P35" i="146" s="1"/>
  <c r="Q18" i="146"/>
  <c r="Q35" i="146" s="1"/>
  <c r="R18" i="146"/>
  <c r="R35" i="146" s="1"/>
  <c r="S18" i="146"/>
  <c r="S35" i="146" s="1"/>
  <c r="T18" i="146"/>
  <c r="T35" i="146" s="1"/>
  <c r="U18" i="146"/>
  <c r="U35" i="146" s="1"/>
  <c r="V18" i="146"/>
  <c r="V35" i="146" s="1"/>
  <c r="W18" i="146"/>
  <c r="W35" i="146" s="1"/>
  <c r="X18" i="146"/>
  <c r="X35" i="146" s="1"/>
  <c r="D19" i="146"/>
  <c r="D36" i="146" s="1"/>
  <c r="E19" i="146"/>
  <c r="E36" i="146" s="1"/>
  <c r="F19" i="146"/>
  <c r="F36" i="146" s="1"/>
  <c r="G19" i="146"/>
  <c r="G36" i="146" s="1"/>
  <c r="H19" i="146"/>
  <c r="H36" i="146" s="1"/>
  <c r="I19" i="146"/>
  <c r="I36" i="146" s="1"/>
  <c r="J19" i="146"/>
  <c r="J36" i="146" s="1"/>
  <c r="K19" i="146"/>
  <c r="K36" i="146" s="1"/>
  <c r="L19" i="146"/>
  <c r="L36" i="146" s="1"/>
  <c r="M19" i="146"/>
  <c r="M36" i="146" s="1"/>
  <c r="N19" i="146"/>
  <c r="N36" i="146" s="1"/>
  <c r="O19" i="146"/>
  <c r="O36" i="146" s="1"/>
  <c r="P19" i="146"/>
  <c r="P36" i="146" s="1"/>
  <c r="Q19" i="146"/>
  <c r="Q36" i="146" s="1"/>
  <c r="R19" i="146"/>
  <c r="R36" i="146" s="1"/>
  <c r="S19" i="146"/>
  <c r="S36" i="146" s="1"/>
  <c r="T19" i="146"/>
  <c r="T36" i="146" s="1"/>
  <c r="U19" i="146"/>
  <c r="U36" i="146" s="1"/>
  <c r="V19" i="146"/>
  <c r="V36" i="146" s="1"/>
  <c r="W19" i="146"/>
  <c r="W36" i="146" s="1"/>
  <c r="X19" i="146"/>
  <c r="X36" i="146" s="1"/>
  <c r="D53" i="146"/>
  <c r="E53" i="146"/>
  <c r="F53" i="146"/>
  <c r="G53" i="146"/>
  <c r="H53" i="146"/>
  <c r="I53" i="146"/>
  <c r="J53" i="146"/>
  <c r="K53" i="146"/>
  <c r="L53" i="146"/>
  <c r="M53" i="146"/>
  <c r="N53" i="146"/>
  <c r="O53" i="146"/>
  <c r="P53" i="146"/>
  <c r="Q53" i="146"/>
  <c r="R53" i="146"/>
  <c r="S53" i="146"/>
  <c r="T53" i="146"/>
  <c r="U53" i="146"/>
  <c r="V53" i="146"/>
  <c r="W53" i="146"/>
  <c r="X53" i="146"/>
  <c r="X73" i="146" s="1"/>
  <c r="D54" i="146"/>
  <c r="E54" i="146"/>
  <c r="F54" i="146"/>
  <c r="G54" i="146"/>
  <c r="H54" i="146"/>
  <c r="I54" i="146"/>
  <c r="J54" i="146"/>
  <c r="K54" i="146"/>
  <c r="L54" i="146"/>
  <c r="M54" i="146"/>
  <c r="N54" i="146"/>
  <c r="O54" i="146"/>
  <c r="P54" i="146"/>
  <c r="Q54" i="146"/>
  <c r="R54" i="146"/>
  <c r="S54" i="146"/>
  <c r="T54" i="146"/>
  <c r="U54" i="146"/>
  <c r="V54" i="146"/>
  <c r="W54" i="146"/>
  <c r="X54" i="146"/>
  <c r="X74" i="146" s="1"/>
  <c r="D63" i="146"/>
  <c r="E63" i="146"/>
  <c r="F63" i="146"/>
  <c r="G63" i="146"/>
  <c r="H63" i="146"/>
  <c r="I63" i="146"/>
  <c r="J63" i="146"/>
  <c r="K63" i="146"/>
  <c r="L63" i="146"/>
  <c r="M63" i="146"/>
  <c r="N63" i="146"/>
  <c r="O63" i="146"/>
  <c r="P63" i="146"/>
  <c r="Q63" i="146"/>
  <c r="R63" i="146"/>
  <c r="S63" i="146"/>
  <c r="T63" i="146"/>
  <c r="U63" i="146"/>
  <c r="V63" i="146"/>
  <c r="W63" i="146"/>
  <c r="X63" i="146"/>
  <c r="X83" i="146" s="1"/>
  <c r="D64" i="146"/>
  <c r="E64" i="146"/>
  <c r="F64" i="146"/>
  <c r="G64" i="146"/>
  <c r="H64" i="146"/>
  <c r="I64" i="146"/>
  <c r="J64" i="146"/>
  <c r="K64" i="146"/>
  <c r="L64" i="146"/>
  <c r="M64" i="146"/>
  <c r="N64" i="146"/>
  <c r="O64" i="146"/>
  <c r="P64" i="146"/>
  <c r="Q64" i="146"/>
  <c r="R64" i="146"/>
  <c r="S64" i="146"/>
  <c r="T64" i="146"/>
  <c r="U64" i="146"/>
  <c r="V64" i="146"/>
  <c r="W64" i="146"/>
  <c r="X64" i="146"/>
  <c r="X84" i="146" s="1"/>
  <c r="B7" i="139"/>
  <c r="D7" i="139"/>
  <c r="E7" i="139"/>
  <c r="F7" i="139"/>
  <c r="G7" i="139"/>
  <c r="H7" i="139"/>
  <c r="I7" i="139"/>
  <c r="J7" i="139"/>
  <c r="K7" i="139"/>
  <c r="L7" i="139"/>
  <c r="M7" i="139"/>
  <c r="N7" i="139"/>
  <c r="O7" i="139"/>
  <c r="P7" i="139"/>
  <c r="Q7" i="139"/>
  <c r="R7" i="139"/>
  <c r="S7" i="139"/>
  <c r="T7" i="139"/>
  <c r="U7" i="139"/>
  <c r="V7" i="139"/>
  <c r="W7" i="139"/>
  <c r="B13" i="139"/>
  <c r="D13" i="139"/>
  <c r="E13" i="139"/>
  <c r="F13" i="139"/>
  <c r="G13" i="139"/>
  <c r="H13" i="139"/>
  <c r="I13" i="139"/>
  <c r="J13" i="139"/>
  <c r="K13" i="139"/>
  <c r="L13" i="139"/>
  <c r="M13" i="139"/>
  <c r="N13" i="139"/>
  <c r="O13" i="139"/>
  <c r="P13" i="139"/>
  <c r="Q13" i="139"/>
  <c r="R13" i="139"/>
  <c r="S13" i="139"/>
  <c r="T13" i="139"/>
  <c r="U13" i="139"/>
  <c r="V13" i="139"/>
  <c r="W13" i="139"/>
  <c r="X7" i="128" l="1"/>
  <c r="X13" i="138"/>
  <c r="X7" i="138"/>
  <c r="X14" i="128"/>
  <c r="X7" i="139"/>
  <c r="Y7" i="128"/>
  <c r="Z64" i="146"/>
  <c r="Y63" i="146"/>
  <c r="Y64" i="146"/>
  <c r="Y53" i="146"/>
  <c r="Y13" i="138"/>
  <c r="Z7" i="128"/>
  <c r="Z13" i="139"/>
  <c r="Y7" i="139"/>
  <c r="Z53" i="146"/>
  <c r="Z13" i="138"/>
  <c r="Y54" i="146"/>
  <c r="Y13" i="139"/>
  <c r="Z63" i="146"/>
  <c r="Z54" i="146"/>
  <c r="X13" i="139"/>
  <c r="Z7" i="139"/>
  <c r="Z7" i="138"/>
  <c r="W32" i="128"/>
  <c r="O32" i="128"/>
  <c r="G32" i="128"/>
  <c r="Z14" i="128"/>
  <c r="Y7" i="138"/>
  <c r="V32" i="128"/>
  <c r="N32" i="128"/>
  <c r="F32" i="128"/>
  <c r="Y14" i="128"/>
  <c r="U32" i="128"/>
  <c r="M32" i="128"/>
  <c r="E32" i="128"/>
  <c r="T32" i="128"/>
  <c r="L32" i="128"/>
  <c r="D5" i="137"/>
  <c r="E5" i="137"/>
  <c r="F5" i="137"/>
  <c r="G5" i="137"/>
  <c r="H5" i="137"/>
  <c r="I5" i="137"/>
  <c r="J5" i="137"/>
  <c r="K5" i="137"/>
  <c r="L5" i="137"/>
  <c r="M5" i="137"/>
  <c r="N5" i="137"/>
  <c r="O5" i="137"/>
  <c r="P5" i="137"/>
  <c r="Q5" i="137"/>
  <c r="R5" i="137"/>
  <c r="S5" i="137"/>
  <c r="T5" i="137"/>
  <c r="U5" i="137"/>
  <c r="V5" i="137"/>
  <c r="W5" i="137"/>
  <c r="X5" i="137"/>
  <c r="Y5" i="137"/>
  <c r="Z5" i="137"/>
  <c r="D6" i="137"/>
  <c r="E6" i="137"/>
  <c r="F6" i="137"/>
  <c r="G6" i="137"/>
  <c r="H6" i="137"/>
  <c r="I6" i="137"/>
  <c r="J6" i="137"/>
  <c r="K6" i="137"/>
  <c r="L6" i="137"/>
  <c r="M6" i="137"/>
  <c r="N6" i="137"/>
  <c r="O6" i="137"/>
  <c r="P6" i="137"/>
  <c r="Q6" i="137"/>
  <c r="R6" i="137"/>
  <c r="S6" i="137"/>
  <c r="T6" i="137"/>
  <c r="U6" i="137"/>
  <c r="V6" i="137"/>
  <c r="W6" i="137"/>
  <c r="X6" i="137"/>
  <c r="Y6" i="137"/>
  <c r="Z6" i="137"/>
  <c r="D10" i="137"/>
  <c r="E10" i="137"/>
  <c r="F10" i="137"/>
  <c r="G10" i="137"/>
  <c r="H10" i="137"/>
  <c r="I10" i="137"/>
  <c r="J10" i="137"/>
  <c r="K10" i="137"/>
  <c r="L10" i="137"/>
  <c r="M10" i="137"/>
  <c r="N10" i="137"/>
  <c r="O10" i="137"/>
  <c r="P10" i="137"/>
  <c r="Q10" i="137"/>
  <c r="R10" i="137"/>
  <c r="S10" i="137"/>
  <c r="T10" i="137"/>
  <c r="U10" i="137"/>
  <c r="V10" i="137"/>
  <c r="W10" i="137"/>
  <c r="X10" i="137"/>
  <c r="Y10" i="137"/>
  <c r="Z10" i="137"/>
  <c r="D11" i="137"/>
  <c r="E11" i="137"/>
  <c r="F11" i="137"/>
  <c r="G11" i="137"/>
  <c r="H11" i="137"/>
  <c r="I11" i="137"/>
  <c r="J11" i="137"/>
  <c r="K11" i="137"/>
  <c r="L11" i="137"/>
  <c r="M11" i="137"/>
  <c r="N11" i="137"/>
  <c r="O11" i="137"/>
  <c r="P11" i="137"/>
  <c r="Q11" i="137"/>
  <c r="R11" i="137"/>
  <c r="S11" i="137"/>
  <c r="T11" i="137"/>
  <c r="U11" i="137"/>
  <c r="V11" i="137"/>
  <c r="W11" i="137"/>
  <c r="X11" i="137"/>
  <c r="Y11" i="137"/>
  <c r="Z11" i="137"/>
  <c r="D20" i="137"/>
  <c r="D21" i="137"/>
  <c r="D22" i="137"/>
  <c r="D23" i="137"/>
  <c r="D29" i="137"/>
  <c r="E29" i="137"/>
  <c r="F29" i="137"/>
  <c r="G29" i="137"/>
  <c r="H29" i="137"/>
  <c r="I29" i="137"/>
  <c r="J29" i="137"/>
  <c r="K29" i="137"/>
  <c r="L29" i="137"/>
  <c r="M29" i="137"/>
  <c r="N29" i="137"/>
  <c r="O29" i="137"/>
  <c r="P29" i="137"/>
  <c r="Q29" i="137"/>
  <c r="R29" i="137"/>
  <c r="S29" i="137"/>
  <c r="T29" i="137"/>
  <c r="U29" i="137"/>
  <c r="V29" i="137"/>
  <c r="W29" i="137"/>
  <c r="D30" i="137"/>
  <c r="E30" i="137"/>
  <c r="F30" i="137"/>
  <c r="G30" i="137"/>
  <c r="H30" i="137"/>
  <c r="I30" i="137"/>
  <c r="J30" i="137"/>
  <c r="K30" i="137"/>
  <c r="L30" i="137"/>
  <c r="M30" i="137"/>
  <c r="N30" i="137"/>
  <c r="O30" i="137"/>
  <c r="P30" i="137"/>
  <c r="Q30" i="137"/>
  <c r="R30" i="137"/>
  <c r="S30" i="137"/>
  <c r="T30" i="137"/>
  <c r="U30" i="137"/>
  <c r="V30" i="137"/>
  <c r="W30" i="137"/>
  <c r="D5" i="128"/>
  <c r="E5" i="128"/>
  <c r="F5" i="128"/>
  <c r="G5" i="128"/>
  <c r="H5" i="128"/>
  <c r="I5" i="128"/>
  <c r="J5" i="128"/>
  <c r="K5" i="128"/>
  <c r="L5" i="128"/>
  <c r="M5" i="128"/>
  <c r="N5" i="128"/>
  <c r="O5" i="128"/>
  <c r="P5" i="128"/>
  <c r="Q5" i="128"/>
  <c r="R5" i="128"/>
  <c r="S5" i="128"/>
  <c r="T5" i="128"/>
  <c r="U5" i="128"/>
  <c r="V5" i="128"/>
  <c r="W5" i="128"/>
  <c r="X5" i="128"/>
  <c r="Y5" i="128"/>
  <c r="Z5" i="128"/>
  <c r="D6" i="128"/>
  <c r="E6" i="128"/>
  <c r="F6" i="128"/>
  <c r="G6" i="128"/>
  <c r="H6" i="128"/>
  <c r="I6" i="128"/>
  <c r="J6" i="128"/>
  <c r="K6" i="128"/>
  <c r="L6" i="128"/>
  <c r="M6" i="128"/>
  <c r="N6" i="128"/>
  <c r="O6" i="128"/>
  <c r="P6" i="128"/>
  <c r="Q6" i="128"/>
  <c r="R6" i="128"/>
  <c r="S6" i="128"/>
  <c r="T6" i="128"/>
  <c r="U6" i="128"/>
  <c r="V6" i="128"/>
  <c r="W6" i="128"/>
  <c r="X6" i="128"/>
  <c r="Y6" i="128"/>
  <c r="Z6" i="128"/>
  <c r="D11" i="128"/>
  <c r="E11" i="128"/>
  <c r="F11" i="128"/>
  <c r="G11" i="128"/>
  <c r="H11" i="128"/>
  <c r="I11" i="128"/>
  <c r="J11" i="128"/>
  <c r="K11" i="128"/>
  <c r="L11" i="128"/>
  <c r="M11" i="128"/>
  <c r="N11" i="128"/>
  <c r="O11" i="128"/>
  <c r="P11" i="128"/>
  <c r="Q11" i="128"/>
  <c r="R11" i="128"/>
  <c r="S11" i="128"/>
  <c r="T11" i="128"/>
  <c r="U11" i="128"/>
  <c r="V11" i="128"/>
  <c r="W11" i="128"/>
  <c r="X11" i="128"/>
  <c r="Y11" i="128"/>
  <c r="Z11" i="128"/>
  <c r="D12" i="128"/>
  <c r="E12" i="128"/>
  <c r="F12" i="128"/>
  <c r="G12" i="128"/>
  <c r="H12" i="128"/>
  <c r="I12" i="128"/>
  <c r="J12" i="128"/>
  <c r="K12" i="128"/>
  <c r="L12" i="128"/>
  <c r="M12" i="128"/>
  <c r="N12" i="128"/>
  <c r="O12" i="128"/>
  <c r="P12" i="128"/>
  <c r="Q12" i="128"/>
  <c r="R12" i="128"/>
  <c r="S12" i="128"/>
  <c r="T12" i="128"/>
  <c r="U12" i="128"/>
  <c r="V12" i="128"/>
  <c r="W12" i="128"/>
  <c r="X12" i="128"/>
  <c r="Y12" i="128"/>
  <c r="Z12" i="128"/>
  <c r="D13" i="128"/>
  <c r="E13" i="128"/>
  <c r="F13" i="128"/>
  <c r="G13" i="128"/>
  <c r="H13" i="128"/>
  <c r="I13" i="128"/>
  <c r="J13" i="128"/>
  <c r="K13" i="128"/>
  <c r="L13" i="128"/>
  <c r="M13" i="128"/>
  <c r="N13" i="128"/>
  <c r="O13" i="128"/>
  <c r="P13" i="128"/>
  <c r="Q13" i="128"/>
  <c r="R13" i="128"/>
  <c r="S13" i="128"/>
  <c r="T13" i="128"/>
  <c r="U13" i="128"/>
  <c r="V13" i="128"/>
  <c r="W13" i="128"/>
  <c r="X13" i="128"/>
  <c r="Y13" i="128"/>
  <c r="Z13" i="128"/>
  <c r="D18" i="128"/>
  <c r="E18" i="128"/>
  <c r="F18" i="128"/>
  <c r="G18" i="128"/>
  <c r="H18" i="128"/>
  <c r="I18" i="128"/>
  <c r="J18" i="128"/>
  <c r="K18" i="128"/>
  <c r="L18" i="128"/>
  <c r="M18" i="128"/>
  <c r="N18" i="128"/>
  <c r="O18" i="128"/>
  <c r="P18" i="128"/>
  <c r="Q18" i="128"/>
  <c r="R18" i="128"/>
  <c r="S18" i="128"/>
  <c r="T18" i="128"/>
  <c r="U18" i="128"/>
  <c r="V18" i="128"/>
  <c r="W18" i="128"/>
  <c r="D19" i="128"/>
  <c r="E19" i="128"/>
  <c r="F19" i="128"/>
  <c r="G19" i="128"/>
  <c r="H19" i="128"/>
  <c r="I19" i="128"/>
  <c r="J19" i="128"/>
  <c r="K19" i="128"/>
  <c r="L19" i="128"/>
  <c r="M19" i="128"/>
  <c r="N19" i="128"/>
  <c r="O19" i="128"/>
  <c r="P19" i="128"/>
  <c r="Q19" i="128"/>
  <c r="R19" i="128"/>
  <c r="S19" i="128"/>
  <c r="T19" i="128"/>
  <c r="U19" i="128"/>
  <c r="V19" i="128"/>
  <c r="W19" i="128"/>
  <c r="D20" i="128"/>
  <c r="E20" i="128"/>
  <c r="F20" i="128"/>
  <c r="G20" i="128"/>
  <c r="H20" i="128"/>
  <c r="I20" i="128"/>
  <c r="J20" i="128"/>
  <c r="K20" i="128"/>
  <c r="L20" i="128"/>
  <c r="M20" i="128"/>
  <c r="N20" i="128"/>
  <c r="O20" i="128"/>
  <c r="P20" i="128"/>
  <c r="Q20" i="128"/>
  <c r="R20" i="128"/>
  <c r="S20" i="128"/>
  <c r="T20" i="128"/>
  <c r="U20" i="128"/>
  <c r="V20" i="128"/>
  <c r="W20" i="128"/>
  <c r="D21" i="128"/>
  <c r="E21" i="128"/>
  <c r="F21" i="128"/>
  <c r="G21" i="128"/>
  <c r="H21" i="128"/>
  <c r="I21" i="128"/>
  <c r="J21" i="128"/>
  <c r="K21" i="128"/>
  <c r="L21" i="128"/>
  <c r="M21" i="128"/>
  <c r="N21" i="128"/>
  <c r="O21" i="128"/>
  <c r="P21" i="128"/>
  <c r="Q21" i="128"/>
  <c r="R21" i="128"/>
  <c r="S21" i="128"/>
  <c r="T21" i="128"/>
  <c r="U21" i="128"/>
  <c r="V21" i="128"/>
  <c r="W21" i="128"/>
  <c r="D25" i="128"/>
  <c r="E25" i="128"/>
  <c r="F25" i="128"/>
  <c r="G25" i="128"/>
  <c r="H25" i="128"/>
  <c r="I25" i="128"/>
  <c r="J25" i="128"/>
  <c r="K25" i="128"/>
  <c r="L25" i="128"/>
  <c r="M25" i="128"/>
  <c r="N25" i="128"/>
  <c r="O25" i="128"/>
  <c r="P25" i="128"/>
  <c r="Q25" i="128"/>
  <c r="R25" i="128"/>
  <c r="S25" i="128"/>
  <c r="T25" i="128"/>
  <c r="U25" i="128"/>
  <c r="V25" i="128"/>
  <c r="W25" i="128"/>
  <c r="D26" i="128"/>
  <c r="E26" i="128"/>
  <c r="F26" i="128"/>
  <c r="G26" i="128"/>
  <c r="H26" i="128"/>
  <c r="I26" i="128"/>
  <c r="J26" i="128"/>
  <c r="K26" i="128"/>
  <c r="L26" i="128"/>
  <c r="M26" i="128"/>
  <c r="N26" i="128"/>
  <c r="O26" i="128"/>
  <c r="P26" i="128"/>
  <c r="Q26" i="128"/>
  <c r="R26" i="128"/>
  <c r="S26" i="128"/>
  <c r="T26" i="128"/>
  <c r="U26" i="128"/>
  <c r="V26" i="128"/>
  <c r="W26" i="128"/>
  <c r="D30" i="128"/>
  <c r="E30" i="128"/>
  <c r="F30" i="128"/>
  <c r="G30" i="128"/>
  <c r="H30" i="128"/>
  <c r="I30" i="128"/>
  <c r="J30" i="128"/>
  <c r="K30" i="128"/>
  <c r="L30" i="128"/>
  <c r="M30" i="128"/>
  <c r="N30" i="128"/>
  <c r="O30" i="128"/>
  <c r="P30" i="128"/>
  <c r="Q30" i="128"/>
  <c r="R30" i="128"/>
  <c r="S30" i="128"/>
  <c r="T30" i="128"/>
  <c r="U30" i="128"/>
  <c r="V30" i="128"/>
  <c r="W30" i="128"/>
  <c r="D31" i="128"/>
  <c r="E31" i="128"/>
  <c r="F31" i="128"/>
  <c r="G31" i="128"/>
  <c r="H31" i="128"/>
  <c r="I31" i="128"/>
  <c r="J31" i="128"/>
  <c r="K31" i="128"/>
  <c r="L31" i="128"/>
  <c r="M31" i="128"/>
  <c r="N31" i="128"/>
  <c r="O31" i="128"/>
  <c r="P31" i="128"/>
  <c r="Q31" i="128"/>
  <c r="R31" i="128"/>
  <c r="S31" i="128"/>
  <c r="T31" i="128"/>
  <c r="U31" i="128"/>
  <c r="V31" i="128"/>
  <c r="W31" i="128"/>
  <c r="D38" i="128"/>
  <c r="D39" i="128"/>
  <c r="E39" i="128"/>
  <c r="F39" i="128"/>
  <c r="G39" i="128"/>
  <c r="H39" i="128"/>
  <c r="I39" i="128"/>
  <c r="J39" i="128"/>
  <c r="K39" i="128"/>
  <c r="L39" i="128"/>
  <c r="M39" i="128"/>
  <c r="D5" i="138"/>
  <c r="E5" i="138"/>
  <c r="F5" i="138"/>
  <c r="G5" i="138"/>
  <c r="H5" i="138"/>
  <c r="I5" i="138"/>
  <c r="J5" i="138"/>
  <c r="K5" i="138"/>
  <c r="L5" i="138"/>
  <c r="M5" i="138"/>
  <c r="N5" i="138"/>
  <c r="O5" i="138"/>
  <c r="P5" i="138"/>
  <c r="Q5" i="138"/>
  <c r="R5" i="138"/>
  <c r="S5" i="138"/>
  <c r="T5" i="138"/>
  <c r="U5" i="138"/>
  <c r="V5" i="138"/>
  <c r="W5" i="138"/>
  <c r="X5" i="138"/>
  <c r="Y5" i="138"/>
  <c r="Z5" i="138"/>
  <c r="D6" i="138"/>
  <c r="E6" i="138"/>
  <c r="F6" i="138"/>
  <c r="G6" i="138"/>
  <c r="H6" i="138"/>
  <c r="I6" i="138"/>
  <c r="J6" i="138"/>
  <c r="K6" i="138"/>
  <c r="L6" i="138"/>
  <c r="M6" i="138"/>
  <c r="N6" i="138"/>
  <c r="O6" i="138"/>
  <c r="P6" i="138"/>
  <c r="Q6" i="138"/>
  <c r="R6" i="138"/>
  <c r="S6" i="138"/>
  <c r="T6" i="138"/>
  <c r="U6" i="138"/>
  <c r="V6" i="138"/>
  <c r="W6" i="138"/>
  <c r="X6" i="138"/>
  <c r="Y6" i="138"/>
  <c r="Z6" i="138"/>
  <c r="D11" i="138"/>
  <c r="E11" i="138"/>
  <c r="F11" i="138"/>
  <c r="G11" i="138"/>
  <c r="H11" i="138"/>
  <c r="I11" i="138"/>
  <c r="J11" i="138"/>
  <c r="K11" i="138"/>
  <c r="L11" i="138"/>
  <c r="M11" i="138"/>
  <c r="N11" i="138"/>
  <c r="O11" i="138"/>
  <c r="P11" i="138"/>
  <c r="Q11" i="138"/>
  <c r="R11" i="138"/>
  <c r="S11" i="138"/>
  <c r="T11" i="138"/>
  <c r="U11" i="138"/>
  <c r="V11" i="138"/>
  <c r="W11" i="138"/>
  <c r="X11" i="138"/>
  <c r="Y11" i="138"/>
  <c r="Z11" i="138"/>
  <c r="D12" i="138"/>
  <c r="E12" i="138"/>
  <c r="F12" i="138"/>
  <c r="G12" i="138"/>
  <c r="H12" i="138"/>
  <c r="I12" i="138"/>
  <c r="J12" i="138"/>
  <c r="K12" i="138"/>
  <c r="L12" i="138"/>
  <c r="M12" i="138"/>
  <c r="N12" i="138"/>
  <c r="O12" i="138"/>
  <c r="P12" i="138"/>
  <c r="Q12" i="138"/>
  <c r="R12" i="138"/>
  <c r="S12" i="138"/>
  <c r="T12" i="138"/>
  <c r="U12" i="138"/>
  <c r="V12" i="138"/>
  <c r="W12" i="138"/>
  <c r="X12" i="138"/>
  <c r="Y12" i="138"/>
  <c r="Z12" i="138"/>
  <c r="D5" i="146"/>
  <c r="E5" i="146"/>
  <c r="F5" i="146"/>
  <c r="G5" i="146"/>
  <c r="H5" i="146"/>
  <c r="I5" i="146"/>
  <c r="J5" i="146"/>
  <c r="K5" i="146"/>
  <c r="L5" i="146"/>
  <c r="M5" i="146"/>
  <c r="N5" i="146"/>
  <c r="O5" i="146"/>
  <c r="P5" i="146"/>
  <c r="Q5" i="146"/>
  <c r="R5" i="146"/>
  <c r="S5" i="146"/>
  <c r="T5" i="146"/>
  <c r="U5" i="146"/>
  <c r="V5" i="146"/>
  <c r="W5" i="146"/>
  <c r="X5" i="146"/>
  <c r="D6" i="146"/>
  <c r="E6" i="146"/>
  <c r="F6" i="146"/>
  <c r="G6" i="146"/>
  <c r="H6" i="146"/>
  <c r="I6" i="146"/>
  <c r="J6" i="146"/>
  <c r="K6" i="146"/>
  <c r="L6" i="146"/>
  <c r="M6" i="146"/>
  <c r="N6" i="146"/>
  <c r="O6" i="146"/>
  <c r="P6" i="146"/>
  <c r="Q6" i="146"/>
  <c r="R6" i="146"/>
  <c r="S6" i="146"/>
  <c r="T6" i="146"/>
  <c r="U6" i="146"/>
  <c r="V6" i="146"/>
  <c r="W6" i="146"/>
  <c r="X6" i="146"/>
  <c r="D7" i="146"/>
  <c r="E7" i="146"/>
  <c r="F7" i="146"/>
  <c r="G7" i="146"/>
  <c r="H7" i="146"/>
  <c r="I7" i="146"/>
  <c r="J7" i="146"/>
  <c r="K7" i="146"/>
  <c r="L7" i="146"/>
  <c r="M7" i="146"/>
  <c r="N7" i="146"/>
  <c r="O7" i="146"/>
  <c r="P7" i="146"/>
  <c r="Q7" i="146"/>
  <c r="R7" i="146"/>
  <c r="S7" i="146"/>
  <c r="T7" i="146"/>
  <c r="U7" i="146"/>
  <c r="V7" i="146"/>
  <c r="W7" i="146"/>
  <c r="X7" i="146"/>
  <c r="D8" i="146"/>
  <c r="E8" i="146"/>
  <c r="F8" i="146"/>
  <c r="G8" i="146"/>
  <c r="H8" i="146"/>
  <c r="I8" i="146"/>
  <c r="J8" i="146"/>
  <c r="K8" i="146"/>
  <c r="L8" i="146"/>
  <c r="M8" i="146"/>
  <c r="N8" i="146"/>
  <c r="O8" i="146"/>
  <c r="P8" i="146"/>
  <c r="Q8" i="146"/>
  <c r="R8" i="146"/>
  <c r="S8" i="146"/>
  <c r="T8" i="146"/>
  <c r="U8" i="146"/>
  <c r="V8" i="146"/>
  <c r="W8" i="146"/>
  <c r="X8" i="146"/>
  <c r="D14" i="146"/>
  <c r="E14" i="146"/>
  <c r="F14" i="146"/>
  <c r="G14" i="146"/>
  <c r="H14" i="146"/>
  <c r="I14" i="146"/>
  <c r="J14" i="146"/>
  <c r="K14" i="146"/>
  <c r="L14" i="146"/>
  <c r="M14" i="146"/>
  <c r="N14" i="146"/>
  <c r="O14" i="146"/>
  <c r="P14" i="146"/>
  <c r="Q14" i="146"/>
  <c r="R14" i="146"/>
  <c r="S14" i="146"/>
  <c r="T14" i="146"/>
  <c r="U14" i="146"/>
  <c r="V14" i="146"/>
  <c r="W14" i="146"/>
  <c r="X14" i="146"/>
  <c r="D15" i="146"/>
  <c r="E15" i="146"/>
  <c r="F15" i="146"/>
  <c r="G15" i="146"/>
  <c r="H15" i="146"/>
  <c r="I15" i="146"/>
  <c r="J15" i="146"/>
  <c r="K15" i="146"/>
  <c r="L15" i="146"/>
  <c r="M15" i="146"/>
  <c r="N15" i="146"/>
  <c r="O15" i="146"/>
  <c r="P15" i="146"/>
  <c r="Q15" i="146"/>
  <c r="R15" i="146"/>
  <c r="S15" i="146"/>
  <c r="T15" i="146"/>
  <c r="U15" i="146"/>
  <c r="V15" i="146"/>
  <c r="W15" i="146"/>
  <c r="X15" i="146"/>
  <c r="D16" i="146"/>
  <c r="E16" i="146"/>
  <c r="F16" i="146"/>
  <c r="G16" i="146"/>
  <c r="H16" i="146"/>
  <c r="I16" i="146"/>
  <c r="J16" i="146"/>
  <c r="K16" i="146"/>
  <c r="L16" i="146"/>
  <c r="M16" i="146"/>
  <c r="N16" i="146"/>
  <c r="O16" i="146"/>
  <c r="P16" i="146"/>
  <c r="Q16" i="146"/>
  <c r="R16" i="146"/>
  <c r="S16" i="146"/>
  <c r="T16" i="146"/>
  <c r="U16" i="146"/>
  <c r="V16" i="146"/>
  <c r="W16" i="146"/>
  <c r="X16" i="146"/>
  <c r="D17" i="146"/>
  <c r="E17" i="146"/>
  <c r="F17" i="146"/>
  <c r="G17" i="146"/>
  <c r="H17" i="146"/>
  <c r="I17" i="146"/>
  <c r="J17" i="146"/>
  <c r="K17" i="146"/>
  <c r="L17" i="146"/>
  <c r="M17" i="146"/>
  <c r="N17" i="146"/>
  <c r="O17" i="146"/>
  <c r="P17" i="146"/>
  <c r="Q17" i="146"/>
  <c r="R17" i="146"/>
  <c r="S17" i="146"/>
  <c r="T17" i="146"/>
  <c r="U17" i="146"/>
  <c r="V17" i="146"/>
  <c r="W17" i="146"/>
  <c r="X17" i="146"/>
  <c r="D23" i="146"/>
  <c r="E23" i="146"/>
  <c r="F23" i="146"/>
  <c r="G23" i="146"/>
  <c r="H23" i="146"/>
  <c r="I23" i="146"/>
  <c r="J23" i="146"/>
  <c r="K23" i="146"/>
  <c r="L23" i="146"/>
  <c r="M23" i="146"/>
  <c r="N23" i="146"/>
  <c r="O23" i="146"/>
  <c r="P23" i="146"/>
  <c r="Q23" i="146"/>
  <c r="R23" i="146"/>
  <c r="S23" i="146"/>
  <c r="T23" i="146"/>
  <c r="U23" i="146"/>
  <c r="V23" i="146"/>
  <c r="W23" i="146"/>
  <c r="X23" i="146"/>
  <c r="D24" i="146"/>
  <c r="E24" i="146"/>
  <c r="F24" i="146"/>
  <c r="G24" i="146"/>
  <c r="H24" i="146"/>
  <c r="I24" i="146"/>
  <c r="J24" i="146"/>
  <c r="K24" i="146"/>
  <c r="L24" i="146"/>
  <c r="M24" i="146"/>
  <c r="N24" i="146"/>
  <c r="O24" i="146"/>
  <c r="P24" i="146"/>
  <c r="Q24" i="146"/>
  <c r="R24" i="146"/>
  <c r="S24" i="146"/>
  <c r="T24" i="146"/>
  <c r="U24" i="146"/>
  <c r="V24" i="146"/>
  <c r="W24" i="146"/>
  <c r="X24" i="146"/>
  <c r="D25" i="146"/>
  <c r="E25" i="146"/>
  <c r="F25" i="146"/>
  <c r="G25" i="146"/>
  <c r="H25" i="146"/>
  <c r="I25" i="146"/>
  <c r="J25" i="146"/>
  <c r="K25" i="146"/>
  <c r="L25" i="146"/>
  <c r="M25" i="146"/>
  <c r="N25" i="146"/>
  <c r="O25" i="146"/>
  <c r="P25" i="146"/>
  <c r="Q25" i="146"/>
  <c r="R25" i="146"/>
  <c r="S25" i="146"/>
  <c r="T25" i="146"/>
  <c r="U25" i="146"/>
  <c r="V25" i="146"/>
  <c r="W25" i="146"/>
  <c r="X25" i="146"/>
  <c r="D26" i="146"/>
  <c r="E26" i="146"/>
  <c r="F26" i="146"/>
  <c r="G26" i="146"/>
  <c r="H26" i="146"/>
  <c r="I26" i="146"/>
  <c r="J26" i="146"/>
  <c r="K26" i="146"/>
  <c r="L26" i="146"/>
  <c r="M26" i="146"/>
  <c r="N26" i="146"/>
  <c r="O26" i="146"/>
  <c r="P26" i="146"/>
  <c r="Q26" i="146"/>
  <c r="R26" i="146"/>
  <c r="S26" i="146"/>
  <c r="T26" i="146"/>
  <c r="U26" i="146"/>
  <c r="V26" i="146"/>
  <c r="W26" i="146"/>
  <c r="X26" i="146"/>
  <c r="D31" i="146"/>
  <c r="E31" i="146"/>
  <c r="F31" i="146"/>
  <c r="G31" i="146"/>
  <c r="H31" i="146"/>
  <c r="I31" i="146"/>
  <c r="J31" i="146"/>
  <c r="K31" i="146"/>
  <c r="L31" i="146"/>
  <c r="M31" i="146"/>
  <c r="N31" i="146"/>
  <c r="O31" i="146"/>
  <c r="P31" i="146"/>
  <c r="Q31" i="146"/>
  <c r="R31" i="146"/>
  <c r="S31" i="146"/>
  <c r="T31" i="146"/>
  <c r="U31" i="146"/>
  <c r="V31" i="146"/>
  <c r="W31" i="146"/>
  <c r="X31" i="146"/>
  <c r="D32" i="146"/>
  <c r="E32" i="146"/>
  <c r="F32" i="146"/>
  <c r="G32" i="146"/>
  <c r="H32" i="146"/>
  <c r="I32" i="146"/>
  <c r="J32" i="146"/>
  <c r="K32" i="146"/>
  <c r="L32" i="146"/>
  <c r="M32" i="146"/>
  <c r="N32" i="146"/>
  <c r="O32" i="146"/>
  <c r="P32" i="146"/>
  <c r="Q32" i="146"/>
  <c r="R32" i="146"/>
  <c r="S32" i="146"/>
  <c r="T32" i="146"/>
  <c r="U32" i="146"/>
  <c r="V32" i="146"/>
  <c r="W32" i="146"/>
  <c r="X32" i="146"/>
  <c r="D33" i="146"/>
  <c r="E33" i="146"/>
  <c r="F33" i="146"/>
  <c r="G33" i="146"/>
  <c r="H33" i="146"/>
  <c r="I33" i="146"/>
  <c r="J33" i="146"/>
  <c r="K33" i="146"/>
  <c r="L33" i="146"/>
  <c r="M33" i="146"/>
  <c r="N33" i="146"/>
  <c r="O33" i="146"/>
  <c r="P33" i="146"/>
  <c r="Q33" i="146"/>
  <c r="R33" i="146"/>
  <c r="S33" i="146"/>
  <c r="T33" i="146"/>
  <c r="U33" i="146"/>
  <c r="V33" i="146"/>
  <c r="W33" i="146"/>
  <c r="X33" i="146"/>
  <c r="D34" i="146"/>
  <c r="E34" i="146"/>
  <c r="F34" i="146"/>
  <c r="G34" i="146"/>
  <c r="H34" i="146"/>
  <c r="I34" i="146"/>
  <c r="J34" i="146"/>
  <c r="K34" i="146"/>
  <c r="L34" i="146"/>
  <c r="M34" i="146"/>
  <c r="N34" i="146"/>
  <c r="O34" i="146"/>
  <c r="P34" i="146"/>
  <c r="Q34" i="146"/>
  <c r="R34" i="146"/>
  <c r="S34" i="146"/>
  <c r="T34" i="146"/>
  <c r="U34" i="146"/>
  <c r="V34" i="146"/>
  <c r="W34" i="146"/>
  <c r="X34" i="146"/>
  <c r="D41" i="146"/>
  <c r="E41" i="146"/>
  <c r="F41" i="146"/>
  <c r="G41" i="146"/>
  <c r="H41" i="146"/>
  <c r="I41" i="146"/>
  <c r="J41" i="146"/>
  <c r="K41" i="146"/>
  <c r="L41" i="146"/>
  <c r="M41" i="146"/>
  <c r="N41" i="146"/>
  <c r="O41" i="146"/>
  <c r="P41" i="146"/>
  <c r="Q41" i="146"/>
  <c r="R41" i="146"/>
  <c r="S41" i="146"/>
  <c r="T41" i="146"/>
  <c r="U41" i="146"/>
  <c r="V41" i="146"/>
  <c r="W41" i="146"/>
  <c r="X41" i="146"/>
  <c r="D42" i="146"/>
  <c r="E42" i="146"/>
  <c r="F42" i="146"/>
  <c r="G42" i="146"/>
  <c r="H42" i="146"/>
  <c r="I42" i="146"/>
  <c r="J42" i="146"/>
  <c r="K42" i="146"/>
  <c r="L42" i="146"/>
  <c r="M42" i="146"/>
  <c r="N42" i="146"/>
  <c r="O42" i="146"/>
  <c r="P42" i="146"/>
  <c r="Q42" i="146"/>
  <c r="R42" i="146"/>
  <c r="S42" i="146"/>
  <c r="T42" i="146"/>
  <c r="U42" i="146"/>
  <c r="V42" i="146"/>
  <c r="W42" i="146"/>
  <c r="X42" i="146"/>
  <c r="D43" i="146"/>
  <c r="E43" i="146"/>
  <c r="F43" i="146"/>
  <c r="G43" i="146"/>
  <c r="H43" i="146"/>
  <c r="I43" i="146"/>
  <c r="J43" i="146"/>
  <c r="K43" i="146"/>
  <c r="L43" i="146"/>
  <c r="M43" i="146"/>
  <c r="N43" i="146"/>
  <c r="O43" i="146"/>
  <c r="P43" i="146"/>
  <c r="Q43" i="146"/>
  <c r="R43" i="146"/>
  <c r="S43" i="146"/>
  <c r="T43" i="146"/>
  <c r="U43" i="146"/>
  <c r="V43" i="146"/>
  <c r="W43" i="146"/>
  <c r="X43" i="146"/>
  <c r="D49" i="146"/>
  <c r="E49" i="146"/>
  <c r="F49" i="146"/>
  <c r="G49" i="146"/>
  <c r="H49" i="146"/>
  <c r="I49" i="146"/>
  <c r="J49" i="146"/>
  <c r="K49" i="146"/>
  <c r="L49" i="146"/>
  <c r="M49" i="146"/>
  <c r="N49" i="146"/>
  <c r="O49" i="146"/>
  <c r="P49" i="146"/>
  <c r="Q49" i="146"/>
  <c r="R49" i="146"/>
  <c r="S49" i="146"/>
  <c r="T49" i="146"/>
  <c r="U49" i="146"/>
  <c r="V49" i="146"/>
  <c r="W49" i="146"/>
  <c r="X49" i="146"/>
  <c r="Y49" i="146"/>
  <c r="Z49" i="146"/>
  <c r="AA49" i="146"/>
  <c r="AB49" i="146"/>
  <c r="AC49" i="146"/>
  <c r="AD49" i="146"/>
  <c r="D50" i="146"/>
  <c r="E50" i="146"/>
  <c r="F50" i="146"/>
  <c r="G50" i="146"/>
  <c r="H50" i="146"/>
  <c r="I50" i="146"/>
  <c r="J50" i="146"/>
  <c r="K50" i="146"/>
  <c r="L50" i="146"/>
  <c r="M50" i="146"/>
  <c r="N50" i="146"/>
  <c r="O50" i="146"/>
  <c r="P50" i="146"/>
  <c r="Q50" i="146"/>
  <c r="R50" i="146"/>
  <c r="S50" i="146"/>
  <c r="T50" i="146"/>
  <c r="U50" i="146"/>
  <c r="V50" i="146"/>
  <c r="W50" i="146"/>
  <c r="X50" i="146"/>
  <c r="Y50" i="146"/>
  <c r="Z50" i="146"/>
  <c r="AA50" i="146"/>
  <c r="AB50" i="146"/>
  <c r="AC50" i="146"/>
  <c r="AD50" i="146"/>
  <c r="D51" i="146"/>
  <c r="E51" i="146"/>
  <c r="F51" i="146"/>
  <c r="G51" i="146"/>
  <c r="H51" i="146"/>
  <c r="I51" i="146"/>
  <c r="J51" i="146"/>
  <c r="K51" i="146"/>
  <c r="L51" i="146"/>
  <c r="M51" i="146"/>
  <c r="N51" i="146"/>
  <c r="O51" i="146"/>
  <c r="P51" i="146"/>
  <c r="Q51" i="146"/>
  <c r="R51" i="146"/>
  <c r="S51" i="146"/>
  <c r="T51" i="146"/>
  <c r="U51" i="146"/>
  <c r="V51" i="146"/>
  <c r="W51" i="146"/>
  <c r="X51" i="146"/>
  <c r="Y51" i="146"/>
  <c r="Z51" i="146"/>
  <c r="AA51" i="146"/>
  <c r="AB51" i="146"/>
  <c r="AC51" i="146"/>
  <c r="AD51" i="146"/>
  <c r="D52" i="146"/>
  <c r="E52" i="146"/>
  <c r="F52" i="146"/>
  <c r="G52" i="146"/>
  <c r="H52" i="146"/>
  <c r="I52" i="146"/>
  <c r="J52" i="146"/>
  <c r="K52" i="146"/>
  <c r="L52" i="146"/>
  <c r="M52" i="146"/>
  <c r="N52" i="146"/>
  <c r="O52" i="146"/>
  <c r="P52" i="146"/>
  <c r="Q52" i="146"/>
  <c r="R52" i="146"/>
  <c r="S52" i="146"/>
  <c r="T52" i="146"/>
  <c r="U52" i="146"/>
  <c r="V52" i="146"/>
  <c r="W52" i="146"/>
  <c r="X52" i="146"/>
  <c r="Y52" i="146"/>
  <c r="Z52" i="146"/>
  <c r="D59" i="146"/>
  <c r="E59" i="146"/>
  <c r="F59" i="146"/>
  <c r="G59" i="146"/>
  <c r="H59" i="146"/>
  <c r="I59" i="146"/>
  <c r="J59" i="146"/>
  <c r="K59" i="146"/>
  <c r="L59" i="146"/>
  <c r="M59" i="146"/>
  <c r="N59" i="146"/>
  <c r="O59" i="146"/>
  <c r="P59" i="146"/>
  <c r="Q59" i="146"/>
  <c r="R59" i="146"/>
  <c r="S59" i="146"/>
  <c r="T59" i="146"/>
  <c r="U59" i="146"/>
  <c r="V59" i="146"/>
  <c r="W59" i="146"/>
  <c r="X59" i="146"/>
  <c r="Y59" i="146"/>
  <c r="Z59" i="146"/>
  <c r="D60" i="146"/>
  <c r="E60" i="146"/>
  <c r="F60" i="146"/>
  <c r="G60" i="146"/>
  <c r="H60" i="146"/>
  <c r="I60" i="146"/>
  <c r="J60" i="146"/>
  <c r="K60" i="146"/>
  <c r="L60" i="146"/>
  <c r="M60" i="146"/>
  <c r="N60" i="146"/>
  <c r="O60" i="146"/>
  <c r="P60" i="146"/>
  <c r="Q60" i="146"/>
  <c r="R60" i="146"/>
  <c r="S60" i="146"/>
  <c r="T60" i="146"/>
  <c r="U60" i="146"/>
  <c r="V60" i="146"/>
  <c r="W60" i="146"/>
  <c r="X60" i="146"/>
  <c r="Y60" i="146"/>
  <c r="Z60" i="146"/>
  <c r="D61" i="146"/>
  <c r="E61" i="146"/>
  <c r="F61" i="146"/>
  <c r="G61" i="146"/>
  <c r="H61" i="146"/>
  <c r="I61" i="146"/>
  <c r="J61" i="146"/>
  <c r="K61" i="146"/>
  <c r="L61" i="146"/>
  <c r="M61" i="146"/>
  <c r="N61" i="146"/>
  <c r="O61" i="146"/>
  <c r="P61" i="146"/>
  <c r="Q61" i="146"/>
  <c r="R61" i="146"/>
  <c r="S61" i="146"/>
  <c r="T61" i="146"/>
  <c r="U61" i="146"/>
  <c r="V61" i="146"/>
  <c r="W61" i="146"/>
  <c r="X61" i="146"/>
  <c r="Y61" i="146"/>
  <c r="Z61" i="146"/>
  <c r="D62" i="146"/>
  <c r="E62" i="146"/>
  <c r="F62" i="146"/>
  <c r="G62" i="146"/>
  <c r="H62" i="146"/>
  <c r="I62" i="146"/>
  <c r="J62" i="146"/>
  <c r="K62" i="146"/>
  <c r="L62" i="146"/>
  <c r="M62" i="146"/>
  <c r="N62" i="146"/>
  <c r="O62" i="146"/>
  <c r="P62" i="146"/>
  <c r="Q62" i="146"/>
  <c r="R62" i="146"/>
  <c r="S62" i="146"/>
  <c r="T62" i="146"/>
  <c r="U62" i="146"/>
  <c r="V62" i="146"/>
  <c r="W62" i="146"/>
  <c r="X62" i="146"/>
  <c r="Y62" i="146"/>
  <c r="Z62" i="146"/>
  <c r="X69" i="146"/>
  <c r="X70" i="146"/>
  <c r="X71" i="146"/>
  <c r="X72" i="146"/>
  <c r="X79" i="146"/>
  <c r="X80" i="146"/>
  <c r="X81" i="146"/>
  <c r="X82" i="146"/>
  <c r="D87" i="146"/>
  <c r="E87" i="146"/>
  <c r="F87" i="146"/>
  <c r="G87" i="146"/>
  <c r="H87" i="146"/>
  <c r="I87" i="146"/>
  <c r="J87" i="146"/>
  <c r="K87" i="146"/>
  <c r="L87" i="146"/>
  <c r="M87" i="146"/>
  <c r="N87" i="146"/>
  <c r="O87" i="146"/>
  <c r="P87" i="146"/>
  <c r="Q87" i="146"/>
  <c r="R87" i="146"/>
  <c r="S87" i="146"/>
  <c r="T87" i="146"/>
  <c r="U87" i="146"/>
  <c r="V87" i="146"/>
  <c r="W87" i="146"/>
  <c r="X87" i="146"/>
  <c r="D88" i="146"/>
  <c r="E88" i="146"/>
  <c r="F88" i="146"/>
  <c r="G88" i="146"/>
  <c r="H88" i="146"/>
  <c r="I88" i="146"/>
  <c r="J88" i="146"/>
  <c r="K88" i="146"/>
  <c r="L88" i="146"/>
  <c r="M88" i="146"/>
  <c r="N88" i="146"/>
  <c r="O88" i="146"/>
  <c r="P88" i="146"/>
  <c r="Q88" i="146"/>
  <c r="R88" i="146"/>
  <c r="S88" i="146"/>
  <c r="T88" i="146"/>
  <c r="U88" i="146"/>
  <c r="V88" i="146"/>
  <c r="W88" i="146"/>
  <c r="X88" i="146"/>
  <c r="D89" i="146"/>
  <c r="E89" i="146"/>
  <c r="F89" i="146"/>
  <c r="G89" i="146"/>
  <c r="H89" i="146"/>
  <c r="I89" i="146"/>
  <c r="J89" i="146"/>
  <c r="K89" i="146"/>
  <c r="L89" i="146"/>
  <c r="M89" i="146"/>
  <c r="N89" i="146"/>
  <c r="O89" i="146"/>
  <c r="P89" i="146"/>
  <c r="Q89" i="146"/>
  <c r="R89" i="146"/>
  <c r="S89" i="146"/>
  <c r="T89" i="146"/>
  <c r="U89" i="146"/>
  <c r="V89" i="146"/>
  <c r="W89" i="146"/>
  <c r="X89" i="146"/>
  <c r="B5" i="139"/>
  <c r="D5" i="139"/>
  <c r="E5" i="139"/>
  <c r="F5" i="139"/>
  <c r="G5" i="139"/>
  <c r="H5" i="139"/>
  <c r="I5" i="139"/>
  <c r="J5" i="139"/>
  <c r="K5" i="139"/>
  <c r="L5" i="139"/>
  <c r="M5" i="139"/>
  <c r="N5" i="139"/>
  <c r="O5" i="139"/>
  <c r="P5" i="139"/>
  <c r="Q5" i="139"/>
  <c r="R5" i="139"/>
  <c r="S5" i="139"/>
  <c r="T5" i="139"/>
  <c r="U5" i="139"/>
  <c r="V5" i="139"/>
  <c r="W5" i="139"/>
  <c r="X5" i="139"/>
  <c r="Y5" i="139"/>
  <c r="Z5" i="139"/>
  <c r="B6" i="139"/>
  <c r="D6" i="139"/>
  <c r="E6" i="139"/>
  <c r="F6" i="139"/>
  <c r="G6" i="139"/>
  <c r="H6" i="139"/>
  <c r="I6" i="139"/>
  <c r="J6" i="139"/>
  <c r="K6" i="139"/>
  <c r="L6" i="139"/>
  <c r="M6" i="139"/>
  <c r="N6" i="139"/>
  <c r="O6" i="139"/>
  <c r="P6" i="139"/>
  <c r="Q6" i="139"/>
  <c r="R6" i="139"/>
  <c r="S6" i="139"/>
  <c r="T6" i="139"/>
  <c r="U6" i="139"/>
  <c r="V6" i="139"/>
  <c r="W6" i="139"/>
  <c r="X6" i="139"/>
  <c r="Y6" i="139"/>
  <c r="Z6" i="139"/>
  <c r="B11" i="139"/>
  <c r="D11" i="139"/>
  <c r="E11" i="139"/>
  <c r="F11" i="139"/>
  <c r="G11" i="139"/>
  <c r="H11" i="139"/>
  <c r="I11" i="139"/>
  <c r="J11" i="139"/>
  <c r="K11" i="139"/>
  <c r="L11" i="139"/>
  <c r="M11" i="139"/>
  <c r="N11" i="139"/>
  <c r="O11" i="139"/>
  <c r="P11" i="139"/>
  <c r="Q11" i="139"/>
  <c r="R11" i="139"/>
  <c r="S11" i="139"/>
  <c r="T11" i="139"/>
  <c r="U11" i="139"/>
  <c r="V11" i="139"/>
  <c r="W11" i="139"/>
  <c r="X11" i="139"/>
  <c r="Y11" i="139"/>
  <c r="Z11" i="139"/>
  <c r="B12" i="139"/>
  <c r="D12" i="139"/>
  <c r="E12" i="139"/>
  <c r="F12" i="139"/>
  <c r="G12" i="139"/>
  <c r="H12" i="139"/>
  <c r="I12" i="139"/>
  <c r="J12" i="139"/>
  <c r="K12" i="139"/>
  <c r="L12" i="139"/>
  <c r="M12" i="139"/>
  <c r="N12" i="139"/>
  <c r="O12" i="139"/>
  <c r="P12" i="139"/>
  <c r="Q12" i="139"/>
  <c r="R12" i="139"/>
  <c r="S12" i="139"/>
  <c r="T12" i="139"/>
  <c r="U12" i="139"/>
  <c r="V12" i="139"/>
  <c r="W12" i="139"/>
  <c r="X12" i="139"/>
  <c r="Y12" i="139"/>
  <c r="Z12" i="13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<sst xmlns="http://schemas.openxmlformats.org/spreadsheetml/2006/main" count="4395" uniqueCount="1109">
  <si>
    <t>INPUTS</t>
  </si>
  <si>
    <t>Selected Scenario</t>
  </si>
  <si>
    <t xml:space="preserve">Description </t>
  </si>
  <si>
    <t>Badger
Veriz or ATT</t>
  </si>
  <si>
    <t>YEAR 1 OF MODEL</t>
  </si>
  <si>
    <t>CURRENT METER COUNTS (2" and smaller)</t>
  </si>
  <si>
    <t>Manual Meters Current</t>
  </si>
  <si>
    <t>AMR Meters Current</t>
  </si>
  <si>
    <t>AMI Meters Current</t>
  </si>
  <si>
    <t>Total Meters</t>
  </si>
  <si>
    <t>&lt;-Expand</t>
  </si>
  <si>
    <t>CAPITAL RELATED INPUTS</t>
  </si>
  <si>
    <t>Meter Book Depreciation Rate (Align for purposes of analysis with Life of 5/8" and 1" meters).  Note, no capex allocated to Accumulated cost of removal, so this rate is pushed against all capex)</t>
  </si>
  <si>
    <t>Meter Tax Depreciation Rate</t>
  </si>
  <si>
    <t>Property Tax Rate / Net Plant</t>
  </si>
  <si>
    <t>Replace Meter and Endpoint again in model?</t>
  </si>
  <si>
    <t>yes</t>
  </si>
  <si>
    <t>Target years of service</t>
  </si>
  <si>
    <t>Portion of Retirement Estimate to Use</t>
  </si>
  <si>
    <t>Discount Years for Retirement Estimate Before 1st Cycle Complete</t>
  </si>
  <si>
    <t>Discount Years for Retirement Estimated After 1st Cycle Complete</t>
  </si>
  <si>
    <t>Inflation Rate Meter Materials</t>
  </si>
  <si>
    <t>% Neptune</t>
  </si>
  <si>
    <t>Badger Neptune Split</t>
  </si>
  <si>
    <t>Head End Fees per AMR Meter</t>
  </si>
  <si>
    <t>Head End Fees per AMI Meter</t>
  </si>
  <si>
    <t>Badger AMI Endpoint</t>
  </si>
  <si>
    <t>Neptune AMI Endpoint</t>
  </si>
  <si>
    <t>Badger AMR Endpoint</t>
  </si>
  <si>
    <t>Neptune AMR Endpoint</t>
  </si>
  <si>
    <t>Contractor Rate Year 1</t>
  </si>
  <si>
    <t>Use Contractor or Internal Labor</t>
  </si>
  <si>
    <t>Contractor</t>
  </si>
  <si>
    <t>Number of Years for AMR Lids</t>
  </si>
  <si>
    <t>Number of Years for AMI Lids</t>
  </si>
  <si>
    <t>% of AMI Needing Lids</t>
  </si>
  <si>
    <t>Estimated Starting Balance Meters UPIS</t>
  </si>
  <si>
    <t>Estimated Starting Balance Meters Accum Dep</t>
  </si>
  <si>
    <t>ADDITIONAL METERS AND/OR ENDPOINTS</t>
  </si>
  <si>
    <t xml:space="preserve">Endpoint only or meter &amp; endpoint </t>
  </si>
  <si>
    <t>meter and endpoint</t>
  </si>
  <si>
    <t>Year 1 Additional Endpoints/Meters on Existing AMI</t>
  </si>
  <si>
    <t>Year 1 Additional Endpoints/Meters on Existing AMR</t>
  </si>
  <si>
    <t>Year 1 Additional Endpoints/Meters on Existing Manual</t>
  </si>
  <si>
    <t>Year 2 Additional Endpoints/Meters on Existing AMI</t>
  </si>
  <si>
    <t>Year 2 Additional Endpoints/Meters on Existing AMR</t>
  </si>
  <si>
    <t>Year 2 Additional Endpoints/Meters on Existing Manual</t>
  </si>
  <si>
    <t>Year 3 Additional Endpoints/Meters on Existing AMI</t>
  </si>
  <si>
    <t>Year 3 Additional Endpoints/Meters on Existing AMR</t>
  </si>
  <si>
    <t>Year 3 Additional Endpoints/Meters on Existing Manual</t>
  </si>
  <si>
    <t>Year 4 Additional Endpoints/Meters on Existing AMI</t>
  </si>
  <si>
    <t>Year 4 Additional Endpoints/Meters on Existing AMR</t>
  </si>
  <si>
    <t>Year 4 Additional Endpoints/Meters on Existing Manual</t>
  </si>
  <si>
    <t>Year 5 Additional Endpoints/Meters on Existing AMI</t>
  </si>
  <si>
    <t>Year 5 Additional Endpoints/Meters on Existing AMR</t>
  </si>
  <si>
    <t>Year 5 Additional Endpoints/Meters on Existing Manual</t>
  </si>
  <si>
    <t>Year 6 Additional Endpoints/Meters on Existing AMI</t>
  </si>
  <si>
    <t>Year 6 Additional Endpoints/Meters on Existing AMR</t>
  </si>
  <si>
    <t>Year 6 Additional Endpoints/Meters on Existing Manual</t>
  </si>
  <si>
    <t>Year 7 Additional Endpoints/Meters on Existing AMI</t>
  </si>
  <si>
    <t>Year 7 Additional Endpoints/Meters on Existing AMR</t>
  </si>
  <si>
    <t>Year 7 Additional Endpoints/Meters on Existing Manual</t>
  </si>
  <si>
    <t>Year 8 Additional Endpoints/Meters on Existing AMI</t>
  </si>
  <si>
    <t>Year 8 Additional Endpoints/Meters on Existing AMR</t>
  </si>
  <si>
    <t>Year 8 Additional Endpoints/Meters on Existing Manual</t>
  </si>
  <si>
    <t>Year 9 Additional Endpoints/Meters on Existing AMI</t>
  </si>
  <si>
    <t>Year 9 Additional Endpoints/Meters on Existing AMR</t>
  </si>
  <si>
    <t>Year 9 Additional Endpoints/Meters on Existing Manual</t>
  </si>
  <si>
    <t>Year 10 Additional Endpoints/Meters on Existing AMI</t>
  </si>
  <si>
    <t>Year 10 Additional Endpoints/Meters on Existing AMR</t>
  </si>
  <si>
    <t>Year 10 Additional Endpoints/Meters on Existing Manual</t>
  </si>
  <si>
    <t>Year 11 Additional Endpoints/Meters on Existing AMI</t>
  </si>
  <si>
    <t>Year 11 Additional Endpoints/Meters on Existing AMR</t>
  </si>
  <si>
    <t>Year 11 Additional Endpoints/Meters on Existing Manual</t>
  </si>
  <si>
    <t>Year 12 Additional Endpoints/Meters on Existing AMR</t>
  </si>
  <si>
    <t>Year 12 Additional Endpoints/Meters on Existing Manual</t>
  </si>
  <si>
    <t>Year 13 Additional Endpoints/Meters on Existing AMI</t>
  </si>
  <si>
    <t>Year 13 Additional Endpoints/Meters on Existing AMR</t>
  </si>
  <si>
    <t>Year 13 Additional Endpoints/Meters on Existing Manual</t>
  </si>
  <si>
    <t>Year 14 Additional Endpoints/Meters on Existing AMI</t>
  </si>
  <si>
    <t>Year 14 Additional Endpoints/Meters on Existing AMR</t>
  </si>
  <si>
    <t>Year 14 Additional Endpoints/Meters on Existing Manual</t>
  </si>
  <si>
    <t>Year 15 Additional Endpoints/Meters on Existing AMI</t>
  </si>
  <si>
    <t>Year 15 Additional Endpoints/Meters on Existing AMR</t>
  </si>
  <si>
    <t>Year 15 Additional Endpoints/Meters on Existing Manual</t>
  </si>
  <si>
    <t>&lt;--Expand Endpoints</t>
  </si>
  <si>
    <t>HYBRID VIEW: AMI COLLECTORS (Only counted in Hybrid view)</t>
  </si>
  <si>
    <t>Collector Unit Price Year 1</t>
  </si>
  <si>
    <t>Cost to Remove a Collector Upon Retirement</t>
  </si>
  <si>
    <t>Maintenance Expense Per Collector / year</t>
  </si>
  <si>
    <t>Annual Subscription Cost per Meter</t>
  </si>
  <si>
    <t>Lease / Right of Way Costs per Collector</t>
  </si>
  <si>
    <t>Are above costs subject to inflation?</t>
  </si>
  <si>
    <t>Expected year when company would have to finance replacement of collector</t>
  </si>
  <si>
    <t>Collector Depreciation Rate</t>
  </si>
  <si>
    <t>Units</t>
  </si>
  <si>
    <t>Collector Units Installed Year 1</t>
  </si>
  <si>
    <t>Collector Units Installed Year 2</t>
  </si>
  <si>
    <t>Collector Units Installed Year 3</t>
  </si>
  <si>
    <t>Collector Units Installed Year 4</t>
  </si>
  <si>
    <t>Collector Units Installed Year 5</t>
  </si>
  <si>
    <t>Collector Units Installed Year 6</t>
  </si>
  <si>
    <t>Collector Units Installed Year 7</t>
  </si>
  <si>
    <t>Collector Units Installed Year 8</t>
  </si>
  <si>
    <t>Collector Units Installed Year 9</t>
  </si>
  <si>
    <t>Collector Units Installed Year 10</t>
  </si>
  <si>
    <t>Coverage</t>
  </si>
  <si>
    <t>% Coverage Achieved by Collectors Year 1</t>
  </si>
  <si>
    <t>% Coverage Achieved by Collectors Year 2</t>
  </si>
  <si>
    <t>% Coverage Achieved by Collectors Year 3</t>
  </si>
  <si>
    <t>% Coverage Achieved by Collectors Year 4</t>
  </si>
  <si>
    <t>% Coverage Achieved by Collectors Year 5</t>
  </si>
  <si>
    <t>% Coverage Achieved by Collectors Year 6</t>
  </si>
  <si>
    <t>% Coverage Achieved by Collectors Year 7</t>
  </si>
  <si>
    <t>% Coverage Achieved by Collectors Year 8</t>
  </si>
  <si>
    <t>% Coverage Achieved by Collectors Year 9</t>
  </si>
  <si>
    <t>% Coverage Achieved by Collectors Year 10</t>
  </si>
  <si>
    <t>Cellular Saturation Plateaus for Retiring Collectors</t>
  </si>
  <si>
    <t>Plateau 1</t>
  </si>
  <si>
    <t>Plateau 2</t>
  </si>
  <si>
    <t>Plateau 3</t>
  </si>
  <si>
    <t>Saturation plateau  retirement factor</t>
  </si>
  <si>
    <t>Plateau 1 Retirement Factor</t>
  </si>
  <si>
    <t>Plateau 2 Retirement Factor</t>
  </si>
  <si>
    <t>Plateau 3 Retirement Factor</t>
  </si>
  <si>
    <t>TAX AND FINANCING</t>
  </si>
  <si>
    <t>Subsidiary Equity Rate of Return</t>
  </si>
  <si>
    <t>Tax Gross Up on Equity Return</t>
  </si>
  <si>
    <t>Subsidiary Debt Ratio</t>
  </si>
  <si>
    <t>Subsidiary Equity Ratio</t>
  </si>
  <si>
    <t>Effective Income Tax Rate</t>
  </si>
  <si>
    <t>Uncollectibles and Utility Reg Assessment Fee</t>
  </si>
  <si>
    <t>Long Term  Debt Rate year 1</t>
  </si>
  <si>
    <t>Long Term  Debt Rate year 2</t>
  </si>
  <si>
    <t>Long Term  Debt Rate year 3</t>
  </si>
  <si>
    <t>Long Term  Debt Rate year 4</t>
  </si>
  <si>
    <t>Long Term  Debt Rate year 5</t>
  </si>
  <si>
    <t>Long Term  Debt Rate year 6</t>
  </si>
  <si>
    <t>Long Term  Debt Rate year 7</t>
  </si>
  <si>
    <t>Long Term  Debt Rate year 8</t>
  </si>
  <si>
    <t>Long Term  Debt Rate year 9</t>
  </si>
  <si>
    <t>Long Term  Debt Rate year 10</t>
  </si>
  <si>
    <t>FSR AND METER READING LABOR</t>
  </si>
  <si>
    <t>Labor</t>
  </si>
  <si>
    <t>Inflation Rate - Union Labor</t>
  </si>
  <si>
    <t>Overhead Rate for Labor</t>
  </si>
  <si>
    <t>Meter Reading</t>
  </si>
  <si>
    <t>Yr 1 Hourly Labor - Meter Read</t>
  </si>
  <si>
    <t xml:space="preserve">Number of Meter Readers </t>
  </si>
  <si>
    <t>a) Saturation plateaus</t>
  </si>
  <si>
    <t>Plateau 1 %</t>
  </si>
  <si>
    <t>Plateau 2 %</t>
  </si>
  <si>
    <t>Plateau 3 %</t>
  </si>
  <si>
    <t>Plateau 4 %</t>
  </si>
  <si>
    <t>b) Saturation Plateau Benefit  Factors (portion of available  benefit accessible at level of saturation</t>
  </si>
  <si>
    <t>Factor Plateau 1</t>
  </si>
  <si>
    <t>Factor Plateau 2</t>
  </si>
  <si>
    <t>Factor Plateau 3</t>
  </si>
  <si>
    <t>Factor Plateau 4</t>
  </si>
  <si>
    <t>FSR - Service Order Improvements w AMI</t>
  </si>
  <si>
    <t>Yr 1 Hourly Labor - FSR</t>
  </si>
  <si>
    <t>Back Off. Review Investigation</t>
  </si>
  <si>
    <t>Change Meter</t>
  </si>
  <si>
    <t>Check MeterVerif Serial #&amp;Read</t>
  </si>
  <si>
    <t>Inspect for Leak, Hi/Lo Usage</t>
  </si>
  <si>
    <t>Move Out, Leave On, Final Read</t>
  </si>
  <si>
    <t>Move Out,Turn Off</t>
  </si>
  <si>
    <t>Must Read MetersBillingUseOnly</t>
  </si>
  <si>
    <t>New Cust, Read, Leave On</t>
  </si>
  <si>
    <t>Priority Read for Billing</t>
  </si>
  <si>
    <t>Read</t>
  </si>
  <si>
    <t>Stop Consec Est - Inside</t>
  </si>
  <si>
    <t>Stop Consec Est - Outside</t>
  </si>
  <si>
    <t>Repair/Install Reading Device</t>
  </si>
  <si>
    <t>Zero Usage - See if Mtr Stuck</t>
  </si>
  <si>
    <t>FSR Transit Time Per Order (in Minutes)</t>
  </si>
  <si>
    <t>OTHER EXPENSES</t>
  </si>
  <si>
    <t>Inflation Rate All Costs Not Speciifed Elsewhere</t>
  </si>
  <si>
    <t>DISCOUNT RATE</t>
  </si>
  <si>
    <t>Discount</t>
  </si>
  <si>
    <t>DiscountWater</t>
  </si>
  <si>
    <t>Use alternative for discount</t>
  </si>
  <si>
    <t>Other Rate for Discount</t>
  </si>
  <si>
    <t>SCENARIO COMPARISON: ANNUAL COST OR (BENEFIT) TO CUSTOMERS  - Nominal $</t>
  </si>
  <si>
    <t>AMI</t>
  </si>
  <si>
    <t>Scenario</t>
  </si>
  <si>
    <t>20-Yr Total</t>
  </si>
  <si>
    <t>Like</t>
  </si>
  <si>
    <t>% of Value</t>
  </si>
  <si>
    <t>Mid</t>
  </si>
  <si>
    <t>Badger AMI net of other solutions</t>
  </si>
  <si>
    <t>vs. Badger AMR</t>
  </si>
  <si>
    <t>vs. Neptune AMR</t>
  </si>
  <si>
    <t>vs. Neptune AMI</t>
  </si>
  <si>
    <t>NPV of Cost or (Benefit)</t>
  </si>
  <si>
    <t>1-5 years</t>
  </si>
  <si>
    <t>6-10 years</t>
  </si>
  <si>
    <t>11-15 year</t>
  </si>
  <si>
    <t>15-20</t>
  </si>
  <si>
    <t>NPV</t>
  </si>
  <si>
    <t>Variance- AMI to Existing Tech</t>
  </si>
  <si>
    <t>COST TO CUSTOMER COMPARISON</t>
  </si>
  <si>
    <t>1) AMI CELLULAR</t>
  </si>
  <si>
    <t>5 -Yr Total</t>
  </si>
  <si>
    <t>10-Yr Total</t>
  </si>
  <si>
    <t>Maintenance, Subscription Fees, Lease</t>
  </si>
  <si>
    <t>Head End Fees</t>
  </si>
  <si>
    <t>Depreciation</t>
  </si>
  <si>
    <t>Property Tax</t>
  </si>
  <si>
    <t>Pre Tax Rate of Return</t>
  </si>
  <si>
    <t>Revenue Taxes</t>
  </si>
  <si>
    <t>Subtotal Costs</t>
  </si>
  <si>
    <t>Meter Reading Benefit</t>
  </si>
  <si>
    <t>Service Order Benefit</t>
  </si>
  <si>
    <t>Vehicle Fleet Fuel and Maintenance</t>
  </si>
  <si>
    <t>Benefits</t>
  </si>
  <si>
    <t>Net Cost or (Benefit) - Fleet Labor Only</t>
  </si>
  <si>
    <t xml:space="preserve">Discount </t>
  </si>
  <si>
    <t>Net Present Value of Cost or (Benefit) to Customer Year 0</t>
  </si>
  <si>
    <t>Subtotal Benefits</t>
  </si>
  <si>
    <t>3) EXISTING TECH</t>
  </si>
  <si>
    <t>Capex Comparison</t>
  </si>
  <si>
    <t>Existing Tech</t>
  </si>
  <si>
    <t>Accumulated Capex</t>
  </si>
  <si>
    <t>10-Year Accumulated Capex</t>
  </si>
  <si>
    <t>20-Year Accumulated Capex</t>
  </si>
  <si>
    <t>Quantity of Meters</t>
  </si>
  <si>
    <t>% of System</t>
  </si>
  <si>
    <t>Lids</t>
  </si>
  <si>
    <t>AMR</t>
  </si>
  <si>
    <t>Retires Comparison</t>
  </si>
  <si>
    <t>Existing Technology</t>
  </si>
  <si>
    <t>Costs Comparison</t>
  </si>
  <si>
    <t>Benefits Comparison</t>
  </si>
  <si>
    <t>Accumulated Benefits</t>
  </si>
  <si>
    <t>Average % Transition to AMI</t>
  </si>
  <si>
    <t>Badger AMI</t>
  </si>
  <si>
    <t>Total</t>
  </si>
  <si>
    <t>Technology Type</t>
  </si>
  <si>
    <t>n/a</t>
  </si>
  <si>
    <t>Scenario Displayed</t>
  </si>
  <si>
    <t>Scenario Description</t>
  </si>
  <si>
    <t>Incremental Capital</t>
  </si>
  <si>
    <t>Capex (inclusive of both removal and installation costs)</t>
  </si>
  <si>
    <t>Retirements</t>
  </si>
  <si>
    <r>
      <t xml:space="preserve">Incremental Annual Cost Net of Benefits </t>
    </r>
    <r>
      <rPr>
        <u/>
        <sz val="12"/>
        <color theme="1"/>
        <rFont val="Calibri"/>
        <family val="2"/>
      </rPr>
      <t>(Capital Shown from Customer Perspective: Depreciation &amp; Pre-Tax Return)</t>
    </r>
  </si>
  <si>
    <t>Maintenance, Subscription Fees, and Lease Fees, if applicable</t>
  </si>
  <si>
    <t>Incremental Costs</t>
  </si>
  <si>
    <t>Efficiency- Meter Reading Labor</t>
  </si>
  <si>
    <t>Efficiency - Service Order Labor</t>
  </si>
  <si>
    <t>Efficiency - Vehicle fleet cost, fuel, maintenance</t>
  </si>
  <si>
    <t>Incremental Benefits</t>
  </si>
  <si>
    <t>Costs Net of (Benefits)</t>
  </si>
  <si>
    <t>Rate</t>
  </si>
  <si>
    <t>Total Costs Net of (Benefits)</t>
  </si>
  <si>
    <t>METERS AND ENDPOINTS TO REPLACE</t>
  </si>
  <si>
    <t>LOS SCHEDULE - Live Pivot</t>
  </si>
  <si>
    <t>Sum of Number of Records</t>
  </si>
  <si>
    <t>Alternate Year of Replacement (10 vs. 15)</t>
  </si>
  <si>
    <t>Endpoint Type</t>
  </si>
  <si>
    <t>Type of Replacement LOS</t>
  </si>
  <si>
    <t>Location</t>
  </si>
  <si>
    <t>Grand Total</t>
  </si>
  <si>
    <t>Endpoint Only</t>
  </si>
  <si>
    <t>Inside</t>
  </si>
  <si>
    <t>Outside</t>
  </si>
  <si>
    <t>Meter &amp; Endpoint</t>
  </si>
  <si>
    <t>Manual</t>
  </si>
  <si>
    <t>&lt;- Live Pivot</t>
  </si>
  <si>
    <t>LOS SCHEDULE - Pasted Pivot (mind years- should begin with year 1 and do not paste any grand total columns</t>
  </si>
  <si>
    <t>Inside Percent</t>
  </si>
  <si>
    <t>Additional Units</t>
  </si>
  <si>
    <t>Addiitonal Replacements on Existing AMI</t>
  </si>
  <si>
    <t>EndpointInside</t>
  </si>
  <si>
    <t>EndpointOutside</t>
  </si>
  <si>
    <t>BothInside</t>
  </si>
  <si>
    <t>BothOutside</t>
  </si>
  <si>
    <t>Additional Replacements on Existing AMR</t>
  </si>
  <si>
    <t>Additional Replacements on Existing Manual</t>
  </si>
  <si>
    <t>Converted to</t>
  </si>
  <si>
    <t>Manual Units Converted</t>
  </si>
  <si>
    <t>AMR Units Converted</t>
  </si>
  <si>
    <t>Secondary Replacement yes / no:</t>
  </si>
  <si>
    <t>Secondary Repalcement at Year:</t>
  </si>
  <si>
    <t>Total Meters Replaced</t>
  </si>
  <si>
    <t>Price of Meters</t>
  </si>
  <si>
    <t>Price Grouping</t>
  </si>
  <si>
    <t>Badger-Neptune Split</t>
  </si>
  <si>
    <t>AMIEndpointInside</t>
  </si>
  <si>
    <t>AMIEndpointOutside</t>
  </si>
  <si>
    <t>AMIBothInside</t>
  </si>
  <si>
    <t>AMIBothOutside</t>
  </si>
  <si>
    <t>AMREndpointInside</t>
  </si>
  <si>
    <t>AMREndpointOutside</t>
  </si>
  <si>
    <t>AMRBothInside</t>
  </si>
  <si>
    <t>AMRBothOutside</t>
  </si>
  <si>
    <t>ManualInside</t>
  </si>
  <si>
    <t>ManualOutside</t>
  </si>
  <si>
    <t>COLLECTORS</t>
  </si>
  <si>
    <t>Inflation?</t>
  </si>
  <si>
    <t>Price</t>
  </si>
  <si>
    <t>Quantity of collectors</t>
  </si>
  <si>
    <t>Total Collector Capex</t>
  </si>
  <si>
    <t>Accumulated Collectors Installed</t>
  </si>
  <si>
    <t>Cost to Remove Collector</t>
  </si>
  <si>
    <t>Saturation of Collector Service (ignore pre-2021 AMI meters)</t>
  </si>
  <si>
    <t>% of System on Collectors</t>
  </si>
  <si>
    <t># of AMR meters not yet converted to celluar</t>
  </si>
  <si>
    <t># of meters on collectors (and not converted to cellular )</t>
  </si>
  <si>
    <t>Subscription Cost Per Meter</t>
  </si>
  <si>
    <t>Subscription Expense (1/2 year principle via average number of meters</t>
  </si>
  <si>
    <t>Conversion Factor</t>
  </si>
  <si>
    <t>% of System Converted to Cellular</t>
  </si>
  <si>
    <t>Conversion Factor for Retirements Given Cellular Saturation</t>
  </si>
  <si>
    <t>Accumulated Collectors Retired due to cellular conversion</t>
  </si>
  <si>
    <t>Years of Service</t>
  </si>
  <si>
    <t>Collectors presumed retired due to age</t>
  </si>
  <si>
    <t>Total Accumulated Collectors Retired</t>
  </si>
  <si>
    <t>Average Price to Date</t>
  </si>
  <si>
    <t>Estimated Value of Accumulated Retired Collectors</t>
  </si>
  <si>
    <t>Collectors in Service</t>
  </si>
  <si>
    <t>Maintenance Expense - Price per collector</t>
  </si>
  <si>
    <t>Maintenance Expense</t>
  </si>
  <si>
    <t>Right of Way or Lease Cost / Collector</t>
  </si>
  <si>
    <t>Right of Way / Lease Expense</t>
  </si>
  <si>
    <t>Lease Expense</t>
  </si>
  <si>
    <t>CAPITAL COSTS - INSTALLED METERS &amp; COLLECTORS</t>
  </si>
  <si>
    <t>Capex Meters (2" and smaller)</t>
  </si>
  <si>
    <t>Capex Secondary  Replacement Meters 2" and smaller</t>
  </si>
  <si>
    <t>Capex Collectors</t>
  </si>
  <si>
    <t>Capex Additional Endpoints &amp; or Meters</t>
  </si>
  <si>
    <t>Total Incremental Capex</t>
  </si>
  <si>
    <t xml:space="preserve">Accumulated Capex </t>
  </si>
  <si>
    <t xml:space="preserve">Average Accumulated Capex </t>
  </si>
  <si>
    <t>Mar 2023 for year 0-&gt;</t>
  </si>
  <si>
    <t>Apply Retirements</t>
  </si>
  <si>
    <t>Estimated Value of Meter Retirement Activity</t>
  </si>
  <si>
    <t>Estimated Value of Meter Retirement Activity for Secondary Replacement</t>
  </si>
  <si>
    <t>Estimated Value of Retired Collectors</t>
  </si>
  <si>
    <t>Estimated Value of Retired Additional Endpoints &amp; or Meters</t>
  </si>
  <si>
    <t>Total Incremental Retirements</t>
  </si>
  <si>
    <t>Estimated Accumulated Value of Retired Capex</t>
  </si>
  <si>
    <t>Estimated Average Accumulated Value of Retired Meters</t>
  </si>
  <si>
    <t>Accumulated UPIS Change</t>
  </si>
  <si>
    <t>Average Accumulated UPIS</t>
  </si>
  <si>
    <t>Average Accumulated UPIS Change (Total)</t>
  </si>
  <si>
    <t>Average Accumulated UPIS Change Collectors</t>
  </si>
  <si>
    <t>Depreciation Expense</t>
  </si>
  <si>
    <t>Incremental Depreciation Expense</t>
  </si>
  <si>
    <t>Accumulated Depreciation Meters</t>
  </si>
  <si>
    <t>Accumulated Depreciation Retirements</t>
  </si>
  <si>
    <t>Accumulated Depreciation Cost of Removal</t>
  </si>
  <si>
    <t>Average Accumulated Depreciation</t>
  </si>
  <si>
    <t>Incremental Average Accuulated Depreciaiton</t>
  </si>
  <si>
    <t>Average Net Book Value</t>
  </si>
  <si>
    <t>Tax Depreciation</t>
  </si>
  <si>
    <t>Tax write down at secondary replacement</t>
  </si>
  <si>
    <t>Book vs. Tax Depreciation</t>
  </si>
  <si>
    <t>Deferred Income Tax</t>
  </si>
  <si>
    <t>Accumulated Deferred Income Tax</t>
  </si>
  <si>
    <t>Average Accumulated Deferred Income Tax</t>
  </si>
  <si>
    <t>Average Rate Base</t>
  </si>
  <si>
    <t>year end year 0-&gt;</t>
  </si>
  <si>
    <t>Incremental Average Rate Base</t>
  </si>
  <si>
    <t>Property Tax Expense</t>
  </si>
  <si>
    <t>Incremental Property Tax Expense</t>
  </si>
  <si>
    <t>Year End Rate Base</t>
  </si>
  <si>
    <t>Incremental financing by component</t>
  </si>
  <si>
    <t>Ratio</t>
  </si>
  <si>
    <t>Debt</t>
  </si>
  <si>
    <t>Equity</t>
  </si>
  <si>
    <t>LT Debt Rate</t>
  </si>
  <si>
    <t>Incremental Interest Expense</t>
  </si>
  <si>
    <t>Running Total Calendar Year Incremental Interest Expense</t>
  </si>
  <si>
    <t>Incremental Equity Return for Revenue Requirement</t>
  </si>
  <si>
    <t>Running Total Calendar Year Incremental Equity Return for Revenue Requirement</t>
  </si>
  <si>
    <t>Incremental Income Tax Gross Up</t>
  </si>
  <si>
    <t>Calendar Year Income Tax Gross Up for Revenue Requirement</t>
  </si>
  <si>
    <t>Check: Sum PreTax Return on Incremental Rate Base</t>
  </si>
  <si>
    <t>After Tax Rate of Return</t>
  </si>
  <si>
    <t>EXPENSES</t>
  </si>
  <si>
    <t>Inflation</t>
  </si>
  <si>
    <t>AMR Meters replaced</t>
  </si>
  <si>
    <t>Head End Fees Per AMR Meter</t>
  </si>
  <si>
    <t>AMI Meters replaced</t>
  </si>
  <si>
    <t>Efficiency - Meter Reading Labor</t>
  </si>
  <si>
    <t>Manual Read Meters</t>
  </si>
  <si>
    <t>AMR Meters w/out Collectors</t>
  </si>
  <si>
    <t>AMI Meters or AMR w/ Collector</t>
  </si>
  <si>
    <t>Year End:</t>
  </si>
  <si>
    <t>% System Manual</t>
  </si>
  <si>
    <t>% System AMR</t>
  </si>
  <si>
    <t>% System AMI</t>
  </si>
  <si>
    <t>% AMI Transition Complete</t>
  </si>
  <si>
    <t>Average % AMI Transition Complete (for Meter Reading Plateaus)</t>
  </si>
  <si>
    <t>Reads Per Year</t>
  </si>
  <si>
    <t>Full Time Meter Readers</t>
  </si>
  <si>
    <t>Time Per Read for AMR / Manual (in Hours)</t>
  </si>
  <si>
    <t>Optimum Hours for Reading Meters (in Hours)</t>
  </si>
  <si>
    <t>Plateau Factor</t>
  </si>
  <si>
    <t>Hours for Reading Meters -with Plateaus</t>
  </si>
  <si>
    <t>Time for Reading Meters with Plateaus  - 1/2 Year Principle</t>
  </si>
  <si>
    <t>Meter Reader Labor Rate + Overhead</t>
  </si>
  <si>
    <t>Total Labor Hours Benefit (1/2 Year Principle)</t>
  </si>
  <si>
    <t>Meter Reading Pro Forma</t>
  </si>
  <si>
    <t>Baseline (Inflation Only x 2020 Meter types)</t>
  </si>
  <si>
    <t>Labor Benefit</t>
  </si>
  <si>
    <t>FSR Labor Cost with Overhead &amp; Non-Prod Gross Up</t>
  </si>
  <si>
    <t>Total Service Orders</t>
  </si>
  <si>
    <t>All Service Orders- Avg Hours</t>
  </si>
  <si>
    <t>Total Service Orders Hours</t>
  </si>
  <si>
    <t>Implied FTE</t>
  </si>
  <si>
    <t>Baseline Service Order FSR Labor + Overhead Cost</t>
  </si>
  <si>
    <t>Total Service Order Opportunity</t>
  </si>
  <si>
    <t>% of AMI Completion</t>
  </si>
  <si>
    <t>AMI % Completion (1/2 year principle)</t>
  </si>
  <si>
    <t>Service Orders Reduced (half year principle)</t>
  </si>
  <si>
    <t>Hours Per Reduced Service Order</t>
  </si>
  <si>
    <t>Labor Benefit from Service Orders (1/2 year principle)</t>
  </si>
  <si>
    <t>FSR Labor Benefit for Service Order Reduction (1/2 year principle)</t>
  </si>
  <si>
    <t>FSR Service Order Labor &amp; Overhead</t>
  </si>
  <si>
    <t>Efficiency - Vehicale Fleet Cost, Fuel, Maintenance</t>
  </si>
  <si>
    <t>Total Hours of Benefit FSR and Meter Readers</t>
  </si>
  <si>
    <t>Total Potential Vehicle Quantity Benefit (Presume 2088 Hours = 1 FTE = 1 Vehicle)</t>
  </si>
  <si>
    <t>Miles per pick up truck</t>
  </si>
  <si>
    <t>MPG pick up trucks</t>
  </si>
  <si>
    <t>Cost Per Gallon</t>
  </si>
  <si>
    <t>--&gt; per EIA nominal estimate</t>
  </si>
  <si>
    <t>Fuel cost benefit</t>
  </si>
  <si>
    <t>Maintenance cost per light duty vehicle</t>
  </si>
  <si>
    <t>Maintenance cost benefit</t>
  </si>
  <si>
    <t>NBV Per Vehicle</t>
  </si>
  <si>
    <t>Pre-Tax Rate of Return on New Investment</t>
  </si>
  <si>
    <t>Pre-Tax Return Per Vehicle</t>
  </si>
  <si>
    <t>Depreciation per vehicle</t>
  </si>
  <si>
    <t>Vehicle Benefit (1/2 year principle)</t>
  </si>
  <si>
    <t>Total vehicle related benefits</t>
  </si>
  <si>
    <t>Total Service Orders 2020 (all kinds)</t>
  </si>
  <si>
    <t>Cellular</t>
  </si>
  <si>
    <t>Accumualted UPIS</t>
  </si>
  <si>
    <t>Inventory of Meters 2" or Smaller</t>
  </si>
  <si>
    <t>Count of Records</t>
  </si>
  <si>
    <t>As of March 12, 2025</t>
  </si>
  <si>
    <t>INVENTORY FIELD</t>
  </si>
  <si>
    <t>INVENTORY FIELD (EXCEPT FOR SUM)</t>
  </si>
  <si>
    <t>Oper System Status</t>
  </si>
  <si>
    <t>Function Class/Meter</t>
  </si>
  <si>
    <t>Company code</t>
  </si>
  <si>
    <t>Manufacturer</t>
  </si>
  <si>
    <t>Endpoint</t>
  </si>
  <si>
    <t>MR Device End Pt Ty1</t>
  </si>
  <si>
    <t>Certification Year</t>
  </si>
  <si>
    <t>Cal Val</t>
  </si>
  <si>
    <t>Number of Records</t>
  </si>
  <si>
    <t>Anticipated Year of Replacement</t>
  </si>
  <si>
    <t>LOS Group</t>
  </si>
  <si>
    <t>State-LOS Year</t>
  </si>
  <si>
    <t>Already AMI (Y/N)</t>
  </si>
  <si>
    <t>AMI Year of Replacement(LOS)</t>
  </si>
  <si>
    <t>Calibration Limit</t>
  </si>
  <si>
    <t>Co</t>
  </si>
  <si>
    <t>Alternate age at replacement</t>
  </si>
  <si>
    <t>x</t>
  </si>
  <si>
    <t>Age</t>
  </si>
  <si>
    <t>Sumproduct</t>
  </si>
  <si>
    <t>Sum</t>
  </si>
  <si>
    <t>INST</t>
  </si>
  <si>
    <t>5/8" Water Meter Size</t>
  </si>
  <si>
    <t>KY</t>
  </si>
  <si>
    <t>Badger</t>
  </si>
  <si>
    <t>Badger - ME - RF - AMR</t>
  </si>
  <si>
    <t>Neptune - RF - AMR</t>
  </si>
  <si>
    <t>Badger - ATT Cellular - AMI</t>
  </si>
  <si>
    <t>Mueller - RF - AMR</t>
  </si>
  <si>
    <t>Neptune - RF-AMI-Fixed Network</t>
  </si>
  <si>
    <t>Hersey</t>
  </si>
  <si>
    <t>Mueller</t>
  </si>
  <si>
    <t>Neptune</t>
  </si>
  <si>
    <t>2" Water Meter Size</t>
  </si>
  <si>
    <t>Master Meter</t>
  </si>
  <si>
    <t>Badger - VZN Cellular - AMI</t>
  </si>
  <si>
    <t>Sensus</t>
  </si>
  <si>
    <t>1-1/2" Water Meter Size</t>
  </si>
  <si>
    <t>1" Water Meter Size</t>
  </si>
  <si>
    <t>Kentucky-American Water</t>
  </si>
  <si>
    <t>blank</t>
  </si>
  <si>
    <t>LOS Only</t>
  </si>
  <si>
    <t>Target  number</t>
  </si>
  <si>
    <t>Target Number of Meters</t>
  </si>
  <si>
    <t>Adjustment needed</t>
  </si>
  <si>
    <t>Deduct from 2026</t>
  </si>
  <si>
    <t>Add to  2033</t>
  </si>
  <si>
    <t>Targeted replacement cycle without adjustment</t>
  </si>
  <si>
    <t>Age at replacement, first cycle</t>
  </si>
  <si>
    <t>Target</t>
  </si>
  <si>
    <t>Adjustment</t>
  </si>
  <si>
    <t>Avg Retired Property Age</t>
  </si>
  <si>
    <t># Hersey/ Mueller</t>
  </si>
  <si>
    <t>Meters Analyzed by Size (2" and Smaller)</t>
  </si>
  <si>
    <t>Live Pivot</t>
  </si>
  <si>
    <t>Manually populate based on pivot</t>
  </si>
  <si>
    <t>5/8"</t>
  </si>
  <si>
    <t>3/4"</t>
  </si>
  <si>
    <t>(blank)</t>
  </si>
  <si>
    <t>1"</t>
  </si>
  <si>
    <t>1.5"</t>
  </si>
  <si>
    <t>2"</t>
  </si>
  <si>
    <t>Details for Sum of Number of Records - Endpoint: Mueller - RF - AMR, Endpoint Type: AMR, Co: KY</t>
  </si>
  <si>
    <t>KY 2025</t>
  </si>
  <si>
    <t>N</t>
  </si>
  <si>
    <t>KY 2026</t>
  </si>
  <si>
    <t>KY 2034</t>
  </si>
  <si>
    <t>KY 2033</t>
  </si>
  <si>
    <t>KY 2027</t>
  </si>
  <si>
    <t>Current Meter Inventory (2" and smaller) by Endpoint Type</t>
  </si>
  <si>
    <t>(All)</t>
  </si>
  <si>
    <t>Current Inventory</t>
  </si>
  <si>
    <t>Inside Percents</t>
  </si>
  <si>
    <t>Manual Total</t>
  </si>
  <si>
    <t>AMR Total</t>
  </si>
  <si>
    <t>Estimated Cost of Installed Meters by Type</t>
  </si>
  <si>
    <t xml:space="preserve">Year of Model: </t>
  </si>
  <si>
    <t>Instalation Labor</t>
  </si>
  <si>
    <t>Item</t>
  </si>
  <si>
    <t>Minutes of FSR Labor</t>
  </si>
  <si>
    <t>Labor Rate / Hour w/ Overhead</t>
  </si>
  <si>
    <t>Meter and Endpoint</t>
  </si>
  <si>
    <t>Meter Only</t>
  </si>
  <si>
    <t>Minutes of Call Handling Labor</t>
  </si>
  <si>
    <t>Booking Appointment (Inside Sets)</t>
  </si>
  <si>
    <t>Materials</t>
  </si>
  <si>
    <t>% Badger</t>
  </si>
  <si>
    <t>Year 1 Endpoint Pricing by Size and Manufacturer</t>
  </si>
  <si>
    <t>Selected Split</t>
  </si>
  <si>
    <t>Average</t>
  </si>
  <si>
    <t>10-Years</t>
  </si>
  <si>
    <t>Weighted Average</t>
  </si>
  <si>
    <t>Meter Pricing by Manufacturer Split with Inflation</t>
  </si>
  <si>
    <t>Meter</t>
  </si>
  <si>
    <t>Lid</t>
  </si>
  <si>
    <t>Smart Endpoint</t>
  </si>
  <si>
    <t>Standard Endpoint</t>
  </si>
  <si>
    <t>Misc Parts / Contingency (Meter gaskets, tamper latches, resetters, box cleanout)</t>
  </si>
  <si>
    <t>Ops Support</t>
  </si>
  <si>
    <t>Sum Misc. Parts and Ops Support</t>
  </si>
  <si>
    <t>Labor and Materials (Total Cost)</t>
  </si>
  <si>
    <t>Years AMR Lid</t>
  </si>
  <si>
    <t>% AMR Lid</t>
  </si>
  <si>
    <t>Years AMI Lid</t>
  </si>
  <si>
    <t>% AMI Lid</t>
  </si>
  <si>
    <t>Total Installed Cost (Outside)</t>
  </si>
  <si>
    <t>Total Installed Cost (Inside) - no lid or ring.  Appointment and different amount of time</t>
  </si>
  <si>
    <t>Badger - Neptune Split</t>
  </si>
  <si>
    <t>Meter Only (Manual Meters Only)</t>
  </si>
  <si>
    <t>No Misc Parts Added</t>
  </si>
  <si>
    <t>Total Install Cost (Inside)</t>
  </si>
  <si>
    <t>Estimated Prior Pricing (for Initial Retirements)</t>
  </si>
  <si>
    <t>Brand neutral AMI meter cost outside set</t>
  </si>
  <si>
    <t>Brand neutral AMR meter cost outside set</t>
  </si>
  <si>
    <t>AMI Retirement (retire AMR endpoint)</t>
  </si>
  <si>
    <t>AMR Retirement</t>
  </si>
  <si>
    <t>Kentucky American Water Company</t>
  </si>
  <si>
    <t>Wage Rates for Field Service Representatives and Meter Readers</t>
  </si>
  <si>
    <t>Average of Annual Salary/Rate</t>
  </si>
  <si>
    <t>Year</t>
  </si>
  <si>
    <t>Field</t>
  </si>
  <si>
    <t>Position 2</t>
  </si>
  <si>
    <t>CAGR</t>
  </si>
  <si>
    <t>Meter Reader</t>
  </si>
  <si>
    <t>Position2</t>
  </si>
  <si>
    <t>Kentucky-American Water C</t>
  </si>
  <si>
    <t>Field Service Rep 32BJ KY</t>
  </si>
  <si>
    <t>Meter Reader 32BJ KY</t>
  </si>
  <si>
    <t>Kentucky-American Water Total</t>
  </si>
  <si>
    <t>Kentucky-American Water C Total</t>
  </si>
  <si>
    <t>KAWC Field Workers Pay Increase</t>
  </si>
  <si>
    <t>Average Growth</t>
  </si>
  <si>
    <t>KAWC Meter Reader Pay Increase</t>
  </si>
  <si>
    <t>KAWC Average of Annual Salary/Rate</t>
  </si>
  <si>
    <t>Year 0 Wage</t>
  </si>
  <si>
    <t>KAWC Average of Annual Salary / Rate</t>
  </si>
  <si>
    <t>Overtime Factor</t>
  </si>
  <si>
    <t>Overhead and APP Factor</t>
  </si>
  <si>
    <t>Average Year 0 Wage with Overtime and Overheads</t>
  </si>
  <si>
    <t>Non-Productive Time Factor</t>
  </si>
  <si>
    <t>Final Year 0 Weighted Wage</t>
  </si>
  <si>
    <t xml:space="preserve">Kentucky American </t>
  </si>
  <si>
    <t>FSR and Meter Reader Regular vs. Overtime Hours</t>
  </si>
  <si>
    <t>FSR and Meter Reader Overtime Premium</t>
  </si>
  <si>
    <t>Wage Type Long Text</t>
  </si>
  <si>
    <t>(Multiple Items)</t>
  </si>
  <si>
    <t>Cost Element Text</t>
  </si>
  <si>
    <t>Sum of Hours</t>
  </si>
  <si>
    <t>Average Multiplier</t>
  </si>
  <si>
    <t>Company Code</t>
  </si>
  <si>
    <t>Job Title</t>
  </si>
  <si>
    <t>2022</t>
  </si>
  <si>
    <t>2023</t>
  </si>
  <si>
    <t>2024</t>
  </si>
  <si>
    <t>Multiplier</t>
  </si>
  <si>
    <t>3-Year Average</t>
  </si>
  <si>
    <t>1012</t>
  </si>
  <si>
    <t>Fld Svc Rep</t>
  </si>
  <si>
    <t>Labor Expense</t>
  </si>
  <si>
    <t>CalloutOT1.5</t>
  </si>
  <si>
    <t>Labor NS OT -Natural</t>
  </si>
  <si>
    <t>CalloutOT2.0</t>
  </si>
  <si>
    <t>Labor OT - Natural</t>
  </si>
  <si>
    <t>CalloutUW1.5</t>
  </si>
  <si>
    <t>Fld Svc Rep Total</t>
  </si>
  <si>
    <t>CalloutUW2.0</t>
  </si>
  <si>
    <t>Mtr Rdr</t>
  </si>
  <si>
    <t>Hol Sch 1.5</t>
  </si>
  <si>
    <t>Overtime 1.5</t>
  </si>
  <si>
    <t>Overtime 2.0</t>
  </si>
  <si>
    <t>Mtr Rdr Total</t>
  </si>
  <si>
    <t>Overtime 2.5</t>
  </si>
  <si>
    <t>1012 Total</t>
  </si>
  <si>
    <t>StbyUnWk1.5</t>
  </si>
  <si>
    <t>3 Year Avg</t>
  </si>
  <si>
    <t>FSR % OT</t>
  </si>
  <si>
    <t>MR % OT</t>
  </si>
  <si>
    <t>FSR OT Factor</t>
  </si>
  <si>
    <t>MR OT Factor</t>
  </si>
  <si>
    <t>Overhead Rates</t>
  </si>
  <si>
    <t>03/05/2025                       Dynamic List Display                                                                                 1</t>
  </si>
  <si>
    <t>---------------------------------------------------------------------------------------------------------------------------------------</t>
  </si>
  <si>
    <t>Kentucky-American Water C                                 Regulatory                                 Time 13:17:29     Date  03/05/2025</t>
  </si>
  <si>
    <t>Kentucky-American Water C                                 Regulatory                                 Time 13:22:57     Date  03/05/2025</t>
  </si>
  <si>
    <t>Camden                     Ledger 0L                                                                 RFBILA00/SCHWARML Page           1</t>
  </si>
  <si>
    <t>0L                   Ledger</t>
  </si>
  <si>
    <t>10                   Currency type Company code currency</t>
  </si>
  <si>
    <t>USD                  Amounts in United States Dollar</t>
  </si>
  <si>
    <t>2024.01 -2024.16     Reporting periods</t>
  </si>
  <si>
    <t>2022.01 -2022.16     Reporting periods</t>
  </si>
  <si>
    <t>2023.01 -2023.16     Comparison periods</t>
  </si>
  <si>
    <t>CoCd</t>
  </si>
  <si>
    <t xml:space="preserve">Account </t>
  </si>
  <si>
    <t xml:space="preserve">Text for B/S P&amp;L item                                      </t>
  </si>
  <si>
    <t xml:space="preserve">      Tot.rpt.pr</t>
  </si>
  <si>
    <t xml:space="preserve">      tot.cmp.pr</t>
  </si>
  <si>
    <t xml:space="preserve">50100000 Labor Natural Account                             </t>
  </si>
  <si>
    <t xml:space="preserve">50100001 Labor Expense Accrual                             </t>
  </si>
  <si>
    <t xml:space="preserve">50101300 Labor Oper Water Treatment                        </t>
  </si>
  <si>
    <t xml:space="preserve">50101305 Labor Oper Water Treatment - Super &amp; Eng          </t>
  </si>
  <si>
    <t xml:space="preserve">50101400 Labor Oper Transmission &amp; Distribution            </t>
  </si>
  <si>
    <t xml:space="preserve">50101405 Labor Oper Trans &amp; Distr - Super &amp; Eng            </t>
  </si>
  <si>
    <t xml:space="preserve">50101415 Labor Oper Trans &amp; Distr - Lines                  </t>
  </si>
  <si>
    <t xml:space="preserve">50101420 Labor Oper Trans &amp; Distr - Meter                  </t>
  </si>
  <si>
    <t xml:space="preserve">50101500 Labor Oper Customer Accounting                    </t>
  </si>
  <si>
    <t xml:space="preserve">50101505 Labor Oper Customer Acctg - Super &amp; Eng           </t>
  </si>
  <si>
    <t xml:space="preserve">50101510 Labor Oper Customer Acctg - Meter Read            </t>
  </si>
  <si>
    <t xml:space="preserve">50101520 Labor Oper Customer Acctg - Cust Serv &amp; Info      </t>
  </si>
  <si>
    <t xml:space="preserve">50101600 Labor Oper Admin &amp; General                        </t>
  </si>
  <si>
    <t xml:space="preserve">50102300 Labor Maint Water Treatment                       </t>
  </si>
  <si>
    <t xml:space="preserve">50102400 Labor Maint Transmission &amp; Distribution           </t>
  </si>
  <si>
    <t xml:space="preserve">50102420 Labor Maint Transmssn &amp; Distr - Mains             </t>
  </si>
  <si>
    <t xml:space="preserve">50102430 Labor Maint Transmssn &amp; Distr - Service           </t>
  </si>
  <si>
    <t xml:space="preserve">50102435 Labor Maint Transmssn &amp; Distr - Meter             </t>
  </si>
  <si>
    <t xml:space="preserve">50102440 Labor Maint Transmssn &amp; Distr - Hydrants          </t>
  </si>
  <si>
    <t xml:space="preserve">50109900 Labor Capitalized Credits                         </t>
  </si>
  <si>
    <t xml:space="preserve">50110000 Labor Non-scheduled Overtime - Natural Account    </t>
  </si>
  <si>
    <t xml:space="preserve">50111300 Labor Oper Non-scheduled Overtime- WT             </t>
  </si>
  <si>
    <t xml:space="preserve">50111400 Labor Oper Non-scheduled Overtime- TD             </t>
  </si>
  <si>
    <t xml:space="preserve">50111405 Labor Oper Non-scheduled Overtime- TD Super &amp; Eng </t>
  </si>
  <si>
    <t xml:space="preserve">50111415 Labor Oper Non-scheduled Overtime- TD Lines       </t>
  </si>
  <si>
    <t xml:space="preserve">50111420 Labor Oper Non-scheduled Overtime- TD Meter       </t>
  </si>
  <si>
    <t xml:space="preserve">50111500 Labor Oper Non-scheduled Overtime- CA             </t>
  </si>
  <si>
    <t xml:space="preserve">50111510 Labor Oper Non-scheduled Overtime- CA Meter Read  </t>
  </si>
  <si>
    <t xml:space="preserve">50111520 Labor Oper Non-scheduled OT - CA Cust Serv &amp; Info </t>
  </si>
  <si>
    <t xml:space="preserve">50111600 Labor Oper Non-scheduled Overtime- AG             </t>
  </si>
  <si>
    <t xml:space="preserve">50112300 Labor Maint Non-scheduled Overtime- WT            </t>
  </si>
  <si>
    <t xml:space="preserve">50112400 Labor Maint Non-scheduled Overtime- TD            </t>
  </si>
  <si>
    <t xml:space="preserve">50112420 Labor Maint Non-scheduled Overtime- TD Mains      </t>
  </si>
  <si>
    <t xml:space="preserve">50112430 Labor Maint Non-scheduled Overtime- TD Service    </t>
  </si>
  <si>
    <t xml:space="preserve">50112435 Labor Maint Non-scheduled Overtime- TD Meter      </t>
  </si>
  <si>
    <t xml:space="preserve">50112440 Labor Maint Non-scheduled Overtime- TD Hydrant    </t>
  </si>
  <si>
    <t xml:space="preserve">50119900 Labor Non-scheduled Overtime- Capitalized Credits </t>
  </si>
  <si>
    <t xml:space="preserve">50120000 Labor Overtime - Natural Account                  </t>
  </si>
  <si>
    <t xml:space="preserve">50121300 Labor Oper Scheduled Overtime-WT                  </t>
  </si>
  <si>
    <t xml:space="preserve">50121400 Labor Oper Scheduled Overtime-TD                  </t>
  </si>
  <si>
    <t xml:space="preserve">50121405 Labor Oper Scheduled Overtime-TD Super &amp; Eng      </t>
  </si>
  <si>
    <t xml:space="preserve">50121420 Labor Oper Scheduled Overtime-TD Meter            </t>
  </si>
  <si>
    <t xml:space="preserve">50121510 Labor Oper Scheduled Overtime-CA Merer Read       </t>
  </si>
  <si>
    <t xml:space="preserve">50122400 Labor Maint Scheduled Overtime-TD                 </t>
  </si>
  <si>
    <t xml:space="preserve">50129900 Labor Scheduled Overtime- Capitalized Credits     </t>
  </si>
  <si>
    <t xml:space="preserve">50122420 Labor Maint Scheduled Overtime-TD Mains           </t>
  </si>
  <si>
    <t xml:space="preserve">50171000 Annual Performance Plan                           </t>
  </si>
  <si>
    <t xml:space="preserve">50122440 Labor Maint Scheduled Overtime-TD Hydrant         </t>
  </si>
  <si>
    <t xml:space="preserve">50171800 Compensation Expense - RSU/PSU                    </t>
  </si>
  <si>
    <t xml:space="preserve">50185000 Severance                                         </t>
  </si>
  <si>
    <t xml:space="preserve">    </t>
  </si>
  <si>
    <t xml:space="preserve">        </t>
  </si>
  <si>
    <t xml:space="preserve">Total: Salaries and wages                                  </t>
  </si>
  <si>
    <t xml:space="preserve">50610000 Pension Expense                                   </t>
  </si>
  <si>
    <t xml:space="preserve">50610100 Pension Capitalized Credits                       </t>
  </si>
  <si>
    <t xml:space="preserve">71810000 Other Non-service Pension Benefit Cost            </t>
  </si>
  <si>
    <t xml:space="preserve">Total: Pension expense                                     </t>
  </si>
  <si>
    <t xml:space="preserve">50510000 OPEB Expense                                      </t>
  </si>
  <si>
    <t xml:space="preserve">50510100 OPEB Capitalized Credits                          </t>
  </si>
  <si>
    <t xml:space="preserve">50550000 Group Insurance Expense                           </t>
  </si>
  <si>
    <t xml:space="preserve">50550100 Group Insurance Capitalized Credits               </t>
  </si>
  <si>
    <t xml:space="preserve">50560000 Health Savings Account Expense                    </t>
  </si>
  <si>
    <t xml:space="preserve">71820000 Other Non-service PBOP Benefit Cost               </t>
  </si>
  <si>
    <t xml:space="preserve">Total: Group insurance expense                             </t>
  </si>
  <si>
    <t xml:space="preserve">50421000 401k Expense                                      </t>
  </si>
  <si>
    <t xml:space="preserve">50421100 401k Expense Cap Credits                          </t>
  </si>
  <si>
    <t xml:space="preserve">50422000 Defined Contribution Expense                      </t>
  </si>
  <si>
    <t xml:space="preserve">50422100 Defined Contribution Plan Exp Cap Credits         </t>
  </si>
  <si>
    <t xml:space="preserve">50423000 Employee Stock Purchase Plan Expense              </t>
  </si>
  <si>
    <t xml:space="preserve">50426000 Retiree Medical Expense                           </t>
  </si>
  <si>
    <t xml:space="preserve">50426100 Retiree Medical Expense Cap Credits               </t>
  </si>
  <si>
    <t xml:space="preserve">50450013 Other Welfare - Water Treatment                   </t>
  </si>
  <si>
    <t xml:space="preserve">50450014 Other Welfare - Transm &amp; Distrib                  </t>
  </si>
  <si>
    <t xml:space="preserve">50450011 Other Welfare - Source of Supply                  </t>
  </si>
  <si>
    <t xml:space="preserve">50450015 Other Welfare - Customer Accounting               </t>
  </si>
  <si>
    <t xml:space="preserve">50450016 Other Welfare - Admin &amp; General                   </t>
  </si>
  <si>
    <t xml:space="preserve">50451000 Employee Awards                                   </t>
  </si>
  <si>
    <t xml:space="preserve">50452000 Employee Physical Exams                           </t>
  </si>
  <si>
    <t xml:space="preserve">50454000 Safety Incentive Awards                           </t>
  </si>
  <si>
    <t xml:space="preserve">50456000 Tuition Aid                                       </t>
  </si>
  <si>
    <t xml:space="preserve">50457000 Training                                          </t>
  </si>
  <si>
    <t xml:space="preserve">50458000 Referral Bonus                                    </t>
  </si>
  <si>
    <t xml:space="preserve">Total: Other benefits                                      </t>
  </si>
  <si>
    <t xml:space="preserve">Total: Employee-related costs                              </t>
  </si>
  <si>
    <t xml:space="preserve">68532000 FUTA                                              </t>
  </si>
  <si>
    <t xml:space="preserve">68532100 FUTA Cap Credits                                  </t>
  </si>
  <si>
    <t xml:space="preserve">       2,588.52-</t>
  </si>
  <si>
    <t xml:space="preserve">68533000 FICA                                              </t>
  </si>
  <si>
    <t xml:space="preserve">       2,546.73-</t>
  </si>
  <si>
    <t xml:space="preserve">       2,407.32-</t>
  </si>
  <si>
    <t xml:space="preserve">68533100 FICA Cap Credits                                  </t>
  </si>
  <si>
    <t xml:space="preserve">     328,276.07-</t>
  </si>
  <si>
    <t xml:space="preserve">68535000 SUTA                                              </t>
  </si>
  <si>
    <t xml:space="preserve">     386,887.34-</t>
  </si>
  <si>
    <t xml:space="preserve">     380,476.20-</t>
  </si>
  <si>
    <t xml:space="preserve">68535100 SUTA Cap Credits                                  </t>
  </si>
  <si>
    <t xml:space="preserve">       8,239.47-</t>
  </si>
  <si>
    <t xml:space="preserve">       2,022.56-</t>
  </si>
  <si>
    <t xml:space="preserve">       1,877.58-</t>
  </si>
  <si>
    <t>Gross Benefits &amp; Payroll Taxes (group insurance, other benefits, payroll taxes)</t>
  </si>
  <si>
    <t>Gross Labor Cost</t>
  </si>
  <si>
    <t>Benefits &amp; Payroll Taxes / Wages</t>
  </si>
  <si>
    <t>Union Annual Performance Pay</t>
  </si>
  <si>
    <t>Days</t>
  </si>
  <si>
    <t>Low End</t>
  </si>
  <si>
    <t>High End</t>
  </si>
  <si>
    <t>Vacation</t>
  </si>
  <si>
    <t>Sick Days</t>
  </si>
  <si>
    <t>Company Holidays</t>
  </si>
  <si>
    <t>Floating Holidays</t>
  </si>
  <si>
    <t>Hours</t>
  </si>
  <si>
    <t>Training</t>
  </si>
  <si>
    <t>Average of Low and High End Non-Prod</t>
  </si>
  <si>
    <t>Prod Hours / Employee (Base Time)</t>
  </si>
  <si>
    <t>Total Hours</t>
  </si>
  <si>
    <t>Gross Up for Non-Prod</t>
  </si>
  <si>
    <t>2024 KY Orders</t>
  </si>
  <si>
    <t>Count of Orders</t>
  </si>
  <si>
    <t>Sum Working Minutes</t>
  </si>
  <si>
    <t>Sum Transit Minutes</t>
  </si>
  <si>
    <t>Transit Minutes / Order</t>
  </si>
  <si>
    <t>Total Working and Transit</t>
  </si>
  <si>
    <t>Working and Transit Minutes / Order</t>
  </si>
  <si>
    <t>Row Labels</t>
  </si>
  <si>
    <t>Count Orders Processed</t>
  </si>
  <si>
    <t>Average Working Minutes</t>
  </si>
  <si>
    <t>Calculated Working Minutes</t>
  </si>
  <si>
    <t>Average Travel Time (Mins)</t>
  </si>
  <si>
    <t>Calculated Transit Minutes</t>
  </si>
  <si>
    <t>Backward Meter Outside</t>
  </si>
  <si>
    <t>Change Meter Bad Dial</t>
  </si>
  <si>
    <t>Change MeterPeriodicContractor</t>
  </si>
  <si>
    <t>Change MeterPeriodicOutsideSet</t>
  </si>
  <si>
    <t>Customer Emergency</t>
  </si>
  <si>
    <t>Demo-Disconnect Remove Meter</t>
  </si>
  <si>
    <t>Device Review Investigation</t>
  </si>
  <si>
    <t>Disconnect NP Regul SewerOnly</t>
  </si>
  <si>
    <t>Inspect Cross Connection</t>
  </si>
  <si>
    <t>Investigate Hi/Low Pressure</t>
  </si>
  <si>
    <t>Investigate PremiseStatusAddrs</t>
  </si>
  <si>
    <t>Locate Curb Box</t>
  </si>
  <si>
    <t>Meter Test Customer Request</t>
  </si>
  <si>
    <t>Move In,Turn on Weekend, Hol.</t>
  </si>
  <si>
    <t>Move Out, Remove Meter, Demo</t>
  </si>
  <si>
    <t>Move Out, Turn off Termination</t>
  </si>
  <si>
    <t>Move Out,Turn Off, Seasonal</t>
  </si>
  <si>
    <t>Move-Out,Turn Off,Remove Meter</t>
  </si>
  <si>
    <t>New Cust, Set Meter, Turn On</t>
  </si>
  <si>
    <t>Reconnect NP Regul Sewer Only</t>
  </si>
  <si>
    <t>Remove Meter</t>
  </si>
  <si>
    <t>Seasonal, Read, Turn On</t>
  </si>
  <si>
    <t>Set Meter Leave Off</t>
  </si>
  <si>
    <t>Turn ON Repairs Completed</t>
  </si>
  <si>
    <t>Turn ON_Read to start Billing</t>
  </si>
  <si>
    <t>Turn Off NP</t>
  </si>
  <si>
    <t>Turn Off Repairs</t>
  </si>
  <si>
    <t>Turn Off Water NP Muni Sewer</t>
  </si>
  <si>
    <t>Turn Off-Inactive w/Consumpt</t>
  </si>
  <si>
    <t>Turn On NP</t>
  </si>
  <si>
    <t>Turn On Water NP Muni Sewer</t>
  </si>
  <si>
    <t>WQ Investigative Sample</t>
  </si>
  <si>
    <t>2024 Service Order Data with Potential Improvements from Full AMI Deployment</t>
  </si>
  <si>
    <t>a</t>
  </si>
  <si>
    <t>b</t>
  </si>
  <si>
    <t>c</t>
  </si>
  <si>
    <t>e</t>
  </si>
  <si>
    <t>f = (e-a)* c</t>
  </si>
  <si>
    <t xml:space="preserve">Total Orders </t>
  </si>
  <si>
    <t>Completed Field Visits Pre AMI</t>
  </si>
  <si>
    <t>% Completion Pre-AMI</t>
  </si>
  <si>
    <t>Order Demand Post AMI</t>
  </si>
  <si>
    <t>Reduced demand (at former completion rate)</t>
  </si>
  <si>
    <t>Time Benefit in Hours</t>
  </si>
  <si>
    <t>Average Time Benefit Per Order Change</t>
  </si>
  <si>
    <t>Sums</t>
  </si>
  <si>
    <t>Hours--&gt;</t>
  </si>
  <si>
    <t>d</t>
  </si>
  <si>
    <t>e= a x (1-d)</t>
  </si>
  <si>
    <t xml:space="preserve">Completed Pre AMI </t>
  </si>
  <si>
    <t xml:space="preserve">% Completed Pre AMI </t>
  </si>
  <si>
    <t xml:space="preserve">% AMI Improvement </t>
  </si>
  <si>
    <t>Sum of Total Demand Post AMI</t>
  </si>
  <si>
    <t>Time in Minutes / Order</t>
  </si>
  <si>
    <t>Transit Time</t>
  </si>
  <si>
    <t>Time Benefit in Hours for Reduced Demand (at former completion rate)</t>
  </si>
  <si>
    <t>2024 Average Travel Time Summary</t>
  </si>
  <si>
    <t>2024 Travel Time in Mins</t>
  </si>
  <si>
    <t>2024 Orders Worked</t>
  </si>
  <si>
    <t>Average Travel Time</t>
  </si>
  <si>
    <t xml:space="preserve">Kentucky  </t>
  </si>
  <si>
    <t>Average for applicable entity (weighted if applicable)</t>
  </si>
  <si>
    <t>Kentucky American</t>
  </si>
  <si>
    <t>CPR assets : Trans Equip Accounts only</t>
  </si>
  <si>
    <t xml:space="preserve">Filtered Accounts: </t>
  </si>
  <si>
    <t>341001-Trans Equip Not Classified</t>
  </si>
  <si>
    <t>341100-Trans Equip Lt Duty Trks</t>
  </si>
  <si>
    <t>341200-Trans Equip Hvy Duty Trks</t>
  </si>
  <si>
    <t>341300-Trans Equip Autos</t>
  </si>
  <si>
    <t>341400-Trans Equip Other</t>
  </si>
  <si>
    <t>391000-WW Trans Equipment</t>
  </si>
  <si>
    <t>391100-WW Trans Equip LT Dty Trks</t>
  </si>
  <si>
    <t>391200-WW Trans Equip Hvy Dty Trks</t>
  </si>
  <si>
    <t>As of 2.28.2025</t>
  </si>
  <si>
    <t>Values</t>
  </si>
  <si>
    <t>Accum Cost by utility_account_id</t>
  </si>
  <si>
    <t>AccountDescrip</t>
  </si>
  <si>
    <t>Sum of accum_cost</t>
  </si>
  <si>
    <t>Accumulated Reserved</t>
  </si>
  <si>
    <t>Sum of NBV</t>
  </si>
  <si>
    <t>Sum of Dep/Yr</t>
  </si>
  <si>
    <t>Deprecation Rate</t>
  </si>
  <si>
    <t>Trans Equip Not Classified</t>
  </si>
  <si>
    <t>Trans Equip Lt Duty Trks</t>
  </si>
  <si>
    <t>Trans Equip Hvy Duty Trks</t>
  </si>
  <si>
    <t>Trans Equip Autos</t>
  </si>
  <si>
    <t>Trans Equip Other</t>
  </si>
  <si>
    <t>WW Trans Equipment</t>
  </si>
  <si>
    <t>WW Trans Equip LT Dty Trks</t>
  </si>
  <si>
    <t>WW Trans Equip Hvy Dty Trks</t>
  </si>
  <si>
    <t>Approximate Light Duty Trucks</t>
  </si>
  <si>
    <t>Approx Per Light Duty Truck</t>
  </si>
  <si>
    <t>Kentucky American Water</t>
  </si>
  <si>
    <t>Light Duty Truck Maintenance and Operating Related Expenses</t>
  </si>
  <si>
    <t>Asset Type</t>
  </si>
  <si>
    <t>TRUCK LD</t>
  </si>
  <si>
    <t>Sum of Accident Repairs</t>
  </si>
  <si>
    <t>Sum of Daily Rentals</t>
  </si>
  <si>
    <t>Sum of Maintenance Repairs</t>
  </si>
  <si>
    <t>Sum of Misc</t>
  </si>
  <si>
    <t>Sum of Oil And Lube</t>
  </si>
  <si>
    <t>Sum of Tires</t>
  </si>
  <si>
    <t>Sum of Wash And Polish</t>
  </si>
  <si>
    <t>Sum of Subrogation</t>
  </si>
  <si>
    <t>Sum of License And Title</t>
  </si>
  <si>
    <t>Sum of Taxes</t>
  </si>
  <si>
    <t>Vehicles</t>
  </si>
  <si>
    <t>2-Yr Avg Expenses Per Vehicle</t>
  </si>
  <si>
    <t>Average Expenses / Vehicle</t>
  </si>
  <si>
    <t>Kentucky American Average Mileage</t>
  </si>
  <si>
    <t>Vehicle Type</t>
  </si>
  <si>
    <t>Avg MPG</t>
  </si>
  <si>
    <t>Total Gallons</t>
  </si>
  <si>
    <t>Avg Gallons</t>
  </si>
  <si>
    <t>Total Est Elapsed Miles</t>
  </si>
  <si>
    <t>Avg Miles Per Month</t>
  </si>
  <si>
    <t>Avg Est Elapsed Miles</t>
  </si>
  <si>
    <t>Incomplete Vehicle</t>
  </si>
  <si>
    <t>Motorcycle</t>
  </si>
  <si>
    <t>Multipurpose Vehicle (MPV)</t>
  </si>
  <si>
    <t>Other</t>
  </si>
  <si>
    <t>Pickup Truck</t>
  </si>
  <si>
    <t>Trailer</t>
  </si>
  <si>
    <t>Truck</t>
  </si>
  <si>
    <t>Van</t>
  </si>
  <si>
    <t>2 Yr Avg MPG for Pickup Trucks</t>
  </si>
  <si>
    <t>2 Yr Avg Miles for Pickup Trucks</t>
  </si>
  <si>
    <t>Table 12.  Petroleum and Other Liquids Prices</t>
  </si>
  <si>
    <t>https://www.eia.gov/outlooks/aeo/data/browser/#/?id=12-AEO2023&amp;sourcekey=0</t>
  </si>
  <si>
    <t>Wed Mar 05 2025 11:48:37 GMT-0500 (Eastern Standard Time)</t>
  </si>
  <si>
    <t>Source: U.S. Energy Information Administration</t>
  </si>
  <si>
    <t>full name</t>
  </si>
  <si>
    <t>api key</t>
  </si>
  <si>
    <t>units</t>
  </si>
  <si>
    <t>Growth (2022-2050)</t>
  </si>
  <si>
    <t>Crude Oil Prices (2022 dollars per barrel)</t>
  </si>
  <si>
    <t>Brent Spot</t>
  </si>
  <si>
    <t>Real Petroleum Prices: Crude Oil: Brent Spot: Reference case</t>
  </si>
  <si>
    <t>AEO.2023.REF2023.PRCE_NA_NA_NA_CR_BRNTSPPR_USA_Y13DLRPBBL.A</t>
  </si>
  <si>
    <t>2022 $/b</t>
  </si>
  <si>
    <t>West Texas Intermediate Spot</t>
  </si>
  <si>
    <t>Real Petroleum Prices: Crude Oil: West Texas Intermediate Spot: Reference case</t>
  </si>
  <si>
    <t>AEO.2023.REF2023.PRCE_NA_NA_NA_CR_WTI_USA_Y13DLRPBBL.A</t>
  </si>
  <si>
    <t>Average Imported Cost</t>
  </si>
  <si>
    <t>Real Petroleum Prices: Crude Oil: Average Imported Cost: Reference case</t>
  </si>
  <si>
    <t>AEO.2023.REF2023.PRCE_NA_NA_NA_CR_IMCO_USA_Y13DLRPBBL.A</t>
  </si>
  <si>
    <t>Brent / West Texas Intermediate Spread</t>
  </si>
  <si>
    <t>Real Petroleum Prices: Crude Oil: Brent vs. WTI Price Spread: Reference case</t>
  </si>
  <si>
    <t>AEO.2023.REF2023.PRCE_MARK_NA_NA_CR_NA_USA_Y13DLRPBBL.A</t>
  </si>
  <si>
    <t>Delivered Sector Product Prices</t>
  </si>
  <si>
    <t>Residential</t>
  </si>
  <si>
    <t>Propane</t>
  </si>
  <si>
    <t>Real Petroleum Prices: Residential: Propane: Reference case</t>
  </si>
  <si>
    <t>AEO.2023.REF2023.PRCE_NA_RESD_NA_PROP_NA_USA_Y13DLRPGLN.A</t>
  </si>
  <si>
    <t>2022 $/gal</t>
  </si>
  <si>
    <t>Distillate Fuel Oil</t>
  </si>
  <si>
    <t>Real Petroleum Prices: Residential: Distillate Fuel Oil: Reference case</t>
  </si>
  <si>
    <t>AEO.2023.REF2023.PRCE_NA_RESD_NA_DFO_NA_USA_Y13DLRPGLN.A</t>
  </si>
  <si>
    <t>Commercial</t>
  </si>
  <si>
    <t>Real Petroleum Prices: Commercial: Distillate Fuel Oil: Reference case</t>
  </si>
  <si>
    <t>AEO.2023.REF2023.PRCE_NA_COMM_NA_DFO_NA_USA_Y13DLRPGLN.A</t>
  </si>
  <si>
    <t>Residual Fuel Oil</t>
  </si>
  <si>
    <t>Real Petroleum Prices: Commercial: Residual Fuel Oil: Reference case</t>
  </si>
  <si>
    <t>AEO.2023.REF2023.PRCE_NA_COMM_NA_RFO_NA_USA_Y13DLRPGLN.A</t>
  </si>
  <si>
    <t>Residual Fuel Oil (2022 dollars per barrel)</t>
  </si>
  <si>
    <t>AEO.2023.REF2023.PRCE_NA_COMM_NA_RFO_NA_USA_Y13DLRPBBL.A</t>
  </si>
  <si>
    <t>Industrial</t>
  </si>
  <si>
    <t>Real Petroleum Prices: Industrial: Propane: Reference case</t>
  </si>
  <si>
    <t>AEO.2023.REF2023.PRCE_NA_IDAL_NA_PROP_NA_USA_Y13DLRPGLN.A</t>
  </si>
  <si>
    <t>Real Petroleum Prices: Industrial: Distillate Fuel Oil: Reference case</t>
  </si>
  <si>
    <t>AEO.2023.REF2023.PRCE_NA_IDAL_NA_DFO_NA_USA_Y13DLRPGLN.A</t>
  </si>
  <si>
    <t>Real Petroleum Prices: Industrial: Residual Fuel Oil: Reference case</t>
  </si>
  <si>
    <t>AEO.2023.REF2023.PRCE_NA_IDAL_NA_RFO_NA_USA_Y13DLRPGLN.A</t>
  </si>
  <si>
    <t>AEO.2023.REF2023.PRCE_NA_IDAL_NA_RFO_NA_USA_Y13DLRPBBL.A</t>
  </si>
  <si>
    <t>Transportation</t>
  </si>
  <si>
    <t>Real Petroleum Prices: Transportation: Propane: Reference case</t>
  </si>
  <si>
    <t>AEO.2023.REF2023.PRCE_NA_TRN_NA_PROP_NA_USA_Y13DLRPGLN.A</t>
  </si>
  <si>
    <t>E85</t>
  </si>
  <si>
    <t>Real Petroleum Prices: Transportation: Ethanol (E85): Reference case</t>
  </si>
  <si>
    <t>AEO.2023.REF2023.PRCE_NA_TRN_NA_ETH_NA_USA_Y13DLRPGLN.A</t>
  </si>
  <si>
    <t>Ethanol Wholesale Price</t>
  </si>
  <si>
    <t>Real Petroleum Prices: Transportation: Ethanol Wholesale Price: Reference case</t>
  </si>
  <si>
    <t>AEO.2023.REF2023.PRCE_WHL_TRN_NA_ETH_NA_USA_Y13DLRPGLN.A</t>
  </si>
  <si>
    <t>Motor Gasoline</t>
  </si>
  <si>
    <t>Real Petroleum Prices: Transportation: Motor Gasoline: Reference case</t>
  </si>
  <si>
    <t>AEO.2023.REF2023.PRCE_NA_TRN_NA_MGS_NA_USA_Y13DLRPGLN.A</t>
  </si>
  <si>
    <t>Jet Fuel</t>
  </si>
  <si>
    <t>Real Petroleum Prices: Transportation: Jet Fuel: Reference case</t>
  </si>
  <si>
    <t>AEO.2023.REF2023.PRCE_NA_TRN_NA_JFL_NA_USA_Y13DLRPGLN.A</t>
  </si>
  <si>
    <t>Diesel Fuel (distillate fuel oil)</t>
  </si>
  <si>
    <t>Real Petroleum Prices: Transportation: Diesel Fuel: Reference case</t>
  </si>
  <si>
    <t>AEO.2023.REF2023.PRCE_NA_TRN_NA_DFU_NA_USA_Y13DLRPGLN.A</t>
  </si>
  <si>
    <t>Real Petroleum Prices: Transportation: Residual Fuel Oil: Reference case</t>
  </si>
  <si>
    <t>AEO.2023.REF2023.PRCE_NA_TRN_NA_RFO_NA_USA_Y13DLRPGLN.A</t>
  </si>
  <si>
    <t>AEO.2023.REF2023.PRCE_NA_TRN_NA_RFO_NA_USA_Y13DLRPBBL.A</t>
  </si>
  <si>
    <t>Electric Power</t>
  </si>
  <si>
    <t>Real Petroleum Prices: Electric Power: Distillate Fuel Oil: Reference case</t>
  </si>
  <si>
    <t>AEO.2023.REF2023.PRCE_NA_ELEP_NA_DFO_NA_USA_Y13DLRPGLN.A</t>
  </si>
  <si>
    <t>Real Petroleum Prices: Electric Power: Residual Fuel Oil: Reference case</t>
  </si>
  <si>
    <t>AEO.2023.REF2023.PRCE_NA_ELEP_NA_RFO_NA_USA_Y13DLRPGLN.A</t>
  </si>
  <si>
    <t>AEO.2023.REF2023.PRCE_NA_ELEP_NA_RFO_NA_USA_Y13DLRPBBL.A</t>
  </si>
  <si>
    <t>Average Prices</t>
  </si>
  <si>
    <t xml:space="preserve"> All Sectors</t>
  </si>
  <si>
    <t>Real Petroleum Prices: Refined Petroleum Product Prices: Propane: Reference case</t>
  </si>
  <si>
    <t>AEO.2023.REF2023.PRCE_NA_ALLS_NA_PROP_NA_USA_Y13DLRPGLN.A</t>
  </si>
  <si>
    <t>Real Petroleum Prices: Refined Petroleum Product Prices: Motor Gasoline: Reference case</t>
  </si>
  <si>
    <t>AEO.2023.REF2023.PRCE_NA_ALLS_NA_MGS_NA_USA_Y13DLRPGLN.A</t>
  </si>
  <si>
    <t>Real Petroleum Prices: Refined Petroleum Product Prices: Jet Fuel: Reference case</t>
  </si>
  <si>
    <t>AEO.2023.REF2023.PRCE_NA_ALLS_NA_JFL_NA_USA_Y13DLRPGLN.A</t>
  </si>
  <si>
    <t>Real Petroleum Prices: Refined Petroleum Product Prices: Distillate Fuel Oil: Reference case</t>
  </si>
  <si>
    <t>AEO.2023.REF2023.PRCE_NA_ALLS_NA_DFO_NA_USA_Y13DLRPGLN.A</t>
  </si>
  <si>
    <t>Real Petroleum Prices: Refined Petroleum Product Prices: Residual Fuel Oil: Reference case</t>
  </si>
  <si>
    <t>AEO.2023.REF2023.PRCE_NA_ALLS_NA_RFO_NA_USA_Y13DLRPGLN.A</t>
  </si>
  <si>
    <t>AEO.2023.REF2023.PRCE_NA_ALLS_NA_RFO_NA_USA_Y13DLRPBBL.A</t>
  </si>
  <si>
    <t>Real Petroleum Prices: Refined Petroleum Product Prices: Average: Reference case</t>
  </si>
  <si>
    <t>AEO.2023.REF2023.PRCE_NA_ALLS_NA_RPP_NA_USA_Y13DLRPGLN.A</t>
  </si>
  <si>
    <t>Prices in Nominal Dollars</t>
  </si>
  <si>
    <t>Crude Oil Spot Prices (nominal dollars per barr</t>
  </si>
  <si>
    <t>Nominal Petroleum Prices: Crude Oil: Brent Spot: Reference case</t>
  </si>
  <si>
    <t>AEO.2023.REF2023.PRCE_NA_NA_NA_CR_BRNTSPPR_USA_NDLRPBRL.A</t>
  </si>
  <si>
    <t>nom $/b</t>
  </si>
  <si>
    <t>Nominal Petroleum Prices: Crude Oil: West Texas Intermediate Spot: Reference case</t>
  </si>
  <si>
    <t>AEO.2023.REF2023.PRCE_NA_NA_NA_CR_WTI_USA_NDLRPBRL.A</t>
  </si>
  <si>
    <t>Nominal Petroleum Prices: Crude Oil: Average Imported Cost: Reference case</t>
  </si>
  <si>
    <t>AEO.2023.REF2023.PRCE_NA_NA_NA_CR_IMCO_USA_NDLRPBRL.A</t>
  </si>
  <si>
    <t>Nominal Dollars per Gallon</t>
  </si>
  <si>
    <t>Nominal Petroleum Prices: Residential: Propane: Reference case</t>
  </si>
  <si>
    <t>AEO.2023.REF2023.PRCE_NA_RESD_NA_PROP_NA_USA_NDLRPGLN.A</t>
  </si>
  <si>
    <t>nom $/gal</t>
  </si>
  <si>
    <t>Nominal Petroleum Prices: Residential: Distillate Fuel Oil: Reference case</t>
  </si>
  <si>
    <t>AEO.2023.REF2023.PRCE_NA_RESD_NA_DFO_NA_USA_NDLRPGLN.A</t>
  </si>
  <si>
    <t>Nominal Petroleum Prices: Commercial: Distillate Fuel Oil: Reference case</t>
  </si>
  <si>
    <t>AEO.2023.REF2023.PRCE_NA_COMM_NA_DFO_NA_USA_NDLRPGLN.A</t>
  </si>
  <si>
    <t>Nominal Petroleum Prices: Commercial: Residual Fuel Oil: Reference case</t>
  </si>
  <si>
    <t>AEO.2023.REF2023.PRCE_NA_COMM_NA_RFO_NA_USA_NDLRPGLN.A</t>
  </si>
  <si>
    <t>Nominal Petroleum Prices: Industrial: Propane: Reference case</t>
  </si>
  <si>
    <t>AEO.2023.REF2023.PRCE_NA_IDAL_NA_PROP_NA_USA_NDLRPGLN.A</t>
  </si>
  <si>
    <t>Nominal Petroleum Prices: Industrial: Distillate Fuel Oil: Reference case</t>
  </si>
  <si>
    <t>AEO.2023.REF2023.PRCE_NA_IDAL_NA_DFO_NA_USA_NDLRPGLN.A</t>
  </si>
  <si>
    <t>Nominal Petroleum Prices: Industrial: Residual Fuel Oil: Reference case</t>
  </si>
  <si>
    <t>AEO.2023.REF2023.PRCE_NA_IDAL_NA_RFO_NA_USA_NDLRPGLN.A</t>
  </si>
  <si>
    <t>Nominal Petroleum Prices: Transportation: Propane: Reference case</t>
  </si>
  <si>
    <t>AEO.2023.REF2023.PRCE_NA_TRN_NA_PROP_NA_USA_NDLRPGLN.A</t>
  </si>
  <si>
    <t>Nominal Petroleum Prices: Transportation: Ethanol (E85): Reference case</t>
  </si>
  <si>
    <t>AEO.2023.REF2023.PRCE_NA_TRN_NA_ETH_NA_USA_NDLRPGLN.A</t>
  </si>
  <si>
    <t>Nominal Petroleum Prices: Transportation: Ethanol Wholesale Price: Reference case</t>
  </si>
  <si>
    <t>AEO.2023.REF2023.PRCE_NA_TRN_NA_EWP_NA_USA_NDLRPGLN.A</t>
  </si>
  <si>
    <t>Nominal Petroleum Prices: Transportation: Motor Gasoline: Reference case</t>
  </si>
  <si>
    <t>AEO.2023.REF2023.PRCE_NA_TRN_NA_MGS_NA_USA_NDLRPGLN.A</t>
  </si>
  <si>
    <t>Nominal Petroleum Prices: Transportation: Jet Fuel: Reference case</t>
  </si>
  <si>
    <t>AEO.2023.REF2023.PRCE_NA_TRN_NA_JFL_NA_USA_NDLRPGLN.A</t>
  </si>
  <si>
    <t>Nominal Petroleum Prices: Transportation: Diesel Fuel: Reference case</t>
  </si>
  <si>
    <t>AEO.2023.REF2023.PRCE_NA_TRN_NA_DFU_NA_USA_NDLRPGLN.A</t>
  </si>
  <si>
    <t>Nominal Petroleum Prices: Transportation: Residual Fuel Oil: Reference case</t>
  </si>
  <si>
    <t>AEO.2023.REF2023.PRCE_NA_TRN_NA_RFO_NA_USA_NDLRPGLN.A</t>
  </si>
  <si>
    <t>Nominal Petroleum Prices: Electric Power: Distillate Fuel Oil: Reference case</t>
  </si>
  <si>
    <t>AEO.2023.REF2023.PRCE_NA_ELEP_NA_DFO_NA_USA_NDLRPGLN.A</t>
  </si>
  <si>
    <t>Nominal Petroleum Prices: Electric Power: Residual Fuel Oil: Reference case</t>
  </si>
  <si>
    <t>AEO.2023.REF2023.PRCE_NA_ELEP_NA_RFO_NA_USA_NDLRPGLN.A</t>
  </si>
  <si>
    <t>Nominal Petroleum Prices: Refined Petroleum Product Prices: Propane: Reference case</t>
  </si>
  <si>
    <t>AEO.2023.REF2023.PRCE_NA_NA_NA_PROP_NA_USA_NDLRPGLN.A</t>
  </si>
  <si>
    <t>Nominal Petroleum Prices: Refined Petroleum Product Prices: Motor Gasoline: Reference case</t>
  </si>
  <si>
    <t>AEO.2023.REF2023.PRCE_NA_NA_NA_MGS_NA_USA_NDLRPGLN.A</t>
  </si>
  <si>
    <t>Nominal Petroleum Prices: Refined Petroleum Product Prices: Jet Fuel: Reference case</t>
  </si>
  <si>
    <t>AEO.2023.REF2023.PRCE_NA_NA_NA_JFL_NA_USA_NDLRPGLN.A</t>
  </si>
  <si>
    <t>Nominal Petroleum Prices: Refined Petroleum Product Prices: Distillate Fuel Oil: Reference case</t>
  </si>
  <si>
    <t>AEO.2023.REF2023.PRCE_NA_NA_NA_DFO_NA_USA_NDLRPGLN.A</t>
  </si>
  <si>
    <t>Residual Fuel Oil (dollars per barrel)</t>
  </si>
  <si>
    <t>Nominal Petroleum Prices: Refined Petroleum Product Prices: Residual Fuel Oil: Reference case</t>
  </si>
  <si>
    <t>AEO.2023.REF2023.PRCE_NA_NA_NA_RFO_NA_USA_NDLRPBRL.A</t>
  </si>
  <si>
    <t>Nominal Petroleum Prices: Refined Petroleum Product Prices: Average: Reference case</t>
  </si>
  <si>
    <t>AEO.2023.REF2023.PRCE_NA_NA_NA_AVG_NA_USA_NDLRPGLN.A</t>
  </si>
  <si>
    <t>Consumer Price Index for All Urban Consumers (CPI-U)</t>
  </si>
  <si>
    <t>Original Data Value</t>
  </si>
  <si>
    <t>Series Id:</t>
  </si>
  <si>
    <t>CUUR0000SA0,CUUS0000SA0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</si>
  <si>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</si>
  <si>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</si>
  <si>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</si>
  <si>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</si>
  <si>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</si>
  <si>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</si>
  <si>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</si>
  <si>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</si>
  <si>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</si>
  <si>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</si>
  <si>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2004 to 2025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</si>
  <si>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</si>
  <si>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</si>
  <si>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</si>
  <si>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</si>
  <si>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</si>
  <si>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</si>
  <si>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</si>
  <si>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</si>
  <si>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</si>
  <si>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</si>
  <si>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</si>
  <si>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</si>
  <si>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</si>
  <si>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HALF1</t>
  </si>
  <si>
    <t>HALF2</t>
  </si>
  <si>
    <t>20 Yr CAGR</t>
  </si>
  <si>
    <t>10 Yr CAGR</t>
  </si>
  <si>
    <t>3 Yr CAGR</t>
  </si>
  <si>
    <t>5 yr CAGR</t>
  </si>
  <si>
    <t>CUUR0000SAH2,CUUS0000SAH2</t>
  </si>
  <si>
    <t>Fuels and utilities in U.S. city average, all urban consumers, not seasonally adjusted</t>
  </si>
  <si>
    <t>Fuels and utilities</t>
  </si>
  <si>
    <t>CUUR0000SEHG01,CUUS0000SEHG01</t>
  </si>
  <si>
    <t>Water and sewerage maintenance in U.S. city average, all urban consumers, not seasonally adjusted</t>
  </si>
  <si>
    <t>Water and sewerage maintenance</t>
  </si>
  <si>
    <t>Year 1 Meter Pricing (without Shipping) by Size and Manufacturer</t>
  </si>
  <si>
    <t>Opportunity</t>
  </si>
  <si>
    <t>Working Minutes / Order</t>
  </si>
  <si>
    <t>First 10 Years</t>
  </si>
  <si>
    <t>2nd 10 Years</t>
  </si>
  <si>
    <t>First Net / ATT</t>
  </si>
  <si>
    <t>First Net ATT</t>
  </si>
  <si>
    <t>Average 
Cost*</t>
  </si>
  <si>
    <t>Neptune 
FirstNet</t>
  </si>
  <si>
    <t>Neptune 
FirstNet
w/ HE Fee</t>
  </si>
  <si>
    <t>Neptune 
ATT</t>
  </si>
  <si>
    <t>Hersey/Mueller Likely Year 1</t>
  </si>
  <si>
    <t>Hersey/Mueller Likely Year 2</t>
  </si>
  <si>
    <t>Percent of Target in 2026 and 2027 likely Hersey/Mueller</t>
  </si>
  <si>
    <t>AMI Year of Replacement (LOS)</t>
  </si>
  <si>
    <t>Per 10-Year Target</t>
  </si>
  <si>
    <t>Adjusted targeted replacement cycle</t>
  </si>
  <si>
    <t>Neptune FirstNet AMI</t>
  </si>
  <si>
    <t>Customers</t>
  </si>
  <si>
    <t>AMI Per Customer/Month</t>
  </si>
  <si>
    <t>AMR Per Customer/Month</t>
  </si>
  <si>
    <t>Remaining to spread out</t>
  </si>
  <si>
    <t>Completed as of 3/12/25</t>
  </si>
  <si>
    <t>&gt;10yrs old % Hersey / Mueller</t>
  </si>
  <si>
    <t xml:space="preserve">% of AMR Needing Lids </t>
  </si>
  <si>
    <t>PROPRIETARY</t>
  </si>
  <si>
    <t>CONFIDENTIAL INFORMATION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</si>
</sst>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#,##0;\-#,##0;#,##0"/>
    <numFmt numFmtId="167" formatCode="###,000"/>
    <numFmt numFmtId="168" formatCode="_(* #,##0_);_(* \(#,##0\);_(* &quot;-&quot;??_);_(@_)"/>
    <numFmt numFmtId="169" formatCode="0.0"/>
    <numFmt numFmtId="170" formatCode="&quot;$&quot;#,##0.00"/>
    <numFmt numFmtId="171" formatCode="h:mm:ss;@"/>
    <numFmt numFmtId="172" formatCode="_(* #,##0.0_);_(* \(#,##0.0\);_(* &quot;-&quot;??_);_(@_)"/>
    <numFmt numFmtId="173" formatCode="_(* #,##0.000_);_(* \(#,##0.000\);_(* &quot;-&quot;??_);_(@_)"/>
    <numFmt numFmtId="174" formatCode="_(&quot;$&quot;* #,##0.000_);_(&quot;$&quot;* \(#,##0.000\);_(&quot;$&quot;* &quot;-&quot;??_);_(@_)"/>
    <numFmt numFmtId="175" formatCode="_(&quot;$&quot;* #,##0.0_);_(&quot;$&quot;* \(#,##0.0\);_(&quot;$&quot;* &quot;-&quot;??_);_(@_)"/>
    <numFmt numFmtId="176" formatCode="_(* #,##0.0000_);_(* \(#,##0.0000\);_(* &quot;-&quot;??_);_(@_)"/>
    <numFmt numFmtId="177" formatCode="0.00000"/>
    <numFmt numFmtId="178" formatCode="#0.0"/>
    <numFmt numFmtId="179" formatCode="#0.000"/>
    <numFmt numFmtId="180" formatCode="_(&quot;$&quot;* #,##0.00000_);_(&quot;$&quot;* \(#,##0.00000\);_(&quot;$&quot;* &quot;-&quot;??_);_(@_)"/>
    <numFmt numFmtId="181" formatCode="#,##0.0"/>
    <numFmt numFmtId="182" formatCode="_(* #,##0_);_(* \(#,##0\);_(* &quot;-&quot;?_);_(@_)"/>
    <numFmt numFmtId="183" formatCode="_(&quot;$&quot;* #,##0.0_);_(&quot;$&quot;* \(#,##0.0\);_(&quot;$&quot;* &quot;-&quot;?_);_(@_)"/>
    <numFmt numFmtId="184" formatCode="0.0000%"/>
    <numFmt numFmtId="185" formatCode="#,##0.##;\-#,##0.##"/>
    <numFmt numFmtId="186" formatCode="0.000000%"/>
    <numFmt numFmtId="187" formatCode="0.000%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sz val="10"/>
      <color rgb="FF004FA3"/>
      <name val="Arial"/>
      <family val="2"/>
    </font>
    <font>
      <sz val="11"/>
      <color rgb="FFFF0000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  <scheme val="minor"/>
    </font>
    <font>
      <u/>
      <sz val="12"/>
      <color theme="1"/>
      <name val="Calibri"/>
      <family val="2"/>
    </font>
    <font>
      <b/>
      <sz val="12"/>
      <color indexed="8"/>
      <name val="Arial"/>
      <family val="2"/>
    </font>
    <font>
      <sz val="11"/>
      <color rgb="FF003DB8"/>
      <name val="Calibri"/>
      <family val="2"/>
      <scheme val="minor"/>
    </font>
    <font>
      <b/>
      <sz val="10"/>
      <color rgb="FF004FA3"/>
      <name val="Arial"/>
      <family val="2"/>
    </font>
    <font>
      <sz val="10"/>
      <color rgb="FF004FA3"/>
      <name val="Arial"/>
      <family val="2"/>
    </font>
    <font>
      <sz val="11"/>
      <color rgb="FF000000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FA3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BEBEB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6365C"/>
      </left>
      <right style="thin">
        <color rgb="FF16365C"/>
      </right>
      <top style="thin">
        <color rgb="FF16365C"/>
      </top>
      <bottom style="thin">
        <color rgb="FF16365C"/>
      </bottom>
      <diagonal/>
    </border>
    <border>
      <left style="thin">
        <color rgb="FF8DB4E2"/>
      </left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2" borderId="2" applyNumberFormat="0" applyAlignment="0" applyProtection="0">
      <alignment horizontal="left" vertical="center" indent="1"/>
    </xf>
    <xf numFmtId="167" fontId="6" fillId="3" borderId="2" applyNumberFormat="0" applyAlignment="0" applyProtection="0">
      <alignment horizontal="left" vertical="center" indent="1"/>
    </xf>
    <xf numFmtId="167" fontId="6" fillId="0" borderId="3" applyNumberFormat="0" applyProtection="0">
      <alignment horizontal="right" vertical="center"/>
    </xf>
    <xf numFmtId="0" fontId="7" fillId="0" borderId="0"/>
    <xf numFmtId="0" fontId="8" fillId="0" borderId="0"/>
    <xf numFmtId="0" fontId="5" fillId="2" borderId="4" applyNumberFormat="0" applyAlignment="0" applyProtection="0">
      <alignment horizontal="left" vertical="center" indent="1"/>
    </xf>
    <xf numFmtId="167" fontId="6" fillId="3" borderId="4" applyNumberFormat="0" applyAlignment="0" applyProtection="0">
      <alignment horizontal="left" vertical="center" indent="1"/>
    </xf>
    <xf numFmtId="167" fontId="6" fillId="0" borderId="5" applyNumberFormat="0" applyProtection="0">
      <alignment horizontal="right" vertical="center"/>
    </xf>
    <xf numFmtId="0" fontId="5" fillId="2" borderId="6" applyNumberFormat="0" applyAlignment="0" applyProtection="0">
      <alignment horizontal="left" vertical="center" indent="1"/>
    </xf>
    <xf numFmtId="167" fontId="5" fillId="0" borderId="6" applyNumberFormat="0" applyProtection="0">
      <alignment horizontal="right" vertical="center"/>
    </xf>
    <xf numFmtId="0" fontId="11" fillId="0" borderId="0"/>
    <xf numFmtId="43" fontId="2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5" fillId="0" borderId="0"/>
    <xf numFmtId="0" fontId="49" fillId="0" borderId="0" applyNumberFormat="0" applyFill="0" applyBorder="0" applyAlignment="0" applyProtection="0"/>
  </cellStyleXfs>
  <cellXfs count="549">
    <xf numFmtId="0" fontId="0" fillId="0" borderId="0" xfId="0"/>
    <xf numFmtId="0" fontId="0" fillId="0" borderId="0" xfId="0" applyAlignment="1">
      <alignment horizontal="center"/>
    </xf>
    <xf numFmtId="164" fontId="0" fillId="0" borderId="0" xfId="2" applyNumberFormat="1" applyFont="1"/>
    <xf numFmtId="0" fontId="0" fillId="0" borderId="0" xfId="0" applyAlignment="1">
      <alignment horizontal="right"/>
    </xf>
    <xf numFmtId="8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4" fillId="0" borderId="0" xfId="0" applyFont="1"/>
    <xf numFmtId="9" fontId="0" fillId="0" borderId="0" xfId="2" applyFont="1"/>
    <xf numFmtId="168" fontId="0" fillId="0" borderId="0" xfId="0" applyNumberFormat="1"/>
    <xf numFmtId="165" fontId="0" fillId="0" borderId="0" xfId="0" applyNumberFormat="1"/>
    <xf numFmtId="0" fontId="10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9" fillId="0" borderId="0" xfId="0" applyFont="1"/>
    <xf numFmtId="0" fontId="0" fillId="0" borderId="0" xfId="0" applyAlignment="1">
      <alignment wrapText="1"/>
    </xf>
    <xf numFmtId="168" fontId="0" fillId="0" borderId="0" xfId="14" applyNumberFormat="1" applyFont="1"/>
    <xf numFmtId="0" fontId="0" fillId="0" borderId="0" xfId="0" quotePrefix="1"/>
    <xf numFmtId="10" fontId="0" fillId="0" borderId="0" xfId="2" applyNumberFormat="1" applyFont="1"/>
    <xf numFmtId="0" fontId="10" fillId="0" borderId="0" xfId="0" applyFont="1"/>
    <xf numFmtId="0" fontId="0" fillId="0" borderId="16" xfId="0" applyBorder="1"/>
    <xf numFmtId="0" fontId="15" fillId="0" borderId="0" xfId="0" applyFont="1"/>
    <xf numFmtId="0" fontId="9" fillId="0" borderId="16" xfId="0" applyFont="1" applyBorder="1"/>
    <xf numFmtId="0" fontId="9" fillId="9" borderId="16" xfId="0" applyFont="1" applyFill="1" applyBorder="1"/>
    <xf numFmtId="0" fontId="0" fillId="9" borderId="16" xfId="0" applyFill="1" applyBorder="1"/>
    <xf numFmtId="0" fontId="9" fillId="0" borderId="16" xfId="0" applyFont="1" applyBorder="1" applyAlignment="1">
      <alignment wrapText="1"/>
    </xf>
    <xf numFmtId="9" fontId="0" fillId="0" borderId="0" xfId="2" applyFont="1" applyFill="1"/>
    <xf numFmtId="10" fontId="0" fillId="0" borderId="0" xfId="0" applyNumberFormat="1"/>
    <xf numFmtId="0" fontId="15" fillId="0" borderId="0" xfId="0" applyFont="1" applyAlignment="1">
      <alignment horizontal="left" indent="1"/>
    </xf>
    <xf numFmtId="165" fontId="0" fillId="0" borderId="0" xfId="1" applyNumberFormat="1" applyFont="1" applyFill="1"/>
    <xf numFmtId="165" fontId="0" fillId="0" borderId="13" xfId="1" applyNumberFormat="1" applyFont="1" applyFill="1" applyBorder="1"/>
    <xf numFmtId="43" fontId="0" fillId="0" borderId="0" xfId="14" applyFont="1"/>
    <xf numFmtId="43" fontId="0" fillId="0" borderId="0" xfId="0" applyNumberFormat="1"/>
    <xf numFmtId="164" fontId="0" fillId="0" borderId="0" xfId="0" applyNumberFormat="1"/>
    <xf numFmtId="165" fontId="0" fillId="0" borderId="13" xfId="1" applyNumberFormat="1" applyFont="1" applyBorder="1"/>
    <xf numFmtId="165" fontId="0" fillId="0" borderId="0" xfId="1" applyNumberFormat="1" applyFont="1" applyBorder="1"/>
    <xf numFmtId="0" fontId="0" fillId="9" borderId="0" xfId="0" applyFill="1"/>
    <xf numFmtId="165" fontId="0" fillId="0" borderId="17" xfId="1" applyNumberFormat="1" applyFont="1" applyBorder="1"/>
    <xf numFmtId="164" fontId="0" fillId="9" borderId="14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Alignment="1">
      <alignment horizontal="right"/>
    </xf>
    <xf numFmtId="9" fontId="0" fillId="9" borderId="0" xfId="2" applyFont="1" applyFill="1" applyBorder="1" applyAlignment="1">
      <alignment horizontal="center"/>
    </xf>
    <xf numFmtId="10" fontId="0" fillId="0" borderId="0" xfId="2" applyNumberFormat="1" applyFont="1" applyBorder="1"/>
    <xf numFmtId="164" fontId="0" fillId="9" borderId="0" xfId="2" applyNumberFormat="1" applyFont="1" applyFill="1" applyBorder="1" applyAlignment="1">
      <alignment horizontal="center"/>
    </xf>
    <xf numFmtId="0" fontId="16" fillId="0" borderId="0" xfId="0" applyFont="1" applyAlignment="1">
      <alignment horizontal="left" indent="1"/>
    </xf>
    <xf numFmtId="0" fontId="16" fillId="0" borderId="0" xfId="0" applyFont="1"/>
    <xf numFmtId="10" fontId="16" fillId="0" borderId="0" xfId="2" applyNumberFormat="1" applyFont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172" fontId="0" fillId="0" borderId="0" xfId="14" applyNumberFormat="1" applyFont="1"/>
    <xf numFmtId="0" fontId="9" fillId="0" borderId="0" xfId="0" applyFont="1" applyAlignment="1">
      <alignment horizontal="left"/>
    </xf>
    <xf numFmtId="0" fontId="9" fillId="12" borderId="0" xfId="0" applyFont="1" applyFill="1"/>
    <xf numFmtId="0" fontId="0" fillId="12" borderId="0" xfId="0" applyFill="1"/>
    <xf numFmtId="168" fontId="0" fillId="9" borderId="0" xfId="14" applyNumberFormat="1" applyFont="1" applyFill="1"/>
    <xf numFmtId="0" fontId="17" fillId="0" borderId="0" xfId="0" applyFont="1"/>
    <xf numFmtId="0" fontId="18" fillId="0" borderId="0" xfId="0" applyFont="1"/>
    <xf numFmtId="0" fontId="18" fillId="10" borderId="0" xfId="0" applyFont="1" applyFill="1" applyAlignment="1">
      <alignment horizontal="center"/>
    </xf>
    <xf numFmtId="168" fontId="0" fillId="0" borderId="16" xfId="14" applyNumberFormat="1" applyFont="1" applyBorder="1"/>
    <xf numFmtId="9" fontId="0" fillId="0" borderId="0" xfId="0" applyNumberFormat="1"/>
    <xf numFmtId="0" fontId="9" fillId="0" borderId="16" xfId="0" applyFont="1" applyBorder="1" applyAlignment="1">
      <alignment horizontal="center" wrapText="1"/>
    </xf>
    <xf numFmtId="168" fontId="0" fillId="0" borderId="0" xfId="0" applyNumberFormat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19" fillId="0" borderId="0" xfId="0" applyFont="1"/>
    <xf numFmtId="168" fontId="0" fillId="0" borderId="0" xfId="14" applyNumberFormat="1" applyFont="1" applyFill="1"/>
    <xf numFmtId="0" fontId="4" fillId="0" borderId="0" xfId="0" applyFont="1" applyAlignment="1">
      <alignment horizontal="left"/>
    </xf>
    <xf numFmtId="0" fontId="0" fillId="0" borderId="16" xfId="0" applyBorder="1" applyAlignment="1">
      <alignment wrapText="1"/>
    </xf>
    <xf numFmtId="44" fontId="0" fillId="0" borderId="0" xfId="1" applyFont="1" applyFill="1" applyBorder="1"/>
    <xf numFmtId="43" fontId="0" fillId="0" borderId="16" xfId="14" applyFont="1" applyBorder="1"/>
    <xf numFmtId="0" fontId="0" fillId="9" borderId="0" xfId="0" applyFill="1" applyAlignment="1">
      <alignment wrapText="1"/>
    </xf>
    <xf numFmtId="165" fontId="0" fillId="0" borderId="13" xfId="0" applyNumberFormat="1" applyBorder="1"/>
    <xf numFmtId="6" fontId="0" fillId="0" borderId="0" xfId="0" applyNumberFormat="1"/>
    <xf numFmtId="165" fontId="0" fillId="0" borderId="18" xfId="1" applyNumberFormat="1" applyFont="1" applyBorder="1"/>
    <xf numFmtId="165" fontId="0" fillId="0" borderId="16" xfId="0" applyNumberFormat="1" applyBorder="1"/>
    <xf numFmtId="44" fontId="9" fillId="0" borderId="0" xfId="1" applyFont="1"/>
    <xf numFmtId="44" fontId="0" fillId="0" borderId="0" xfId="1" applyFont="1" applyFill="1"/>
    <xf numFmtId="174" fontId="0" fillId="0" borderId="0" xfId="0" applyNumberFormat="1"/>
    <xf numFmtId="165" fontId="0" fillId="0" borderId="16" xfId="1" applyNumberFormat="1" applyFont="1" applyBorder="1"/>
    <xf numFmtId="0" fontId="12" fillId="0" borderId="0" xfId="0" applyFont="1"/>
    <xf numFmtId="0" fontId="0" fillId="0" borderId="0" xfId="0" applyAlignment="1">
      <alignment horizontal="left" indent="2"/>
    </xf>
    <xf numFmtId="0" fontId="17" fillId="0" borderId="0" xfId="0" applyFont="1" applyAlignment="1">
      <alignment horizontal="left"/>
    </xf>
    <xf numFmtId="164" fontId="9" fillId="0" borderId="0" xfId="0" applyNumberFormat="1" applyFont="1"/>
    <xf numFmtId="164" fontId="9" fillId="0" borderId="16" xfId="0" applyNumberFormat="1" applyFont="1" applyBorder="1"/>
    <xf numFmtId="164" fontId="9" fillId="0" borderId="0" xfId="2" applyNumberFormat="1" applyFont="1" applyBorder="1"/>
    <xf numFmtId="0" fontId="9" fillId="0" borderId="0" xfId="0" applyFont="1" applyAlignment="1">
      <alignment horizontal="left" indent="1"/>
    </xf>
    <xf numFmtId="176" fontId="0" fillId="0" borderId="0" xfId="14" applyNumberFormat="1" applyFont="1" applyFill="1"/>
    <xf numFmtId="175" fontId="0" fillId="0" borderId="0" xfId="1" applyNumberFormat="1" applyFont="1" applyFill="1"/>
    <xf numFmtId="168" fontId="0" fillId="0" borderId="0" xfId="14" applyNumberFormat="1" applyFont="1" applyBorder="1"/>
    <xf numFmtId="168" fontId="0" fillId="0" borderId="0" xfId="14" applyNumberFormat="1" applyFont="1" applyFill="1" applyBorder="1"/>
    <xf numFmtId="0" fontId="21" fillId="0" borderId="0" xfId="0" applyFont="1"/>
    <xf numFmtId="0" fontId="14" fillId="0" borderId="0" xfId="0" applyFont="1"/>
    <xf numFmtId="0" fontId="17" fillId="0" borderId="16" xfId="0" applyFont="1" applyBorder="1"/>
    <xf numFmtId="44" fontId="0" fillId="0" borderId="16" xfId="1" applyFont="1" applyFill="1" applyBorder="1"/>
    <xf numFmtId="169" fontId="0" fillId="0" borderId="0" xfId="0" applyNumberFormat="1"/>
    <xf numFmtId="165" fontId="0" fillId="0" borderId="0" xfId="1" applyNumberFormat="1" applyFont="1" applyFill="1" applyBorder="1"/>
    <xf numFmtId="0" fontId="9" fillId="10" borderId="0" xfId="0" applyFont="1" applyFill="1" applyAlignment="1">
      <alignment horizontal="center"/>
    </xf>
    <xf numFmtId="0" fontId="10" fillId="0" borderId="0" xfId="0" applyFont="1" applyAlignment="1">
      <alignment horizontal="left" indent="1"/>
    </xf>
    <xf numFmtId="0" fontId="0" fillId="4" borderId="0" xfId="0" applyFill="1"/>
    <xf numFmtId="165" fontId="0" fillId="0" borderId="0" xfId="0" applyNumberFormat="1" applyAlignment="1">
      <alignment horizontal="center"/>
    </xf>
    <xf numFmtId="0" fontId="22" fillId="0" borderId="0" xfId="0" applyFont="1" applyAlignment="1">
      <alignment horizontal="left"/>
    </xf>
    <xf numFmtId="172" fontId="23" fillId="0" borderId="0" xfId="14" applyNumberFormat="1" applyFont="1" applyFill="1" applyAlignment="1">
      <alignment horizontal="right"/>
    </xf>
    <xf numFmtId="179" fontId="23" fillId="0" borderId="0" xfId="0" applyNumberFormat="1" applyFont="1" applyAlignment="1">
      <alignment horizontal="right"/>
    </xf>
    <xf numFmtId="10" fontId="0" fillId="0" borderId="0" xfId="2" applyNumberFormat="1" applyFont="1" applyFill="1" applyBorder="1"/>
    <xf numFmtId="10" fontId="0" fillId="5" borderId="0" xfId="2" applyNumberFormat="1" applyFont="1" applyFill="1"/>
    <xf numFmtId="0" fontId="9" fillId="9" borderId="0" xfId="0" applyFont="1" applyFill="1"/>
    <xf numFmtId="0" fontId="0" fillId="5" borderId="0" xfId="0" applyFill="1"/>
    <xf numFmtId="0" fontId="0" fillId="0" borderId="13" xfId="0" applyBorder="1"/>
    <xf numFmtId="44" fontId="0" fillId="0" borderId="13" xfId="1" applyFont="1" applyBorder="1"/>
    <xf numFmtId="0" fontId="0" fillId="0" borderId="16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4" fillId="0" borderId="16" xfId="0" applyFont="1" applyBorder="1"/>
    <xf numFmtId="165" fontId="0" fillId="0" borderId="0" xfId="1" applyNumberFormat="1" applyFont="1" applyFill="1" applyAlignment="1"/>
    <xf numFmtId="0" fontId="0" fillId="0" borderId="0" xfId="0" applyAlignment="1">
      <alignment horizontal="left" indent="3"/>
    </xf>
    <xf numFmtId="165" fontId="0" fillId="0" borderId="14" xfId="0" applyNumberFormat="1" applyBorder="1"/>
    <xf numFmtId="165" fontId="2" fillId="0" borderId="0" xfId="1" applyNumberFormat="1" applyFont="1" applyBorder="1"/>
    <xf numFmtId="173" fontId="0" fillId="0" borderId="0" xfId="0" applyNumberFormat="1"/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0" fontId="0" fillId="0" borderId="0" xfId="0" applyAlignment="1">
      <alignment horizontal="center" wrapText="1"/>
    </xf>
    <xf numFmtId="183" fontId="0" fillId="0" borderId="0" xfId="0" applyNumberFormat="1"/>
    <xf numFmtId="0" fontId="9" fillId="0" borderId="0" xfId="0" applyFont="1" applyAlignment="1">
      <alignment horizontal="left" indent="2"/>
    </xf>
    <xf numFmtId="165" fontId="0" fillId="0" borderId="14" xfId="1" applyNumberFormat="1" applyFont="1" applyBorder="1"/>
    <xf numFmtId="0" fontId="27" fillId="0" borderId="0" xfId="0" applyFont="1"/>
    <xf numFmtId="0" fontId="27" fillId="12" borderId="0" xfId="0" applyFont="1" applyFill="1"/>
    <xf numFmtId="164" fontId="27" fillId="12" borderId="0" xfId="2" applyNumberFormat="1" applyFont="1" applyFill="1"/>
    <xf numFmtId="10" fontId="27" fillId="12" borderId="0" xfId="2" applyNumberFormat="1" applyFont="1" applyFill="1"/>
    <xf numFmtId="9" fontId="27" fillId="0" borderId="0" xfId="2" applyFont="1" applyFill="1"/>
    <xf numFmtId="164" fontId="27" fillId="0" borderId="0" xfId="2" applyNumberFormat="1" applyFont="1" applyFill="1"/>
    <xf numFmtId="9" fontId="27" fillId="12" borderId="0" xfId="2" applyFont="1" applyFill="1"/>
    <xf numFmtId="44" fontId="27" fillId="0" borderId="0" xfId="1" applyFont="1" applyFill="1"/>
    <xf numFmtId="173" fontId="0" fillId="0" borderId="0" xfId="14" applyNumberFormat="1" applyFont="1" applyFill="1" applyAlignment="1">
      <alignment horizontal="right"/>
    </xf>
    <xf numFmtId="177" fontId="27" fillId="0" borderId="0" xfId="0" applyNumberFormat="1" applyFont="1"/>
    <xf numFmtId="9" fontId="0" fillId="0" borderId="0" xfId="2" applyFont="1" applyFill="1" applyAlignment="1">
      <alignment horizontal="right"/>
    </xf>
    <xf numFmtId="0" fontId="20" fillId="0" borderId="0" xfId="0" applyFont="1" applyAlignment="1">
      <alignment horizontal="left" indent="1"/>
    </xf>
    <xf numFmtId="180" fontId="0" fillId="0" borderId="0" xfId="0" applyNumberFormat="1"/>
    <xf numFmtId="0" fontId="17" fillId="9" borderId="0" xfId="0" applyFont="1" applyFill="1"/>
    <xf numFmtId="10" fontId="0" fillId="0" borderId="0" xfId="1" applyNumberFormat="1" applyFont="1" applyFill="1" applyBorder="1"/>
    <xf numFmtId="165" fontId="0" fillId="0" borderId="14" xfId="1" applyNumberFormat="1" applyFont="1" applyFill="1" applyBorder="1"/>
    <xf numFmtId="164" fontId="27" fillId="12" borderId="0" xfId="2" applyNumberFormat="1" applyFont="1" applyFill="1" applyAlignment="1">
      <alignment horizontal="right"/>
    </xf>
    <xf numFmtId="0" fontId="28" fillId="0" borderId="0" xfId="0" applyFont="1"/>
    <xf numFmtId="9" fontId="0" fillId="9" borderId="0" xfId="2" applyFont="1" applyFill="1"/>
    <xf numFmtId="0" fontId="0" fillId="5" borderId="0" xfId="0" applyFill="1" applyAlignment="1">
      <alignment wrapText="1"/>
    </xf>
    <xf numFmtId="0" fontId="27" fillId="0" borderId="0" xfId="0" applyFont="1" applyAlignment="1">
      <alignment vertical="center"/>
    </xf>
    <xf numFmtId="164" fontId="0" fillId="0" borderId="0" xfId="2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43" fontId="0" fillId="0" borderId="0" xfId="14" applyFont="1" applyFill="1" applyBorder="1"/>
    <xf numFmtId="9" fontId="0" fillId="9" borderId="0" xfId="0" applyNumberFormat="1" applyFill="1"/>
    <xf numFmtId="8" fontId="0" fillId="0" borderId="0" xfId="1" applyNumberFormat="1" applyFont="1" applyFill="1"/>
    <xf numFmtId="0" fontId="27" fillId="1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15" borderId="9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3" fontId="0" fillId="4" borderId="21" xfId="14" applyNumberFormat="1" applyFont="1" applyFill="1" applyBorder="1" applyAlignment="1">
      <alignment horizontal="center" vertical="center"/>
    </xf>
    <xf numFmtId="3" fontId="0" fillId="4" borderId="13" xfId="14" applyNumberFormat="1" applyFont="1" applyFill="1" applyBorder="1" applyAlignment="1">
      <alignment horizontal="center" vertical="center"/>
    </xf>
    <xf numFmtId="3" fontId="0" fillId="12" borderId="12" xfId="0" applyNumberFormat="1" applyFill="1" applyBorder="1" applyAlignment="1">
      <alignment horizontal="center" vertical="center"/>
    </xf>
    <xf numFmtId="172" fontId="27" fillId="12" borderId="0" xfId="14" applyNumberFormat="1" applyFont="1" applyFill="1"/>
    <xf numFmtId="0" fontId="13" fillId="9" borderId="16" xfId="0" applyFont="1" applyFill="1" applyBorder="1" applyAlignment="1">
      <alignment horizontal="center" wrapText="1"/>
    </xf>
    <xf numFmtId="43" fontId="13" fillId="9" borderId="0" xfId="14" applyFont="1" applyFill="1"/>
    <xf numFmtId="0" fontId="13" fillId="9" borderId="0" xfId="0" applyFont="1" applyFill="1"/>
    <xf numFmtId="0" fontId="0" fillId="0" borderId="0" xfId="2" applyNumberFormat="1" applyFont="1" applyFill="1" applyAlignment="1">
      <alignment horizontal="right"/>
    </xf>
    <xf numFmtId="168" fontId="28" fillId="9" borderId="16" xfId="14" applyNumberFormat="1" applyFont="1" applyFill="1" applyBorder="1"/>
    <xf numFmtId="165" fontId="28" fillId="9" borderId="0" xfId="1" applyNumberFormat="1" applyFont="1" applyFill="1" applyBorder="1"/>
    <xf numFmtId="43" fontId="0" fillId="9" borderId="0" xfId="14" applyFont="1" applyFill="1" applyBorder="1"/>
    <xf numFmtId="168" fontId="0" fillId="0" borderId="14" xfId="14" applyNumberFormat="1" applyFont="1" applyFill="1" applyBorder="1"/>
    <xf numFmtId="44" fontId="0" fillId="9" borderId="0" xfId="1" applyFont="1" applyFill="1" applyBorder="1"/>
    <xf numFmtId="165" fontId="0" fillId="0" borderId="0" xfId="1" applyNumberFormat="1" applyFont="1" applyFill="1" applyAlignment="1">
      <alignment horizontal="right"/>
    </xf>
    <xf numFmtId="44" fontId="0" fillId="0" borderId="16" xfId="1" applyFont="1" applyFill="1" applyBorder="1" applyAlignment="1">
      <alignment horizontal="center"/>
    </xf>
    <xf numFmtId="9" fontId="0" fillId="0" borderId="0" xfId="1" applyNumberFormat="1" applyFont="1" applyFill="1" applyBorder="1"/>
    <xf numFmtId="168" fontId="0" fillId="0" borderId="14" xfId="0" applyNumberFormat="1" applyBorder="1"/>
    <xf numFmtId="0" fontId="0" fillId="0" borderId="14" xfId="0" applyBorder="1"/>
    <xf numFmtId="168" fontId="0" fillId="0" borderId="14" xfId="14" applyNumberFormat="1" applyFont="1" applyBorder="1"/>
    <xf numFmtId="0" fontId="33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18" fillId="9" borderId="0" xfId="0" applyFont="1" applyFill="1" applyAlignment="1">
      <alignment horizontal="center"/>
    </xf>
    <xf numFmtId="0" fontId="32" fillId="9" borderId="0" xfId="0" applyFont="1" applyFill="1" applyAlignment="1">
      <alignment horizontal="center" wrapText="1"/>
    </xf>
    <xf numFmtId="0" fontId="14" fillId="0" borderId="0" xfId="0" applyFont="1" applyAlignment="1">
      <alignment horizontal="left" indent="1"/>
    </xf>
    <xf numFmtId="44" fontId="9" fillId="0" borderId="0" xfId="1" applyFont="1" applyFill="1" applyBorder="1"/>
    <xf numFmtId="165" fontId="9" fillId="0" borderId="14" xfId="1" applyNumberFormat="1" applyFont="1" applyBorder="1"/>
    <xf numFmtId="168" fontId="0" fillId="0" borderId="0" xfId="2" applyNumberFormat="1" applyFont="1"/>
    <xf numFmtId="165" fontId="29" fillId="0" borderId="0" xfId="1" applyNumberFormat="1" applyFont="1"/>
    <xf numFmtId="0" fontId="0" fillId="9" borderId="14" xfId="0" applyFill="1" applyBorder="1" applyAlignment="1">
      <alignment horizontal="center"/>
    </xf>
    <xf numFmtId="165" fontId="14" fillId="0" borderId="0" xfId="1" applyNumberFormat="1" applyFont="1" applyBorder="1"/>
    <xf numFmtId="165" fontId="29" fillId="0" borderId="0" xfId="1" applyNumberFormat="1" applyFont="1" applyFill="1" applyBorder="1"/>
    <xf numFmtId="168" fontId="9" fillId="0" borderId="14" xfId="14" applyNumberFormat="1" applyFont="1" applyFill="1" applyBorder="1"/>
    <xf numFmtId="168" fontId="13" fillId="5" borderId="0" xfId="14" applyNumberFormat="1" applyFont="1" applyFill="1"/>
    <xf numFmtId="0" fontId="13" fillId="0" borderId="0" xfId="0" applyFont="1"/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 wrapText="1"/>
    </xf>
    <xf numFmtId="169" fontId="27" fillId="0" borderId="0" xfId="0" applyNumberFormat="1" applyFont="1" applyAlignment="1">
      <alignment horizontal="center"/>
    </xf>
    <xf numFmtId="0" fontId="0" fillId="9" borderId="13" xfId="0" applyFill="1" applyBorder="1"/>
    <xf numFmtId="170" fontId="0" fillId="0" borderId="0" xfId="0" applyNumberFormat="1"/>
    <xf numFmtId="172" fontId="0" fillId="0" borderId="0" xfId="14" applyNumberFormat="1" applyFont="1" applyFill="1" applyAlignment="1">
      <alignment horizontal="right"/>
    </xf>
    <xf numFmtId="0" fontId="35" fillId="0" borderId="0" xfId="0" applyFont="1"/>
    <xf numFmtId="168" fontId="0" fillId="0" borderId="0" xfId="14" applyNumberFormat="1" applyFont="1" applyFill="1" applyAlignment="1">
      <alignment horizontal="right"/>
    </xf>
    <xf numFmtId="9" fontId="27" fillId="0" borderId="0" xfId="2" applyFont="1" applyFill="1" applyBorder="1"/>
    <xf numFmtId="165" fontId="15" fillId="0" borderId="0" xfId="0" applyNumberFormat="1" applyFont="1"/>
    <xf numFmtId="168" fontId="0" fillId="0" borderId="0" xfId="0" applyNumberFormat="1" applyAlignment="1">
      <alignment horizontal="center" vertical="center"/>
    </xf>
    <xf numFmtId="164" fontId="0" fillId="0" borderId="0" xfId="2" applyNumberFormat="1" applyFont="1" applyFill="1" applyBorder="1" applyAlignment="1">
      <alignment horizontal="right"/>
    </xf>
    <xf numFmtId="9" fontId="0" fillId="0" borderId="0" xfId="2" applyFont="1" applyBorder="1"/>
    <xf numFmtId="43" fontId="0" fillId="0" borderId="16" xfId="14" applyFont="1" applyFill="1" applyBorder="1"/>
    <xf numFmtId="168" fontId="27" fillId="0" borderId="0" xfId="14" applyNumberFormat="1" applyFont="1" applyFill="1" applyBorder="1" applyAlignment="1">
      <alignment horizontal="center"/>
    </xf>
    <xf numFmtId="165" fontId="27" fillId="12" borderId="0" xfId="1" applyNumberFormat="1" applyFont="1" applyFill="1" applyBorder="1"/>
    <xf numFmtId="44" fontId="27" fillId="12" borderId="0" xfId="1" applyFont="1" applyFill="1" applyBorder="1"/>
    <xf numFmtId="44" fontId="27" fillId="12" borderId="0" xfId="1" applyFont="1" applyFill="1" applyBorder="1" applyAlignment="1">
      <alignment horizontal="right"/>
    </xf>
    <xf numFmtId="168" fontId="27" fillId="12" borderId="0" xfId="14" applyNumberFormat="1" applyFont="1" applyFill="1" applyBorder="1"/>
    <xf numFmtId="164" fontId="27" fillId="12" borderId="0" xfId="2" applyNumberFormat="1" applyFont="1" applyFill="1" applyBorder="1"/>
    <xf numFmtId="3" fontId="0" fillId="0" borderId="0" xfId="0" applyNumberFormat="1" applyAlignment="1">
      <alignment horizontal="center" vertical="center"/>
    </xf>
    <xf numFmtId="3" fontId="0" fillId="0" borderId="0" xfId="14" applyNumberFormat="1" applyFont="1" applyFill="1" applyBorder="1" applyAlignment="1">
      <alignment horizontal="center" vertical="center"/>
    </xf>
    <xf numFmtId="44" fontId="13" fillId="0" borderId="0" xfId="1" applyFont="1" applyFill="1" applyBorder="1"/>
    <xf numFmtId="0" fontId="9" fillId="0" borderId="0" xfId="0" applyFont="1" applyAlignment="1">
      <alignment wrapText="1"/>
    </xf>
    <xf numFmtId="0" fontId="15" fillId="0" borderId="16" xfId="0" applyFont="1" applyBorder="1"/>
    <xf numFmtId="0" fontId="9" fillId="9" borderId="0" xfId="0" applyFont="1" applyFill="1" applyAlignment="1">
      <alignment wrapText="1"/>
    </xf>
    <xf numFmtId="0" fontId="14" fillId="9" borderId="0" xfId="0" applyFont="1" applyFill="1" applyAlignment="1">
      <alignment wrapText="1"/>
    </xf>
    <xf numFmtId="0" fontId="0" fillId="0" borderId="0" xfId="0" pivotButton="1" applyAlignment="1">
      <alignment wrapText="1"/>
    </xf>
    <xf numFmtId="44" fontId="0" fillId="0" borderId="0" xfId="1" applyFont="1" applyFill="1" applyAlignment="1">
      <alignment horizontal="left" indent="2"/>
    </xf>
    <xf numFmtId="9" fontId="9" fillId="9" borderId="0" xfId="2" applyFont="1" applyFill="1" applyAlignment="1">
      <alignment horizontal="center" wrapText="1"/>
    </xf>
    <xf numFmtId="164" fontId="9" fillId="9" borderId="0" xfId="2" applyNumberFormat="1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35" fillId="0" borderId="0" xfId="0" applyFont="1" applyAlignment="1">
      <alignment horizontal="left"/>
    </xf>
    <xf numFmtId="10" fontId="9" fillId="9" borderId="0" xfId="2" applyNumberFormat="1" applyFont="1" applyFill="1" applyAlignment="1">
      <alignment horizontal="center" wrapText="1"/>
    </xf>
    <xf numFmtId="10" fontId="0" fillId="0" borderId="0" xfId="2" applyNumberFormat="1" applyFont="1" applyFill="1" applyAlignment="1">
      <alignment horizontal="right"/>
    </xf>
    <xf numFmtId="10" fontId="0" fillId="0" borderId="0" xfId="2" applyNumberFormat="1" applyFont="1" applyAlignment="1">
      <alignment horizontal="right"/>
    </xf>
    <xf numFmtId="165" fontId="0" fillId="8" borderId="0" xfId="1" applyNumberFormat="1" applyFont="1" applyFill="1"/>
    <xf numFmtId="1" fontId="9" fillId="0" borderId="0" xfId="0" applyNumberFormat="1" applyFont="1" applyAlignment="1">
      <alignment horizontal="center" wrapText="1"/>
    </xf>
    <xf numFmtId="172" fontId="27" fillId="0" borderId="0" xfId="14" applyNumberFormat="1" applyFont="1" applyFill="1" applyAlignment="1">
      <alignment horizontal="right"/>
    </xf>
    <xf numFmtId="168" fontId="9" fillId="9" borderId="0" xfId="14" applyNumberFormat="1" applyFont="1" applyFill="1" applyAlignment="1">
      <alignment horizontal="center" wrapText="1"/>
    </xf>
    <xf numFmtId="168" fontId="9" fillId="0" borderId="0" xfId="14" applyNumberFormat="1" applyFont="1" applyFill="1" applyAlignment="1">
      <alignment horizontal="center" wrapText="1"/>
    </xf>
    <xf numFmtId="44" fontId="9" fillId="9" borderId="0" xfId="1" applyFont="1" applyFill="1" applyAlignment="1">
      <alignment horizontal="center" wrapText="1"/>
    </xf>
    <xf numFmtId="0" fontId="0" fillId="6" borderId="0" xfId="0" applyFill="1"/>
    <xf numFmtId="0" fontId="0" fillId="6" borderId="0" xfId="0" applyFill="1" applyAlignment="1">
      <alignment wrapText="1"/>
    </xf>
    <xf numFmtId="16" fontId="0" fillId="0" borderId="0" xfId="0" applyNumberFormat="1"/>
    <xf numFmtId="10" fontId="13" fillId="9" borderId="0" xfId="2" applyNumberFormat="1" applyFont="1" applyFill="1"/>
    <xf numFmtId="0" fontId="0" fillId="0" borderId="28" xfId="0" applyBorder="1"/>
    <xf numFmtId="168" fontId="19" fillId="0" borderId="0" xfId="14" applyNumberFormat="1" applyFont="1" applyFill="1"/>
    <xf numFmtId="168" fontId="12" fillId="0" borderId="0" xfId="14" applyNumberFormat="1" applyFont="1" applyFill="1"/>
    <xf numFmtId="168" fontId="34" fillId="9" borderId="0" xfId="14" applyNumberFormat="1" applyFont="1" applyFill="1"/>
    <xf numFmtId="3" fontId="0" fillId="6" borderId="0" xfId="0" applyNumberFormat="1" applyFill="1"/>
    <xf numFmtId="0" fontId="30" fillId="0" borderId="0" xfId="0" applyFont="1"/>
    <xf numFmtId="168" fontId="9" fillId="0" borderId="0" xfId="14" applyNumberFormat="1" applyFont="1" applyFill="1"/>
    <xf numFmtId="10" fontId="13" fillId="5" borderId="0" xfId="2" applyNumberFormat="1" applyFont="1" applyFill="1"/>
    <xf numFmtId="44" fontId="27" fillId="12" borderId="0" xfId="1" applyFont="1" applyFill="1"/>
    <xf numFmtId="8" fontId="0" fillId="0" borderId="0" xfId="0" applyNumberFormat="1" applyAlignment="1">
      <alignment horizontal="center"/>
    </xf>
    <xf numFmtId="0" fontId="0" fillId="0" borderId="7" xfId="0" applyBorder="1" applyAlignment="1">
      <alignment horizontal="center" vertical="center"/>
    </xf>
    <xf numFmtId="0" fontId="13" fillId="5" borderId="0" xfId="0" applyFont="1" applyFill="1"/>
    <xf numFmtId="0" fontId="0" fillId="0" borderId="16" xfId="0" applyBorder="1" applyAlignment="1">
      <alignment horizontal="left" indent="2"/>
    </xf>
    <xf numFmtId="44" fontId="0" fillId="0" borderId="0" xfId="1" applyFont="1" applyBorder="1"/>
    <xf numFmtId="169" fontId="27" fillId="12" borderId="0" xfId="0" applyNumberFormat="1" applyFont="1" applyFill="1" applyAlignment="1">
      <alignment horizontal="center"/>
    </xf>
    <xf numFmtId="172" fontId="27" fillId="12" borderId="0" xfId="14" applyNumberFormat="1" applyFont="1" applyFill="1" applyAlignment="1">
      <alignment horizontal="right"/>
    </xf>
    <xf numFmtId="168" fontId="36" fillId="12" borderId="0" xfId="14" applyNumberFormat="1" applyFont="1" applyFill="1"/>
    <xf numFmtId="9" fontId="36" fillId="12" borderId="0" xfId="2" applyFont="1" applyFill="1" applyBorder="1"/>
    <xf numFmtId="0" fontId="36" fillId="12" borderId="0" xfId="0" applyFont="1" applyFill="1" applyAlignment="1">
      <alignment horizontal="right" wrapText="1"/>
    </xf>
    <xf numFmtId="168" fontId="27" fillId="12" borderId="0" xfId="14" applyNumberFormat="1" applyFont="1" applyFill="1" applyBorder="1" applyAlignment="1">
      <alignment horizontal="center"/>
    </xf>
    <xf numFmtId="168" fontId="36" fillId="12" borderId="0" xfId="14" applyNumberFormat="1" applyFont="1" applyFill="1" applyBorder="1"/>
    <xf numFmtId="9" fontId="27" fillId="12" borderId="0" xfId="2" applyFont="1" applyFill="1" applyBorder="1"/>
    <xf numFmtId="10" fontId="27" fillId="12" borderId="0" xfId="2" applyNumberFormat="1" applyFont="1" applyFill="1" applyBorder="1"/>
    <xf numFmtId="44" fontId="36" fillId="12" borderId="0" xfId="1" applyFont="1" applyFill="1" applyBorder="1"/>
    <xf numFmtId="172" fontId="9" fillId="9" borderId="0" xfId="14" applyNumberFormat="1" applyFont="1" applyFill="1" applyAlignment="1">
      <alignment horizontal="center" wrapText="1"/>
    </xf>
    <xf numFmtId="0" fontId="13" fillId="0" borderId="0" xfId="0" applyFont="1" applyAlignment="1">
      <alignment wrapText="1"/>
    </xf>
    <xf numFmtId="168" fontId="13" fillId="0" borderId="0" xfId="14" applyNumberFormat="1" applyFont="1"/>
    <xf numFmtId="0" fontId="14" fillId="0" borderId="0" xfId="0" applyFont="1" applyAlignment="1">
      <alignment horizontal="left"/>
    </xf>
    <xf numFmtId="0" fontId="13" fillId="11" borderId="16" xfId="0" applyFont="1" applyFill="1" applyBorder="1"/>
    <xf numFmtId="0" fontId="37" fillId="0" borderId="0" xfId="0" applyFont="1"/>
    <xf numFmtId="0" fontId="9" fillId="0" borderId="16" xfId="14" applyNumberFormat="1" applyFont="1" applyBorder="1"/>
    <xf numFmtId="0" fontId="14" fillId="0" borderId="16" xfId="14" applyNumberFormat="1" applyFont="1" applyBorder="1"/>
    <xf numFmtId="0" fontId="9" fillId="0" borderId="0" xfId="0" applyFont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9" fillId="7" borderId="0" xfId="0" applyFont="1" applyFill="1"/>
    <xf numFmtId="0" fontId="9" fillId="0" borderId="28" xfId="0" applyFont="1" applyBorder="1"/>
    <xf numFmtId="0" fontId="9" fillId="7" borderId="27" xfId="0" applyFont="1" applyFill="1" applyBorder="1"/>
    <xf numFmtId="0" fontId="9" fillId="7" borderId="28" xfId="0" applyFont="1" applyFill="1" applyBorder="1"/>
    <xf numFmtId="10" fontId="13" fillId="0" borderId="13" xfId="0" applyNumberFormat="1" applyFont="1" applyBorder="1"/>
    <xf numFmtId="3" fontId="9" fillId="7" borderId="27" xfId="0" applyNumberFormat="1" applyFont="1" applyFill="1" applyBorder="1"/>
    <xf numFmtId="0" fontId="0" fillId="9" borderId="0" xfId="0" applyFill="1" applyAlignment="1">
      <alignment horizontal="center" vertical="center"/>
    </xf>
    <xf numFmtId="0" fontId="0" fillId="0" borderId="0" xfId="0" applyAlignment="1">
      <alignment horizontal="left" wrapText="1" indent="1"/>
    </xf>
    <xf numFmtId="164" fontId="9" fillId="0" borderId="0" xfId="2" applyNumberFormat="1" applyFont="1" applyFill="1" applyAlignment="1">
      <alignment horizontal="center" wrapText="1"/>
    </xf>
    <xf numFmtId="164" fontId="27" fillId="0" borderId="0" xfId="2" applyNumberFormat="1" applyFont="1" applyFill="1" applyAlignment="1">
      <alignment horizontal="right"/>
    </xf>
    <xf numFmtId="9" fontId="9" fillId="0" borderId="0" xfId="2" applyFont="1" applyFill="1" applyAlignment="1">
      <alignment horizontal="center" wrapText="1"/>
    </xf>
    <xf numFmtId="9" fontId="27" fillId="12" borderId="0" xfId="2" applyFont="1" applyFill="1" applyAlignment="1">
      <alignment horizontal="right"/>
    </xf>
    <xf numFmtId="0" fontId="0" fillId="8" borderId="30" xfId="0" applyFill="1" applyBorder="1" applyAlignment="1">
      <alignment horizontal="center" vertical="center"/>
    </xf>
    <xf numFmtId="3" fontId="0" fillId="4" borderId="31" xfId="14" applyNumberFormat="1" applyFont="1" applyFill="1" applyBorder="1" applyAlignment="1">
      <alignment horizontal="center" vertical="center"/>
    </xf>
    <xf numFmtId="169" fontId="13" fillId="9" borderId="0" xfId="0" applyNumberFormat="1" applyFont="1" applyFill="1" applyAlignment="1">
      <alignment horizontal="center"/>
    </xf>
    <xf numFmtId="9" fontId="0" fillId="0" borderId="0" xfId="2" quotePrefix="1" applyFont="1"/>
    <xf numFmtId="0" fontId="0" fillId="0" borderId="0" xfId="0" quotePrefix="1" applyAlignment="1">
      <alignment horizontal="center"/>
    </xf>
    <xf numFmtId="0" fontId="39" fillId="0" borderId="16" xfId="0" applyFont="1" applyBorder="1" applyAlignment="1">
      <alignment horizontal="left" wrapText="1"/>
    </xf>
    <xf numFmtId="171" fontId="4" fillId="0" borderId="0" xfId="0" applyNumberFormat="1" applyFont="1"/>
    <xf numFmtId="0" fontId="38" fillId="0" borderId="0" xfId="0" applyFont="1" applyAlignment="1">
      <alignment horizontal="left" vertical="center"/>
    </xf>
    <xf numFmtId="0" fontId="0" fillId="12" borderId="0" xfId="0" applyFill="1" applyAlignment="1">
      <alignment horizontal="left" indent="1"/>
    </xf>
    <xf numFmtId="0" fontId="9" fillId="12" borderId="0" xfId="0" applyFont="1" applyFill="1" applyAlignment="1">
      <alignment horizontal="left" indent="1"/>
    </xf>
    <xf numFmtId="164" fontId="0" fillId="12" borderId="0" xfId="0" applyNumberFormat="1" applyFill="1"/>
    <xf numFmtId="0" fontId="40" fillId="0" borderId="0" xfId="0" applyFont="1" applyAlignment="1">
      <alignment vertical="top"/>
    </xf>
    <xf numFmtId="177" fontId="9" fillId="0" borderId="0" xfId="0" applyNumberFormat="1" applyFont="1" applyAlignment="1">
      <alignment horizontal="center" wrapText="1"/>
    </xf>
    <xf numFmtId="177" fontId="28" fillId="0" borderId="0" xfId="0" applyNumberFormat="1" applyFont="1"/>
    <xf numFmtId="164" fontId="28" fillId="9" borderId="0" xfId="2" applyNumberFormat="1" applyFont="1" applyFill="1"/>
    <xf numFmtId="165" fontId="27" fillId="12" borderId="0" xfId="1" applyNumberFormat="1" applyFont="1" applyFill="1"/>
    <xf numFmtId="165" fontId="0" fillId="9" borderId="0" xfId="1" applyNumberFormat="1" applyFont="1" applyFill="1"/>
    <xf numFmtId="165" fontId="0" fillId="9" borderId="0" xfId="1" applyNumberFormat="1" applyFont="1" applyFill="1" applyBorder="1"/>
    <xf numFmtId="44" fontId="18" fillId="0" borderId="0" xfId="0" applyNumberFormat="1" applyFont="1"/>
    <xf numFmtId="165" fontId="9" fillId="0" borderId="0" xfId="0" applyNumberFormat="1" applyFont="1"/>
    <xf numFmtId="165" fontId="9" fillId="0" borderId="0" xfId="1" applyNumberFormat="1" applyFont="1"/>
    <xf numFmtId="165" fontId="0" fillId="5" borderId="0" xfId="1" applyNumberFormat="1" applyFont="1" applyFill="1"/>
    <xf numFmtId="168" fontId="13" fillId="0" borderId="0" xfId="14" applyNumberFormat="1" applyFont="1" applyFill="1" applyBorder="1"/>
    <xf numFmtId="172" fontId="9" fillId="0" borderId="0" xfId="14" applyNumberFormat="1" applyFont="1" applyFill="1" applyAlignment="1">
      <alignment horizontal="center" wrapText="1"/>
    </xf>
    <xf numFmtId="172" fontId="27" fillId="0" borderId="0" xfId="14" applyNumberFormat="1" applyFont="1" applyFill="1"/>
    <xf numFmtId="186" fontId="27" fillId="0" borderId="0" xfId="0" applyNumberFormat="1" applyFont="1"/>
    <xf numFmtId="0" fontId="39" fillId="12" borderId="0" xfId="0" applyFont="1" applyFill="1" applyAlignment="1">
      <alignment horizontal="left" vertical="top" indent="1"/>
    </xf>
    <xf numFmtId="0" fontId="9" fillId="16" borderId="16" xfId="0" applyFont="1" applyFill="1" applyBorder="1" applyAlignment="1">
      <alignment horizontal="center" vertical="center" wrapText="1"/>
    </xf>
    <xf numFmtId="164" fontId="36" fillId="12" borderId="0" xfId="2" applyNumberFormat="1" applyFont="1" applyFill="1" applyBorder="1"/>
    <xf numFmtId="0" fontId="0" fillId="0" borderId="23" xfId="0" applyBorder="1"/>
    <xf numFmtId="0" fontId="13" fillId="0" borderId="19" xfId="0" applyFont="1" applyBorder="1"/>
    <xf numFmtId="0" fontId="13" fillId="0" borderId="25" xfId="0" applyFont="1" applyBorder="1"/>
    <xf numFmtId="43" fontId="0" fillId="0" borderId="16" xfId="0" applyNumberFormat="1" applyBorder="1" applyAlignment="1">
      <alignment horizontal="center" wrapText="1"/>
    </xf>
    <xf numFmtId="168" fontId="13" fillId="0" borderId="0" xfId="14" applyNumberFormat="1" applyFont="1" applyFill="1"/>
    <xf numFmtId="165" fontId="2" fillId="0" borderId="0" xfId="1" applyNumberFormat="1" applyFont="1"/>
    <xf numFmtId="0" fontId="0" fillId="9" borderId="12" xfId="0" applyFill="1" applyBorder="1" applyAlignment="1">
      <alignment horizontal="centerContinuous"/>
    </xf>
    <xf numFmtId="0" fontId="0" fillId="9" borderId="13" xfId="0" applyFill="1" applyBorder="1" applyAlignment="1">
      <alignment horizontal="centerContinuous"/>
    </xf>
    <xf numFmtId="0" fontId="0" fillId="9" borderId="11" xfId="0" applyFill="1" applyBorder="1" applyAlignment="1">
      <alignment horizontal="centerContinuous"/>
    </xf>
    <xf numFmtId="49" fontId="24" fillId="13" borderId="32" xfId="0" applyNumberFormat="1" applyFont="1" applyFill="1" applyBorder="1" applyAlignment="1">
      <alignment horizontal="center" vertical="center" wrapText="1"/>
    </xf>
    <xf numFmtId="3" fontId="25" fillId="14" borderId="32" xfId="0" applyNumberFormat="1" applyFont="1" applyFill="1" applyBorder="1" applyAlignment="1">
      <alignment horizontal="center" vertical="center"/>
    </xf>
    <xf numFmtId="181" fontId="25" fillId="14" borderId="32" xfId="0" applyNumberFormat="1" applyFont="1" applyFill="1" applyBorder="1" applyAlignment="1">
      <alignment horizontal="center" vertical="center"/>
    </xf>
    <xf numFmtId="3" fontId="25" fillId="14" borderId="32" xfId="0" applyNumberFormat="1" applyFont="1" applyFill="1" applyBorder="1" applyAlignment="1">
      <alignment horizontal="right" vertical="center"/>
    </xf>
    <xf numFmtId="49" fontId="24" fillId="13" borderId="32" xfId="0" applyNumberFormat="1" applyFont="1" applyFill="1" applyBorder="1" applyAlignment="1">
      <alignment vertical="center" wrapText="1"/>
    </xf>
    <xf numFmtId="3" fontId="25" fillId="18" borderId="32" xfId="0" applyNumberFormat="1" applyFont="1" applyFill="1" applyBorder="1" applyAlignment="1">
      <alignment horizontal="right" vertical="center"/>
    </xf>
    <xf numFmtId="181" fontId="0" fillId="0" borderId="29" xfId="0" applyNumberFormat="1" applyBorder="1"/>
    <xf numFmtId="3" fontId="0" fillId="0" borderId="29" xfId="0" applyNumberFormat="1" applyBorder="1"/>
    <xf numFmtId="187" fontId="0" fillId="0" borderId="0" xfId="0" applyNumberFormat="1"/>
    <xf numFmtId="165" fontId="2" fillId="0" borderId="0" xfId="1" applyNumberFormat="1" applyFont="1" applyFill="1"/>
    <xf numFmtId="165" fontId="2" fillId="0" borderId="0" xfId="1" applyNumberFormat="1" applyFont="1" applyFill="1" applyBorder="1"/>
    <xf numFmtId="168" fontId="2" fillId="0" borderId="0" xfId="14" applyNumberFormat="1" applyFont="1"/>
    <xf numFmtId="168" fontId="2" fillId="9" borderId="0" xfId="14" applyNumberFormat="1" applyFont="1" applyFill="1"/>
    <xf numFmtId="168" fontId="2" fillId="0" borderId="0" xfId="14" applyNumberFormat="1" applyFont="1" applyFill="1"/>
    <xf numFmtId="44" fontId="2" fillId="0" borderId="0" xfId="1" applyFont="1"/>
    <xf numFmtId="44" fontId="2" fillId="0" borderId="0" xfId="1" applyFont="1" applyFill="1"/>
    <xf numFmtId="8" fontId="2" fillId="0" borderId="0" xfId="1" applyNumberFormat="1" applyFont="1" applyFill="1"/>
    <xf numFmtId="9" fontId="2" fillId="0" borderId="0" xfId="2" applyFont="1" applyFill="1"/>
    <xf numFmtId="0" fontId="2" fillId="0" borderId="16" xfId="14" applyNumberFormat="1" applyFont="1" applyBorder="1"/>
    <xf numFmtId="165" fontId="28" fillId="0" borderId="0" xfId="1" applyNumberFormat="1" applyFont="1"/>
    <xf numFmtId="168" fontId="2" fillId="0" borderId="14" xfId="14" applyNumberFormat="1" applyFont="1" applyFill="1" applyBorder="1"/>
    <xf numFmtId="9" fontId="2" fillId="0" borderId="0" xfId="2" applyFont="1"/>
    <xf numFmtId="168" fontId="2" fillId="0" borderId="0" xfId="2" applyNumberFormat="1" applyFont="1"/>
    <xf numFmtId="168" fontId="2" fillId="0" borderId="0" xfId="14" applyNumberFormat="1" applyFont="1" applyFill="1" applyBorder="1"/>
    <xf numFmtId="165" fontId="2" fillId="0" borderId="14" xfId="1" applyNumberFormat="1" applyFont="1" applyBorder="1"/>
    <xf numFmtId="168" fontId="2" fillId="0" borderId="14" xfId="14" applyNumberFormat="1" applyFont="1" applyBorder="1"/>
    <xf numFmtId="168" fontId="2" fillId="0" borderId="0" xfId="14" applyNumberFormat="1" applyFont="1" applyBorder="1"/>
    <xf numFmtId="165" fontId="15" fillId="0" borderId="0" xfId="1" applyNumberFormat="1" applyFont="1" applyBorder="1"/>
    <xf numFmtId="165" fontId="2" fillId="0" borderId="13" xfId="1" applyNumberFormat="1" applyFont="1" applyFill="1" applyBorder="1"/>
    <xf numFmtId="165" fontId="2" fillId="0" borderId="13" xfId="1" applyNumberFormat="1" applyFont="1" applyBorder="1"/>
    <xf numFmtId="165" fontId="2" fillId="0" borderId="17" xfId="1" applyNumberFormat="1" applyFont="1" applyBorder="1"/>
    <xf numFmtId="168" fontId="2" fillId="0" borderId="16" xfId="14" applyNumberFormat="1" applyFont="1" applyBorder="1"/>
    <xf numFmtId="10" fontId="2" fillId="0" borderId="0" xfId="2" applyNumberFormat="1" applyFont="1"/>
    <xf numFmtId="176" fontId="2" fillId="0" borderId="0" xfId="14" applyNumberFormat="1" applyFont="1" applyFill="1"/>
    <xf numFmtId="9" fontId="2" fillId="0" borderId="0" xfId="2" applyFont="1" applyBorder="1"/>
    <xf numFmtId="165" fontId="2" fillId="0" borderId="18" xfId="1" applyNumberFormat="1" applyFont="1" applyBorder="1"/>
    <xf numFmtId="43" fontId="2" fillId="0" borderId="16" xfId="14" applyFont="1" applyBorder="1"/>
    <xf numFmtId="43" fontId="2" fillId="0" borderId="16" xfId="14" applyFont="1" applyFill="1" applyBorder="1"/>
    <xf numFmtId="44" fontId="2" fillId="0" borderId="16" xfId="1" applyFont="1" applyFill="1" applyBorder="1"/>
    <xf numFmtId="175" fontId="2" fillId="0" borderId="0" xfId="1" applyNumberFormat="1" applyFont="1" applyFill="1"/>
    <xf numFmtId="10" fontId="2" fillId="0" borderId="0" xfId="1" applyNumberFormat="1" applyFont="1" applyFill="1" applyBorder="1"/>
    <xf numFmtId="165" fontId="2" fillId="0" borderId="14" xfId="1" applyNumberFormat="1" applyFont="1" applyFill="1" applyBorder="1"/>
    <xf numFmtId="0" fontId="0" fillId="0" borderId="0" xfId="0" applyAlignment="1">
      <alignment horizontal="left" vertical="center"/>
    </xf>
    <xf numFmtId="3" fontId="9" fillId="0" borderId="0" xfId="0" applyNumberFormat="1" applyFont="1"/>
    <xf numFmtId="0" fontId="13" fillId="11" borderId="33" xfId="0" applyFont="1" applyFill="1" applyBorder="1"/>
    <xf numFmtId="165" fontId="9" fillId="9" borderId="0" xfId="1" applyNumberFormat="1" applyFont="1" applyFill="1" applyAlignment="1">
      <alignment horizontal="center" wrapText="1"/>
    </xf>
    <xf numFmtId="175" fontId="12" fillId="0" borderId="0" xfId="1" applyNumberFormat="1" applyFont="1"/>
    <xf numFmtId="168" fontId="36" fillId="0" borderId="0" xfId="14" applyNumberFormat="1" applyFont="1" applyFill="1"/>
    <xf numFmtId="10" fontId="27" fillId="12" borderId="0" xfId="0" applyNumberFormat="1" applyFont="1" applyFill="1"/>
    <xf numFmtId="184" fontId="27" fillId="12" borderId="0" xfId="2" applyNumberFormat="1" applyFont="1" applyFill="1" applyBorder="1"/>
    <xf numFmtId="187" fontId="27" fillId="12" borderId="0" xfId="2" applyNumberFormat="1" applyFont="1" applyFill="1"/>
    <xf numFmtId="169" fontId="9" fillId="9" borderId="0" xfId="0" applyNumberFormat="1" applyFont="1" applyFill="1" applyAlignment="1">
      <alignment horizontal="center" wrapText="1"/>
    </xf>
    <xf numFmtId="0" fontId="15" fillId="0" borderId="0" xfId="18"/>
    <xf numFmtId="0" fontId="0" fillId="0" borderId="0" xfId="0" applyAlignment="1">
      <alignment horizontal="right" wrapText="1"/>
    </xf>
    <xf numFmtId="0" fontId="0" fillId="8" borderId="0" xfId="0" applyFill="1"/>
    <xf numFmtId="44" fontId="0" fillId="8" borderId="0" xfId="1" applyFont="1" applyFill="1"/>
    <xf numFmtId="10" fontId="0" fillId="8" borderId="0" xfId="0" applyNumberFormat="1" applyFill="1"/>
    <xf numFmtId="4" fontId="0" fillId="0" borderId="0" xfId="0" applyNumberFormat="1"/>
    <xf numFmtId="164" fontId="0" fillId="0" borderId="16" xfId="2" applyNumberFormat="1" applyFont="1" applyBorder="1"/>
    <xf numFmtId="164" fontId="13" fillId="9" borderId="0" xfId="0" applyNumberFormat="1" applyFont="1" applyFill="1" applyAlignment="1">
      <alignment horizontal="center"/>
    </xf>
    <xf numFmtId="168" fontId="13" fillId="12" borderId="0" xfId="14" applyNumberFormat="1" applyFont="1" applyFill="1"/>
    <xf numFmtId="44" fontId="0" fillId="0" borderId="0" xfId="0" applyNumberFormat="1" applyAlignment="1">
      <alignment horizontal="right"/>
    </xf>
    <xf numFmtId="3" fontId="0" fillId="9" borderId="0" xfId="0" applyNumberFormat="1" applyFill="1"/>
    <xf numFmtId="164" fontId="13" fillId="5" borderId="0" xfId="0" applyNumberFormat="1" applyFont="1" applyFill="1"/>
    <xf numFmtId="43" fontId="0" fillId="0" borderId="0" xfId="14" applyFont="1" applyAlignment="1">
      <alignment horizontal="center"/>
    </xf>
    <xf numFmtId="0" fontId="40" fillId="0" borderId="0" xfId="0" applyFont="1" applyAlignment="1">
      <alignment horizontal="right" vertical="top"/>
    </xf>
    <xf numFmtId="0" fontId="13" fillId="0" borderId="0" xfId="0" applyFont="1" applyAlignment="1">
      <alignment horizontal="right"/>
    </xf>
    <xf numFmtId="43" fontId="13" fillId="5" borderId="0" xfId="14" applyFont="1" applyFill="1"/>
    <xf numFmtId="10" fontId="9" fillId="0" borderId="0" xfId="2" applyNumberFormat="1" applyFont="1" applyFill="1" applyAlignment="1">
      <alignment horizontal="center" wrapText="1"/>
    </xf>
    <xf numFmtId="0" fontId="0" fillId="0" borderId="0" xfId="0" applyAlignment="1">
      <alignment horizontal="centerContinuous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9" fillId="0" borderId="0" xfId="1" applyFont="1" applyFill="1" applyAlignment="1">
      <alignment horizontal="center" wrapText="1"/>
    </xf>
    <xf numFmtId="165" fontId="9" fillId="0" borderId="0" xfId="1" applyNumberFormat="1" applyFont="1" applyFill="1" applyAlignment="1">
      <alignment horizontal="center" wrapText="1"/>
    </xf>
    <xf numFmtId="165" fontId="27" fillId="0" borderId="0" xfId="1" applyNumberFormat="1" applyFont="1" applyFill="1"/>
    <xf numFmtId="10" fontId="0" fillId="9" borderId="0" xfId="2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3" fontId="15" fillId="0" borderId="0" xfId="0" applyNumberFormat="1" applyFont="1"/>
    <xf numFmtId="44" fontId="15" fillId="0" borderId="0" xfId="1" applyFont="1" applyBorder="1"/>
    <xf numFmtId="44" fontId="2" fillId="0" borderId="0" xfId="1" applyFont="1" applyBorder="1"/>
    <xf numFmtId="10" fontId="43" fillId="12" borderId="0" xfId="2" applyNumberFormat="1" applyFont="1" applyFill="1"/>
    <xf numFmtId="10" fontId="28" fillId="9" borderId="0" xfId="2" applyNumberFormat="1" applyFont="1" applyFill="1" applyBorder="1"/>
    <xf numFmtId="9" fontId="28" fillId="9" borderId="0" xfId="2" applyFont="1" applyFill="1" applyAlignment="1">
      <alignment horizontal="right"/>
    </xf>
    <xf numFmtId="0" fontId="28" fillId="9" borderId="0" xfId="0" applyFont="1" applyFill="1" applyAlignment="1">
      <alignment horizontal="right"/>
    </xf>
    <xf numFmtId="8" fontId="0" fillId="0" borderId="1" xfId="0" applyNumberFormat="1" applyBorder="1" applyAlignment="1">
      <alignment horizontal="center"/>
    </xf>
    <xf numFmtId="171" fontId="28" fillId="0" borderId="0" xfId="0" applyNumberFormat="1" applyFont="1"/>
    <xf numFmtId="0" fontId="29" fillId="0" borderId="34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/>
    </xf>
    <xf numFmtId="166" fontId="28" fillId="0" borderId="34" xfId="0" applyNumberFormat="1" applyFont="1" applyBorder="1" applyAlignment="1">
      <alignment horizontal="right" vertical="center" wrapText="1"/>
    </xf>
    <xf numFmtId="166" fontId="28" fillId="0" borderId="0" xfId="0" applyNumberFormat="1" applyFont="1" applyAlignment="1">
      <alignment horizontal="right" vertical="center"/>
    </xf>
    <xf numFmtId="185" fontId="28" fillId="0" borderId="34" xfId="0" applyNumberFormat="1" applyFont="1" applyBorder="1" applyAlignment="1">
      <alignment horizontal="right" vertical="center" wrapText="1"/>
    </xf>
    <xf numFmtId="168" fontId="28" fillId="0" borderId="0" xfId="14" applyNumberFormat="1" applyFont="1" applyFill="1" applyAlignment="1">
      <alignment horizontal="right"/>
    </xf>
    <xf numFmtId="0" fontId="28" fillId="0" borderId="0" xfId="0" applyFont="1" applyAlignment="1">
      <alignment horizontal="right"/>
    </xf>
    <xf numFmtId="182" fontId="0" fillId="0" borderId="0" xfId="0" applyNumberFormat="1" applyAlignment="1">
      <alignment horizontal="right"/>
    </xf>
    <xf numFmtId="166" fontId="28" fillId="0" borderId="35" xfId="0" applyNumberFormat="1" applyFont="1" applyBorder="1" applyAlignment="1">
      <alignment horizontal="right" vertical="center" wrapText="1"/>
    </xf>
    <xf numFmtId="185" fontId="28" fillId="0" borderId="35" xfId="0" applyNumberFormat="1" applyFont="1" applyBorder="1" applyAlignment="1">
      <alignment horizontal="right" vertical="center" wrapText="1"/>
    </xf>
    <xf numFmtId="172" fontId="19" fillId="9" borderId="0" xfId="14" applyNumberFormat="1" applyFont="1" applyFill="1" applyAlignment="1">
      <alignment horizontal="center"/>
    </xf>
    <xf numFmtId="43" fontId="19" fillId="0" borderId="0" xfId="0" applyNumberFormat="1" applyFont="1" applyAlignment="1">
      <alignment horizontal="center"/>
    </xf>
    <xf numFmtId="10" fontId="0" fillId="19" borderId="13" xfId="2" applyNumberFormat="1" applyFont="1" applyFill="1" applyBorder="1"/>
    <xf numFmtId="0" fontId="26" fillId="0" borderId="0" xfId="0" applyFont="1" applyAlignment="1">
      <alignment vertical="top"/>
    </xf>
    <xf numFmtId="0" fontId="28" fillId="0" borderId="13" xfId="0" applyFont="1" applyBorder="1"/>
    <xf numFmtId="165" fontId="9" fillId="9" borderId="0" xfId="1" applyNumberFormat="1" applyFont="1" applyFill="1"/>
    <xf numFmtId="49" fontId="44" fillId="17" borderId="32" xfId="0" applyNumberFormat="1" applyFont="1" applyFill="1" applyBorder="1" applyAlignment="1">
      <alignment horizontal="center" vertical="center" wrapText="1"/>
    </xf>
    <xf numFmtId="181" fontId="45" fillId="14" borderId="32" xfId="0" applyNumberFormat="1" applyFont="1" applyFill="1" applyBorder="1" applyAlignment="1">
      <alignment horizontal="center" vertical="center"/>
    </xf>
    <xf numFmtId="3" fontId="45" fillId="14" borderId="32" xfId="0" applyNumberFormat="1" applyFont="1" applyFill="1" applyBorder="1" applyAlignment="1">
      <alignment horizontal="right" vertical="center"/>
    </xf>
    <xf numFmtId="3" fontId="45" fillId="14" borderId="32" xfId="0" applyNumberFormat="1" applyFont="1" applyFill="1" applyBorder="1" applyAlignment="1">
      <alignment horizontal="center" vertical="center"/>
    </xf>
    <xf numFmtId="3" fontId="44" fillId="14" borderId="32" xfId="0" applyNumberFormat="1" applyFont="1" applyFill="1" applyBorder="1" applyAlignment="1">
      <alignment horizontal="center" vertical="center"/>
    </xf>
    <xf numFmtId="181" fontId="44" fillId="14" borderId="32" xfId="0" applyNumberFormat="1" applyFont="1" applyFill="1" applyBorder="1" applyAlignment="1">
      <alignment horizontal="center" vertical="center"/>
    </xf>
    <xf numFmtId="3" fontId="44" fillId="14" borderId="32" xfId="0" applyNumberFormat="1" applyFont="1" applyFill="1" applyBorder="1" applyAlignment="1">
      <alignment horizontal="right" vertical="center"/>
    </xf>
    <xf numFmtId="49" fontId="45" fillId="14" borderId="32" xfId="0" applyNumberFormat="1" applyFont="1" applyFill="1" applyBorder="1" applyAlignment="1">
      <alignment horizontal="left" vertical="center"/>
    </xf>
    <xf numFmtId="49" fontId="45" fillId="18" borderId="32" xfId="0" applyNumberFormat="1" applyFont="1" applyFill="1" applyBorder="1" applyAlignment="1">
      <alignment horizontal="left" vertical="center"/>
    </xf>
    <xf numFmtId="3" fontId="25" fillId="18" borderId="32" xfId="0" applyNumberFormat="1" applyFont="1" applyFill="1" applyBorder="1" applyAlignment="1">
      <alignment horizontal="center" vertical="center"/>
    </xf>
    <xf numFmtId="181" fontId="45" fillId="18" borderId="32" xfId="0" applyNumberFormat="1" applyFont="1" applyFill="1" applyBorder="1" applyAlignment="1">
      <alignment horizontal="center" vertical="center"/>
    </xf>
    <xf numFmtId="3" fontId="45" fillId="18" borderId="32" xfId="0" applyNumberFormat="1" applyFont="1" applyFill="1" applyBorder="1" applyAlignment="1">
      <alignment horizontal="right" vertical="center"/>
    </xf>
    <xf numFmtId="37" fontId="0" fillId="0" borderId="0" xfId="0" applyNumberFormat="1"/>
    <xf numFmtId="6" fontId="46" fillId="0" borderId="0" xfId="0" applyNumberFormat="1" applyFont="1"/>
    <xf numFmtId="6" fontId="46" fillId="0" borderId="36" xfId="0" applyNumberFormat="1" applyFont="1" applyBorder="1"/>
    <xf numFmtId="0" fontId="0" fillId="0" borderId="36" xfId="0" applyBorder="1" applyAlignment="1">
      <alignment horizontal="center"/>
    </xf>
    <xf numFmtId="3" fontId="0" fillId="0" borderId="0" xfId="0" applyNumberFormat="1" applyAlignment="1">
      <alignment horizontal="center"/>
    </xf>
    <xf numFmtId="168" fontId="0" fillId="0" borderId="0" xfId="0" applyNumberFormat="1" applyAlignment="1">
      <alignment horizontal="left"/>
    </xf>
    <xf numFmtId="43" fontId="13" fillId="0" borderId="0" xfId="14" applyFont="1" applyFill="1"/>
    <xf numFmtId="172" fontId="19" fillId="0" borderId="0" xfId="14" applyNumberFormat="1" applyFont="1" applyFill="1" applyAlignment="1">
      <alignment horizontal="center"/>
    </xf>
    <xf numFmtId="0" fontId="10" fillId="0" borderId="0" xfId="0" applyFont="1" applyAlignment="1">
      <alignment horizontal="left" indent="2"/>
    </xf>
    <xf numFmtId="0" fontId="47" fillId="0" borderId="0" xfId="0" applyFont="1" applyAlignment="1">
      <alignment horizontal="left" indent="2"/>
    </xf>
    <xf numFmtId="168" fontId="36" fillId="20" borderId="0" xfId="14" applyNumberFormat="1" applyFont="1" applyFill="1"/>
    <xf numFmtId="0" fontId="14" fillId="0" borderId="0" xfId="0" applyFont="1" applyAlignment="1">
      <alignment horizontal="left" indent="2"/>
    </xf>
    <xf numFmtId="168" fontId="13" fillId="12" borderId="24" xfId="14" applyNumberFormat="1" applyFont="1" applyFill="1" applyBorder="1"/>
    <xf numFmtId="168" fontId="13" fillId="0" borderId="24" xfId="14" applyNumberFormat="1" applyFont="1" applyFill="1" applyBorder="1"/>
    <xf numFmtId="168" fontId="13" fillId="12" borderId="37" xfId="14" applyNumberFormat="1" applyFont="1" applyFill="1" applyBorder="1"/>
    <xf numFmtId="168" fontId="13" fillId="9" borderId="24" xfId="14" applyNumberFormat="1" applyFont="1" applyFill="1" applyBorder="1"/>
    <xf numFmtId="168" fontId="13" fillId="9" borderId="26" xfId="14" applyNumberFormat="1" applyFont="1" applyFill="1" applyBorder="1"/>
    <xf numFmtId="6" fontId="1" fillId="0" borderId="0" xfId="1" applyNumberFormat="1" applyFont="1"/>
    <xf numFmtId="0" fontId="22" fillId="0" borderId="0" xfId="18" applyFont="1" applyAlignment="1">
      <alignment horizontal="left" vertical="top" wrapText="1"/>
    </xf>
    <xf numFmtId="0" fontId="22" fillId="0" borderId="20" xfId="18" applyFont="1" applyBorder="1" applyAlignment="1">
      <alignment horizontal="center" wrapText="1"/>
    </xf>
    <xf numFmtId="0" fontId="22" fillId="0" borderId="0" xfId="18" applyFont="1" applyAlignment="1">
      <alignment horizontal="left"/>
    </xf>
    <xf numFmtId="178" fontId="23" fillId="0" borderId="0" xfId="18" applyNumberFormat="1" applyFont="1" applyAlignment="1">
      <alignment horizontal="right"/>
    </xf>
    <xf numFmtId="179" fontId="23" fillId="0" borderId="0" xfId="18" applyNumberFormat="1" applyFont="1" applyAlignment="1">
      <alignment horizontal="right"/>
    </xf>
    <xf numFmtId="0" fontId="0" fillId="0" borderId="0" xfId="0" applyAlignment="1">
      <alignment horizontal="left" wrapText="1"/>
    </xf>
    <xf numFmtId="43" fontId="0" fillId="0" borderId="0" xfId="14" applyFont="1" applyAlignment="1">
      <alignment horizontal="left"/>
    </xf>
    <xf numFmtId="43" fontId="0" fillId="0" borderId="0" xfId="0" applyNumberFormat="1" applyAlignment="1">
      <alignment horizontal="left"/>
    </xf>
    <xf numFmtId="9" fontId="0" fillId="0" borderId="0" xfId="2" applyFont="1" applyAlignment="1">
      <alignment horizontal="left"/>
    </xf>
    <xf numFmtId="0" fontId="9" fillId="0" borderId="13" xfId="0" applyFont="1" applyBorder="1"/>
    <xf numFmtId="0" fontId="48" fillId="21" borderId="0" xfId="0" applyFont="1" applyFill="1"/>
    <xf numFmtId="0" fontId="48" fillId="22" borderId="0" xfId="0" applyFont="1" applyFill="1"/>
    <xf numFmtId="0" fontId="0" fillId="23" borderId="0" xfId="0" applyFill="1"/>
    <xf numFmtId="0" fontId="48" fillId="24" borderId="0" xfId="0" applyFont="1" applyFill="1"/>
    <xf numFmtId="0" fontId="26" fillId="0" borderId="0" xfId="0" applyFont="1"/>
    <xf numFmtId="0" fontId="0" fillId="0" borderId="0" xfId="2" applyNumberFormat="1" applyFont="1" applyFill="1"/>
    <xf numFmtId="182" fontId="0" fillId="0" borderId="0" xfId="0" applyNumberFormat="1"/>
    <xf numFmtId="0" fontId="49" fillId="0" borderId="0" xfId="19"/>
    <xf numFmtId="9" fontId="36" fillId="0" borderId="0" xfId="2" applyFont="1" applyFill="1" applyBorder="1"/>
    <xf numFmtId="165" fontId="27" fillId="0" borderId="0" xfId="1" applyNumberFormat="1" applyFont="1" applyFill="1" applyBorder="1"/>
    <xf numFmtId="44" fontId="27" fillId="0" borderId="0" xfId="1" applyFont="1" applyFill="1" applyBorder="1"/>
    <xf numFmtId="44" fontId="27" fillId="0" borderId="0" xfId="1" applyFont="1" applyFill="1" applyBorder="1" applyAlignment="1">
      <alignment horizontal="right"/>
    </xf>
    <xf numFmtId="168" fontId="27" fillId="0" borderId="0" xfId="14" applyNumberFormat="1" applyFont="1" applyFill="1" applyBorder="1"/>
    <xf numFmtId="164" fontId="27" fillId="0" borderId="0" xfId="2" applyNumberFormat="1" applyFont="1" applyFill="1" applyBorder="1"/>
    <xf numFmtId="168" fontId="36" fillId="0" borderId="0" xfId="14" applyNumberFormat="1" applyFont="1" applyFill="1" applyBorder="1"/>
    <xf numFmtId="10" fontId="27" fillId="0" borderId="0" xfId="2" applyNumberFormat="1" applyFont="1" applyFill="1" applyBorder="1"/>
    <xf numFmtId="10" fontId="28" fillId="0" borderId="0" xfId="2" applyNumberFormat="1" applyFont="1" applyFill="1" applyBorder="1"/>
    <xf numFmtId="184" fontId="27" fillId="0" borderId="0" xfId="2" applyNumberFormat="1" applyFont="1" applyFill="1" applyBorder="1"/>
    <xf numFmtId="44" fontId="36" fillId="0" borderId="0" xfId="1" applyFont="1" applyFill="1" applyBorder="1"/>
    <xf numFmtId="164" fontId="36" fillId="0" borderId="0" xfId="2" applyNumberFormat="1" applyFont="1" applyFill="1" applyBorder="1"/>
    <xf numFmtId="0" fontId="0" fillId="0" borderId="0" xfId="0" applyAlignment="1">
      <alignment horizontal="center" vertical="center" wrapText="1"/>
    </xf>
    <xf numFmtId="10" fontId="27" fillId="0" borderId="0" xfId="0" applyNumberFormat="1" applyFont="1"/>
    <xf numFmtId="0" fontId="27" fillId="0" borderId="0" xfId="0" applyFont="1" applyAlignment="1">
      <alignment horizontal="center"/>
    </xf>
    <xf numFmtId="172" fontId="27" fillId="0" borderId="0" xfId="14" applyNumberFormat="1" applyFont="1" applyFill="1" applyBorder="1" applyAlignment="1">
      <alignment horizontal="right"/>
    </xf>
    <xf numFmtId="164" fontId="27" fillId="0" borderId="0" xfId="2" applyNumberFormat="1" applyFont="1" applyFill="1" applyBorder="1" applyAlignment="1">
      <alignment horizontal="right"/>
    </xf>
    <xf numFmtId="9" fontId="27" fillId="0" borderId="0" xfId="2" applyFont="1" applyFill="1" applyBorder="1" applyAlignment="1">
      <alignment horizontal="right"/>
    </xf>
    <xf numFmtId="9" fontId="28" fillId="0" borderId="0" xfId="2" applyFont="1" applyFill="1" applyBorder="1" applyAlignment="1">
      <alignment horizontal="right"/>
    </xf>
    <xf numFmtId="0" fontId="36" fillId="0" borderId="0" xfId="0" applyFont="1" applyAlignment="1">
      <alignment horizontal="right" wrapText="1"/>
    </xf>
    <xf numFmtId="164" fontId="28" fillId="0" borderId="0" xfId="2" applyNumberFormat="1" applyFont="1" applyFill="1" applyBorder="1"/>
    <xf numFmtId="10" fontId="43" fillId="0" borderId="0" xfId="2" applyNumberFormat="1" applyFont="1" applyFill="1" applyBorder="1"/>
    <xf numFmtId="187" fontId="27" fillId="0" borderId="0" xfId="2" applyNumberFormat="1" applyFont="1" applyFill="1" applyBorder="1"/>
    <xf numFmtId="172" fontId="27" fillId="0" borderId="0" xfId="14" applyNumberFormat="1" applyFont="1" applyFill="1" applyBorder="1"/>
    <xf numFmtId="0" fontId="9" fillId="0" borderId="0" xfId="0" applyFont="1" applyAlignment="1">
      <alignment horizontal="left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3" fillId="0" borderId="0" xfId="18" applyFont="1" applyAlignment="1">
      <alignment horizontal="left" vertical="top" wrapText="1"/>
    </xf>
    <xf numFmtId="0" fontId="15" fillId="0" borderId="0" xfId="18"/>
    <xf numFmtId="0" fontId="23" fillId="0" borderId="0" xfId="18" applyFont="1" applyAlignment="1">
      <alignment horizontal="left"/>
    </xf>
    <xf numFmtId="0" fontId="42" fillId="0" borderId="0" xfId="18" applyFont="1" applyAlignment="1">
      <alignment horizontal="left"/>
    </xf>
    <xf numFmtId="0" fontId="22" fillId="0" borderId="0" xfId="18" applyFont="1" applyAlignment="1">
      <alignment horizontal="left" vertical="top" wrapText="1"/>
    </xf>
    <xf numFmtId="44" fontId="0" fillId="19" borderId="0" xfId="1" applyFont="1" applyFill="1"/>
    <xf numFmtId="44" fontId="0" fillId="19" borderId="13" xfId="1" applyFont="1" applyFill="1" applyBorder="1"/>
    <xf numFmtId="164" fontId="34" fillId="19" borderId="13" xfId="0" applyNumberFormat="1" applyFont="1" applyFill="1" applyBorder="1"/>
    <xf numFmtId="164" fontId="13" fillId="19" borderId="13" xfId="0" applyNumberFormat="1" applyFont="1" applyFill="1" applyBorder="1"/>
    <xf numFmtId="44" fontId="2" fillId="19" borderId="0" xfId="1" applyFont="1" applyFill="1" applyBorder="1"/>
    <xf numFmtId="9" fontId="2" fillId="19" borderId="0" xfId="2" applyFont="1" applyFill="1" applyBorder="1"/>
    <xf numFmtId="44" fontId="2" fillId="19" borderId="14" xfId="1" applyFont="1" applyFill="1" applyBorder="1"/>
    <xf numFmtId="9" fontId="2" fillId="19" borderId="0" xfId="1" applyNumberFormat="1" applyFont="1" applyFill="1" applyBorder="1"/>
    <xf numFmtId="44" fontId="13" fillId="19" borderId="14" xfId="1" applyFont="1" applyFill="1" applyBorder="1"/>
    <xf numFmtId="44" fontId="0" fillId="19" borderId="0" xfId="0" applyNumberFormat="1" applyFill="1" applyAlignment="1">
      <alignment horizontal="left"/>
    </xf>
    <xf numFmtId="0" fontId="0" fillId="19" borderId="0" xfId="0" applyFill="1"/>
    <xf numFmtId="164" fontId="0" fillId="19" borderId="0" xfId="2" applyNumberFormat="1" applyFont="1" applyFill="1"/>
    <xf numFmtId="170" fontId="0" fillId="19" borderId="13" xfId="0" applyNumberFormat="1" applyFill="1" applyBorder="1"/>
    <xf numFmtId="164" fontId="0" fillId="19" borderId="0" xfId="0" applyNumberFormat="1" applyFill="1"/>
    <xf numFmtId="170" fontId="2" fillId="19" borderId="0" xfId="1" applyNumberFormat="1" applyFont="1" applyFill="1" applyBorder="1"/>
    <xf numFmtId="170" fontId="2" fillId="19" borderId="14" xfId="1" applyNumberFormat="1" applyFont="1" applyFill="1" applyBorder="1"/>
    <xf numFmtId="170" fontId="13" fillId="19" borderId="14" xfId="1" applyNumberFormat="1" applyFont="1" applyFill="1" applyBorder="1"/>
    <xf numFmtId="1" fontId="0" fillId="19" borderId="0" xfId="0" applyNumberFormat="1" applyFill="1"/>
    <xf numFmtId="44" fontId="0" fillId="19" borderId="0" xfId="0" applyNumberFormat="1" applyFill="1"/>
    <xf numFmtId="9" fontId="0" fillId="19" borderId="0" xfId="2" applyFont="1" applyFill="1" applyBorder="1"/>
    <xf numFmtId="164" fontId="0" fillId="19" borderId="0" xfId="2" applyNumberFormat="1" applyFont="1" applyFill="1" applyBorder="1"/>
    <xf numFmtId="0" fontId="0" fillId="19" borderId="16" xfId="0" applyFill="1" applyBorder="1" applyAlignment="1">
      <alignment horizontal="center"/>
    </xf>
    <xf numFmtId="0" fontId="0" fillId="19" borderId="16" xfId="0" applyFill="1" applyBorder="1" applyAlignment="1">
      <alignment horizontal="center" wrapText="1"/>
    </xf>
    <xf numFmtId="8" fontId="0" fillId="19" borderId="13" xfId="0" applyNumberFormat="1" applyFill="1" applyBorder="1"/>
    <xf numFmtId="9" fontId="0" fillId="19" borderId="0" xfId="0" applyNumberFormat="1" applyFill="1" applyAlignment="1">
      <alignment horizontal="center"/>
    </xf>
    <xf numFmtId="16" fontId="0" fillId="19" borderId="0" xfId="0" applyNumberFormat="1" applyFill="1" applyAlignment="1">
      <alignment horizontal="center"/>
    </xf>
    <xf numFmtId="8" fontId="0" fillId="19" borderId="0" xfId="0" applyNumberFormat="1" applyFill="1" applyAlignment="1">
      <alignment horizontal="center"/>
    </xf>
    <xf numFmtId="0" fontId="0" fillId="19" borderId="0" xfId="0" applyFill="1" applyAlignment="1">
      <alignment horizontal="center"/>
    </xf>
    <xf numFmtId="44" fontId="0" fillId="19" borderId="1" xfId="1" applyFont="1" applyFill="1" applyBorder="1"/>
    <xf numFmtId="0" fontId="0" fillId="19" borderId="7" xfId="0" applyFill="1" applyBorder="1" applyAlignment="1">
      <alignment horizontal="center" vertical="center" wrapText="1"/>
    </xf>
    <xf numFmtId="8" fontId="0" fillId="19" borderId="1" xfId="0" applyNumberFormat="1" applyFill="1" applyBorder="1"/>
    <xf numFmtId="44" fontId="0" fillId="19" borderId="1" xfId="1" applyFont="1" applyFill="1" applyBorder="1" applyAlignment="1">
      <alignment horizontal="center" vertical="center"/>
    </xf>
    <xf numFmtId="8" fontId="0" fillId="19" borderId="1" xfId="0" applyNumberFormat="1" applyFill="1" applyBorder="1" applyAlignment="1">
      <alignment horizontal="center"/>
    </xf>
    <xf numFmtId="8" fontId="0" fillId="19" borderId="0" xfId="0" applyNumberFormat="1" applyFill="1"/>
    <xf numFmtId="9" fontId="0" fillId="19" borderId="0" xfId="0" applyNumberFormat="1" applyFill="1"/>
    <xf numFmtId="44" fontId="0" fillId="19" borderId="14" xfId="0" applyNumberFormat="1" applyFill="1" applyBorder="1"/>
    <xf numFmtId="0" fontId="0" fillId="19" borderId="16" xfId="0" applyFill="1" applyBorder="1"/>
  </cellXfs>
  <cellStyles count="20">
    <cellStyle name="Comma" xfId="14" builtinId="3"/>
    <cellStyle name="Comma 2" xfId="17" xr:uid="{177946D7-AB87-4BAB-872A-77CC27A30CE0}"/>
    <cellStyle name="Currency" xfId="1" builtinId="4"/>
    <cellStyle name="Hyperlink" xfId="19" builtinId="8"/>
    <cellStyle name="Normal" xfId="0" builtinId="0"/>
    <cellStyle name="Normal 2" xfId="6" xr:uid="{C3E04632-C2CE-45AF-9095-3E71E01408C6}"/>
    <cellStyle name="Normal 3" xfId="7" xr:uid="{55A36389-4D73-442B-8385-78A01CA8D6F0}"/>
    <cellStyle name="Normal 4" xfId="13" xr:uid="{EB04E2FC-F320-4C1A-AA4B-998DFED4B326}"/>
    <cellStyle name="Normal 5" xfId="15" xr:uid="{48ADF3F8-8E33-4F79-A7CA-7A9CB15DD287}"/>
    <cellStyle name="Normal 6" xfId="18" xr:uid="{0EF56A34-75A9-4606-8E54-89E1B8373B9A}"/>
    <cellStyle name="Percent" xfId="2" builtinId="5"/>
    <cellStyle name="Percent 2" xfId="16" xr:uid="{17C06BF4-D7CF-44B8-9B2E-5BD44768085E}"/>
    <cellStyle name="SAPDataCell" xfId="5" xr:uid="{35B59080-6618-42D8-BAE0-781E0860901C}"/>
    <cellStyle name="SAPDataCell 2" xfId="10" xr:uid="{41062C90-E1A1-48FE-9918-6BB04CEFB2E9}"/>
    <cellStyle name="SAPDataTotalCell" xfId="12" xr:uid="{8E0CB2EB-4F4D-4914-8CC1-81E1C7D12AE8}"/>
    <cellStyle name="SAPDimensionCell" xfId="3" xr:uid="{AECDD163-AA57-454C-9CC3-09E48120DEEF}"/>
    <cellStyle name="SAPDimensionCell 2" xfId="8" xr:uid="{D800D8DC-30F3-4FC5-89AE-86539C73FAF8}"/>
    <cellStyle name="SAPMemberCell" xfId="4" xr:uid="{AA81E54E-0961-4199-A820-B5E9818FF2DA}"/>
    <cellStyle name="SAPMemberCell 2" xfId="9" xr:uid="{8FE3926D-947E-477E-8FFC-97460D5FEC63}"/>
    <cellStyle name="SAPMemberTotalCell" xfId="11" xr:uid="{CC8544F7-73E7-42F6-8C4A-6E06C7FF2811}"/>
  </cellStyles>
  <dxfs count="17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14" formatCode="0.00%"/>
    </dxf>
    <dxf>
      <numFmt numFmtId="187" formatCode="0.000%"/>
    </dxf>
    <dxf>
      <numFmt numFmtId="14" formatCode="0.00%"/>
    </dxf>
    <dxf>
      <alignment wrapText="1"/>
    </dxf>
    <dxf>
      <fill>
        <patternFill>
          <bgColor theme="4" tint="0.79998168889431442"/>
        </patternFill>
      </fill>
    </dxf>
    <dxf>
      <alignment wrapText="1"/>
    </dxf>
    <dxf>
      <fill>
        <patternFill patternType="solid">
          <bgColor theme="7" tint="0.79998168889431442"/>
        </patternFill>
      </fill>
    </dxf>
    <dxf>
      <alignment wrapText="1"/>
    </dxf>
    <dxf>
      <alignment wrapText="1"/>
    </dxf>
    <dxf>
      <alignment wrapText="1"/>
    </dxf>
  </dxfs>
  <tableStyles count="1" defaultTableStyle="TableStyleMedium2" defaultPivotStyle="PivotStyleLight16">
    <tableStyle name="Invisible" pivot="0" table="0" count="0" xr9:uid="{0BAF4337-CF4C-4AED-8A65-B8A799C54980}"/>
  </tableStyles>
  <colors>
    <mruColors>
      <color rgb="FFFFCCFF"/>
      <color rgb="FFC7A1E3"/>
      <color rgb="FF003DB8"/>
      <color rgb="FFFF99FF"/>
      <color rgb="FF649B3F"/>
      <color rgb="FFE2CFF1"/>
      <color rgb="FFFBFBFB"/>
      <color rgb="FFFFFFFF"/>
      <color rgb="FFCCC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eetMetadata" Target="metadata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2.xml"/><Relationship Id="rId40" Type="http://schemas.openxmlformats.org/officeDocument/2006/relationships/styles" Target="styles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48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3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Meter Technology Comparison</a:t>
            </a:r>
          </a:p>
          <a:p>
            <a:pPr>
              <a:defRPr sz="2000"/>
            </a:pPr>
            <a:r>
              <a:rPr lang="en-US" sz="2000"/>
              <a:t>20-Year Annual Costs Net of Benefits</a:t>
            </a:r>
            <a:r>
              <a:rPr lang="en-US" sz="2000" baseline="0"/>
              <a:t> by Year in Nominal $mm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80105141558635E-2"/>
          <c:y val="0.13913763542217036"/>
          <c:w val="0.74992499030248461"/>
          <c:h val="0.78729608311802501"/>
        </c:manualLayout>
      </c:layout>
      <c:lineChart>
        <c:grouping val="standard"/>
        <c:varyColors val="0"/>
        <c:ser>
          <c:idx val="0"/>
          <c:order val="0"/>
          <c:tx>
            <c:strRef>
              <c:f>CompMultiCust!$B$5</c:f>
              <c:strCache>
                <c:ptCount val="1"/>
                <c:pt idx="0">
                  <c:v>AMI - Badger
Veriz or ATT</c:v>
                </c:pt>
              </c:strCache>
            </c:strRef>
          </c:tx>
          <c:spPr>
            <a:ln w="3492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27-451F-AACC-6443545D7FC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B7-46DE-A15E-2011C6245242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B7-46DE-A15E-2011C6245242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B7-46DE-A15E-2011C6245242}"/>
                </c:ext>
              </c:extLst>
            </c:dLbl>
            <c:numFmt formatCode="&quot;$&quot;0.0,," sourceLinked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CompMultiCust!$D$4:$W$4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CompMultiCust!$D$5:$W$5</c:f>
              <c:numCache>
                <c:formatCode>_("$"* #,##0_);_("$"* \(#,##0\);_("$"* "-"??_);_(@_)</c:formatCode>
                <c:ptCount val="20"/>
                <c:pt idx="0">
                  <c:v>174814.2542557811</c:v>
                </c:pt>
                <c:pt idx="1">
                  <c:v>1252799.4352999642</c:v>
                </c:pt>
                <c:pt idx="2">
                  <c:v>2294622.8334003678</c:v>
                </c:pt>
                <c:pt idx="3">
                  <c:v>2473771.7244915329</c:v>
                </c:pt>
                <c:pt idx="4">
                  <c:v>2288631.1281213779</c:v>
                </c:pt>
                <c:pt idx="5">
                  <c:v>1976507.5483655101</c:v>
                </c:pt>
                <c:pt idx="6">
                  <c:v>1787313.9950934318</c:v>
                </c:pt>
                <c:pt idx="7">
                  <c:v>1888390.8502241704</c:v>
                </c:pt>
                <c:pt idx="8">
                  <c:v>2702587.3415960646</c:v>
                </c:pt>
                <c:pt idx="9">
                  <c:v>3462573.4816189106</c:v>
                </c:pt>
                <c:pt idx="10">
                  <c:v>3212833.5143115735</c:v>
                </c:pt>
                <c:pt idx="11">
                  <c:v>2948324.5195470559</c:v>
                </c:pt>
                <c:pt idx="12">
                  <c:v>3173250.476466869</c:v>
                </c:pt>
                <c:pt idx="13">
                  <c:v>3220039.0627152971</c:v>
                </c:pt>
                <c:pt idx="14">
                  <c:v>2853338.9099600967</c:v>
                </c:pt>
                <c:pt idx="15">
                  <c:v>2340182.461525003</c:v>
                </c:pt>
                <c:pt idx="16">
                  <c:v>1971661.5049373219</c:v>
                </c:pt>
                <c:pt idx="17">
                  <c:v>1942808.9435139634</c:v>
                </c:pt>
                <c:pt idx="18">
                  <c:v>2748798.1313965307</c:v>
                </c:pt>
                <c:pt idx="19">
                  <c:v>3508880.7462341576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7-46DE-A15E-2011C6245242}"/>
            </c:ext>
          </c:extLst>
        </c:ser>
        <c:ser>
          <c:idx val="2"/>
          <c:order val="1"/>
          <c:tx>
            <c:strRef>
              <c:f>CompMultiCust!$B$14</c:f>
              <c:strCache>
                <c:ptCount val="1"/>
                <c:pt idx="0">
                  <c:v>AMR - Badger
Veriz or ATT</c:v>
                </c:pt>
              </c:strCache>
            </c:strRef>
          </c:tx>
          <c:spPr>
            <a:ln w="5080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B2-49A4-9ABB-5C31E1BA24E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B7-46DE-A15E-2011C6245242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B7-46DE-A15E-2011C6245242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B7-46DE-A15E-2011C6245242}"/>
                </c:ext>
              </c:extLst>
            </c:dLbl>
            <c:numFmt formatCode="&quot;$&quot;0.0,," sourceLinked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  <a:prstDash val="dash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CompMultiCust!$D$4:$W$4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CompMultiCust!$D$14:$W$14</c:f>
              <c:numCache>
                <c:formatCode>_("$"* #,##0_);_("$"* \(#,##0\);_("$"* "-"??_);_(@_)</c:formatCode>
                <c:ptCount val="20"/>
                <c:pt idx="0">
                  <c:v>172568.09675889779</c:v>
                </c:pt>
                <c:pt idx="1">
                  <c:v>1253941.6218625158</c:v>
                </c:pt>
                <c:pt idx="2">
                  <c:v>2304171.8566119531</c:v>
                </c:pt>
                <c:pt idx="3">
                  <c:v>2494317.3975337357</c:v>
                </c:pt>
                <c:pt idx="4">
                  <c:v>2329416.0146089834</c:v>
                </c:pt>
                <c:pt idx="5">
                  <c:v>2040571.5288928552</c:v>
                </c:pt>
                <c:pt idx="6">
                  <c:v>1875923.3276027464</c:v>
                </c:pt>
                <c:pt idx="7">
                  <c:v>2000655.4258921877</c:v>
                </c:pt>
                <c:pt idx="8">
                  <c:v>2835749.9971022494</c:v>
                </c:pt>
                <c:pt idx="9">
                  <c:v>3600706.155145647</c:v>
                </c:pt>
                <c:pt idx="10">
                  <c:v>3890292.3477654224</c:v>
                </c:pt>
                <c:pt idx="11">
                  <c:v>4220742.1192353088</c:v>
                </c:pt>
                <c:pt idx="12">
                  <c:v>4520252.9635055475</c:v>
                </c:pt>
                <c:pt idx="13">
                  <c:v>4647830.0013530431</c:v>
                </c:pt>
                <c:pt idx="14">
                  <c:v>4373912.4678340005</c:v>
                </c:pt>
                <c:pt idx="15">
                  <c:v>3959033.7395588984</c:v>
                </c:pt>
                <c:pt idx="16">
                  <c:v>3687349.7610264826</c:v>
                </c:pt>
                <c:pt idx="17">
                  <c:v>3748714.6262986795</c:v>
                </c:pt>
                <c:pt idx="18">
                  <c:v>4627196.3846628414</c:v>
                </c:pt>
                <c:pt idx="19">
                  <c:v>5462702.603319969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7-46DE-A15E-2011C6245242}"/>
            </c:ext>
          </c:extLst>
        </c:ser>
        <c:ser>
          <c:idx val="1"/>
          <c:order val="2"/>
          <c:tx>
            <c:strRef>
              <c:f>CompMultiCust!$B$6</c:f>
              <c:strCache>
                <c:ptCount val="1"/>
                <c:pt idx="0">
                  <c:v>AMI - Neptune 
FirstNet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1673907997451385E-2"/>
                  <c:y val="-2.4974401231430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2-49A4-9ABB-5C31E1BA24EE}"/>
                </c:ext>
              </c:extLst>
            </c:dLbl>
            <c:dLbl>
              <c:idx val="9"/>
              <c:layout>
                <c:manualLayout>
                  <c:x val="-2.0687606600103558E-2"/>
                  <c:y val="5.62481595537721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27-451F-AACC-6443545D7FC3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27-451F-AACC-6443545D7FC3}"/>
                </c:ext>
              </c:extLst>
            </c:dLbl>
            <c:dLbl>
              <c:idx val="19"/>
              <c:layout>
                <c:manualLayout>
                  <c:x val="-1.9135239550015323E-2"/>
                  <c:y val="-3.89521815682894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27-451F-AACC-6443545D7FC3}"/>
                </c:ext>
              </c:extLst>
            </c:dLbl>
            <c:numFmt formatCode="&quot;$&quot;0.0,," sourceLinked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CompMultiCust!$D$4:$W$4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CompMultiCust!$D$6:$W$6</c:f>
              <c:numCache>
                <c:formatCode>_("$"* #,##0_);_("$"* \(#,##0\);_("$"* "-"??_);_(@_)</c:formatCode>
                <c:ptCount val="20"/>
                <c:pt idx="0">
                  <c:v>232348.91905222024</c:v>
                </c:pt>
                <c:pt idx="1">
                  <c:v>1428941.3009200948</c:v>
                </c:pt>
                <c:pt idx="2">
                  <c:v>2582160.2635171348</c:v>
                </c:pt>
                <c:pt idx="3">
                  <c:v>2847324.7098484682</c:v>
                </c:pt>
                <c:pt idx="4">
                  <c:v>2693697.6822040323</c:v>
                </c:pt>
                <c:pt idx="5">
                  <c:v>2393565.0007461421</c:v>
                </c:pt>
                <c:pt idx="6">
                  <c:v>2233979.9925492527</c:v>
                </c:pt>
                <c:pt idx="7">
                  <c:v>2406282.1747105233</c:v>
                </c:pt>
                <c:pt idx="8">
                  <c:v>3394637.2423225511</c:v>
                </c:pt>
                <c:pt idx="9">
                  <c:v>4317828.3687490961</c:v>
                </c:pt>
                <c:pt idx="10">
                  <c:v>4134790.7628749693</c:v>
                </c:pt>
                <c:pt idx="11">
                  <c:v>3913980.010888224</c:v>
                </c:pt>
                <c:pt idx="12">
                  <c:v>4179492.3177470695</c:v>
                </c:pt>
                <c:pt idx="13">
                  <c:v>4249529.8368367963</c:v>
                </c:pt>
                <c:pt idx="14">
                  <c:v>3865580.9180847732</c:v>
                </c:pt>
                <c:pt idx="15">
                  <c:v>3320959.9858816159</c:v>
                </c:pt>
                <c:pt idx="16">
                  <c:v>2935408.6403950807</c:v>
                </c:pt>
                <c:pt idx="17">
                  <c:v>2923101.507279573</c:v>
                </c:pt>
                <c:pt idx="18">
                  <c:v>3828017.7203209945</c:v>
                </c:pt>
                <c:pt idx="19">
                  <c:v>4682687.7971434332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7-46DE-A15E-2011C6245242}"/>
            </c:ext>
          </c:extLst>
        </c:ser>
        <c:ser>
          <c:idx val="3"/>
          <c:order val="3"/>
          <c:tx>
            <c:strRef>
              <c:f>CompMultiCust!$B$15</c:f>
              <c:strCache>
                <c:ptCount val="1"/>
                <c:pt idx="0">
                  <c:v>AMR - Neptune 
FirstNet</c:v>
                </c:pt>
              </c:strCache>
            </c:strRef>
          </c:tx>
          <c:spPr>
            <a:ln w="50800" cap="rnd">
              <a:solidFill>
                <a:schemeClr val="accent6">
                  <a:lumMod val="60000"/>
                  <a:lumOff val="4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2-49A4-9ABB-5C31E1BA24EE}"/>
                </c:ext>
              </c:extLst>
            </c:dLbl>
            <c:dLbl>
              <c:idx val="9"/>
              <c:layout>
                <c:manualLayout>
                  <c:x val="-2.1676970856445116E-2"/>
                  <c:y val="-1.976194167717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27-451F-AACC-6443545D7FC3}"/>
                </c:ext>
              </c:extLst>
            </c:dLbl>
            <c:dLbl>
              <c:idx val="14"/>
              <c:layout>
                <c:manualLayout>
                  <c:x val="-2.0687606600103485E-2"/>
                  <c:y val="8.798160659445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27-451F-AACC-6443545D7FC3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27-451F-AACC-6443545D7FC3}"/>
                </c:ext>
              </c:extLst>
            </c:dLbl>
            <c:numFmt formatCode="&quot;$&quot;0.0,,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CompMultiCust!$D$4:$W$4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CompMultiCust!$D$15:$W$15</c:f>
              <c:numCache>
                <c:formatCode>_("$"* #,##0_);_("$"* \(#,##0\);_("$"* "-"??_);_(@_)</c:formatCode>
                <c:ptCount val="20"/>
                <c:pt idx="0">
                  <c:v>62935.356560765526</c:v>
                </c:pt>
                <c:pt idx="1">
                  <c:v>918846.15260341438</c:v>
                </c:pt>
                <c:pt idx="2">
                  <c:v>1757693.2139753113</c:v>
                </c:pt>
                <c:pt idx="3">
                  <c:v>1784145.6473100574</c:v>
                </c:pt>
                <c:pt idx="4">
                  <c:v>1559119.5202123239</c:v>
                </c:pt>
                <c:pt idx="5">
                  <c:v>1247503.3445734659</c:v>
                </c:pt>
                <c:pt idx="6">
                  <c:v>1026607.0503237209</c:v>
                </c:pt>
                <c:pt idx="7">
                  <c:v>1015986.1480008032</c:v>
                </c:pt>
                <c:pt idx="8">
                  <c:v>1519268.4155713823</c:v>
                </c:pt>
                <c:pt idx="9">
                  <c:v>1972778.104339374</c:v>
                </c:pt>
                <c:pt idx="10">
                  <c:v>2134926.6063009207</c:v>
                </c:pt>
                <c:pt idx="11">
                  <c:v>2382432.8450642298</c:v>
                </c:pt>
                <c:pt idx="12">
                  <c:v>2605204.9921008991</c:v>
                </c:pt>
                <c:pt idx="13">
                  <c:v>2688574.1044060108</c:v>
                </c:pt>
                <c:pt idx="14">
                  <c:v>2447400.0057357107</c:v>
                </c:pt>
                <c:pt idx="15">
                  <c:v>2092472.0182716234</c:v>
                </c:pt>
                <c:pt idx="16">
                  <c:v>1853311.2880575396</c:v>
                </c:pt>
                <c:pt idx="17">
                  <c:v>1883379.0085348838</c:v>
                </c:pt>
                <c:pt idx="18">
                  <c:v>2573345.2111679036</c:v>
                </c:pt>
                <c:pt idx="19">
                  <c:v>3228212.9606189001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B7-46DE-A15E-2011C6245242}"/>
            </c:ext>
          </c:extLst>
        </c:ser>
        <c:ser>
          <c:idx val="4"/>
          <c:order val="4"/>
          <c:tx>
            <c:strRef>
              <c:f>CompMultiCust!$B$17</c:f>
              <c:strCache>
                <c:ptCount val="1"/>
                <c:pt idx="0">
                  <c:v>AMR - Neptune 
FirstNet
w/ HE Fee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CompMultiCust!$D$4:$W$4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CompMultiCust!$D$17:$W$17</c:f>
              <c:numCache>
                <c:formatCode>_("$"* #,##0_);_("$"* \(#,##0\);_("$"* "-"??_);_(@_)</c:formatCode>
                <c:ptCount val="20"/>
                <c:pt idx="0">
                  <c:v>70957.924440160132</c:v>
                </c:pt>
                <c:pt idx="1">
                  <c:v>935953.34696942719</c:v>
                </c:pt>
                <c:pt idx="2">
                  <c:v>1783057.5167485243</c:v>
                </c:pt>
                <c:pt idx="3">
                  <c:v>1816340.4037684859</c:v>
                </c:pt>
                <c:pt idx="4">
                  <c:v>1593050.0466036256</c:v>
                </c:pt>
                <c:pt idx="5">
                  <c:v>1286095.0962656175</c:v>
                </c:pt>
                <c:pt idx="6">
                  <c:v>1069774.2674376236</c:v>
                </c:pt>
                <c:pt idx="7">
                  <c:v>1070199.4560310929</c:v>
                </c:pt>
                <c:pt idx="8">
                  <c:v>1593478.3580542405</c:v>
                </c:pt>
                <c:pt idx="9">
                  <c:v>2058696.5663363684</c:v>
                </c:pt>
                <c:pt idx="10">
                  <c:v>2223297.6517211716</c:v>
                </c:pt>
                <c:pt idx="11">
                  <c:v>2473326.4840697926</c:v>
                </c:pt>
                <c:pt idx="12">
                  <c:v>2698693.2333272542</c:v>
                </c:pt>
                <c:pt idx="13">
                  <c:v>2784731.0120094381</c:v>
                </c:pt>
                <c:pt idx="14">
                  <c:v>2546301.7580691096</c:v>
                </c:pt>
                <c:pt idx="15">
                  <c:v>2194196.9682352641</c:v>
                </c:pt>
                <c:pt idx="16">
                  <c:v>1957940.0251725505</c:v>
                </c:pt>
                <c:pt idx="17">
                  <c:v>1990994.4227886624</c:v>
                </c:pt>
                <c:pt idx="18">
                  <c:v>2684032.5586820198</c:v>
                </c:pt>
                <c:pt idx="19">
                  <c:v>3342059.9311915254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B7-46DE-A15E-2011C6245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441455"/>
        <c:axId val="287329495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CompMultiCust!$B$9</c15:sqref>
                        </c15:formulaRef>
                      </c:ext>
                    </c:extLst>
                    <c:strCache>
                      <c:ptCount val="1"/>
                      <c:pt idx="0">
                        <c:v>AMI - Average 
Cost*</c:v>
                      </c:pt>
                    </c:strCache>
                  </c:strRef>
                </c:tx>
                <c:spPr>
                  <a:ln w="28575" cap="rnd">
                    <a:solidFill>
                      <a:srgbClr val="7030A0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CompMultiCust!$D$9:$W$9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011-43BA-B807-DA7D6F4FC76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CompMultiCust!$B$18</c15:sqref>
                        </c15:formulaRef>
                      </c:ext>
                    </c:extLst>
                    <c:strCache>
                      <c:ptCount val="1"/>
                      <c:pt idx="0">
                        <c:v>AMR - Average 
Cost*</c:v>
                      </c:pt>
                    </c:strCache>
                  </c:strRef>
                </c:tx>
                <c:spPr>
                  <a:ln w="28575" cap="rnd">
                    <a:solidFill>
                      <a:srgbClr val="C7A1E3"/>
                    </a:solidFill>
                    <a:prstDash val="lgDashDot"/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CompMultiCust!$D$18:$W$18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011-43BA-B807-DA7D6F4FC76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CompMultiCust!$B$19</c15:sqref>
                        </c15:formulaRef>
                      </c:ext>
                    </c:extLst>
                    <c:strCache>
                      <c:ptCount val="1"/>
                      <c:pt idx="0">
                        <c:v>AMR - Average 
Cost*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CompMultiCust!$D$19:$W$19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653-436D-AEA3-586582AAF2D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CompMultiCust!$B$9</c15:sqref>
                        </c15:formulaRef>
                      </c:ext>
                    </c:extLst>
                    <c:strCache>
                      <c:ptCount val="1"/>
                      <c:pt idx="0">
                        <c:v>AMI - Average 
Cost*</c:v>
                      </c:pt>
                    </c:strCache>
                  </c:strRef>
                </c:tx>
                <c:spPr>
                  <a:ln w="28575" cap="rnd">
                    <a:solidFill>
                      <a:schemeClr val="tx1">
                        <a:lumMod val="75000"/>
                        <a:lumOff val="2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CompMultiCust!$D$9:$W$9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D19-4B1A-BF49-217256A81E9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CompMultiCust!$B$18</c15:sqref>
                        </c15:formulaRef>
                      </c:ext>
                    </c:extLst>
                    <c:strCache>
                      <c:ptCount val="1"/>
                      <c:pt idx="0">
                        <c:v>AMR - Average 
Cost*</c:v>
                      </c:pt>
                    </c:strCache>
                  </c:strRef>
                </c:tx>
                <c:spPr>
                  <a:ln w="28575" cap="rnd">
                    <a:solidFill>
                      <a:schemeClr val="tx1">
                        <a:lumMod val="50000"/>
                        <a:lumOff val="5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CompMultiCust!$D$18:$W$18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D19-4B1A-BF49-217256A81E93}"/>
                  </c:ext>
                </c:extLst>
              </c15:ser>
            </c15:filteredLineSeries>
          </c:ext>
        </c:extLst>
      </c:lineChart>
      <c:catAx>
        <c:axId val="287441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329495"/>
        <c:crosses val="autoZero"/>
        <c:auto val="1"/>
        <c:lblAlgn val="ctr"/>
        <c:lblOffset val="100"/>
        <c:tickMarkSkip val="10"/>
        <c:noMultiLvlLbl val="0"/>
      </c:catAx>
      <c:valAx>
        <c:axId val="287329495"/>
        <c:scaling>
          <c:orientation val="minMax"/>
        </c:scaling>
        <c:delete val="0"/>
        <c:axPos val="l"/>
        <c:numFmt formatCode="&quot;$&quot;0.0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441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697557472383499"/>
          <c:y val="9.9036469074086017E-2"/>
          <c:w val="0.15708907849457174"/>
          <c:h val="0.85435404141928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Meter Technology Comparison</a:t>
            </a:r>
          </a:p>
          <a:p>
            <a:pPr>
              <a:defRPr sz="2000"/>
            </a:pPr>
            <a:r>
              <a:rPr lang="en-US" sz="2000"/>
              <a:t>20-Year Annual Costs Net of Benefits</a:t>
            </a:r>
            <a:r>
              <a:rPr lang="en-US" sz="2000" baseline="0"/>
              <a:t> by Year in Nominal $mm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80105141558635E-2"/>
          <c:y val="0.18554130689788526"/>
          <c:w val="0.91908237357789246"/>
          <c:h val="0.64251652191146436"/>
        </c:manualLayout>
      </c:layout>
      <c:lineChart>
        <c:grouping val="standard"/>
        <c:varyColors val="0"/>
        <c:ser>
          <c:idx val="8"/>
          <c:order val="8"/>
          <c:tx>
            <c:strRef>
              <c:f>CompMultiCust!$B$9</c:f>
              <c:strCache>
                <c:ptCount val="1"/>
                <c:pt idx="0">
                  <c:v>AMI - Average 
Cost*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055140584637653E-2"/>
                  <c:y val="-2.1429158130089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F-4FC3-BE87-41E0B5CA99E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4F-4FC3-BE87-41E0B5CA99E4}"/>
                </c:ext>
              </c:extLst>
            </c:dLbl>
            <c:dLbl>
              <c:idx val="14"/>
              <c:layout>
                <c:manualLayout>
                  <c:x val="-5.9565799971267853E-2"/>
                  <c:y val="-3.8134492115462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4F-4FC3-BE87-41E0B5CA99E4}"/>
                </c:ext>
              </c:extLst>
            </c:dLbl>
            <c:dLbl>
              <c:idx val="19"/>
              <c:layout>
                <c:manualLayout>
                  <c:x val="-1.940392366623267E-2"/>
                  <c:y val="3.4255288487817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4F-4FC3-BE87-41E0B5CA99E4}"/>
                </c:ext>
              </c:extLst>
            </c:dLbl>
            <c:numFmt formatCode="&quot;$&quot;0.0,,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CompMultiCust!$D$9:$W$9</c:f>
              <c:numCache>
                <c:formatCode>_("$"* #,##0_);_("$"* \(#,##0\);_("$"*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4F-4032-896F-DFE235D3236B}"/>
            </c:ext>
          </c:extLst>
        </c:ser>
        <c:ser>
          <c:idx val="9"/>
          <c:order val="9"/>
          <c:tx>
            <c:strRef>
              <c:f>CompMultiCust!$B$18</c:f>
              <c:strCache>
                <c:ptCount val="1"/>
                <c:pt idx="0">
                  <c:v>AMR - Average 
Cost*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F-4FC3-BE87-41E0B5CA99E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4F-4FC3-BE87-41E0B5CA99E4}"/>
                </c:ext>
              </c:extLst>
            </c:dLbl>
            <c:dLbl>
              <c:idx val="14"/>
              <c:layout>
                <c:manualLayout>
                  <c:x val="-1.7108959305945037E-2"/>
                  <c:y val="-3.2566047453671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F-4FC3-BE87-41E0B5CA99E4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4F-4FC3-BE87-41E0B5CA99E4}"/>
                </c:ext>
              </c:extLst>
            </c:dLbl>
            <c:numFmt formatCode="&quot;$&quot;0.0,," sourceLinked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CompMultiCust!$D$18:$W$18</c:f>
              <c:numCache>
                <c:formatCode>_("$"* #,##0_);_("$"* \(#,##0\);_("$"*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4F-4032-896F-DFE235D3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441455"/>
        <c:axId val="28732949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CompMultiCust!$B$5</c15:sqref>
                        </c15:formulaRef>
                      </c:ext>
                    </c:extLst>
                    <c:strCache>
                      <c:ptCount val="1"/>
                      <c:pt idx="0">
                        <c:v>AMI - Badger
Veriz or ATT</c:v>
                      </c:pt>
                    </c:strCache>
                  </c:strRef>
                </c:tx>
                <c:spPr>
                  <a:ln w="34925" cap="rnd">
                    <a:solidFill>
                      <a:srgbClr val="0070C0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4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954F-4032-896F-DFE235D3236B}"/>
                      </c:ext>
                    </c:extLst>
                  </c:dLbl>
                  <c:dLbl>
                    <c:idx val="9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954F-4032-896F-DFE235D3236B}"/>
                      </c:ext>
                    </c:extLst>
                  </c:dLbl>
                  <c:dLbl>
                    <c:idx val="14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54F-4032-896F-DFE235D3236B}"/>
                      </c:ext>
                    </c:extLst>
                  </c:dLbl>
                  <c:dLbl>
                    <c:idx val="19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954F-4032-896F-DFE235D3236B}"/>
                      </c:ext>
                    </c:extLst>
                  </c:dLbl>
                  <c:numFmt formatCode="&quot;$&quot;0.0,," sourceLinked="0"/>
                  <c:spPr>
                    <a:solidFill>
                      <a:schemeClr val="accent5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CompMultiCust!$D$4:$W$4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2026</c:v>
                      </c:pt>
                      <c:pt idx="1">
                        <c:v>2027</c:v>
                      </c:pt>
                      <c:pt idx="2">
                        <c:v>2028</c:v>
                      </c:pt>
                      <c:pt idx="3">
                        <c:v>2029</c:v>
                      </c:pt>
                      <c:pt idx="4">
                        <c:v>2030</c:v>
                      </c:pt>
                      <c:pt idx="5">
                        <c:v>2031</c:v>
                      </c:pt>
                      <c:pt idx="6">
                        <c:v>2032</c:v>
                      </c:pt>
                      <c:pt idx="7">
                        <c:v>2033</c:v>
                      </c:pt>
                      <c:pt idx="8">
                        <c:v>2034</c:v>
                      </c:pt>
                      <c:pt idx="9">
                        <c:v>2035</c:v>
                      </c:pt>
                      <c:pt idx="10">
                        <c:v>2036</c:v>
                      </c:pt>
                      <c:pt idx="11">
                        <c:v>2037</c:v>
                      </c:pt>
                      <c:pt idx="12">
                        <c:v>2038</c:v>
                      </c:pt>
                      <c:pt idx="13">
                        <c:v>2039</c:v>
                      </c:pt>
                      <c:pt idx="14">
                        <c:v>2040</c:v>
                      </c:pt>
                      <c:pt idx="15">
                        <c:v>2041</c:v>
                      </c:pt>
                      <c:pt idx="16">
                        <c:v>2042</c:v>
                      </c:pt>
                      <c:pt idx="17">
                        <c:v>2043</c:v>
                      </c:pt>
                      <c:pt idx="18">
                        <c:v>2044</c:v>
                      </c:pt>
                      <c:pt idx="19">
                        <c:v>2045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CompMultiCust!$D$5:$W$5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20"/>
                      <c:pt idx="0">
                        <c:v>174814.2542557811</c:v>
                      </c:pt>
                      <c:pt idx="1">
                        <c:v>1252799.4352999642</c:v>
                      </c:pt>
                      <c:pt idx="2">
                        <c:v>2294622.8334003678</c:v>
                      </c:pt>
                      <c:pt idx="3">
                        <c:v>2473771.7244915329</c:v>
                      </c:pt>
                      <c:pt idx="4">
                        <c:v>2288631.1281213779</c:v>
                      </c:pt>
                      <c:pt idx="5">
                        <c:v>1976507.5483655101</c:v>
                      </c:pt>
                      <c:pt idx="6">
                        <c:v>1787313.9950934318</c:v>
                      </c:pt>
                      <c:pt idx="7">
                        <c:v>1888390.8502241704</c:v>
                      </c:pt>
                      <c:pt idx="8">
                        <c:v>2702587.3415960646</c:v>
                      </c:pt>
                      <c:pt idx="9">
                        <c:v>3462573.4816189106</c:v>
                      </c:pt>
                      <c:pt idx="10">
                        <c:v>3212833.5143115735</c:v>
                      </c:pt>
                      <c:pt idx="11">
                        <c:v>2948324.5195470559</c:v>
                      </c:pt>
                      <c:pt idx="12">
                        <c:v>3173250.476466869</c:v>
                      </c:pt>
                      <c:pt idx="13">
                        <c:v>3220039.0627152971</c:v>
                      </c:pt>
                      <c:pt idx="14">
                        <c:v>2853338.9099600967</c:v>
                      </c:pt>
                      <c:pt idx="15">
                        <c:v>2340182.461525003</c:v>
                      </c:pt>
                      <c:pt idx="16">
                        <c:v>1971661.5049373219</c:v>
                      </c:pt>
                      <c:pt idx="17">
                        <c:v>1942808.9435139634</c:v>
                      </c:pt>
                      <c:pt idx="18">
                        <c:v>2748798.1313965307</c:v>
                      </c:pt>
                      <c:pt idx="19">
                        <c:v>3508880.7462341576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54F-4032-896F-DFE235D3236B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CompMultiCust!$B$14</c15:sqref>
                        </c15:formulaRef>
                      </c:ext>
                    </c:extLst>
                    <c:strCache>
                      <c:ptCount val="1"/>
                      <c:pt idx="0">
                        <c:v>AMR - Badger
Veriz or ATT</c:v>
                      </c:pt>
                    </c:strCache>
                  </c:strRef>
                </c:tx>
                <c:spPr>
                  <a:ln w="50800" cap="rnd">
                    <a:solidFill>
                      <a:srgbClr val="00B0F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4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5-954F-4032-896F-DFE235D3236B}"/>
                      </c:ext>
                    </c:extLst>
                  </c:dLbl>
                  <c:dLbl>
                    <c:idx val="9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54F-4032-896F-DFE235D3236B}"/>
                      </c:ext>
                    </c:extLst>
                  </c:dLbl>
                  <c:dLbl>
                    <c:idx val="14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954F-4032-896F-DFE235D3236B}"/>
                      </c:ext>
                    </c:extLst>
                  </c:dLbl>
                  <c:dLbl>
                    <c:idx val="19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54F-4032-896F-DFE235D3236B}"/>
                      </c:ext>
                    </c:extLst>
                  </c:dLbl>
                  <c:numFmt formatCode="&quot;$&quot;0.0,," sourceLinked="0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  <a:prstDash val="dash"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2026</c:v>
                      </c:pt>
                      <c:pt idx="1">
                        <c:v>2027</c:v>
                      </c:pt>
                      <c:pt idx="2">
                        <c:v>2028</c:v>
                      </c:pt>
                      <c:pt idx="3">
                        <c:v>2029</c:v>
                      </c:pt>
                      <c:pt idx="4">
                        <c:v>2030</c:v>
                      </c:pt>
                      <c:pt idx="5">
                        <c:v>2031</c:v>
                      </c:pt>
                      <c:pt idx="6">
                        <c:v>2032</c:v>
                      </c:pt>
                      <c:pt idx="7">
                        <c:v>2033</c:v>
                      </c:pt>
                      <c:pt idx="8">
                        <c:v>2034</c:v>
                      </c:pt>
                      <c:pt idx="9">
                        <c:v>2035</c:v>
                      </c:pt>
                      <c:pt idx="10">
                        <c:v>2036</c:v>
                      </c:pt>
                      <c:pt idx="11">
                        <c:v>2037</c:v>
                      </c:pt>
                      <c:pt idx="12">
                        <c:v>2038</c:v>
                      </c:pt>
                      <c:pt idx="13">
                        <c:v>2039</c:v>
                      </c:pt>
                      <c:pt idx="14">
                        <c:v>2040</c:v>
                      </c:pt>
                      <c:pt idx="15">
                        <c:v>2041</c:v>
                      </c:pt>
                      <c:pt idx="16">
                        <c:v>2042</c:v>
                      </c:pt>
                      <c:pt idx="17">
                        <c:v>2043</c:v>
                      </c:pt>
                      <c:pt idx="18">
                        <c:v>2044</c:v>
                      </c:pt>
                      <c:pt idx="19">
                        <c:v>2045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CompMultiCust!$D$14:$W$14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20"/>
                      <c:pt idx="0">
                        <c:v>172568.09675889779</c:v>
                      </c:pt>
                      <c:pt idx="1">
                        <c:v>1253941.6218625158</c:v>
                      </c:pt>
                      <c:pt idx="2">
                        <c:v>2304171.8566119531</c:v>
                      </c:pt>
                      <c:pt idx="3">
                        <c:v>2494317.3975337357</c:v>
                      </c:pt>
                      <c:pt idx="4">
                        <c:v>2329416.0146089834</c:v>
                      </c:pt>
                      <c:pt idx="5">
                        <c:v>2040571.5288928552</c:v>
                      </c:pt>
                      <c:pt idx="6">
                        <c:v>1875923.3276027464</c:v>
                      </c:pt>
                      <c:pt idx="7">
                        <c:v>2000655.4258921877</c:v>
                      </c:pt>
                      <c:pt idx="8">
                        <c:v>2835749.9971022494</c:v>
                      </c:pt>
                      <c:pt idx="9">
                        <c:v>3600706.155145647</c:v>
                      </c:pt>
                      <c:pt idx="10">
                        <c:v>3890292.3477654224</c:v>
                      </c:pt>
                      <c:pt idx="11">
                        <c:v>4220742.1192353088</c:v>
                      </c:pt>
                      <c:pt idx="12">
                        <c:v>4520252.9635055475</c:v>
                      </c:pt>
                      <c:pt idx="13">
                        <c:v>4647830.0013530431</c:v>
                      </c:pt>
                      <c:pt idx="14">
                        <c:v>4373912.4678340005</c:v>
                      </c:pt>
                      <c:pt idx="15">
                        <c:v>3959033.7395588984</c:v>
                      </c:pt>
                      <c:pt idx="16">
                        <c:v>3687349.7610264826</c:v>
                      </c:pt>
                      <c:pt idx="17">
                        <c:v>3748714.6262986795</c:v>
                      </c:pt>
                      <c:pt idx="18">
                        <c:v>4627196.3846628414</c:v>
                      </c:pt>
                      <c:pt idx="19">
                        <c:v>5462702.603319969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54F-4032-896F-DFE235D3236B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CompMultiCust!$B$6</c15:sqref>
                        </c15:formulaRef>
                      </c:ext>
                    </c:extLst>
                    <c:strCache>
                      <c:ptCount val="1"/>
                      <c:pt idx="0">
                        <c:v>AMI - Neptune 
FirstNet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4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954F-4032-896F-DFE235D3236B}"/>
                      </c:ext>
                    </c:extLst>
                  </c:dLbl>
                  <c:dLbl>
                    <c:idx val="9"/>
                    <c:layout>
                      <c:manualLayout>
                        <c:x val="-2.0687606600103558E-2"/>
                        <c:y val="5.6248159553772183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954F-4032-896F-DFE235D3236B}"/>
                      </c:ext>
                    </c:extLst>
                  </c:dLbl>
                  <c:dLbl>
                    <c:idx val="14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C-954F-4032-896F-DFE235D3236B}"/>
                      </c:ext>
                    </c:extLst>
                  </c:dLbl>
                  <c:dLbl>
                    <c:idx val="19"/>
                    <c:layout>
                      <c:manualLayout>
                        <c:x val="-1.9135239550015323E-2"/>
                        <c:y val="-3.895218156828944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954F-4032-896F-DFE235D3236B}"/>
                      </c:ext>
                    </c:extLst>
                  </c:dLbl>
                  <c:numFmt formatCode="&quot;$&quot;0.0,," sourceLinked="0"/>
                  <c:spPr>
                    <a:solidFill>
                      <a:schemeClr val="accent6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2026</c:v>
                      </c:pt>
                      <c:pt idx="1">
                        <c:v>2027</c:v>
                      </c:pt>
                      <c:pt idx="2">
                        <c:v>2028</c:v>
                      </c:pt>
                      <c:pt idx="3">
                        <c:v>2029</c:v>
                      </c:pt>
                      <c:pt idx="4">
                        <c:v>2030</c:v>
                      </c:pt>
                      <c:pt idx="5">
                        <c:v>2031</c:v>
                      </c:pt>
                      <c:pt idx="6">
                        <c:v>2032</c:v>
                      </c:pt>
                      <c:pt idx="7">
                        <c:v>2033</c:v>
                      </c:pt>
                      <c:pt idx="8">
                        <c:v>2034</c:v>
                      </c:pt>
                      <c:pt idx="9">
                        <c:v>2035</c:v>
                      </c:pt>
                      <c:pt idx="10">
                        <c:v>2036</c:v>
                      </c:pt>
                      <c:pt idx="11">
                        <c:v>2037</c:v>
                      </c:pt>
                      <c:pt idx="12">
                        <c:v>2038</c:v>
                      </c:pt>
                      <c:pt idx="13">
                        <c:v>2039</c:v>
                      </c:pt>
                      <c:pt idx="14">
                        <c:v>2040</c:v>
                      </c:pt>
                      <c:pt idx="15">
                        <c:v>2041</c:v>
                      </c:pt>
                      <c:pt idx="16">
                        <c:v>2042</c:v>
                      </c:pt>
                      <c:pt idx="17">
                        <c:v>2043</c:v>
                      </c:pt>
                      <c:pt idx="18">
                        <c:v>2044</c:v>
                      </c:pt>
                      <c:pt idx="19">
                        <c:v>2045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CompMultiCust!$D$6:$W$6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20"/>
                      <c:pt idx="0">
                        <c:v>232348.91905222024</c:v>
                      </c:pt>
                      <c:pt idx="1">
                        <c:v>1428941.3009200948</c:v>
                      </c:pt>
                      <c:pt idx="2">
                        <c:v>2582160.2635171348</c:v>
                      </c:pt>
                      <c:pt idx="3">
                        <c:v>2847324.7098484682</c:v>
                      </c:pt>
                      <c:pt idx="4">
                        <c:v>2693697.6822040323</c:v>
                      </c:pt>
                      <c:pt idx="5">
                        <c:v>2393565.0007461421</c:v>
                      </c:pt>
                      <c:pt idx="6">
                        <c:v>2233979.9925492527</c:v>
                      </c:pt>
                      <c:pt idx="7">
                        <c:v>2406282.1747105233</c:v>
                      </c:pt>
                      <c:pt idx="8">
                        <c:v>3394637.2423225511</c:v>
                      </c:pt>
                      <c:pt idx="9">
                        <c:v>4317828.3687490961</c:v>
                      </c:pt>
                      <c:pt idx="10">
                        <c:v>4134790.7628749693</c:v>
                      </c:pt>
                      <c:pt idx="11">
                        <c:v>3913980.010888224</c:v>
                      </c:pt>
                      <c:pt idx="12">
                        <c:v>4179492.3177470695</c:v>
                      </c:pt>
                      <c:pt idx="13">
                        <c:v>4249529.8368367963</c:v>
                      </c:pt>
                      <c:pt idx="14">
                        <c:v>3865580.9180847732</c:v>
                      </c:pt>
                      <c:pt idx="15">
                        <c:v>3320959.9858816159</c:v>
                      </c:pt>
                      <c:pt idx="16">
                        <c:v>2935408.6403950807</c:v>
                      </c:pt>
                      <c:pt idx="17">
                        <c:v>2923101.507279573</c:v>
                      </c:pt>
                      <c:pt idx="18">
                        <c:v>3828017.7203209945</c:v>
                      </c:pt>
                      <c:pt idx="19">
                        <c:v>4682687.7971434332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54F-4032-896F-DFE235D3236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CompMultiCust!$B$15</c15:sqref>
                        </c15:formulaRef>
                      </c:ext>
                    </c:extLst>
                    <c:strCache>
                      <c:ptCount val="1"/>
                      <c:pt idx="0">
                        <c:v>AMR - Neptune 
FirstNet</c:v>
                      </c:pt>
                    </c:strCache>
                  </c:strRef>
                </c:tx>
                <c:spPr>
                  <a:ln w="50800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4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F-954F-4032-896F-DFE235D3236B}"/>
                      </c:ext>
                    </c:extLst>
                  </c:dLbl>
                  <c:dLbl>
                    <c:idx val="9"/>
                    <c:layout>
                      <c:manualLayout>
                        <c:x val="-2.1676970856445116E-2"/>
                        <c:y val="-1.976194167717270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0-954F-4032-896F-DFE235D3236B}"/>
                      </c:ext>
                    </c:extLst>
                  </c:dLbl>
                  <c:dLbl>
                    <c:idx val="14"/>
                    <c:layout>
                      <c:manualLayout>
                        <c:x val="-2.0687606600103485E-2"/>
                        <c:y val="8.798160659445959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954F-4032-896F-DFE235D3236B}"/>
                      </c:ext>
                    </c:extLst>
                  </c:dLbl>
                  <c:dLbl>
                    <c:idx val="19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2-954F-4032-896F-DFE235D3236B}"/>
                      </c:ext>
                    </c:extLst>
                  </c:dLbl>
                  <c:numFmt formatCode="&quot;$&quot;0.0,," sourceLinked="0"/>
                  <c:spPr>
                    <a:solidFill>
                      <a:schemeClr val="accent6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2026</c:v>
                      </c:pt>
                      <c:pt idx="1">
                        <c:v>2027</c:v>
                      </c:pt>
                      <c:pt idx="2">
                        <c:v>2028</c:v>
                      </c:pt>
                      <c:pt idx="3">
                        <c:v>2029</c:v>
                      </c:pt>
                      <c:pt idx="4">
                        <c:v>2030</c:v>
                      </c:pt>
                      <c:pt idx="5">
                        <c:v>2031</c:v>
                      </c:pt>
                      <c:pt idx="6">
                        <c:v>2032</c:v>
                      </c:pt>
                      <c:pt idx="7">
                        <c:v>2033</c:v>
                      </c:pt>
                      <c:pt idx="8">
                        <c:v>2034</c:v>
                      </c:pt>
                      <c:pt idx="9">
                        <c:v>2035</c:v>
                      </c:pt>
                      <c:pt idx="10">
                        <c:v>2036</c:v>
                      </c:pt>
                      <c:pt idx="11">
                        <c:v>2037</c:v>
                      </c:pt>
                      <c:pt idx="12">
                        <c:v>2038</c:v>
                      </c:pt>
                      <c:pt idx="13">
                        <c:v>2039</c:v>
                      </c:pt>
                      <c:pt idx="14">
                        <c:v>2040</c:v>
                      </c:pt>
                      <c:pt idx="15">
                        <c:v>2041</c:v>
                      </c:pt>
                      <c:pt idx="16">
                        <c:v>2042</c:v>
                      </c:pt>
                      <c:pt idx="17">
                        <c:v>2043</c:v>
                      </c:pt>
                      <c:pt idx="18">
                        <c:v>2044</c:v>
                      </c:pt>
                      <c:pt idx="19">
                        <c:v>2045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CompMultiCust!$D$15:$W$15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20"/>
                      <c:pt idx="0">
                        <c:v>62935.356560765526</c:v>
                      </c:pt>
                      <c:pt idx="1">
                        <c:v>918846.15260341438</c:v>
                      </c:pt>
                      <c:pt idx="2">
                        <c:v>1757693.2139753113</c:v>
                      </c:pt>
                      <c:pt idx="3">
                        <c:v>1784145.6473100574</c:v>
                      </c:pt>
                      <c:pt idx="4">
                        <c:v>1559119.5202123239</c:v>
                      </c:pt>
                      <c:pt idx="5">
                        <c:v>1247503.3445734659</c:v>
                      </c:pt>
                      <c:pt idx="6">
                        <c:v>1026607.0503237209</c:v>
                      </c:pt>
                      <c:pt idx="7">
                        <c:v>1015986.1480008032</c:v>
                      </c:pt>
                      <c:pt idx="8">
                        <c:v>1519268.4155713823</c:v>
                      </c:pt>
                      <c:pt idx="9">
                        <c:v>1972778.104339374</c:v>
                      </c:pt>
                      <c:pt idx="10">
                        <c:v>2134926.6063009207</c:v>
                      </c:pt>
                      <c:pt idx="11">
                        <c:v>2382432.8450642298</c:v>
                      </c:pt>
                      <c:pt idx="12">
                        <c:v>2605204.9921008991</c:v>
                      </c:pt>
                      <c:pt idx="13">
                        <c:v>2688574.1044060108</c:v>
                      </c:pt>
                      <c:pt idx="14">
                        <c:v>2447400.0057357107</c:v>
                      </c:pt>
                      <c:pt idx="15">
                        <c:v>2092472.0182716234</c:v>
                      </c:pt>
                      <c:pt idx="16">
                        <c:v>1853311.2880575396</c:v>
                      </c:pt>
                      <c:pt idx="17">
                        <c:v>1883379.0085348838</c:v>
                      </c:pt>
                      <c:pt idx="18">
                        <c:v>2573345.2111679036</c:v>
                      </c:pt>
                      <c:pt idx="19">
                        <c:v>3228212.9606189001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54F-4032-896F-DFE235D323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CompMultiCust!$B$17</c15:sqref>
                        </c15:formulaRef>
                      </c:ext>
                    </c:extLst>
                    <c:strCache>
                      <c:ptCount val="1"/>
                      <c:pt idx="0">
                        <c:v>AMR - Neptune 
FirstNet
w/ HE Fee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2026</c:v>
                      </c:pt>
                      <c:pt idx="1">
                        <c:v>2027</c:v>
                      </c:pt>
                      <c:pt idx="2">
                        <c:v>2028</c:v>
                      </c:pt>
                      <c:pt idx="3">
                        <c:v>2029</c:v>
                      </c:pt>
                      <c:pt idx="4">
                        <c:v>2030</c:v>
                      </c:pt>
                      <c:pt idx="5">
                        <c:v>2031</c:v>
                      </c:pt>
                      <c:pt idx="6">
                        <c:v>2032</c:v>
                      </c:pt>
                      <c:pt idx="7">
                        <c:v>2033</c:v>
                      </c:pt>
                      <c:pt idx="8">
                        <c:v>2034</c:v>
                      </c:pt>
                      <c:pt idx="9">
                        <c:v>2035</c:v>
                      </c:pt>
                      <c:pt idx="10">
                        <c:v>2036</c:v>
                      </c:pt>
                      <c:pt idx="11">
                        <c:v>2037</c:v>
                      </c:pt>
                      <c:pt idx="12">
                        <c:v>2038</c:v>
                      </c:pt>
                      <c:pt idx="13">
                        <c:v>2039</c:v>
                      </c:pt>
                      <c:pt idx="14">
                        <c:v>2040</c:v>
                      </c:pt>
                      <c:pt idx="15">
                        <c:v>2041</c:v>
                      </c:pt>
                      <c:pt idx="16">
                        <c:v>2042</c:v>
                      </c:pt>
                      <c:pt idx="17">
                        <c:v>2043</c:v>
                      </c:pt>
                      <c:pt idx="18">
                        <c:v>2044</c:v>
                      </c:pt>
                      <c:pt idx="19">
                        <c:v>2045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CompMultiCust!$D$17:$W$17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20"/>
                      <c:pt idx="0">
                        <c:v>70957.924440160132</c:v>
                      </c:pt>
                      <c:pt idx="1">
                        <c:v>935953.34696942719</c:v>
                      </c:pt>
                      <c:pt idx="2">
                        <c:v>1783057.5167485243</c:v>
                      </c:pt>
                      <c:pt idx="3">
                        <c:v>1816340.4037684859</c:v>
                      </c:pt>
                      <c:pt idx="4">
                        <c:v>1593050.0466036256</c:v>
                      </c:pt>
                      <c:pt idx="5">
                        <c:v>1286095.0962656175</c:v>
                      </c:pt>
                      <c:pt idx="6">
                        <c:v>1069774.2674376236</c:v>
                      </c:pt>
                      <c:pt idx="7">
                        <c:v>1070199.4560310929</c:v>
                      </c:pt>
                      <c:pt idx="8">
                        <c:v>1593478.3580542405</c:v>
                      </c:pt>
                      <c:pt idx="9">
                        <c:v>2058696.5663363684</c:v>
                      </c:pt>
                      <c:pt idx="10">
                        <c:v>2223297.6517211716</c:v>
                      </c:pt>
                      <c:pt idx="11">
                        <c:v>2473326.4840697926</c:v>
                      </c:pt>
                      <c:pt idx="12">
                        <c:v>2698693.2333272542</c:v>
                      </c:pt>
                      <c:pt idx="13">
                        <c:v>2784731.0120094381</c:v>
                      </c:pt>
                      <c:pt idx="14">
                        <c:v>2546301.7580691096</c:v>
                      </c:pt>
                      <c:pt idx="15">
                        <c:v>2194196.9682352641</c:v>
                      </c:pt>
                      <c:pt idx="16">
                        <c:v>1957940.0251725505</c:v>
                      </c:pt>
                      <c:pt idx="17">
                        <c:v>1990994.4227886624</c:v>
                      </c:pt>
                      <c:pt idx="18">
                        <c:v>2684032.5586820198</c:v>
                      </c:pt>
                      <c:pt idx="19">
                        <c:v>3342059.9311915254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54F-4032-896F-DFE235D3236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CompMultiCust!$B$9</c15:sqref>
                        </c15:formulaRef>
                      </c:ext>
                    </c:extLst>
                    <c:strCache>
                      <c:ptCount val="1"/>
                      <c:pt idx="0">
                        <c:v>AMI - Average 
Cost*</c:v>
                      </c:pt>
                    </c:strCache>
                  </c:strRef>
                </c:tx>
                <c:spPr>
                  <a:ln w="28575" cap="rnd">
                    <a:solidFill>
                      <a:srgbClr val="7030A0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CompMultiCust!$D$9:$W$9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54F-4032-896F-DFE235D3236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CompMultiCust!$B$18</c15:sqref>
                        </c15:formulaRef>
                      </c:ext>
                    </c:extLst>
                    <c:strCache>
                      <c:ptCount val="1"/>
                      <c:pt idx="0">
                        <c:v>AMR - Average 
Cost*</c:v>
                      </c:pt>
                    </c:strCache>
                  </c:strRef>
                </c:tx>
                <c:spPr>
                  <a:ln w="28575" cap="rnd">
                    <a:solidFill>
                      <a:srgbClr val="C7A1E3"/>
                    </a:solidFill>
                    <a:prstDash val="lgDashDot"/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CompMultiCust!$D$18:$W$18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954F-4032-896F-DFE235D3236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CompMultiCust!$B$19</c15:sqref>
                        </c15:formulaRef>
                      </c:ext>
                    </c:extLst>
                    <c:strCache>
                      <c:ptCount val="1"/>
                      <c:pt idx="0">
                        <c:v>AMR - Average 
Cost*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CompMultiCust!$D$19:$W$19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954F-4032-896F-DFE235D3236B}"/>
                  </c:ext>
                </c:extLst>
              </c15:ser>
            </c15:filteredLineSeries>
          </c:ext>
        </c:extLst>
      </c:lineChart>
      <c:catAx>
        <c:axId val="287441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329495"/>
        <c:crosses val="autoZero"/>
        <c:auto val="1"/>
        <c:lblAlgn val="ctr"/>
        <c:lblOffset val="100"/>
        <c:tickMarkSkip val="10"/>
        <c:noMultiLvlLbl val="0"/>
      </c:catAx>
      <c:valAx>
        <c:axId val="287329495"/>
        <c:scaling>
          <c:orientation val="minMax"/>
        </c:scaling>
        <c:delete val="0"/>
        <c:axPos val="l"/>
        <c:numFmt formatCode="&quot;$&quot;0.0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441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29908597492839"/>
          <c:y val="0.91369821286512354"/>
          <c:w val="0.53744198274060051"/>
          <c:h val="7.557078175374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Meter Technology Comparison</a:t>
            </a:r>
          </a:p>
          <a:p>
            <a:pPr>
              <a:defRPr sz="2000"/>
            </a:pPr>
            <a:r>
              <a:rPr lang="en-US" sz="2000"/>
              <a:t>20-Year Net Present Value of Costs Net of Benefits</a:t>
            </a:r>
            <a:r>
              <a:rPr lang="en-US" sz="2000" baseline="0"/>
              <a:t> in $mm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031475659888546E-2"/>
          <c:y val="0.29074935517421646"/>
          <c:w val="0.89181857676681608"/>
          <c:h val="0.61571061240111391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CompMultiCust!$B$63</c:f>
              <c:strCache>
                <c:ptCount val="1"/>
                <c:pt idx="0">
                  <c:v>AMR - Average 
Cost*</c:v>
                </c:pt>
              </c:strCache>
              <c:extLst xmlns:c15="http://schemas.microsoft.com/office/drawing/2012/chart"/>
            </c:strRef>
          </c:tx>
          <c:spPr>
            <a:pattFill prst="wdDnDiag">
              <a:fgClr>
                <a:schemeClr val="bg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E94-4B64-AA55-F484DA13B7D5}"/>
              </c:ext>
            </c:extLst>
          </c:dPt>
          <c:dLbls>
            <c:numFmt formatCode="&quot;$&quot;0.0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CompMultiCust!$X$63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E94-4B64-AA55-F484DA13B7D5}"/>
            </c:ext>
          </c:extLst>
        </c:ser>
        <c:ser>
          <c:idx val="8"/>
          <c:order val="1"/>
          <c:tx>
            <c:strRef>
              <c:f>CompMultiCust!$B$53</c:f>
              <c:strCache>
                <c:ptCount val="1"/>
                <c:pt idx="0">
                  <c:v>AMI - Average 
Cost*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4-4B64-AA55-F484DA13B7D5}"/>
              </c:ext>
            </c:extLst>
          </c:dPt>
          <c:dLbls>
            <c:numFmt formatCode="&quot;$&quot;0.0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CompMultiCust!$X$53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94-4B64-AA55-F484DA13B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943527"/>
        <c:axId val="400934167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CompMultiCust!$B$60</c15:sqref>
                        </c15:formulaRef>
                      </c:ext>
                    </c:extLst>
                    <c:strCache>
                      <c:ptCount val="1"/>
                      <c:pt idx="0">
                        <c:v>AMR - Neptune 
FirstNet</c:v>
                      </c:pt>
                    </c:strCache>
                  </c:strRef>
                </c:tx>
                <c:spPr>
                  <a:pattFill prst="wdDnDiag">
                    <a:fgClr>
                      <a:schemeClr val="accent6">
                        <a:lumMod val="60000"/>
                        <a:lumOff val="40000"/>
                      </a:schemeClr>
                    </a:fgClr>
                    <a:bgClr>
                      <a:schemeClr val="bg1"/>
                    </a:bgClr>
                  </a:patt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
</c:separator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6E94-4B64-AA55-F484DA13B7D5}"/>
                      </c:ext>
                    </c:extLst>
                  </c:dLbl>
                  <c:numFmt formatCode="&quot;$&quot;0.0,,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eparator>
</c:separator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Lit>
                    <c:ptCount val="1"/>
                    <c:pt idx="0">
                      <c:v>'20-Year Net Present Value'</c:v>
                    </c:pt>
                  </c:strLit>
                </c:cat>
                <c:val>
                  <c:numRef>
                    <c:extLst>
                      <c:ext uri="{02D57815-91ED-43cb-92C2-25804820EDAC}">
                        <c15:formulaRef>
                          <c15:sqref>CompMultiCust!$X$60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"/>
                      <c:pt idx="0">
                        <c:v>17031931.080133915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E94-4B64-AA55-F484DA13B7D5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CompMultiCust!$B$62</c15:sqref>
                        </c15:formulaRef>
                      </c:ext>
                    </c:extLst>
                    <c:strCache>
                      <c:ptCount val="1"/>
                      <c:pt idx="0">
                        <c:v>AMR - Neptune 
FirstNet
w/ HE Fee</c:v>
                      </c:pt>
                    </c:strCache>
                  </c:strRef>
                </c:tx>
                <c:spPr>
                  <a:pattFill prst="dkHorz">
                    <a:fgClr>
                      <a:schemeClr val="accent6"/>
                    </a:fgClr>
                    <a:bgClr>
                      <a:schemeClr val="bg1"/>
                    </a:bgClr>
                  </a:pattFill>
                  <a:ln>
                    <a:noFill/>
                  </a:ln>
                  <a:effectLst/>
                </c:spPr>
                <c:invertIfNegative val="0"/>
                <c:dLbls>
                  <c:numFmt formatCode="&quot;$&quot;0.0,,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Lit>
                    <c:ptCount val="1"/>
                    <c:pt idx="0">
                      <c:v>'20-Year Net Present Value'</c:v>
                    </c:pt>
                  </c:strLit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CompMultiCust!$X$62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"/>
                      <c:pt idx="0">
                        <c:v>17635503.397012424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94-4B64-AA55-F484DA13B7D5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CompMultiCust!$B$59</c15:sqref>
                        </c15:formulaRef>
                      </c:ext>
                    </c:extLst>
                    <c:strCache>
                      <c:ptCount val="1"/>
                      <c:pt idx="0">
                        <c:v>AMR - Badger
Veriz or ATT</c:v>
                      </c:pt>
                    </c:strCache>
                  </c:strRef>
                </c:tx>
                <c:spPr>
                  <a:pattFill prst="wdDnDiag">
                    <a:fgClr>
                      <a:schemeClr val="accent5">
                        <a:lumMod val="40000"/>
                        <a:lumOff val="60000"/>
                      </a:schemeClr>
                    </a:fgClr>
                    <a:bgClr>
                      <a:schemeClr val="bg1"/>
                    </a:bgClr>
                  </a:pattFill>
                  <a:ln w="22225">
                    <a:noFill/>
                    <a:prstDash val="dash"/>
                  </a:ln>
                  <a:effectLst/>
                </c:spPr>
                <c:invertIfNegative val="0"/>
                <c:dLbls>
                  <c:dLbl>
                    <c:idx val="0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
</c:separator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6E94-4B64-AA55-F484DA13B7D5}"/>
                      </c:ext>
                    </c:extLst>
                  </c:dLbl>
                  <c:numFmt formatCode="&quot;$&quot;0.0,,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eparator>
</c:separator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Lit>
                    <c:ptCount val="1"/>
                    <c:pt idx="0">
                      <c:v>'20-Year Net Present Value'</c:v>
                    </c:pt>
                  </c:strLit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CompMultiCust!$X$59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"/>
                      <c:pt idx="0">
                        <c:v>28766197.049353804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E94-4B64-AA55-F484DA13B7D5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CompMultiCust!$B$49</c15:sqref>
                        </c15:formulaRef>
                      </c:ext>
                    </c:extLst>
                    <c:strCache>
                      <c:ptCount val="1"/>
                      <c:pt idx="0">
                        <c:v>AMI - Badger
Veriz or ATT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
</c:separator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6E94-4B64-AA55-F484DA13B7D5}"/>
                      </c:ext>
                    </c:extLst>
                  </c:dLbl>
                  <c:numFmt formatCode="&quot;$&quot;0.0,,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eparator>
</c:separator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Lit>
                    <c:ptCount val="1"/>
                    <c:pt idx="0">
                      <c:v>'20-Year Net Present Value'</c:v>
                    </c:pt>
                  </c:strLit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CompMultiCust!$X$49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"/>
                      <c:pt idx="0">
                        <c:v>23459029.82413638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E94-4B64-AA55-F484DA13B7D5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CompMultiCust!$B$50</c15:sqref>
                        </c15:formulaRef>
                      </c:ext>
                    </c:extLst>
                    <c:strCache>
                      <c:ptCount val="1"/>
                      <c:pt idx="0">
                        <c:v>AMI - Neptune 
FirstNet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
</c:separator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C-6E94-4B64-AA55-F484DA13B7D5}"/>
                      </c:ext>
                    </c:extLst>
                  </c:dLbl>
                  <c:numFmt formatCode="&quot;$&quot;0.0,,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eparator>
</c:separator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Lit>
                    <c:ptCount val="1"/>
                    <c:pt idx="0">
                      <c:v>'20-Year Net Present Value'</c:v>
                    </c:pt>
                  </c:strLit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CompMultiCust!$X$50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"/>
                      <c:pt idx="0">
                        <c:v>29626193.90232427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E94-4B64-AA55-F484DA13B7D5}"/>
                  </c:ext>
                </c:extLst>
              </c15:ser>
            </c15:filteredBarSeries>
          </c:ext>
        </c:extLst>
      </c:barChart>
      <c:catAx>
        <c:axId val="400943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34167"/>
        <c:crosses val="autoZero"/>
        <c:auto val="1"/>
        <c:lblAlgn val="ctr"/>
        <c:lblOffset val="100"/>
        <c:noMultiLvlLbl val="0"/>
      </c:catAx>
      <c:valAx>
        <c:axId val="400934167"/>
        <c:scaling>
          <c:orientation val="minMax"/>
          <c:max val="30000000"/>
          <c:min val="0"/>
        </c:scaling>
        <c:delete val="0"/>
        <c:axPos val="l"/>
        <c:numFmt formatCode="&quot;$&quot;0.0,,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43527"/>
        <c:crosses val="autoZero"/>
        <c:crossBetween val="between"/>
        <c:majorUnit val="5000000"/>
        <c:minorUnit val="2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Meter Technology Comparison</a:t>
            </a:r>
          </a:p>
          <a:p>
            <a:pPr>
              <a:defRPr sz="2000"/>
            </a:pPr>
            <a:r>
              <a:rPr lang="en-US" sz="2000"/>
              <a:t>20-Year Net Present Value of Costs Net of Benefits</a:t>
            </a:r>
            <a:r>
              <a:rPr lang="en-US" sz="2000" baseline="0"/>
              <a:t> in $mm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592468135886792E-2"/>
          <c:y val="0.21259023789135112"/>
          <c:w val="0.89135657932078971"/>
          <c:h val="0.69386979677938132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CompMultiCust!$B$60</c:f>
              <c:strCache>
                <c:ptCount val="1"/>
                <c:pt idx="0">
                  <c:v>AMR - Neptune 
FirstNet</c:v>
                </c:pt>
              </c:strCache>
            </c:strRef>
          </c:tx>
          <c:spPr>
            <a:pattFill prst="wdDnDiag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FA-4AB5-8D2A-EDDDC87F6A22}"/>
                </c:ext>
              </c:extLst>
            </c:dLbl>
            <c:numFmt formatCode="&quot;$&quot;0.0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'20-Year Net Present Value'</c:v>
              </c:pt>
            </c:strLit>
          </c:cat>
          <c:val>
            <c:numRef>
              <c:f>CompMultiCust!$X$60</c:f>
              <c:numCache>
                <c:formatCode>_("$"* #,##0_);_("$"* \(#,##0\);_("$"* "-"??_);_(@_)</c:formatCode>
                <c:ptCount val="1"/>
                <c:pt idx="0">
                  <c:v>17031931.080133915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FA-4AB5-8D2A-EDDDC87F6A22}"/>
            </c:ext>
          </c:extLst>
        </c:ser>
        <c:ser>
          <c:idx val="4"/>
          <c:order val="3"/>
          <c:tx>
            <c:strRef>
              <c:f>CompMultiCust!$B$62</c:f>
              <c:strCache>
                <c:ptCount val="1"/>
                <c:pt idx="0">
                  <c:v>AMR - Neptune 
FirstNet
w/ HE Fee</c:v>
                </c:pt>
              </c:strCache>
            </c:strRef>
          </c:tx>
          <c:spPr>
            <a:pattFill prst="dkHorz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numFmt formatCode="&quot;$&quot;0.0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'20-Year Net Present Value'</c:v>
              </c:pt>
            </c:strLit>
          </c:cat>
          <c:val>
            <c:numRef>
              <c:f>CompMultiCust!$X$62</c:f>
              <c:numCache>
                <c:formatCode>_("$"* #,##0_);_("$"* \(#,##0\);_("$"* "-"??_);_(@_)</c:formatCode>
                <c:ptCount val="1"/>
                <c:pt idx="0">
                  <c:v>17635503.397012424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FA-4AB5-8D2A-EDDDC87F6A22}"/>
            </c:ext>
          </c:extLst>
        </c:ser>
        <c:ser>
          <c:idx val="2"/>
          <c:order val="4"/>
          <c:tx>
            <c:strRef>
              <c:f>CompMultiCust!$B$59</c:f>
              <c:strCache>
                <c:ptCount val="1"/>
                <c:pt idx="0">
                  <c:v>AMR - Badger
Veriz or ATT</c:v>
                </c:pt>
              </c:strCache>
            </c:strRef>
          </c:tx>
          <c:spPr>
            <a:pattFill prst="wdDnDiag">
              <a:fgClr>
                <a:schemeClr val="accent5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22225">
              <a:noFill/>
              <a:prstDash val="dash"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FA-4AB5-8D2A-EDDDC87F6A22}"/>
                </c:ext>
              </c:extLst>
            </c:dLbl>
            <c:numFmt formatCode="&quot;$&quot;0.0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'20-Year Net Present Value'</c:v>
              </c:pt>
            </c:strLit>
          </c:cat>
          <c:val>
            <c:numRef>
              <c:f>CompMultiCust!$X$59</c:f>
              <c:numCache>
                <c:formatCode>_("$"* #,##0_);_("$"* \(#,##0\);_("$"* "-"??_);_(@_)</c:formatCode>
                <c:ptCount val="1"/>
                <c:pt idx="0">
                  <c:v>28766197.049353804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FA-4AB5-8D2A-EDDDC87F6A22}"/>
            </c:ext>
          </c:extLst>
        </c:ser>
        <c:ser>
          <c:idx val="0"/>
          <c:order val="5"/>
          <c:tx>
            <c:strRef>
              <c:f>CompMultiCust!$B$49</c:f>
              <c:strCache>
                <c:ptCount val="1"/>
                <c:pt idx="0">
                  <c:v>AMI - Badger
Veriz or ATT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FA-4AB5-8D2A-EDDDC87F6A22}"/>
                </c:ext>
              </c:extLst>
            </c:dLbl>
            <c:numFmt formatCode="&quot;$&quot;0.0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'20-Year Net Present Value'</c:v>
              </c:pt>
            </c:strLit>
          </c:cat>
          <c:val>
            <c:numRef>
              <c:f>CompMultiCust!$X$49</c:f>
              <c:numCache>
                <c:formatCode>_("$"* #,##0_);_("$"* \(#,##0\);_("$"* "-"??_);_(@_)</c:formatCode>
                <c:ptCount val="1"/>
                <c:pt idx="0">
                  <c:v>23459029.82413638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FA-4AB5-8D2A-EDDDC87F6A22}"/>
            </c:ext>
          </c:extLst>
        </c:ser>
        <c:ser>
          <c:idx val="1"/>
          <c:order val="6"/>
          <c:tx>
            <c:strRef>
              <c:f>CompMultiCust!$B$50</c:f>
              <c:strCache>
                <c:ptCount val="1"/>
                <c:pt idx="0">
                  <c:v>AMI - Neptune 
FirstNet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FA-4AB5-8D2A-EDDDC87F6A22}"/>
                </c:ext>
              </c:extLst>
            </c:dLbl>
            <c:numFmt formatCode="&quot;$&quot;0.0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'20-Year Net Present Value'</c:v>
              </c:pt>
            </c:strLit>
          </c:cat>
          <c:val>
            <c:numRef>
              <c:f>CompMultiCust!$X$50</c:f>
              <c:numCache>
                <c:formatCode>_("$"* #,##0_);_("$"* \(#,##0\);_("$"* "-"??_);_(@_)</c:formatCode>
                <c:ptCount val="1"/>
                <c:pt idx="0">
                  <c:v>29626193.90232427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3FA-4AB5-8D2A-EDDDC87F6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943527"/>
        <c:axId val="400934167"/>
        <c:extLst>
          <c:ext xmlns:c15="http://schemas.microsoft.com/office/drawing/2012/chart" uri="{02D57815-91ED-43cb-92C2-25804820EDAC}">
            <c15:filteredBarSeries>
              <c15:ser>
                <c:idx val="9"/>
                <c:order val="0"/>
                <c:tx>
                  <c:strRef>
                    <c:extLst>
                      <c:ext uri="{02D57815-91ED-43cb-92C2-25804820EDAC}">
                        <c15:formulaRef>
                          <c15:sqref>CompMultiCust!$B$63</c15:sqref>
                        </c15:formulaRef>
                      </c:ext>
                    </c:extLst>
                    <c:strCache>
                      <c:ptCount val="1"/>
                      <c:pt idx="0">
                        <c:v>AMR - Average 
Cost*</c:v>
                      </c:pt>
                    </c:strCache>
                  </c:strRef>
                </c:tx>
                <c:spPr>
                  <a:pattFill prst="wdDnDiag">
                    <a:fgClr>
                      <a:schemeClr val="bg2">
                        <a:lumMod val="50000"/>
                      </a:schemeClr>
                    </a:fgClr>
                    <a:bgClr>
                      <a:schemeClr val="bg1"/>
                    </a:bgClr>
                  </a:patt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0-13FA-4AB5-8D2A-EDDDC87F6A22}"/>
                    </c:ext>
                  </c:extLst>
                </c:dPt>
                <c:dLbls>
                  <c:numFmt formatCode="&quot;$&quot;0.0,,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CompMultiCust!$X$63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3FA-4AB5-8D2A-EDDDC87F6A22}"/>
                  </c:ext>
                </c:extLst>
              </c15:ser>
            </c15:filteredBarSeries>
            <c15:filteredBarSeries>
              <c15:ser>
                <c:idx val="8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CompMultiCust!$B$53</c15:sqref>
                        </c15:formulaRef>
                      </c:ext>
                    </c:extLst>
                    <c:strCache>
                      <c:ptCount val="1"/>
                      <c:pt idx="0">
                        <c:v>AMI - Average 
Cost*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13FA-4AB5-8D2A-EDDDC87F6A22}"/>
                    </c:ext>
                  </c:extLst>
                </c:dPt>
                <c:dLbls>
                  <c:numFmt formatCode="&quot;$&quot;0.0,,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1"/>
                  <c:showPercent val="0"/>
                  <c:showBubbleSize val="0"/>
                  <c:separator>
</c:separator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CompMultiCust!$X$53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FA-4AB5-8D2A-EDDDC87F6A22}"/>
                  </c:ext>
                </c:extLst>
              </c15:ser>
            </c15:filteredBarSeries>
          </c:ext>
        </c:extLst>
      </c:barChart>
      <c:catAx>
        <c:axId val="400943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34167"/>
        <c:crosses val="autoZero"/>
        <c:auto val="1"/>
        <c:lblAlgn val="ctr"/>
        <c:lblOffset val="100"/>
        <c:noMultiLvlLbl val="0"/>
      </c:catAx>
      <c:valAx>
        <c:axId val="400934167"/>
        <c:scaling>
          <c:orientation val="minMax"/>
        </c:scaling>
        <c:delete val="0"/>
        <c:axPos val="l"/>
        <c:numFmt formatCode="&quot;$&quot;0.0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43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Meter</a:t>
            </a:r>
            <a:r>
              <a:rPr lang="en-US" sz="2000" baseline="0"/>
              <a:t> Technology Comparison</a:t>
            </a:r>
          </a:p>
          <a:p>
            <a:pPr>
              <a:defRPr sz="2000"/>
            </a:pPr>
            <a:r>
              <a:rPr lang="en-US" sz="2000" baseline="0"/>
              <a:t>20-Year Annual Costs Net of Benefits by Year</a:t>
            </a:r>
          </a:p>
          <a:p>
            <a:pPr>
              <a:defRPr sz="2000"/>
            </a:pPr>
            <a:r>
              <a:rPr lang="en-US" sz="2000" baseline="0"/>
              <a:t>per Customer per Month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000568435056985E-2"/>
          <c:y val="0.17462221441731579"/>
          <c:w val="0.77124269344592411"/>
          <c:h val="0.76024007741030941"/>
        </c:manualLayout>
      </c:layout>
      <c:lineChart>
        <c:grouping val="standard"/>
        <c:varyColors val="0"/>
        <c:ser>
          <c:idx val="0"/>
          <c:order val="0"/>
          <c:tx>
            <c:strRef>
              <c:f>CompMultiCust!$B$23</c:f>
              <c:strCache>
                <c:ptCount val="1"/>
                <c:pt idx="0">
                  <c:v>AMI - Badger
Veriz or ATT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31-42A7-AC99-E474FE9F86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31-42A7-AC99-E474FE9F86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31-42A7-AC99-E474FE9F86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31-42A7-AC99-E474FE9F86AF}"/>
                </c:ext>
              </c:extLst>
            </c:dLbl>
            <c:dLbl>
              <c:idx val="4"/>
              <c:layout>
                <c:manualLayout>
                  <c:x val="-2.6018826411735016E-2"/>
                  <c:y val="1.16193418621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31-42A7-AC99-E474FE9F86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31-42A7-AC99-E474FE9F86A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31-42A7-AC99-E474FE9F86A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31-42A7-AC99-E474FE9F86A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31-42A7-AC99-E474FE9F86AF}"/>
                </c:ext>
              </c:extLst>
            </c:dLbl>
            <c:dLbl>
              <c:idx val="9"/>
              <c:layout>
                <c:manualLayout>
                  <c:x val="-2.6187769126863724E-2"/>
                  <c:y val="1.228308986857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131-42A7-AC99-E474FE9F86A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31-42A7-AC99-E474FE9F86A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31-42A7-AC99-E474FE9F86A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31-42A7-AC99-E474FE9F86A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131-42A7-AC99-E474FE9F86A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31-42A7-AC99-E474FE9F86A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31-42A7-AC99-E474FE9F86A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31-42A7-AC99-E474FE9F86A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31-42A7-AC99-E474FE9F86AF}"/>
                </c:ext>
              </c:extLst>
            </c:dLbl>
            <c:dLbl>
              <c:idx val="19"/>
              <c:layout>
                <c:manualLayout>
                  <c:x val="-2.6187769126863724E-2"/>
                  <c:y val="-5.2414432731732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131-42A7-AC99-E474FE9F86AF}"/>
                </c:ext>
              </c:extLst>
            </c:dLbl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CompMultiCust!$D$13:$W$13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CompMultiCust!$D$23:$W$23</c:f>
              <c:numCache>
                <c:formatCode>_("$"* #,##0.00_);_("$"* \(#,##0.00\);_("$"* "-"??_);_(@_)</c:formatCode>
                <c:ptCount val="20"/>
                <c:pt idx="0">
                  <c:v>0.10442906466892539</c:v>
                </c:pt>
                <c:pt idx="1">
                  <c:v>0.74838675943844934</c:v>
                </c:pt>
                <c:pt idx="2">
                  <c:v>1.3707424333335529</c:v>
                </c:pt>
                <c:pt idx="3">
                  <c:v>1.4777608867930303</c:v>
                </c:pt>
                <c:pt idx="4">
                  <c:v>1.3671631589733442</c:v>
                </c:pt>
                <c:pt idx="5">
                  <c:v>1.1807094076257527</c:v>
                </c:pt>
                <c:pt idx="6">
                  <c:v>1.0676905585982268</c:v>
                </c:pt>
                <c:pt idx="7">
                  <c:v>1.1280709977444268</c:v>
                </c:pt>
                <c:pt idx="8">
                  <c:v>1.614448830105176</c:v>
                </c:pt>
                <c:pt idx="9">
                  <c:v>2.0684429400351916</c:v>
                </c:pt>
                <c:pt idx="10">
                  <c:v>1.9192553848934131</c:v>
                </c:pt>
                <c:pt idx="11">
                  <c:v>1.7612452327043346</c:v>
                </c:pt>
                <c:pt idx="12">
                  <c:v>1.895609603624175</c:v>
                </c:pt>
                <c:pt idx="13">
                  <c:v>1.9235597746208466</c:v>
                </c:pt>
                <c:pt idx="14">
                  <c:v>1.7045035304421126</c:v>
                </c:pt>
                <c:pt idx="15">
                  <c:v>1.3979584596923553</c:v>
                </c:pt>
                <c:pt idx="16">
                  <c:v>1.1778145190784479</c:v>
                </c:pt>
                <c:pt idx="17">
                  <c:v>1.1605788193034428</c:v>
                </c:pt>
                <c:pt idx="18">
                  <c:v>1.6420538419334114</c:v>
                </c:pt>
                <c:pt idx="19">
                  <c:v>2.0961055831745266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6-42DD-9C8F-589077370448}"/>
            </c:ext>
          </c:extLst>
        </c:ser>
        <c:ser>
          <c:idx val="2"/>
          <c:order val="1"/>
          <c:tx>
            <c:strRef>
              <c:f>CompMultiCust!$B$31</c:f>
              <c:strCache>
                <c:ptCount val="1"/>
                <c:pt idx="0">
                  <c:v>AMR - Badger
Veriz or ATT</c:v>
                </c:pt>
              </c:strCache>
            </c:strRef>
          </c:tx>
          <c:spPr>
            <a:ln w="5080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31-42A7-AC99-E474FE9F86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31-42A7-AC99-E474FE9F86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31-42A7-AC99-E474FE9F86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31-42A7-AC99-E474FE9F86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31-42A7-AC99-E474FE9F86A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31-42A7-AC99-E474FE9F86A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31-42A7-AC99-E474FE9F86A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1-42A7-AC99-E474FE9F86A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31-42A7-AC99-E474FE9F86A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31-42A7-AC99-E474FE9F86A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31-42A7-AC99-E474FE9F86A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1-42A7-AC99-E474FE9F86A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31-42A7-AC99-E474FE9F86A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1-42A7-AC99-E474FE9F86A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1-42A7-AC99-E474FE9F86A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1-42A7-AC99-E474FE9F86AF}"/>
                </c:ext>
              </c:extLst>
            </c:dLbl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CompMultiCust!$D$13:$W$13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CompMultiCust!$D$31:$W$31</c:f>
              <c:numCache>
                <c:formatCode>_("$"* #,##0.00_);_("$"* \(#,##0.00\);_("$"* "-"??_);_(@_)</c:formatCode>
                <c:ptCount val="20"/>
                <c:pt idx="0">
                  <c:v>0.10308727404952078</c:v>
                </c:pt>
                <c:pt idx="1">
                  <c:v>0.74906906921297234</c:v>
                </c:pt>
                <c:pt idx="2">
                  <c:v>1.3764467482747629</c:v>
                </c:pt>
                <c:pt idx="3">
                  <c:v>1.4900342876545614</c:v>
                </c:pt>
                <c:pt idx="4">
                  <c:v>1.3915268904474214</c:v>
                </c:pt>
                <c:pt idx="5">
                  <c:v>1.2189794079407736</c:v>
                </c:pt>
                <c:pt idx="6">
                  <c:v>1.1206232542429788</c:v>
                </c:pt>
                <c:pt idx="7">
                  <c:v>1.1951346630180333</c:v>
                </c:pt>
                <c:pt idx="8">
                  <c:v>1.6939964140395756</c:v>
                </c:pt>
                <c:pt idx="9">
                  <c:v>2.1509594714131701</c:v>
                </c:pt>
                <c:pt idx="10">
                  <c:v>2.3239500285337051</c:v>
                </c:pt>
                <c:pt idx="11">
                  <c:v>2.52135132570807</c:v>
                </c:pt>
                <c:pt idx="12">
                  <c:v>2.7002705875182484</c:v>
                </c:pt>
                <c:pt idx="13">
                  <c:v>2.7764814822897512</c:v>
                </c:pt>
                <c:pt idx="14">
                  <c:v>2.6128509365794508</c:v>
                </c:pt>
                <c:pt idx="15">
                  <c:v>2.3650141813374543</c:v>
                </c:pt>
                <c:pt idx="16">
                  <c:v>2.2027178978652824</c:v>
                </c:pt>
                <c:pt idx="17">
                  <c:v>2.2393755234759136</c:v>
                </c:pt>
                <c:pt idx="18">
                  <c:v>2.7641555463935732</c:v>
                </c:pt>
                <c:pt idx="19">
                  <c:v>3.2632632038948444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16-42DD-9C8F-589077370448}"/>
            </c:ext>
          </c:extLst>
        </c:ser>
        <c:ser>
          <c:idx val="1"/>
          <c:order val="2"/>
          <c:tx>
            <c:strRef>
              <c:f>CompMultiCust!$B$24</c:f>
              <c:strCache>
                <c:ptCount val="1"/>
                <c:pt idx="0">
                  <c:v>AMI - Neptune 
FirstNet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131-42A7-AC99-E474FE9F86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131-42A7-AC99-E474FE9F86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131-42A7-AC99-E474FE9F86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131-42A7-AC99-E474FE9F86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131-42A7-AC99-E474FE9F86A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131-42A7-AC99-E474FE9F86A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131-42A7-AC99-E474FE9F86A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131-42A7-AC99-E474FE9F86A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131-42A7-AC99-E474FE9F86A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131-42A7-AC99-E474FE9F86A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131-42A7-AC99-E474FE9F86A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131-42A7-AC99-E474FE9F86A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131-42A7-AC99-E474FE9F86A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131-42A7-AC99-E474FE9F86A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131-42A7-AC99-E474FE9F86A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31-42A7-AC99-E474FE9F86AF}"/>
                </c:ext>
              </c:extLst>
            </c:dLbl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CompMultiCust!$D$13:$W$13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CompMultiCust!$D$24:$W$24</c:f>
              <c:numCache>
                <c:formatCode>_("$"* #,##0.00_);_("$"* \(#,##0.00\);_("$"* "-"??_);_(@_)</c:formatCode>
                <c:ptCount val="20"/>
                <c:pt idx="0">
                  <c:v>0.13879863742665485</c:v>
                </c:pt>
                <c:pt idx="1">
                  <c:v>0.85360890138595868</c:v>
                </c:pt>
                <c:pt idx="2">
                  <c:v>1.5425091179911199</c:v>
                </c:pt>
                <c:pt idx="3">
                  <c:v>1.7009108183085235</c:v>
                </c:pt>
                <c:pt idx="4">
                  <c:v>1.6091384003608316</c:v>
                </c:pt>
                <c:pt idx="5">
                  <c:v>1.4298476706966203</c:v>
                </c:pt>
                <c:pt idx="6">
                  <c:v>1.3345161245813937</c:v>
                </c:pt>
                <c:pt idx="7">
                  <c:v>1.4374445488115433</c:v>
                </c:pt>
                <c:pt idx="8">
                  <c:v>2.0278597624388</c:v>
                </c:pt>
                <c:pt idx="9">
                  <c:v>2.5793478905311207</c:v>
                </c:pt>
                <c:pt idx="10">
                  <c:v>2.4700064294354656</c:v>
                </c:pt>
                <c:pt idx="11">
                  <c:v>2.3381003649272545</c:v>
                </c:pt>
                <c:pt idx="12">
                  <c:v>2.4967098672324188</c:v>
                </c:pt>
                <c:pt idx="13">
                  <c:v>2.5385482896277156</c:v>
                </c:pt>
                <c:pt idx="14">
                  <c:v>2.3091881231091835</c:v>
                </c:pt>
                <c:pt idx="15">
                  <c:v>1.9838470644454098</c:v>
                </c:pt>
                <c:pt idx="16">
                  <c:v>1.7535296537605021</c:v>
                </c:pt>
                <c:pt idx="17">
                  <c:v>1.7461777223892312</c:v>
                </c:pt>
                <c:pt idx="18">
                  <c:v>2.2867489368703668</c:v>
                </c:pt>
                <c:pt idx="19">
                  <c:v>2.7973045383174635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6-42DD-9C8F-589077370448}"/>
            </c:ext>
          </c:extLst>
        </c:ser>
        <c:ser>
          <c:idx val="3"/>
          <c:order val="3"/>
          <c:tx>
            <c:strRef>
              <c:f>CompMultiCust!$B$32</c:f>
              <c:strCache>
                <c:ptCount val="1"/>
                <c:pt idx="0">
                  <c:v>AMR - Neptune 
FirstNet</c:v>
                </c:pt>
              </c:strCache>
            </c:strRef>
          </c:tx>
          <c:spPr>
            <a:ln w="508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131-42A7-AC99-E474FE9F86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131-42A7-AC99-E474FE9F86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131-42A7-AC99-E474FE9F86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131-42A7-AC99-E474FE9F86AF}"/>
                </c:ext>
              </c:extLst>
            </c:dLbl>
            <c:dLbl>
              <c:idx val="4"/>
              <c:layout>
                <c:manualLayout>
                  <c:x val="-2.6018826411735016E-2"/>
                  <c:y val="2.421963573670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131-42A7-AC99-E474FE9F86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131-42A7-AC99-E474FE9F86A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131-42A7-AC99-E474FE9F86A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131-42A7-AC99-E474FE9F86A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131-42A7-AC99-E474FE9F86AF}"/>
                </c:ext>
              </c:extLst>
            </c:dLbl>
            <c:dLbl>
              <c:idx val="9"/>
              <c:layout>
                <c:manualLayout>
                  <c:x val="-2.6187769126863724E-2"/>
                  <c:y val="1.6088826492122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131-42A7-AC99-E474FE9F86A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131-42A7-AC99-E474FE9F86A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131-42A7-AC99-E474FE9F86A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131-42A7-AC99-E474FE9F86A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131-42A7-AC99-E474FE9F86AF}"/>
                </c:ext>
              </c:extLst>
            </c:dLbl>
            <c:dLbl>
              <c:idx val="14"/>
              <c:layout>
                <c:manualLayout>
                  <c:x val="-2.5182094429211509E-2"/>
                  <c:y val="1.228308986857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131-42A7-AC99-E474FE9F86A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131-42A7-AC99-E474FE9F86A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131-42A7-AC99-E474FE9F86A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131-42A7-AC99-E474FE9F86A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131-42A7-AC99-E474FE9F86AF}"/>
                </c:ext>
              </c:extLst>
            </c:dLbl>
            <c:dLbl>
              <c:idx val="19"/>
              <c:layout>
                <c:manualLayout>
                  <c:x val="-2.5182094429211509E-2"/>
                  <c:y val="3.1311772986312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131-42A7-AC99-E474FE9F86AF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CompMultiCust!$D$13:$W$13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CompMultiCust!$D$32:$W$32</c:f>
              <c:numCache>
                <c:formatCode>_("$"* #,##0.00_);_("$"* \(#,##0.00\);_("$"* "-"??_);_(@_)</c:formatCode>
                <c:ptCount val="20"/>
                <c:pt idx="0">
                  <c:v>3.7595792449680719E-2</c:v>
                </c:pt>
                <c:pt idx="1">
                  <c:v>0.54889256427922006</c:v>
                </c:pt>
                <c:pt idx="2">
                  <c:v>1.0499959462218109</c:v>
                </c:pt>
                <c:pt idx="3">
                  <c:v>1.0657978777240487</c:v>
                </c:pt>
                <c:pt idx="4">
                  <c:v>0.93137366798824595</c:v>
                </c:pt>
                <c:pt idx="5">
                  <c:v>0.74522302543217789</c:v>
                </c:pt>
                <c:pt idx="6">
                  <c:v>0.61326586040843545</c:v>
                </c:pt>
                <c:pt idx="7">
                  <c:v>0.60692123536487641</c:v>
                </c:pt>
                <c:pt idx="8">
                  <c:v>0.90756775123738487</c:v>
                </c:pt>
                <c:pt idx="9">
                  <c:v>1.1784815438108567</c:v>
                </c:pt>
                <c:pt idx="10">
                  <c:v>1.2753444482084353</c:v>
                </c:pt>
                <c:pt idx="11">
                  <c:v>1.4231976374338291</c:v>
                </c:pt>
                <c:pt idx="12">
                  <c:v>1.5562753835728191</c:v>
                </c:pt>
                <c:pt idx="13">
                  <c:v>1.6060777206726469</c:v>
                </c:pt>
                <c:pt idx="14">
                  <c:v>1.4620071718851317</c:v>
                </c:pt>
                <c:pt idx="15">
                  <c:v>1.2499832845111252</c:v>
                </c:pt>
                <c:pt idx="16">
                  <c:v>1.1071154647894501</c:v>
                </c:pt>
                <c:pt idx="17">
                  <c:v>1.1250770660303966</c:v>
                </c:pt>
                <c:pt idx="18">
                  <c:v>1.5372432563727021</c:v>
                </c:pt>
                <c:pt idx="19">
                  <c:v>1.9284426288045999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16-42DD-9C8F-589077370448}"/>
            </c:ext>
          </c:extLst>
        </c:ser>
        <c:ser>
          <c:idx val="4"/>
          <c:order val="4"/>
          <c:tx>
            <c:strRef>
              <c:f>CompMultiCust!$B$34</c:f>
              <c:strCache>
                <c:ptCount val="1"/>
                <c:pt idx="0">
                  <c:v>AMR - Neptune 
FirstNet
w/ HE Fee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131-42A7-AC99-E474FE9F86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131-42A7-AC99-E474FE9F86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131-42A7-AC99-E474FE9F86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131-42A7-AC99-E474FE9F86AF}"/>
                </c:ext>
              </c:extLst>
            </c:dLbl>
            <c:dLbl>
              <c:idx val="4"/>
              <c:layout>
                <c:manualLayout>
                  <c:x val="-2.6122598238976499E-2"/>
                  <c:y val="-2.798160360855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131-42A7-AC99-E474FE9F86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131-42A7-AC99-E474FE9F86A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131-42A7-AC99-E474FE9F86A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131-42A7-AC99-E474FE9F86A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131-42A7-AC99-E474FE9F86A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131-42A7-AC99-E474FE9F86A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131-42A7-AC99-E474FE9F86A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131-42A7-AC99-E474FE9F86A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131-42A7-AC99-E474FE9F86A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131-42A7-AC99-E474FE9F86A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131-42A7-AC99-E474FE9F86A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131-42A7-AC99-E474FE9F86A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131-42A7-AC99-E474FE9F86AF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CompMultiCust!$D$13:$W$13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CompMultiCust!$D$34:$W$34</c:f>
              <c:numCache>
                <c:formatCode>_("$"* #,##0.00_);_("$"* \(#,##0.00\);_("$"* "-"??_);_(@_)</c:formatCode>
                <c:ptCount val="20"/>
                <c:pt idx="0">
                  <c:v>4.2388246380023975E-2</c:v>
                </c:pt>
                <c:pt idx="1">
                  <c:v>0.55911191575234598</c:v>
                </c:pt>
                <c:pt idx="2">
                  <c:v>1.0651478594674577</c:v>
                </c:pt>
                <c:pt idx="3">
                  <c:v>1.0850301097780679</c:v>
                </c:pt>
                <c:pt idx="4">
                  <c:v>0.95164279964374288</c:v>
                </c:pt>
                <c:pt idx="5">
                  <c:v>0.76827664054099021</c:v>
                </c:pt>
                <c:pt idx="6">
                  <c:v>0.63905272845736183</c:v>
                </c:pt>
                <c:pt idx="7">
                  <c:v>0.639306724032911</c:v>
                </c:pt>
                <c:pt idx="8">
                  <c:v>0.95189866072535267</c:v>
                </c:pt>
                <c:pt idx="9">
                  <c:v>1.229806789926146</c:v>
                </c:pt>
                <c:pt idx="10">
                  <c:v>1.3281347979218467</c:v>
                </c:pt>
                <c:pt idx="11">
                  <c:v>1.4774949128254435</c:v>
                </c:pt>
                <c:pt idx="12">
                  <c:v>1.6121226005539153</c:v>
                </c:pt>
                <c:pt idx="13">
                  <c:v>1.6635191230641804</c:v>
                </c:pt>
                <c:pt idx="14">
                  <c:v>1.5210882664690022</c:v>
                </c:pt>
                <c:pt idx="15">
                  <c:v>1.3107508770819976</c:v>
                </c:pt>
                <c:pt idx="16">
                  <c:v>1.1696176972356931</c:v>
                </c:pt>
                <c:pt idx="17">
                  <c:v>1.1893634544735139</c:v>
                </c:pt>
                <c:pt idx="18">
                  <c:v>1.6033647303954719</c:v>
                </c:pt>
                <c:pt idx="19">
                  <c:v>1.9964515717989997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16-42DD-9C8F-58907737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6231272"/>
        <c:axId val="1146235592"/>
      </c:lineChart>
      <c:catAx>
        <c:axId val="114623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235592"/>
        <c:crosses val="autoZero"/>
        <c:auto val="1"/>
        <c:lblAlgn val="ctr"/>
        <c:lblOffset val="100"/>
        <c:noMultiLvlLbl val="0"/>
      </c:catAx>
      <c:valAx>
        <c:axId val="114623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231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2310651135474"/>
          <c:y val="0.12880590175654333"/>
          <c:w val="0.14277381359342611"/>
          <c:h val="0.81123073122382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Meter Technology Comparison</a:t>
            </a:r>
          </a:p>
          <a:p>
            <a:pPr>
              <a:defRPr sz="2400"/>
            </a:pPr>
            <a:r>
              <a:rPr lang="en-US" sz="2400"/>
              <a:t>20-Year</a:t>
            </a:r>
            <a:r>
              <a:rPr lang="en-US" sz="2400" baseline="0"/>
              <a:t> Annual Costs Net of Benefits by Year </a:t>
            </a:r>
          </a:p>
          <a:p>
            <a:pPr>
              <a:defRPr sz="2400"/>
            </a:pPr>
            <a:r>
              <a:rPr lang="en-US" sz="2400" baseline="0"/>
              <a:t>per Customer per Month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CompMultiCust!$B$27</c:f>
              <c:strCache>
                <c:ptCount val="1"/>
                <c:pt idx="0">
                  <c:v>AMI - Average 
Cost*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9-425E-8C9D-3F870EFD5E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49-425E-8C9D-3F870EFD5E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9-425E-8C9D-3F870EFD5E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9-425E-8C9D-3F870EFD5E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49-425E-8C9D-3F870EFD5E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49-425E-8C9D-3F870EFD5E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49-425E-8C9D-3F870EFD5E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49-425E-8C9D-3F870EFD5E9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49-425E-8C9D-3F870EFD5E9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49-425E-8C9D-3F870EFD5E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49-425E-8C9D-3F870EFD5E9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49-425E-8C9D-3F870EFD5E92}"/>
                </c:ext>
              </c:extLst>
            </c:dLbl>
            <c:dLbl>
              <c:idx val="14"/>
              <c:layout>
                <c:manualLayout>
                  <c:x val="-2.9614617213691109E-2"/>
                  <c:y val="2.788068234439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49-425E-8C9D-3F870EFD5E9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49-425E-8C9D-3F870EFD5E9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49-425E-8C9D-3F870EFD5E9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49-425E-8C9D-3F870EFD5E9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49-425E-8C9D-3F870EFD5E92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CompMultiCust!$D$27:$W$27</c:f>
              <c:numCache>
                <c:formatCode>_("$"* #,##0.00_);_("$"* \(#,##0.00\);_("$"*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9-492B-B83C-5794444A7F27}"/>
            </c:ext>
          </c:extLst>
        </c:ser>
        <c:ser>
          <c:idx val="1"/>
          <c:order val="1"/>
          <c:tx>
            <c:strRef>
              <c:f>CompMultiCust!$B$35</c:f>
              <c:strCache>
                <c:ptCount val="1"/>
                <c:pt idx="0">
                  <c:v>AMR - Average 
Cost*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49-425E-8C9D-3F870EFD5E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49-425E-8C9D-3F870EFD5E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9-425E-8C9D-3F870EFD5E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9-425E-8C9D-3F870EFD5E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49-425E-8C9D-3F870EFD5E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49-425E-8C9D-3F870EFD5E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49-425E-8C9D-3F870EFD5E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49-425E-8C9D-3F870EFD5E9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49-425E-8C9D-3F870EFD5E9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49-425E-8C9D-3F870EFD5E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49-425E-8C9D-3F870EFD5E9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49-425E-8C9D-3F870EFD5E92}"/>
                </c:ext>
              </c:extLst>
            </c:dLbl>
            <c:dLbl>
              <c:idx val="14"/>
              <c:layout>
                <c:manualLayout>
                  <c:x val="-3.1900141691426985E-2"/>
                  <c:y val="-2.356578024736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49-425E-8C9D-3F870EFD5E9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49-425E-8C9D-3F870EFD5E9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49-425E-8C9D-3F870EFD5E9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49-425E-8C9D-3F870EFD5E9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49-425E-8C9D-3F870EFD5E92}"/>
                </c:ext>
              </c:extLst>
            </c:dLbl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CompMultiCust!$D$35:$W$35</c:f>
              <c:numCache>
                <c:formatCode>_("$"* #,##0.00_);_("$"* \(#,##0.00\);_("$"*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D9-492B-B83C-5794444A7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6159992"/>
        <c:axId val="1146165392"/>
      </c:lineChart>
      <c:catAx>
        <c:axId val="1146159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165392"/>
        <c:crosses val="autoZero"/>
        <c:auto val="1"/>
        <c:lblAlgn val="ctr"/>
        <c:lblOffset val="100"/>
        <c:noMultiLvlLbl val="0"/>
      </c:catAx>
      <c:valAx>
        <c:axId val="114616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15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Meter Technology Comparison</a:t>
            </a:r>
          </a:p>
          <a:p>
            <a:pPr>
              <a:defRPr sz="2000"/>
            </a:pPr>
            <a:r>
              <a:rPr lang="en-US" sz="2000"/>
              <a:t>20-Year Net Present Value of Costs Net of Benefits</a:t>
            </a:r>
            <a:endParaRPr lang="en-US" sz="2000" baseline="0"/>
          </a:p>
          <a:p>
            <a:pPr>
              <a:defRPr sz="2000"/>
            </a:pPr>
            <a:r>
              <a:rPr lang="en-US" sz="2000" baseline="0"/>
              <a:t>per Customer per Month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031475659888546E-2"/>
          <c:y val="0.29074935517421646"/>
          <c:w val="0.89181857676681608"/>
          <c:h val="0.61571061240111391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CompMultiCust!$B$63</c:f>
              <c:strCache>
                <c:ptCount val="1"/>
                <c:pt idx="0">
                  <c:v>AMR - Average 
Cost*</c:v>
                </c:pt>
              </c:strCache>
              <c:extLst xmlns:c15="http://schemas.microsoft.com/office/drawing/2012/chart"/>
            </c:strRef>
          </c:tx>
          <c:spPr>
            <a:pattFill prst="wdDnDiag">
              <a:fgClr>
                <a:schemeClr val="bg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CompMultiCust!$X$83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63-47C1-8864-F807EC4E1340}"/>
            </c:ext>
          </c:extLst>
        </c:ser>
        <c:ser>
          <c:idx val="8"/>
          <c:order val="1"/>
          <c:tx>
            <c:strRef>
              <c:f>CompMultiCust!$B$53</c:f>
              <c:strCache>
                <c:ptCount val="1"/>
                <c:pt idx="0">
                  <c:v>AMI - Average 
Cost*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CompMultiCust!$X$73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63-47C1-8864-F807EC4E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943527"/>
        <c:axId val="400934167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CompMultiCust!$B$60</c15:sqref>
                        </c15:formulaRef>
                      </c:ext>
                    </c:extLst>
                    <c:strCache>
                      <c:ptCount val="1"/>
                      <c:pt idx="0">
                        <c:v>AMR - Neptune 
FirstNet</c:v>
                      </c:pt>
                    </c:strCache>
                  </c:strRef>
                </c:tx>
                <c:spPr>
                  <a:pattFill prst="wdDnDiag">
                    <a:fgClr>
                      <a:schemeClr val="accent6">
                        <a:lumMod val="60000"/>
                        <a:lumOff val="40000"/>
                      </a:schemeClr>
                    </a:fgClr>
                    <a:bgClr>
                      <a:schemeClr val="bg1"/>
                    </a:bgClr>
                  </a:patt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
</c:separator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A163-47C1-8864-F807EC4E1340}"/>
                      </c:ext>
                    </c:extLst>
                  </c:dLbl>
                  <c:numFmt formatCode="&quot;$&quot;0.0,,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eparator>
</c:separator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Lit>
                    <c:ptCount val="1"/>
                    <c:pt idx="0">
                      <c:v>'20-Year Net Present Value'</c:v>
                    </c:pt>
                  </c:strLit>
                </c:cat>
                <c:val>
                  <c:numRef>
                    <c:extLst>
                      <c:ext uri="{02D57815-91ED-43cb-92C2-25804820EDAC}">
                        <c15:formulaRef>
                          <c15:sqref>CompMultiCust!$X$60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"/>
                      <c:pt idx="0">
                        <c:v>17031931.080133915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163-47C1-8864-F807EC4E1340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CompMultiCust!$B$62</c15:sqref>
                        </c15:formulaRef>
                      </c:ext>
                    </c:extLst>
                    <c:strCache>
                      <c:ptCount val="1"/>
                      <c:pt idx="0">
                        <c:v>AMR - Neptune 
FirstNet
w/ HE Fee</c:v>
                      </c:pt>
                    </c:strCache>
                  </c:strRef>
                </c:tx>
                <c:spPr>
                  <a:pattFill prst="dkHorz">
                    <a:fgClr>
                      <a:schemeClr val="accent6"/>
                    </a:fgClr>
                    <a:bgClr>
                      <a:schemeClr val="bg1"/>
                    </a:bgClr>
                  </a:pattFill>
                  <a:ln>
                    <a:noFill/>
                  </a:ln>
                  <a:effectLst/>
                </c:spPr>
                <c:invertIfNegative val="0"/>
                <c:dLbls>
                  <c:numFmt formatCode="&quot;$&quot;0.0,,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Lit>
                    <c:ptCount val="1"/>
                    <c:pt idx="0">
                      <c:v>'20-Year Net Present Value'</c:v>
                    </c:pt>
                  </c:strLit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CompMultiCust!$X$62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"/>
                      <c:pt idx="0">
                        <c:v>17635503.397012424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163-47C1-8864-F807EC4E1340}"/>
                  </c:ext>
                </c:extLst>
              </c15:ser>
            </c15:filteredBarSeries>
            <c15:filteredBa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CompMultiCust!$B$59</c15:sqref>
                        </c15:formulaRef>
                      </c:ext>
                    </c:extLst>
                    <c:strCache>
                      <c:ptCount val="1"/>
                      <c:pt idx="0">
                        <c:v>AMR - Badger
Veriz or ATT</c:v>
                      </c:pt>
                    </c:strCache>
                  </c:strRef>
                </c:tx>
                <c:spPr>
                  <a:pattFill prst="wdDnDiag">
                    <a:fgClr>
                      <a:schemeClr val="accent5">
                        <a:lumMod val="40000"/>
                        <a:lumOff val="60000"/>
                      </a:schemeClr>
                    </a:fgClr>
                    <a:bgClr>
                      <a:schemeClr val="bg1"/>
                    </a:bgClr>
                  </a:pattFill>
                  <a:ln w="22225">
                    <a:noFill/>
                    <a:prstDash val="dash"/>
                  </a:ln>
                  <a:effectLst/>
                </c:spPr>
                <c:invertIfNegative val="0"/>
                <c:dLbls>
                  <c:dLbl>
                    <c:idx val="0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
</c:separator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A163-47C1-8864-F807EC4E1340}"/>
                      </c:ext>
                    </c:extLst>
                  </c:dLbl>
                  <c:numFmt formatCode="&quot;$&quot;0.0,,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eparator>
</c:separator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Lit>
                    <c:ptCount val="1"/>
                    <c:pt idx="0">
                      <c:v>'20-Year Net Present Value'</c:v>
                    </c:pt>
                  </c:strLit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CompMultiCust!$X$59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"/>
                      <c:pt idx="0">
                        <c:v>28766197.049353804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163-47C1-8864-F807EC4E1340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CompMultiCust!$B$49</c15:sqref>
                        </c15:formulaRef>
                      </c:ext>
                    </c:extLst>
                    <c:strCache>
                      <c:ptCount val="1"/>
                      <c:pt idx="0">
                        <c:v>AMI - Badger
Veriz or ATT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
</c:separator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A163-47C1-8864-F807EC4E1340}"/>
                      </c:ext>
                    </c:extLst>
                  </c:dLbl>
                  <c:numFmt formatCode="&quot;$&quot;0.0,,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eparator>
</c:separator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Lit>
                    <c:ptCount val="1"/>
                    <c:pt idx="0">
                      <c:v>'20-Year Net Present Value'</c:v>
                    </c:pt>
                  </c:strLit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CompMultiCust!$X$49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"/>
                      <c:pt idx="0">
                        <c:v>23459029.82413638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163-47C1-8864-F807EC4E1340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CompMultiCust!$B$50</c15:sqref>
                        </c15:formulaRef>
                      </c:ext>
                    </c:extLst>
                    <c:strCache>
                      <c:ptCount val="1"/>
                      <c:pt idx="0">
                        <c:v>AMI - Neptune 
FirstNet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
</c:separator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C-A163-47C1-8864-F807EC4E1340}"/>
                      </c:ext>
                    </c:extLst>
                  </c:dLbl>
                  <c:numFmt formatCode="&quot;$&quot;0.0,,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eparator>
</c:separator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Lit>
                    <c:ptCount val="1"/>
                    <c:pt idx="0">
                      <c:v>'20-Year Net Present Value'</c:v>
                    </c:pt>
                  </c:strLit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CompMultiCust!$X$50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"/>
                      <c:pt idx="0">
                        <c:v>29626193.90232427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163-47C1-8864-F807EC4E1340}"/>
                  </c:ext>
                </c:extLst>
              </c15:ser>
            </c15:filteredBarSeries>
          </c:ext>
        </c:extLst>
      </c:barChart>
      <c:catAx>
        <c:axId val="400943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34167"/>
        <c:crosses val="autoZero"/>
        <c:auto val="1"/>
        <c:lblAlgn val="ctr"/>
        <c:lblOffset val="100"/>
        <c:noMultiLvlLbl val="0"/>
      </c:catAx>
      <c:valAx>
        <c:axId val="400934167"/>
        <c:scaling>
          <c:orientation val="minMax"/>
          <c:max val="1"/>
          <c:min val="0"/>
        </c:scaling>
        <c:delete val="0"/>
        <c:axPos val="l"/>
        <c:numFmt formatCode="&quot;$&quot;#,##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43527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Meter Technology Comparison</a:t>
            </a:r>
          </a:p>
          <a:p>
            <a:pPr>
              <a:defRPr sz="2000"/>
            </a:pPr>
            <a:r>
              <a:rPr lang="en-US" sz="2000"/>
              <a:t>20-Year Net Present Value of Costs Net of Benefits</a:t>
            </a:r>
            <a:endParaRPr lang="en-US" sz="2000" baseline="0"/>
          </a:p>
          <a:p>
            <a:pPr>
              <a:defRPr sz="2000"/>
            </a:pPr>
            <a:r>
              <a:rPr lang="en-US" sz="2000" baseline="0"/>
              <a:t>per Customer per Month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592468135886792E-2"/>
          <c:y val="0.21259023789135112"/>
          <c:w val="0.89135657932078971"/>
          <c:h val="0.69386979677938132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CompMultiCust!$B$60</c:f>
              <c:strCache>
                <c:ptCount val="1"/>
                <c:pt idx="0">
                  <c:v>AMR - Neptune 
FirstNet</c:v>
                </c:pt>
              </c:strCache>
            </c:strRef>
          </c:tx>
          <c:spPr>
            <a:pattFill prst="wdDnDiag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'20-Year Net Present Value'</c:v>
              </c:pt>
            </c:strLit>
          </c:cat>
          <c:val>
            <c:numRef>
              <c:f>CompMultiCust!$X$80</c:f>
              <c:numCache>
                <c:formatCode>_("$"* #,##0.00_);_("$"* \(#,##0.00\);_("$"* "-"??_);_(@_)</c:formatCode>
                <c:ptCount val="1"/>
                <c:pt idx="0">
                  <c:v>0.50871956631224358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E-4C13-A24A-CA6260554A37}"/>
            </c:ext>
          </c:extLst>
        </c:ser>
        <c:ser>
          <c:idx val="4"/>
          <c:order val="3"/>
          <c:tx>
            <c:strRef>
              <c:f>CompMultiCust!$B$62</c:f>
              <c:strCache>
                <c:ptCount val="1"/>
                <c:pt idx="0">
                  <c:v>AMR - Neptune 
FirstNet
w/ HE Fee</c:v>
                </c:pt>
              </c:strCache>
            </c:strRef>
          </c:tx>
          <c:spPr>
            <a:pattFill prst="dkHorz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'20-Year Net Present Value'</c:v>
              </c:pt>
            </c:strLit>
          </c:cat>
          <c:val>
            <c:numRef>
              <c:f>CompMultiCust!$X$82</c:f>
              <c:numCache>
                <c:formatCode>_("$"* #,##0.00_);_("$"* \(#,##0.00\);_("$"* "-"??_);_(@_)</c:formatCode>
                <c:ptCount val="1"/>
                <c:pt idx="0">
                  <c:v>0.52674741329188846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FE-4C13-A24A-CA6260554A37}"/>
            </c:ext>
          </c:extLst>
        </c:ser>
        <c:ser>
          <c:idx val="2"/>
          <c:order val="4"/>
          <c:tx>
            <c:strRef>
              <c:f>CompMultiCust!$B$59</c:f>
              <c:strCache>
                <c:ptCount val="1"/>
                <c:pt idx="0">
                  <c:v>AMR - Badger
Veriz or ATT</c:v>
                </c:pt>
              </c:strCache>
            </c:strRef>
          </c:tx>
          <c:spPr>
            <a:pattFill prst="wdDnDiag">
              <a:fgClr>
                <a:schemeClr val="accent5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'20-Year Net Present Value'</c:v>
              </c:pt>
            </c:strLit>
          </c:cat>
          <c:val>
            <c:numRef>
              <c:f>CompMultiCust!$X$79</c:f>
              <c:numCache>
                <c:formatCode>_("$"* #,##0.00_);_("$"* \(#,##0.00\);_("$"* "-"??_);_(@_)</c:formatCode>
                <c:ptCount val="1"/>
                <c:pt idx="0">
                  <c:v>0.85920540768679221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FE-4C13-A24A-CA6260554A37}"/>
            </c:ext>
          </c:extLst>
        </c:ser>
        <c:ser>
          <c:idx val="0"/>
          <c:order val="5"/>
          <c:tx>
            <c:strRef>
              <c:f>CompMultiCust!$B$49</c:f>
              <c:strCache>
                <c:ptCount val="1"/>
                <c:pt idx="0">
                  <c:v>AMI - Badger
Veriz or ATT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'20-Year Net Present Value'</c:v>
              </c:pt>
            </c:strLit>
          </c:cat>
          <c:val>
            <c:numRef>
              <c:f>CompMultiCust!$X$69</c:f>
              <c:numCache>
                <c:formatCode>_("$"* #,##0.00_);_("$"* \(#,##0.00\);_("$"* "-"??_);_(@_)</c:formatCode>
                <c:ptCount val="1"/>
                <c:pt idx="0">
                  <c:v>0.70068786810443184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FE-4C13-A24A-CA6260554A37}"/>
            </c:ext>
          </c:extLst>
        </c:ser>
        <c:ser>
          <c:idx val="1"/>
          <c:order val="6"/>
          <c:tx>
            <c:strRef>
              <c:f>CompMultiCust!$B$50</c:f>
              <c:strCache>
                <c:ptCount val="1"/>
                <c:pt idx="0">
                  <c:v>AMI - Neptune 
FirstNet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'20-Year Net Present Value'</c:v>
              </c:pt>
            </c:strLit>
          </c:cat>
          <c:val>
            <c:numRef>
              <c:f>CompMultiCust!$X$70</c:f>
              <c:numCache>
                <c:formatCode>_("$"* #,##0.00_);_("$"* \(#,##0.00\);_("$"* "-"??_);_(@_)</c:formatCode>
                <c:ptCount val="1"/>
                <c:pt idx="0">
                  <c:v>0.88489229098937494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FE-4C13-A24A-CA6260554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943527"/>
        <c:axId val="400934167"/>
        <c:extLst>
          <c:ext xmlns:c15="http://schemas.microsoft.com/office/drawing/2012/chart" uri="{02D57815-91ED-43cb-92C2-25804820EDAC}">
            <c15:filteredBarSeries>
              <c15:ser>
                <c:idx val="9"/>
                <c:order val="0"/>
                <c:tx>
                  <c:strRef>
                    <c:extLst>
                      <c:ext uri="{02D57815-91ED-43cb-92C2-25804820EDAC}">
                        <c15:formulaRef>
                          <c15:sqref>CompMultiCust!$B$63</c15:sqref>
                        </c15:formulaRef>
                      </c:ext>
                    </c:extLst>
                    <c:strCache>
                      <c:ptCount val="1"/>
                      <c:pt idx="0">
                        <c:v>AMR - Average 
Cost*</c:v>
                      </c:pt>
                    </c:strCache>
                  </c:strRef>
                </c:tx>
                <c:spPr>
                  <a:pattFill prst="wdDnDiag">
                    <a:fgClr>
                      <a:schemeClr val="bg2">
                        <a:lumMod val="50000"/>
                      </a:schemeClr>
                    </a:fgClr>
                    <a:bgClr>
                      <a:schemeClr val="bg1"/>
                    </a:bgClr>
                  </a:patt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9-5EFE-4C13-A24A-CA6260554A37}"/>
                    </c:ext>
                  </c:extLst>
                </c:dPt>
                <c:dLbls>
                  <c:numFmt formatCode="&quot;$&quot;0.0,,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CompMultiCust!$X$63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5EFE-4C13-A24A-CA6260554A37}"/>
                  </c:ext>
                </c:extLst>
              </c15:ser>
            </c15:filteredBarSeries>
            <c15:filteredBarSeries>
              <c15:ser>
                <c:idx val="8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CompMultiCust!$B$53</c15:sqref>
                        </c15:formulaRef>
                      </c:ext>
                    </c:extLst>
                    <c:strCache>
                      <c:ptCount val="1"/>
                      <c:pt idx="0">
                        <c:v>AMI - Average 
Cost*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C-5EFE-4C13-A24A-CA6260554A37}"/>
                    </c:ext>
                  </c:extLst>
                </c:dPt>
                <c:dLbls>
                  <c:numFmt formatCode="&quot;$&quot;0.0,,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1"/>
                  <c:showPercent val="0"/>
                  <c:showBubbleSize val="0"/>
                  <c:separator>
</c:separator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CompMultiCust!$X$53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EFE-4C13-A24A-CA6260554A37}"/>
                  </c:ext>
                </c:extLst>
              </c15:ser>
            </c15:filteredBarSeries>
          </c:ext>
        </c:extLst>
      </c:barChart>
      <c:catAx>
        <c:axId val="400943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34167"/>
        <c:crosses val="autoZero"/>
        <c:auto val="1"/>
        <c:lblAlgn val="ctr"/>
        <c:lblOffset val="100"/>
        <c:noMultiLvlLbl val="0"/>
      </c:catAx>
      <c:valAx>
        <c:axId val="400934167"/>
        <c:scaling>
          <c:orientation val="minMax"/>
        </c:scaling>
        <c:delete val="0"/>
        <c:axPos val="l"/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43527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Quantity of Meter Pit</a:t>
            </a:r>
            <a:r>
              <a:rPr lang="en-US" sz="1800" baseline="0"/>
              <a:t> Lids Replaced (in thousands)</a:t>
            </a:r>
          </a:p>
          <a:p>
            <a:pPr>
              <a:defRPr sz="1800"/>
            </a:pPr>
            <a:r>
              <a:rPr lang="en-US" sz="1800" baseline="0"/>
              <a:t>All Scenarios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CompCapex!$B$38</c:f>
              <c:strCache>
                <c:ptCount val="1"/>
                <c:pt idx="0">
                  <c:v>AMR</c:v>
                </c:pt>
              </c:strCache>
            </c:strRef>
          </c:tx>
          <c:spPr>
            <a:solidFill>
              <a:srgbClr val="C7A1E3"/>
            </a:solidFill>
            <a:ln>
              <a:noFill/>
            </a:ln>
            <a:effectLst/>
          </c:spPr>
          <c:invertIfNegative val="0"/>
          <c:cat>
            <c:numRef>
              <c:f>CompCapex!$D$36:$W$36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CompCapex!$D$38:$W$38</c:f>
              <c:numCache>
                <c:formatCode>_(* #,##0_);_(* \(#,##0\);_(* "-"??_);_(@_)</c:formatCode>
                <c:ptCount val="20"/>
                <c:pt idx="0">
                  <c:v>5842.6309342623354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9-4B57-B955-BE8D2C8AC2C3}"/>
            </c:ext>
          </c:extLst>
        </c:ser>
        <c:ser>
          <c:idx val="1"/>
          <c:order val="1"/>
          <c:tx>
            <c:strRef>
              <c:f>CompCapex!$B$39</c:f>
              <c:strCache>
                <c:ptCount val="1"/>
                <c:pt idx="0">
                  <c:v>AMI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CompCapex!$D$39:$W$39</c:f>
              <c:numCache>
                <c:formatCode>_(* #,##0_);_(* \(#,##0\);_(* "-"??_);_(@_)</c:formatCode>
                <c:ptCount val="20"/>
                <c:pt idx="0">
                  <c:v>17246</c:v>
                </c:pt>
                <c:pt idx="1">
                  <c:v>18563</c:v>
                </c:pt>
                <c:pt idx="2">
                  <c:v>15825</c:v>
                </c:pt>
                <c:pt idx="3">
                  <c:v>12057</c:v>
                </c:pt>
                <c:pt idx="4">
                  <c:v>1578</c:v>
                </c:pt>
                <c:pt idx="5">
                  <c:v>6903</c:v>
                </c:pt>
                <c:pt idx="6">
                  <c:v>6326</c:v>
                </c:pt>
                <c:pt idx="7">
                  <c:v>17347</c:v>
                </c:pt>
                <c:pt idx="8">
                  <c:v>31655</c:v>
                </c:pt>
                <c:pt idx="9">
                  <c:v>16000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9-4B57-B955-BE8D2C8AC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1031247"/>
        <c:axId val="881033407"/>
      </c:barChart>
      <c:catAx>
        <c:axId val="881031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033407"/>
        <c:crosses val="autoZero"/>
        <c:auto val="1"/>
        <c:lblAlgn val="ctr"/>
        <c:lblOffset val="100"/>
        <c:tickMarkSkip val="10"/>
        <c:noMultiLvlLbl val="0"/>
      </c:catAx>
      <c:valAx>
        <c:axId val="881033407"/>
        <c:scaling>
          <c:orientation val="minMax"/>
        </c:scaling>
        <c:delete val="1"/>
        <c:axPos val="l"/>
        <c:numFmt formatCode="0," sourceLinked="0"/>
        <c:majorTickMark val="none"/>
        <c:minorTickMark val="none"/>
        <c:tickLblPos val="nextTo"/>
        <c:crossAx val="881031247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Quantity of 2"</a:t>
            </a:r>
            <a:r>
              <a:rPr lang="en-US" sz="1600" baseline="0"/>
              <a:t> and Smaller Meters &amp; Endpoints </a:t>
            </a:r>
            <a:r>
              <a:rPr lang="en-US" sz="1600"/>
              <a:t>Replaced</a:t>
            </a:r>
            <a:r>
              <a:rPr lang="en-US" sz="1600" baseline="0"/>
              <a:t> (in thousands)</a:t>
            </a:r>
          </a:p>
          <a:p>
            <a:pPr>
              <a:defRPr sz="1600"/>
            </a:pPr>
            <a:r>
              <a:rPr lang="en-US" sz="1600" baseline="0"/>
              <a:t>All Scenarios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75089162192967E-2"/>
          <c:y val="0.12776072205954297"/>
          <c:w val="0.92286010467290447"/>
          <c:h val="0.74841881204121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numFmt formatCode="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CompCapex!$D$17:$W$17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CompCapex!$D$25:$W$25</c:f>
              <c:numCache>
                <c:formatCode>_(* #,##0_);_(* \(#,##0\);_(* "-"??_);_(@_)</c:formatCode>
                <c:ptCount val="20"/>
                <c:pt idx="0">
                  <c:v>17246</c:v>
                </c:pt>
                <c:pt idx="1">
                  <c:v>18563</c:v>
                </c:pt>
                <c:pt idx="2">
                  <c:v>15825</c:v>
                </c:pt>
                <c:pt idx="3">
                  <c:v>12057</c:v>
                </c:pt>
                <c:pt idx="4">
                  <c:v>1578</c:v>
                </c:pt>
                <c:pt idx="5">
                  <c:v>6903</c:v>
                </c:pt>
                <c:pt idx="6">
                  <c:v>6326</c:v>
                </c:pt>
                <c:pt idx="7">
                  <c:v>17347</c:v>
                </c:pt>
                <c:pt idx="8">
                  <c:v>31655</c:v>
                </c:pt>
                <c:pt idx="9">
                  <c:v>16000</c:v>
                </c:pt>
                <c:pt idx="10">
                  <c:v>17245.999999999996</c:v>
                </c:pt>
                <c:pt idx="11">
                  <c:v>18563</c:v>
                </c:pt>
                <c:pt idx="12">
                  <c:v>15825</c:v>
                </c:pt>
                <c:pt idx="13">
                  <c:v>12057</c:v>
                </c:pt>
                <c:pt idx="14">
                  <c:v>1578</c:v>
                </c:pt>
                <c:pt idx="15">
                  <c:v>6903</c:v>
                </c:pt>
                <c:pt idx="16">
                  <c:v>6326</c:v>
                </c:pt>
                <c:pt idx="17">
                  <c:v>17347</c:v>
                </c:pt>
                <c:pt idx="18">
                  <c:v>31655</c:v>
                </c:pt>
                <c:pt idx="19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2-4660-820A-B9C812690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1352695"/>
        <c:axId val="941353775"/>
      </c:barChart>
      <c:catAx>
        <c:axId val="941352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353775"/>
        <c:crosses val="autoZero"/>
        <c:auto val="1"/>
        <c:lblAlgn val="ctr"/>
        <c:lblOffset val="100"/>
        <c:tickMarkSkip val="10"/>
        <c:noMultiLvlLbl val="0"/>
      </c:catAx>
      <c:valAx>
        <c:axId val="941353775"/>
        <c:scaling>
          <c:orientation val="minMax"/>
        </c:scaling>
        <c:delete val="0"/>
        <c:axPos val="l"/>
        <c:numFmt formatCode="0,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352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AMI</a:t>
            </a:r>
            <a:r>
              <a:rPr lang="en-US" baseline="0"/>
              <a:t> Average System Conversion</a:t>
            </a:r>
          </a:p>
          <a:p>
            <a:pPr>
              <a:defRPr/>
            </a:pPr>
            <a:r>
              <a:rPr lang="en-US" baseline="0"/>
              <a:t>Based on Normal Periodic Scheduled Replacements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8154405230755875E-2"/>
          <c:y val="0.17241050119331741"/>
          <c:w val="0.9636911895384882"/>
          <c:h val="0.73462775386966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CompBenefits!$B$29</c:f>
              <c:strCache>
                <c:ptCount val="1"/>
                <c:pt idx="0">
                  <c:v>Badger AMI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CompBenefits!$D$4:$W$4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CompBenefits!$D$29:$N$29</c:f>
              <c:numCache>
                <c:formatCode>0.0%</c:formatCode>
                <c:ptCount val="11"/>
                <c:pt idx="0">
                  <c:v>6.0135573815125347E-2</c:v>
                </c:pt>
                <c:pt idx="1">
                  <c:v>0.18480833269339514</c:v>
                </c:pt>
                <c:pt idx="2">
                  <c:v>0.30442674336616798</c:v>
                </c:pt>
                <c:pt idx="3">
                  <c:v>0.40158681401534457</c:v>
                </c:pt>
                <c:pt idx="4">
                  <c:v>0.4491458570401346</c:v>
                </c:pt>
                <c:pt idx="5">
                  <c:v>0.4786830770089987</c:v>
                </c:pt>
                <c:pt idx="6">
                  <c:v>0.52475513637664672</c:v>
                </c:pt>
                <c:pt idx="7">
                  <c:v>0.60717452161711227</c:v>
                </c:pt>
                <c:pt idx="8">
                  <c:v>0.77798915130233248</c:v>
                </c:pt>
                <c:pt idx="9">
                  <c:v>0.94419273542162618</c:v>
                </c:pt>
                <c:pt idx="10">
                  <c:v>0.99998603771213945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5-4726-A2F4-DE6F627BFC78}"/>
            </c:ext>
          </c:extLst>
        </c:ser>
        <c:ser>
          <c:idx val="1"/>
          <c:order val="1"/>
          <c:tx>
            <c:strRef>
              <c:f>CompBenefits!$B$30</c:f>
              <c:strCache>
                <c:ptCount val="1"/>
                <c:pt idx="0">
                  <c:v>Neptune FirstNet AMI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CompBenefits!$D$4:$W$4</c:f>
              <c:numCache>
                <c:formatCode>General</c:formatCode>
                <c:ptCount val="2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</c:numCache>
            </c:numRef>
          </c:cat>
          <c:val>
            <c:numRef>
              <c:f>CompBenefits!$D$30:$N$30</c:f>
              <c:numCache>
                <c:formatCode>0.0%</c:formatCode>
                <c:ptCount val="11"/>
                <c:pt idx="0">
                  <c:v>6.0135573815125347E-2</c:v>
                </c:pt>
                <c:pt idx="1">
                  <c:v>0.18480833269339514</c:v>
                </c:pt>
                <c:pt idx="2">
                  <c:v>0.30442674336616798</c:v>
                </c:pt>
                <c:pt idx="3">
                  <c:v>0.40158681401534457</c:v>
                </c:pt>
                <c:pt idx="4">
                  <c:v>0.4491458570401346</c:v>
                </c:pt>
                <c:pt idx="5">
                  <c:v>0.4786830770089987</c:v>
                </c:pt>
                <c:pt idx="6">
                  <c:v>0.52475513637664672</c:v>
                </c:pt>
                <c:pt idx="7">
                  <c:v>0.60717452161711227</c:v>
                </c:pt>
                <c:pt idx="8">
                  <c:v>0.77798915130233248</c:v>
                </c:pt>
                <c:pt idx="9">
                  <c:v>0.94419273542162618</c:v>
                </c:pt>
                <c:pt idx="10">
                  <c:v>0.99998603771213945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2955-4726-A2F4-DE6F627B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56"/>
        <c:axId val="1189940592"/>
        <c:axId val="1189942752"/>
        <c:extLst/>
      </c:barChart>
      <c:catAx>
        <c:axId val="118994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942752"/>
        <c:crosses val="autoZero"/>
        <c:auto val="1"/>
        <c:lblAlgn val="ctr"/>
        <c:lblOffset val="100"/>
        <c:noMultiLvlLbl val="0"/>
      </c:catAx>
      <c:valAx>
        <c:axId val="1189942752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118994059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KAW Detailed Target Replacement</a:t>
            </a:r>
            <a:r>
              <a:rPr lang="en-US" baseline="0"/>
              <a:t> Cycle and Adjusted Target Replacement Cycle</a:t>
            </a:r>
          </a:p>
          <a:p>
            <a:pPr>
              <a:defRPr/>
            </a:pPr>
            <a:r>
              <a:rPr lang="en-US" baseline="0"/>
              <a:t>Based on invetory as of May 2025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'LOS Schedule'!$B$63</c:f>
              <c:strCache>
                <c:ptCount val="1"/>
                <c:pt idx="0">
                  <c:v>Targeted replacement cycle without adjustment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0,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'LOS Schedule'!$D$51:$N$51</c15:sqref>
                  </c15:fullRef>
                </c:ext>
              </c:extLst>
              <c:f>('LOS Schedule'!$D$51:$H$51,'LOS Schedule'!$N$51)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'LOS Schedule'!$D$63:$M$63</c15:sqref>
                  </c15:fullRef>
                </c:ext>
              </c:extLst>
              <c:f>'LOS Schedule'!$D$63:$H$63</c:f>
              <c:numCache>
                <c:formatCode>_(* #,##0_);_(* \(#,##0\);_(* "-"??_);_(@_)</c:formatCode>
                <c:ptCount val="5"/>
                <c:pt idx="0">
                  <c:v>39625</c:v>
                </c:pt>
                <c:pt idx="1">
                  <c:v>4246</c:v>
                </c:pt>
                <c:pt idx="2">
                  <c:v>7938</c:v>
                </c:pt>
                <c:pt idx="3">
                  <c:v>15825</c:v>
                </c:pt>
                <c:pt idx="4">
                  <c:v>12057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8-493C-AC25-DED6FBB56DCA}"/>
            </c:ext>
          </c:extLst>
        </c:ser>
        <c:ser>
          <c:idx val="1"/>
          <c:order val="1"/>
          <c:tx>
            <c:strRef>
              <c:f>'LOS Schedule'!$B$64</c:f>
              <c:strCache>
                <c:ptCount val="1"/>
                <c:pt idx="0">
                  <c:v>Adjusted targeted replacement cycle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'LOS Schedule'!$D$51:$N$51</c15:sqref>
                  </c15:fullRef>
                </c:ext>
              </c:extLst>
              <c:f>('LOS Schedule'!$D$51:$H$51,'LOS Schedule'!$N$51)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'LOS Schedule'!$D$64:$M$64</c15:sqref>
                  </c15:fullRef>
                </c:ext>
              </c:extLst>
              <c:f>'LOS Schedule'!$D$64:$H$64</c:f>
              <c:numCache>
                <c:formatCode>_(* #,##0_);_(* \(#,##0\);_(* "-"??_);_(@_)</c:formatCode>
                <c:ptCount val="5"/>
                <c:pt idx="0">
                  <c:v>16000</c:v>
                </c:pt>
                <c:pt idx="1">
                  <c:v>17246</c:v>
                </c:pt>
                <c:pt idx="2">
                  <c:v>18563</c:v>
                </c:pt>
                <c:pt idx="3">
                  <c:v>15825</c:v>
                </c:pt>
                <c:pt idx="4">
                  <c:v>12057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8-493C-AC25-DED6FBB5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6"/>
        <c:overlap val="-100"/>
        <c:axId val="1330255592"/>
        <c:axId val="1330252352"/>
      </c:barChart>
      <c:catAx>
        <c:axId val="133025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252352"/>
        <c:crosses val="autoZero"/>
        <c:auto val="1"/>
        <c:lblAlgn val="ctr"/>
        <c:lblOffset val="100"/>
        <c:noMultiLvlLbl val="0"/>
      </c:catAx>
      <c:valAx>
        <c:axId val="1330252352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33025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'LOS Schedule'!$B$64</c:f>
              <c:strCache>
                <c:ptCount val="1"/>
                <c:pt idx="0">
                  <c:v>Adjusted targeted replacement cycle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numFmt formatCode="#,\k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'LOS Schedule'!$D$51:$N$51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'LOS Schedule'!$D$64:$M$64</c:f>
              <c:numCache>
                <c:formatCode>_(* #,##0_);_(* \(#,##0\);_(* "-"??_);_(@_)</c:formatCode>
                <c:ptCount val="10"/>
                <c:pt idx="0">
                  <c:v>16000</c:v>
                </c:pt>
                <c:pt idx="1">
                  <c:v>17246</c:v>
                </c:pt>
                <c:pt idx="2">
                  <c:v>18563</c:v>
                </c:pt>
                <c:pt idx="3">
                  <c:v>15825</c:v>
                </c:pt>
                <c:pt idx="4">
                  <c:v>12057</c:v>
                </c:pt>
                <c:pt idx="5">
                  <c:v>1578</c:v>
                </c:pt>
                <c:pt idx="6">
                  <c:v>6903</c:v>
                </c:pt>
                <c:pt idx="7">
                  <c:v>6326</c:v>
                </c:pt>
                <c:pt idx="8">
                  <c:v>17347</c:v>
                </c:pt>
                <c:pt idx="9">
                  <c:v>31655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E-436B-94E4-3BF25F85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6"/>
        <c:overlap val="-100"/>
        <c:axId val="1330255592"/>
        <c:axId val="1330252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'LOS Schedule'!$B$63</c15:sqref>
                        </c15:formulaRef>
                      </c:ext>
                    </c:extLst>
                    <c:strCache>
                      <c:ptCount val="1"/>
                      <c:pt idx="0">
                        <c:v>Targeted replacement cycle without adjustment</c:v>
                      </c:pt>
                    </c:strCache>
                  </c:strRef>
                </c:tx>
                <c:spPr>
                  <a:solidFill>
                    <a:srgbClr val="00B0F0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0,00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'LOS Schedule'!$D$51:$N$51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  <c:pt idx="6">
                        <c:v>2031</c:v>
                      </c:pt>
                      <c:pt idx="7">
                        <c:v>2032</c:v>
                      </c:pt>
                      <c:pt idx="8">
                        <c:v>2033</c:v>
                      </c:pt>
                      <c:pt idx="9">
                        <c:v>2034</c:v>
                      </c:pt>
                      <c:pt idx="10">
                        <c:v>2035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'LOS Schedule'!$D$63:$M$63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39625</c:v>
                      </c:pt>
                      <c:pt idx="1">
                        <c:v>4246</c:v>
                      </c:pt>
                      <c:pt idx="2">
                        <c:v>7938</c:v>
                      </c:pt>
                      <c:pt idx="3">
                        <c:v>15825</c:v>
                      </c:pt>
                      <c:pt idx="4">
                        <c:v>12057</c:v>
                      </c:pt>
                      <c:pt idx="5">
                        <c:v>1578</c:v>
                      </c:pt>
                      <c:pt idx="6">
                        <c:v>6903</c:v>
                      </c:pt>
                      <c:pt idx="7">
                        <c:v>6326</c:v>
                      </c:pt>
                      <c:pt idx="8">
                        <c:v>17347</c:v>
                      </c:pt>
                      <c:pt idx="9">
                        <c:v>31655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D7E-436B-94E4-3BF25F85E5C7}"/>
                  </c:ext>
                </c:extLst>
              </c15:ser>
            </c15:filteredBarSeries>
          </c:ext>
        </c:extLst>
      </c:barChart>
      <c:catAx>
        <c:axId val="133025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252352"/>
        <c:crosses val="autoZero"/>
        <c:auto val="1"/>
        <c:lblAlgn val="ctr"/>
        <c:lblOffset val="100"/>
        <c:noMultiLvlLbl val="0"/>
      </c:catAx>
      <c:valAx>
        <c:axId val="1330252352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133025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128966</xdr:colOff>
      <xdr:row>0</xdr:row>
      <xdr:rowOff>109764</xdr:rowOff>
    </xdr:from>
    <xdr:to>
      <xdr:col>13</xdr:col>
      <xdr:colOff>842282</xdr:colOff>
      <xdr:row>1</xdr:row>
      <xdr:rowOff>212422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8EB06E06-65B6-EAEE-F7F7-0CFCEA4AF031}"/>
            </a:ext>
          </a:extLst>
        </xdr:cNvPr>
        <xdr:cNvSpPr txBox="1"/>
      </xdr:nvSpPr>
      <xdr:spPr>
        <a:xfrm>
          <a:off x="14702216" y="109764"/>
          <a:ext cx="4751916" cy="293158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Iterative</a:t>
          </a:r>
          <a:r>
            <a:rPr lang="en-US" sz="1100" baseline="0"/>
            <a:t> calculation must be enabled.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653912</xdr:colOff>
      <xdr:row>194</xdr:row>
      <xdr:rowOff>128807</xdr:rowOff>
    </xdr:from>
    <xdr:to>
      <xdr:col>15</xdr:col>
      <xdr:colOff>1142101</xdr:colOff>
      <xdr:row>230</xdr:row>
      <xdr:rowOff>112934</xdr:rowOff>
    </xdr:to>
    <xdr:graphicFrame macro="">
      <xdr:nvGraphicFramePr>
        <xdr:cNvPr id="7" name="Chart 23">
          <a:extLst>
            <a:ext uri="{FF2B5EF4-FFF2-40B4-BE49-F238E27FC236}">
              <a16:creationId xmlns:a16="http://schemas.microsoft.com/office/drawing/2014/main" id="{B23F2563-8BEB-54EC-4F1E-E01E46EA2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613253</xdr:colOff>
      <xdr:row>157</xdr:row>
      <xdr:rowOff>121213</xdr:rowOff>
    </xdr:from>
    <xdr:to>
      <xdr:col>14</xdr:col>
      <xdr:colOff>528754</xdr:colOff>
      <xdr:row>193</xdr:row>
      <xdr:rowOff>105340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52292F2A-4B4C-4DF3-97AB-C08C7825E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557124</xdr:colOff>
      <xdr:row>94</xdr:row>
      <xdr:rowOff>1</xdr:rowOff>
    </xdr:from>
    <xdr:to>
      <xdr:col>12</xdr:col>
      <xdr:colOff>342744</xdr:colOff>
      <xdr:row>124</xdr:row>
      <xdr:rowOff>150980</xdr:rowOff>
    </xdr:to>
    <xdr:graphicFrame macro="">
      <xdr:nvGraphicFramePr>
        <xdr:cNvPr id="10" name="Chart 27">
          <a:extLst>
            <a:ext uri="{FF2B5EF4-FFF2-40B4-BE49-F238E27FC236}">
              <a16:creationId xmlns:a16="http://schemas.microsoft.com/office/drawing/2014/main" id="{C0318EA9-13A2-4CDB-940B-4FFEFEAFE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616781</xdr:colOff>
      <xdr:row>126</xdr:row>
      <xdr:rowOff>36972</xdr:rowOff>
    </xdr:from>
    <xdr:to>
      <xdr:col>14</xdr:col>
      <xdr:colOff>755324</xdr:colOff>
      <xdr:row>156</xdr:row>
      <xdr:rowOff>6868</xdr:rowOff>
    </xdr:to>
    <xdr:graphicFrame macro="">
      <xdr:nvGraphicFramePr>
        <xdr:cNvPr id="3" name="Chart 27">
          <a:extLst>
            <a:ext uri="{FF2B5EF4-FFF2-40B4-BE49-F238E27FC236}">
              <a16:creationId xmlns:a16="http://schemas.microsoft.com/office/drawing/2014/main" id="{294EBE7C-E790-4B31-B986-1BA432065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480892</xdr:colOff>
      <xdr:row>194</xdr:row>
      <xdr:rowOff>169232</xdr:rowOff>
    </xdr:from>
    <xdr:to>
      <xdr:col>28</xdr:col>
      <xdr:colOff>71887</xdr:colOff>
      <xdr:row>230</xdr:row>
      <xdr:rowOff>107831</xdr:rowOff>
    </xdr:to>
    <xdr:graphicFrame macro="">
      <xdr:nvGraphicFramePr>
        <xdr:cNvPr id="15" name="Chart 7">
          <a:extLst>
            <a:ext uri="{FF2B5EF4-FFF2-40B4-BE49-F238E27FC236}">
              <a16:creationId xmlns:a16="http://schemas.microsoft.com/office/drawing/2014/main" id="{0CCDA37B-CB4B-057C-88EC-198AF08E2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1035728</xdr:colOff>
      <xdr:row>158</xdr:row>
      <xdr:rowOff>4942</xdr:rowOff>
    </xdr:from>
    <xdr:to>
      <xdr:col>24</xdr:col>
      <xdr:colOff>790753</xdr:colOff>
      <xdr:row>193</xdr:row>
      <xdr:rowOff>125802</xdr:rowOff>
    </xdr:to>
    <xdr:graphicFrame macro="">
      <xdr:nvGraphicFramePr>
        <xdr:cNvPr id="21" name="Chart 10">
          <a:extLst>
            <a:ext uri="{FF2B5EF4-FFF2-40B4-BE49-F238E27FC236}">
              <a16:creationId xmlns:a16="http://schemas.microsoft.com/office/drawing/2014/main" id="{8B71EF23-444A-522C-2005-B9D05476B1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94</xdr:row>
      <xdr:rowOff>0</xdr:rowOff>
    </xdr:from>
    <xdr:to>
      <xdr:col>20</xdr:col>
      <xdr:colOff>630964</xdr:colOff>
      <xdr:row>124</xdr:row>
      <xdr:rowOff>150979</xdr:rowOff>
    </xdr:to>
    <xdr:graphicFrame macro="">
      <xdr:nvGraphicFramePr>
        <xdr:cNvPr id="22" name="Chart 27">
          <a:extLst>
            <a:ext uri="{FF2B5EF4-FFF2-40B4-BE49-F238E27FC236}">
              <a16:creationId xmlns:a16="http://schemas.microsoft.com/office/drawing/2014/main" id="{887BC1A2-779A-4973-9257-865813ECE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126</xdr:row>
      <xdr:rowOff>0</xdr:rowOff>
    </xdr:from>
    <xdr:to>
      <xdr:col>24</xdr:col>
      <xdr:colOff>1055325</xdr:colOff>
      <xdr:row>155</xdr:row>
      <xdr:rowOff>160396</xdr:rowOff>
    </xdr:to>
    <xdr:graphicFrame macro="">
      <xdr:nvGraphicFramePr>
        <xdr:cNvPr id="23" name="Chart 27">
          <a:extLst>
            <a:ext uri="{FF2B5EF4-FFF2-40B4-BE49-F238E27FC236}">
              <a16:creationId xmlns:a16="http://schemas.microsoft.com/office/drawing/2014/main" id="{CAB736EC-C03B-40B8-9434-04360C238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70756</xdr:colOff>
      <xdr:row>48</xdr:row>
      <xdr:rowOff>7559</xdr:rowOff>
    </xdr:from>
    <xdr:to>
      <xdr:col>17</xdr:col>
      <xdr:colOff>567872</xdr:colOff>
      <xdr:row>63</xdr:row>
      <xdr:rowOff>78166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A442C4-08C9-F1D3-2244-1D6AE8316B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96155</xdr:colOff>
      <xdr:row>64</xdr:row>
      <xdr:rowOff>75670</xdr:rowOff>
    </xdr:from>
    <xdr:to>
      <xdr:col>17</xdr:col>
      <xdr:colOff>365125</xdr:colOff>
      <xdr:row>93</xdr:row>
      <xdr:rowOff>32808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03BB5F5-7DB0-9359-6963-479143667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583406</xdr:colOff>
      <xdr:row>31</xdr:row>
      <xdr:rowOff>152399</xdr:rowOff>
    </xdr:from>
    <xdr:to>
      <xdr:col>11</xdr:col>
      <xdr:colOff>416719</xdr:colOff>
      <xdr:row>52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CE21D7-0FA5-796E-5F8C-03487B6F01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544286</xdr:colOff>
      <xdr:row>54</xdr:row>
      <xdr:rowOff>163286</xdr:rowOff>
    </xdr:from>
    <xdr:to>
      <xdr:col>15</xdr:col>
      <xdr:colOff>857250</xdr:colOff>
      <xdr:row>57</xdr:row>
      <xdr:rowOff>68036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F4DB05-D1AD-4857-5514-7959D31325A1}"/>
            </a:ext>
          </a:extLst>
        </xdr:cNvPr>
        <xdr:cNvSpPr txBox="1"/>
      </xdr:nvSpPr>
      <xdr:spPr>
        <a:xfrm>
          <a:off x="8844643" y="17784536"/>
          <a:ext cx="8640536" cy="47625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WARNING:</a:t>
          </a:r>
          <a:r>
            <a:rPr lang="en-US" sz="1600" baseline="0"/>
            <a:t> do not paste any grand total rows or columns below.  This can cause significant errors.</a:t>
          </a:r>
          <a:endParaRPr lang="en-US" sz="16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54</xdr:row>
      <xdr:rowOff>0</xdr:rowOff>
    </xdr:from>
    <xdr:to>
      <xdr:col>13</xdr:col>
      <xdr:colOff>639536</xdr:colOff>
      <xdr:row>56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1E2596-D112-4A0C-8ACC-17D5B77FDE69}"/>
            </a:ext>
          </a:extLst>
        </xdr:cNvPr>
        <xdr:cNvSpPr txBox="1"/>
      </xdr:nvSpPr>
      <xdr:spPr>
        <a:xfrm>
          <a:off x="8366125" y="18335625"/>
          <a:ext cx="8640536" cy="47625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WARNING:</a:t>
          </a:r>
          <a:r>
            <a:rPr lang="en-US" sz="1600" baseline="0"/>
            <a:t> do not paste any grand total rows or columns below.  This can cause significant errors.</a:t>
          </a:r>
          <a:endParaRPr lang="en-US" sz="1600"/>
        </a:p>
      </xdr:txBody>
    </xdr:sp>
    <xdr:clientData/>
  </xdr:twoCellAnchor>
  <xdr:twoCellAnchor>
    <xdr:from>
      <xdr:col>6</xdr:col>
      <xdr:colOff>0</xdr:colOff>
      <xdr:row>54</xdr:row>
      <xdr:rowOff>0</xdr:rowOff>
    </xdr:from>
    <xdr:to>
      <xdr:col>14</xdr:col>
      <xdr:colOff>54429</xdr:colOff>
      <xdr:row>56</xdr:row>
      <xdr:rowOff>91440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065B78-860C-44A5-B233-E3BD43C7C3B0}"/>
            </a:ext>
          </a:extLst>
        </xdr:cNvPr>
        <xdr:cNvSpPr txBox="1"/>
      </xdr:nvSpPr>
      <xdr:spPr>
        <a:xfrm>
          <a:off x="8871857" y="11361964"/>
          <a:ext cx="8545286" cy="47244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WARNING:</a:t>
          </a:r>
          <a:r>
            <a:rPr lang="en-US" sz="1600" baseline="0"/>
            <a:t> do not paste any grand total rows or columns below.  This can cause significant errors.</a:t>
          </a:r>
          <a:endParaRPr lang="en-US" sz="16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218282</xdr:colOff>
      <xdr:row>50</xdr:row>
      <xdr:rowOff>166687</xdr:rowOff>
    </xdr:from>
    <xdr:to>
      <xdr:col>26</xdr:col>
      <xdr:colOff>107157</xdr:colOff>
      <xdr:row>69</xdr:row>
      <xdr:rowOff>63500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DB85F2C-5197-BE3F-535F-BC864C76F3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333375</xdr:colOff>
      <xdr:row>71</xdr:row>
      <xdr:rowOff>31750</xdr:rowOff>
    </xdr:from>
    <xdr:to>
      <xdr:col>26</xdr:col>
      <xdr:colOff>222250</xdr:colOff>
      <xdr:row>90</xdr:row>
      <xdr:rowOff>87313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96317A-5B1F-47AF-9E43-CB6AE9CE2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371474</xdr:colOff>
      <xdr:row>2</xdr:row>
      <xdr:rowOff>84030</xdr:rowOff>
    </xdr:from>
    <xdr:to>
      <xdr:col>13</xdr:col>
      <xdr:colOff>522911</xdr:colOff>
      <xdr:row>21</xdr:row>
      <xdr:rowOff>123200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4449DC-6B2A-4256-BDD1-BF80A3189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49" y="465030"/>
          <a:ext cx="5637837" cy="365867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lissa L Schwarzell" refreshedDate="45740.384622106481" createdVersion="8" refreshedVersion="8" minRefreshableVersion="3" recordCount="278" xr:uid="{B8342543-E93B-4663-8943-07459ED6B241}">
  <cacheSource type="worksheet">
    <worksheetSource ref="A5:S995" sheet="Data-Meters"/>
  </cacheSource>
  <cacheFields count="19">
    <cacheField name="Oper System Status" numFmtId="0">
      <sharedItems containsBlank="1"/>
    </cacheField>
    <cacheField name="Function Class/Meter" numFmtId="0">
      <sharedItems containsBlank="1" count="5">
        <s v="5/8&quot; Water Meter Size"/>
        <s v="2&quot; Water Meter Size"/>
        <s v="1-1/2&quot; Water Meter Size"/>
        <s v="1&quot; Water Meter Size"/>
        <m/>
      </sharedItems>
    </cacheField>
    <cacheField name="Company code" numFmtId="0">
      <sharedItems containsBlank="1"/>
    </cacheField>
    <cacheField name="Manufacturer" numFmtId="0">
      <sharedItems containsBlank="1"/>
    </cacheField>
    <cacheField name="Location" numFmtId="0">
      <sharedItems containsBlank="1" count="7">
        <s v="Inside"/>
        <s v="Outside"/>
        <m/>
        <s v="Inisde" u="1"/>
        <s v="Unknown" u="1"/>
        <s v="Inside - Appointment Required" u="1"/>
        <s v="Outside - Appointment not Required" u="1"/>
      </sharedItems>
    </cacheField>
    <cacheField name="Endpoint" numFmtId="0">
      <sharedItems containsBlank="1"/>
    </cacheField>
    <cacheField name="MR Device End Pt Ty1" numFmtId="0">
      <sharedItems containsBlank="1"/>
    </cacheField>
    <cacheField name="Certification Year" numFmtId="0">
      <sharedItems containsString="0" containsBlank="1" containsNumber="1" containsInteger="1" minValue="2008" maxValue="2025"/>
    </cacheField>
    <cacheField name="Cal Val" numFmtId="0">
      <sharedItems containsString="0" containsBlank="1" containsNumber="1" containsInteger="1" minValue="4" maxValue="15"/>
    </cacheField>
    <cacheField name="Number of Records" numFmtId="0">
      <sharedItems containsString="0" containsBlank="1" containsNumber="1" containsInteger="1" minValue="0" maxValue="22808"/>
    </cacheField>
    <cacheField name="Anticipated Year of Replacement" numFmtId="0">
      <sharedItems containsString="0" containsBlank="1" containsNumber="1" containsInteger="1" minValue="2018" maxValue="2038"/>
    </cacheField>
    <cacheField name="LOS Group" numFmtId="0">
      <sharedItems containsString="0" containsBlank="1" containsNumber="1" containsInteger="1" minValue="2025" maxValue="2038"/>
    </cacheField>
    <cacheField name="State-LOS Year" numFmtId="0">
      <sharedItems containsBlank="1"/>
    </cacheField>
    <cacheField name="Already AMI (Y/N)" numFmtId="0">
      <sharedItems containsBlank="1"/>
    </cacheField>
    <cacheField name="AMI Year of Replacement(LOS)" numFmtId="0">
      <sharedItems containsString="0" containsBlank="1" containsNumber="1" containsInteger="1" minValue="2023" maxValue="2038" count="17">
        <n v="2028"/>
        <n v="2026"/>
        <n v="2027"/>
        <n v="2030"/>
        <n v="2031"/>
        <n v="2032"/>
        <n v="2033"/>
        <n v="2034"/>
        <n v="2029"/>
        <n v="2038"/>
        <n v="2025"/>
        <m/>
        <n v="2035" u="1"/>
        <n v="2024" u="1"/>
        <n v="2023" u="1"/>
        <n v="2036" u="1"/>
        <n v="2037" u="1"/>
      </sharedItems>
    </cacheField>
    <cacheField name="Calibration Limit" numFmtId="0">
      <sharedItems containsString="0" containsBlank="1" containsNumber="1" containsInteger="1" minValue="4" maxValue="2025"/>
    </cacheField>
    <cacheField name="Endpoint Type" numFmtId="0">
      <sharedItems containsBlank="1" count="4">
        <s v="Manual"/>
        <s v="AMR"/>
        <s v="AMI"/>
        <m/>
      </sharedItems>
    </cacheField>
    <cacheField name="Type of Replacement LOS" numFmtId="0">
      <sharedItems containsBlank="1" count="3">
        <s v="Meter &amp; Endpoint"/>
        <s v="Endpoint Only"/>
        <m/>
      </sharedItems>
    </cacheField>
    <cacheField name="C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lissa L Schwarzell" refreshedDate="45742.386013078707" createdVersion="8" refreshedVersion="8" minRefreshableVersion="3" recordCount="278" xr:uid="{809F30BD-BEA3-417A-89D1-0FF26E56AE6C}">
  <cacheSource type="worksheet">
    <worksheetSource ref="A5:U495" sheet="Data-Meters"/>
  </cacheSource>
  <cacheFields count="21">
    <cacheField name="Oper System Status" numFmtId="0">
      <sharedItems containsBlank="1"/>
    </cacheField>
    <cacheField name="Function Class/Meter" numFmtId="0">
      <sharedItems containsBlank="1"/>
    </cacheField>
    <cacheField name="Company code" numFmtId="0">
      <sharedItems containsBlank="1"/>
    </cacheField>
    <cacheField name="Manufacturer" numFmtId="0">
      <sharedItems containsBlank="1"/>
    </cacheField>
    <cacheField name="Location" numFmtId="0">
      <sharedItems containsBlank="1" count="5">
        <s v="Inside"/>
        <s v="Outside"/>
        <m/>
        <s v="Inisde" u="1"/>
        <s v="Unknown" u="1"/>
      </sharedItems>
    </cacheField>
    <cacheField name="Endpoint" numFmtId="0">
      <sharedItems containsBlank="1"/>
    </cacheField>
    <cacheField name="MR Device End Pt Ty1" numFmtId="0">
      <sharedItems containsBlank="1"/>
    </cacheField>
    <cacheField name="Certification Year" numFmtId="0">
      <sharedItems containsString="0" containsBlank="1" containsNumber="1" containsInteger="1" minValue="2008" maxValue="2025"/>
    </cacheField>
    <cacheField name="Cal Val" numFmtId="0">
      <sharedItems containsString="0" containsBlank="1" containsNumber="1" containsInteger="1" minValue="4" maxValue="15"/>
    </cacheField>
    <cacheField name="Number of Records" numFmtId="0">
      <sharedItems containsString="0" containsBlank="1" containsNumber="1" containsInteger="1" minValue="0" maxValue="22808"/>
    </cacheField>
    <cacheField name="Anticipated Year of Replacement" numFmtId="0">
      <sharedItems containsString="0" containsBlank="1" containsNumber="1" containsInteger="1" minValue="2018" maxValue="2038"/>
    </cacheField>
    <cacheField name="LOS Group" numFmtId="0">
      <sharedItems containsString="0" containsBlank="1" containsNumber="1" containsInteger="1" minValue="2025" maxValue="2038"/>
    </cacheField>
    <cacheField name="State-LOS Year" numFmtId="0">
      <sharedItems containsBlank="1"/>
    </cacheField>
    <cacheField name="Already AMI (Y/N)" numFmtId="0">
      <sharedItems containsBlank="1"/>
    </cacheField>
    <cacheField name="AMI Year of Replacement(LOS)" numFmtId="0">
      <sharedItems containsString="0" containsBlank="1" containsNumber="1" containsInteger="1" minValue="2023" maxValue="2038" count="17">
        <n v="2028"/>
        <n v="2026"/>
        <n v="2027"/>
        <n v="2030"/>
        <n v="2031"/>
        <n v="2032"/>
        <n v="2033"/>
        <n v="2034"/>
        <n v="2029"/>
        <n v="2038"/>
        <n v="2025"/>
        <m/>
        <n v="2035" u="1"/>
        <n v="2024" u="1"/>
        <n v="2023" u="1"/>
        <n v="2036" u="1"/>
        <n v="2037" u="1"/>
      </sharedItems>
    </cacheField>
    <cacheField name="Calibration Limit" numFmtId="0">
      <sharedItems containsString="0" containsBlank="1" containsNumber="1" containsInteger="1" minValue="4" maxValue="2025"/>
    </cacheField>
    <cacheField name="Endpoint Type" numFmtId="0">
      <sharedItems containsBlank="1" count="4">
        <s v="Manual"/>
        <s v="AMR"/>
        <s v="AMI"/>
        <m/>
      </sharedItems>
    </cacheField>
    <cacheField name="Type of Replacement LOS" numFmtId="0">
      <sharedItems containsBlank="1" count="3">
        <s v="Meter &amp; Endpoint"/>
        <s v="Endpoint Only"/>
        <m/>
      </sharedItems>
    </cacheField>
    <cacheField name="Co" numFmtId="0">
      <sharedItems containsBlank="1"/>
    </cacheField>
    <cacheField name="Alternate Year of Replacement (10 vs. 15)" numFmtId="0">
      <sharedItems containsString="0" containsBlank="1" containsNumber="1" containsInteger="1" minValue="2023" maxValue="2034" count="13">
        <n v="2028"/>
        <n v="2026"/>
        <n v="2027"/>
        <n v="2030"/>
        <n v="2031"/>
        <n v="2032"/>
        <n v="2033"/>
        <n v="2034"/>
        <n v="2029"/>
        <n v="2025"/>
        <m/>
        <n v="2024" u="1"/>
        <n v="2023" u="1"/>
      </sharedItems>
    </cacheField>
    <cacheField name="Alternate age at replacement" numFmtId="0">
      <sharedItems containsBlank="1" containsMixedTypes="1" containsNumber="1" containsInteger="1" minValue="4" maxValue="20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lissa L Schwarzell" refreshedDate="45742.44606736111" createdVersion="8" refreshedVersion="8" minRefreshableVersion="3" recordCount="278" xr:uid="{3A7627C7-27A4-4ACF-8351-5D7F92C2B202}">
  <cacheSource type="worksheet">
    <worksheetSource ref="A5:U995" sheet="Data-Meters"/>
  </cacheSource>
  <cacheFields count="21">
    <cacheField name="Oper System Status" numFmtId="0">
      <sharedItems containsBlank="1"/>
    </cacheField>
    <cacheField name="Function Class/Meter" numFmtId="0">
      <sharedItems containsBlank="1"/>
    </cacheField>
    <cacheField name="Company code" numFmtId="0">
      <sharedItems containsBlank="1"/>
    </cacheField>
    <cacheField name="Manufacturer" numFmtId="0">
      <sharedItems containsBlank="1"/>
    </cacheField>
    <cacheField name="Location" numFmtId="0">
      <sharedItems containsBlank="1" count="7">
        <s v="Inside"/>
        <s v="Outside"/>
        <m/>
        <s v="Inisde" u="1"/>
        <s v="Unknown" u="1"/>
        <s v="Inside - Appointment Required" u="1"/>
        <s v="Outside - Appointment not Required" u="1"/>
      </sharedItems>
    </cacheField>
    <cacheField name="Endpoint" numFmtId="0">
      <sharedItems containsBlank="1" count="10">
        <m/>
        <s v="Badger - ME - RF - AMR"/>
        <s v="Neptune - RF - AMR"/>
        <s v="Badger - ATT Cellular - AMI"/>
        <s v="Mueller - RF - AMR"/>
        <s v="Neptune - RF-AMI-Fixed Network"/>
        <s v="Badger - VZN Cellular - AMI"/>
        <s v="blank"/>
        <s v="Badger - LTE-M Cellular - AMI" u="1"/>
        <s v="Badger - LTE-MS Cellular - AMI" u="1"/>
      </sharedItems>
    </cacheField>
    <cacheField name="MR Device End Pt Ty1" numFmtId="0">
      <sharedItems containsBlank="1"/>
    </cacheField>
    <cacheField name="Certification Year" numFmtId="0">
      <sharedItems containsString="0" containsBlank="1" containsNumber="1" containsInteger="1" minValue="2008" maxValue="2025"/>
    </cacheField>
    <cacheField name="Cal Val" numFmtId="0">
      <sharedItems containsString="0" containsBlank="1" containsNumber="1" containsInteger="1" minValue="4" maxValue="15"/>
    </cacheField>
    <cacheField name="Number of Records" numFmtId="0">
      <sharedItems containsString="0" containsBlank="1" containsNumber="1" containsInteger="1" minValue="0" maxValue="22808"/>
    </cacheField>
    <cacheField name="Anticipated Year of Replacement" numFmtId="0">
      <sharedItems containsString="0" containsBlank="1" containsNumber="1" containsInteger="1" minValue="2018" maxValue="2038"/>
    </cacheField>
    <cacheField name="LOS Group" numFmtId="0">
      <sharedItems containsString="0" containsBlank="1" containsNumber="1" containsInteger="1" minValue="2025" maxValue="2038"/>
    </cacheField>
    <cacheField name="State-LOS Year" numFmtId="0">
      <sharedItems containsBlank="1"/>
    </cacheField>
    <cacheField name="Already AMI (Y/N)" numFmtId="0">
      <sharedItems containsBlank="1"/>
    </cacheField>
    <cacheField name="AMI Year of Replacement(LOS)" numFmtId="0">
      <sharedItems containsString="0" containsBlank="1" containsNumber="1" containsInteger="1" minValue="2023" maxValue="2038" count="17">
        <n v="2028"/>
        <n v="2026"/>
        <n v="2027"/>
        <n v="2030"/>
        <n v="2031"/>
        <n v="2032"/>
        <n v="2033"/>
        <n v="2034"/>
        <n v="2029"/>
        <n v="2038"/>
        <n v="2025"/>
        <m/>
        <n v="2035" u="1"/>
        <n v="2024" u="1"/>
        <n v="2023" u="1"/>
        <n v="2036" u="1"/>
        <n v="2037" u="1"/>
      </sharedItems>
    </cacheField>
    <cacheField name="Calibration Limit" numFmtId="0">
      <sharedItems containsString="0" containsBlank="1" containsNumber="1" containsInteger="1" minValue="4" maxValue="2025"/>
    </cacheField>
    <cacheField name="Endpoint Type" numFmtId="0">
      <sharedItems containsBlank="1" count="4">
        <s v="Manual"/>
        <s v="AMR"/>
        <s v="AMI"/>
        <m/>
      </sharedItems>
    </cacheField>
    <cacheField name="Type of Replacement LOS" numFmtId="0">
      <sharedItems containsBlank="1" count="3">
        <s v="Meter &amp; Endpoint"/>
        <s v="Endpoint Only"/>
        <m/>
      </sharedItems>
    </cacheField>
    <cacheField name="Co" numFmtId="0">
      <sharedItems containsBlank="1" count="3">
        <s v="KY"/>
        <s v="Kentucky-American Water"/>
        <m/>
      </sharedItems>
    </cacheField>
    <cacheField name="Alternate Year of Replacement (10 vs. 15)" numFmtId="0">
      <sharedItems containsString="0" containsBlank="1" containsNumber="1" containsInteger="1" minValue="2023" maxValue="2034" count="13">
        <n v="2028"/>
        <n v="2026"/>
        <n v="2027"/>
        <n v="2030"/>
        <n v="2031"/>
        <n v="2032"/>
        <n v="2033"/>
        <n v="2034"/>
        <n v="2029"/>
        <n v="2025"/>
        <m/>
        <n v="2024" u="1"/>
        <n v="2023" u="1"/>
      </sharedItems>
    </cacheField>
    <cacheField name="Alternate age at replacement" numFmtId="0">
      <sharedItems containsBlank="1" containsMixedTypes="1" containsNumber="1" containsInteger="1" minValue="4" maxValue="20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">
  <r>
    <s v="INST"/>
    <x v="0"/>
    <s v="KY"/>
    <s v="Badger"/>
    <x v="0"/>
    <m/>
    <s v="Manual"/>
    <n v="2018"/>
    <n v="10"/>
    <n v="2"/>
    <n v="2028"/>
    <n v="2028"/>
    <s v="KY 2028"/>
    <s v="N"/>
    <x v="0"/>
    <n v="10"/>
    <x v="0"/>
    <x v="0"/>
    <s v="KY"/>
  </r>
  <r>
    <s v="INST"/>
    <x v="0"/>
    <s v="KY"/>
    <s v="Badger"/>
    <x v="1"/>
    <m/>
    <s v="Manual"/>
    <n v="2016"/>
    <n v="10"/>
    <n v="1"/>
    <n v="2026"/>
    <n v="2026"/>
    <s v="KY 2026"/>
    <s v="N"/>
    <x v="1"/>
    <n v="10"/>
    <x v="0"/>
    <x v="0"/>
    <s v="KY"/>
  </r>
  <r>
    <s v="INST"/>
    <x v="0"/>
    <s v="KY"/>
    <s v="Badger"/>
    <x v="1"/>
    <m/>
    <s v="Manual"/>
    <n v="2017"/>
    <n v="10"/>
    <n v="2"/>
    <n v="2027"/>
    <n v="2027"/>
    <s v="KY 2027"/>
    <s v="N"/>
    <x v="2"/>
    <n v="10"/>
    <x v="0"/>
    <x v="0"/>
    <s v="KY"/>
  </r>
  <r>
    <s v="INST"/>
    <x v="0"/>
    <s v="KY"/>
    <s v="Badger"/>
    <x v="1"/>
    <m/>
    <s v="Manual"/>
    <n v="2018"/>
    <n v="10"/>
    <n v="9"/>
    <n v="2028"/>
    <n v="2028"/>
    <s v="KY 2028"/>
    <s v="N"/>
    <x v="0"/>
    <n v="10"/>
    <x v="0"/>
    <x v="0"/>
    <s v="KY"/>
  </r>
  <r>
    <s v="INST"/>
    <x v="0"/>
    <s v="KY"/>
    <s v="Badger"/>
    <x v="1"/>
    <m/>
    <s v="Manual"/>
    <n v="2020"/>
    <n v="10"/>
    <n v="1"/>
    <n v="2030"/>
    <n v="2030"/>
    <s v="KY 2030"/>
    <s v="N"/>
    <x v="3"/>
    <n v="10"/>
    <x v="0"/>
    <x v="0"/>
    <s v="KY"/>
  </r>
  <r>
    <s v="INST"/>
    <x v="0"/>
    <s v="KY"/>
    <s v="Badger"/>
    <x v="1"/>
    <m/>
    <s v="Manual"/>
    <n v="2021"/>
    <n v="10"/>
    <n v="4"/>
    <n v="2031"/>
    <n v="2031"/>
    <s v="KY 2031"/>
    <s v="N"/>
    <x v="4"/>
    <n v="10"/>
    <x v="0"/>
    <x v="0"/>
    <s v="KY"/>
  </r>
  <r>
    <s v="INST"/>
    <x v="0"/>
    <s v="KY"/>
    <s v="Badger"/>
    <x v="1"/>
    <m/>
    <s v="Manual"/>
    <n v="2022"/>
    <n v="10"/>
    <n v="4"/>
    <n v="2032"/>
    <n v="2032"/>
    <s v="KY 2032"/>
    <s v="N"/>
    <x v="5"/>
    <n v="10"/>
    <x v="0"/>
    <x v="0"/>
    <s v="KY"/>
  </r>
  <r>
    <s v="INST"/>
    <x v="0"/>
    <s v="KY"/>
    <s v="Badger"/>
    <x v="1"/>
    <m/>
    <s v="Manual"/>
    <n v="2023"/>
    <n v="10"/>
    <n v="1"/>
    <n v="2033"/>
    <n v="2033"/>
    <s v="KY 2033"/>
    <s v="N"/>
    <x v="6"/>
    <n v="10"/>
    <x v="0"/>
    <x v="0"/>
    <s v="KY"/>
  </r>
  <r>
    <s v="INST"/>
    <x v="0"/>
    <s v="KY"/>
    <s v="Badger"/>
    <x v="1"/>
    <m/>
    <s v="Manual"/>
    <n v="2024"/>
    <n v="10"/>
    <n v="4"/>
    <n v="2034"/>
    <n v="2034"/>
    <s v="KY 2034"/>
    <s v="N"/>
    <x v="7"/>
    <n v="10"/>
    <x v="0"/>
    <x v="0"/>
    <s v="KY"/>
  </r>
  <r>
    <s v="INST"/>
    <x v="0"/>
    <s v="KY"/>
    <s v="Badger"/>
    <x v="1"/>
    <s v="Badger - ME - RF - AMR"/>
    <s v="AMR"/>
    <n v="2024"/>
    <n v="10"/>
    <n v="1"/>
    <n v="2034"/>
    <n v="2034"/>
    <s v="KY 2034"/>
    <s v="N"/>
    <x v="7"/>
    <n v="10"/>
    <x v="1"/>
    <x v="0"/>
    <s v="KY"/>
  </r>
  <r>
    <s v="INST"/>
    <x v="0"/>
    <s v="KY"/>
    <s v="Badger"/>
    <x v="0"/>
    <s v="Neptune - RF - AMR"/>
    <s v="AMR"/>
    <n v="2021"/>
    <n v="10"/>
    <n v="1"/>
    <n v="2031"/>
    <n v="2031"/>
    <s v="KY 2031"/>
    <s v="N"/>
    <x v="4"/>
    <n v="10"/>
    <x v="1"/>
    <x v="0"/>
    <s v="KY"/>
  </r>
  <r>
    <s v="INST"/>
    <x v="0"/>
    <s v="KY"/>
    <s v="Badger"/>
    <x v="0"/>
    <s v="Neptune - RF - AMR"/>
    <s v="AMR"/>
    <n v="2023"/>
    <n v="10"/>
    <n v="1"/>
    <n v="2033"/>
    <n v="2033"/>
    <s v="KY 2033"/>
    <s v="N"/>
    <x v="6"/>
    <n v="10"/>
    <x v="1"/>
    <x v="0"/>
    <s v="KY"/>
  </r>
  <r>
    <s v="INST"/>
    <x v="0"/>
    <s v="KY"/>
    <s v="Badger"/>
    <x v="1"/>
    <s v="Neptune - RF - AMR"/>
    <s v="AMR"/>
    <n v="2016"/>
    <n v="10"/>
    <n v="1"/>
    <n v="2026"/>
    <n v="2026"/>
    <s v="KY 2026"/>
    <s v="N"/>
    <x v="1"/>
    <n v="10"/>
    <x v="1"/>
    <x v="0"/>
    <s v="KY"/>
  </r>
  <r>
    <s v="INST"/>
    <x v="0"/>
    <s v="KY"/>
    <s v="Badger"/>
    <x v="1"/>
    <s v="Neptune - RF - AMR"/>
    <s v="AMR"/>
    <n v="2018"/>
    <n v="10"/>
    <n v="1"/>
    <n v="2028"/>
    <n v="2028"/>
    <s v="KY 2028"/>
    <s v="N"/>
    <x v="0"/>
    <n v="10"/>
    <x v="1"/>
    <x v="0"/>
    <s v="KY"/>
  </r>
  <r>
    <s v="INST"/>
    <x v="0"/>
    <s v="KY"/>
    <s v="Badger"/>
    <x v="1"/>
    <s v="Neptune - RF - AMR"/>
    <s v="AMR"/>
    <n v="2022"/>
    <n v="10"/>
    <n v="1"/>
    <n v="2032"/>
    <n v="2032"/>
    <s v="KY 2032"/>
    <s v="N"/>
    <x v="5"/>
    <n v="10"/>
    <x v="1"/>
    <x v="0"/>
    <s v="KY"/>
  </r>
  <r>
    <s v="INST"/>
    <x v="0"/>
    <s v="KY"/>
    <s v="Badger"/>
    <x v="1"/>
    <s v="Neptune - RF - AMR"/>
    <s v="AMR"/>
    <n v="2023"/>
    <n v="10"/>
    <n v="6"/>
    <n v="2033"/>
    <n v="2033"/>
    <s v="KY 2033"/>
    <s v="N"/>
    <x v="6"/>
    <n v="10"/>
    <x v="1"/>
    <x v="0"/>
    <s v="KY"/>
  </r>
  <r>
    <s v="INST"/>
    <x v="0"/>
    <s v="KY"/>
    <s v="Badger"/>
    <x v="1"/>
    <s v="Neptune - RF - AMR"/>
    <s v="AMR"/>
    <n v="2024"/>
    <n v="10"/>
    <n v="21"/>
    <n v="2034"/>
    <n v="2034"/>
    <s v="KY 2034"/>
    <s v="N"/>
    <x v="7"/>
    <n v="10"/>
    <x v="1"/>
    <x v="0"/>
    <s v="KY"/>
  </r>
  <r>
    <s v="INST"/>
    <x v="0"/>
    <s v="KY"/>
    <s v="Badger"/>
    <x v="0"/>
    <s v="Neptune - RF - AMR"/>
    <s v="AMR"/>
    <n v="2024"/>
    <n v="10"/>
    <n v="1"/>
    <n v="2034"/>
    <n v="2034"/>
    <s v="KY 2034"/>
    <s v="N"/>
    <x v="7"/>
    <n v="10"/>
    <x v="1"/>
    <x v="0"/>
    <s v="KY"/>
  </r>
  <r>
    <s v="INST"/>
    <x v="0"/>
    <s v="KY"/>
    <s v="Badger"/>
    <x v="0"/>
    <s v="Badger - ATT Cellular - AMI"/>
    <s v="AMI"/>
    <n v="2016"/>
    <n v="10"/>
    <n v="1"/>
    <n v="2026"/>
    <n v="2026"/>
    <s v="KY 2026"/>
    <s v="Y"/>
    <x v="1"/>
    <n v="10"/>
    <x v="2"/>
    <x v="0"/>
    <s v="KY"/>
  </r>
  <r>
    <s v="INST"/>
    <x v="0"/>
    <s v="KY"/>
    <s v="Badger"/>
    <x v="0"/>
    <s v="Badger - ATT Cellular - AMI"/>
    <s v="AMI"/>
    <n v="2017"/>
    <n v="10"/>
    <n v="1"/>
    <n v="2027"/>
    <n v="2027"/>
    <s v="KY 2027"/>
    <s v="Y"/>
    <x v="2"/>
    <n v="10"/>
    <x v="2"/>
    <x v="0"/>
    <s v="KY"/>
  </r>
  <r>
    <s v="INST"/>
    <x v="0"/>
    <s v="KY"/>
    <s v="Badger"/>
    <x v="0"/>
    <s v="Badger - ATT Cellular - AMI"/>
    <s v="AMI"/>
    <n v="2023"/>
    <n v="10"/>
    <n v="6"/>
    <n v="2033"/>
    <n v="2033"/>
    <s v="KY 2033"/>
    <s v="Y"/>
    <x v="6"/>
    <n v="10"/>
    <x v="2"/>
    <x v="0"/>
    <s v="KY"/>
  </r>
  <r>
    <s v="INST"/>
    <x v="0"/>
    <s v="KY"/>
    <s v="Badger"/>
    <x v="0"/>
    <s v="Badger - ATT Cellular - AMI"/>
    <s v="AMI"/>
    <n v="2024"/>
    <n v="10"/>
    <n v="5"/>
    <n v="2034"/>
    <n v="2034"/>
    <s v="KY 2034"/>
    <s v="Y"/>
    <x v="7"/>
    <n v="10"/>
    <x v="2"/>
    <x v="0"/>
    <s v="KY"/>
  </r>
  <r>
    <s v="INST"/>
    <x v="0"/>
    <s v="KY"/>
    <s v="Badger"/>
    <x v="1"/>
    <s v="Badger - ATT Cellular - AMI"/>
    <s v="AMI"/>
    <n v="2017"/>
    <n v="10"/>
    <n v="3"/>
    <n v="2027"/>
    <n v="2027"/>
    <s v="KY 2027"/>
    <s v="Y"/>
    <x v="2"/>
    <n v="10"/>
    <x v="2"/>
    <x v="0"/>
    <s v="KY"/>
  </r>
  <r>
    <s v="INST"/>
    <x v="0"/>
    <s v="KY"/>
    <s v="Badger"/>
    <x v="1"/>
    <s v="Badger - ATT Cellular - AMI"/>
    <s v="AMI"/>
    <n v="2018"/>
    <n v="10"/>
    <n v="3"/>
    <n v="2028"/>
    <n v="2028"/>
    <s v="KY 2028"/>
    <s v="Y"/>
    <x v="0"/>
    <n v="10"/>
    <x v="2"/>
    <x v="0"/>
    <s v="KY"/>
  </r>
  <r>
    <s v="INST"/>
    <x v="0"/>
    <s v="KY"/>
    <s v="Badger"/>
    <x v="1"/>
    <s v="Badger - ATT Cellular - AMI"/>
    <s v="AMI"/>
    <n v="2020"/>
    <n v="10"/>
    <n v="5"/>
    <n v="2030"/>
    <n v="2030"/>
    <s v="KY 2030"/>
    <s v="Y"/>
    <x v="3"/>
    <n v="10"/>
    <x v="2"/>
    <x v="0"/>
    <s v="KY"/>
  </r>
  <r>
    <s v="INST"/>
    <x v="0"/>
    <s v="KY"/>
    <s v="Badger"/>
    <x v="1"/>
    <s v="Badger - ATT Cellular - AMI"/>
    <s v="AMI"/>
    <n v="2021"/>
    <n v="10"/>
    <n v="11"/>
    <n v="2031"/>
    <n v="2031"/>
    <s v="KY 2031"/>
    <s v="Y"/>
    <x v="4"/>
    <n v="10"/>
    <x v="2"/>
    <x v="0"/>
    <s v="KY"/>
  </r>
  <r>
    <s v="INST"/>
    <x v="0"/>
    <s v="KY"/>
    <s v="Badger"/>
    <x v="1"/>
    <s v="Badger - ATT Cellular - AMI"/>
    <s v="AMI"/>
    <n v="2022"/>
    <n v="10"/>
    <n v="12"/>
    <n v="2032"/>
    <n v="2032"/>
    <s v="KY 2032"/>
    <s v="Y"/>
    <x v="5"/>
    <n v="10"/>
    <x v="2"/>
    <x v="0"/>
    <s v="KY"/>
  </r>
  <r>
    <s v="INST"/>
    <x v="0"/>
    <s v="KY"/>
    <s v="Badger"/>
    <x v="1"/>
    <s v="Badger - ATT Cellular - AMI"/>
    <s v="AMI"/>
    <n v="2023"/>
    <n v="10"/>
    <n v="23"/>
    <n v="2033"/>
    <n v="2033"/>
    <s v="KY 2033"/>
    <s v="Y"/>
    <x v="6"/>
    <n v="10"/>
    <x v="2"/>
    <x v="0"/>
    <s v="KY"/>
  </r>
  <r>
    <s v="INST"/>
    <x v="0"/>
    <s v="KY"/>
    <s v="Badger"/>
    <x v="1"/>
    <s v="Badger - ATT Cellular - AMI"/>
    <s v="AMI"/>
    <n v="2024"/>
    <n v="10"/>
    <n v="13"/>
    <n v="2034"/>
    <n v="2034"/>
    <s v="KY 2034"/>
    <s v="Y"/>
    <x v="7"/>
    <n v="10"/>
    <x v="2"/>
    <x v="0"/>
    <s v="KY"/>
  </r>
  <r>
    <s v="INST"/>
    <x v="0"/>
    <s v="KY"/>
    <s v="Badger"/>
    <x v="0"/>
    <s v="Badger - ATT Cellular - AMI"/>
    <s v="AMI"/>
    <n v="2022"/>
    <n v="10"/>
    <n v="1"/>
    <n v="2032"/>
    <n v="2032"/>
    <s v="KY 2032"/>
    <s v="Y"/>
    <x v="5"/>
    <n v="10"/>
    <x v="2"/>
    <x v="0"/>
    <s v="KY"/>
  </r>
  <r>
    <s v="INST"/>
    <x v="0"/>
    <s v="KY"/>
    <s v="Badger"/>
    <x v="0"/>
    <s v="Badger - ME - RF - AMR"/>
    <s v="AMR"/>
    <n v="2024"/>
    <n v="10"/>
    <n v="49"/>
    <n v="2034"/>
    <n v="2034"/>
    <s v="KY 2034"/>
    <s v="N"/>
    <x v="7"/>
    <n v="10"/>
    <x v="1"/>
    <x v="0"/>
    <s v="KY"/>
  </r>
  <r>
    <s v="INST"/>
    <x v="0"/>
    <s v="KY"/>
    <s v="Badger"/>
    <x v="1"/>
    <s v="Badger - ME - RF - AMR"/>
    <s v="AMR"/>
    <n v="2016"/>
    <n v="10"/>
    <n v="1"/>
    <n v="2026"/>
    <n v="2026"/>
    <s v="KY 2026"/>
    <s v="N"/>
    <x v="1"/>
    <n v="10"/>
    <x v="1"/>
    <x v="0"/>
    <s v="KY"/>
  </r>
  <r>
    <s v="INST"/>
    <x v="0"/>
    <s v="KY"/>
    <s v="Badger"/>
    <x v="1"/>
    <s v="Badger - ME - RF - AMR"/>
    <s v="AMR"/>
    <n v="2017"/>
    <n v="10"/>
    <n v="1"/>
    <n v="2027"/>
    <n v="2027"/>
    <s v="KY 2027"/>
    <s v="N"/>
    <x v="2"/>
    <n v="10"/>
    <x v="1"/>
    <x v="0"/>
    <s v="KY"/>
  </r>
  <r>
    <s v="INST"/>
    <x v="0"/>
    <s v="KY"/>
    <s v="Badger"/>
    <x v="1"/>
    <s v="Badger - ME - RF - AMR"/>
    <s v="AMR"/>
    <n v="2018"/>
    <n v="10"/>
    <n v="5"/>
    <n v="2028"/>
    <n v="2028"/>
    <s v="KY 2028"/>
    <s v="N"/>
    <x v="0"/>
    <n v="10"/>
    <x v="1"/>
    <x v="0"/>
    <s v="KY"/>
  </r>
  <r>
    <s v="INST"/>
    <x v="0"/>
    <s v="KY"/>
    <s v="Badger"/>
    <x v="1"/>
    <s v="Badger - ME - RF - AMR"/>
    <s v="AMR"/>
    <n v="2021"/>
    <n v="10"/>
    <n v="5"/>
    <n v="2031"/>
    <n v="2031"/>
    <s v="KY 2031"/>
    <s v="N"/>
    <x v="4"/>
    <n v="10"/>
    <x v="1"/>
    <x v="0"/>
    <s v="KY"/>
  </r>
  <r>
    <s v="INST"/>
    <x v="0"/>
    <s v="KY"/>
    <s v="Badger"/>
    <x v="1"/>
    <s v="Badger - ME - RF - AMR"/>
    <s v="AMR"/>
    <n v="2022"/>
    <n v="10"/>
    <n v="8"/>
    <n v="2032"/>
    <n v="2032"/>
    <s v="KY 2032"/>
    <s v="N"/>
    <x v="5"/>
    <n v="10"/>
    <x v="1"/>
    <x v="0"/>
    <s v="KY"/>
  </r>
  <r>
    <s v="INST"/>
    <x v="0"/>
    <s v="KY"/>
    <s v="Badger"/>
    <x v="1"/>
    <s v="Badger - ME - RF - AMR"/>
    <s v="AMR"/>
    <n v="2023"/>
    <n v="10"/>
    <n v="9"/>
    <n v="2033"/>
    <n v="2033"/>
    <s v="KY 2033"/>
    <s v="N"/>
    <x v="6"/>
    <n v="10"/>
    <x v="1"/>
    <x v="0"/>
    <s v="KY"/>
  </r>
  <r>
    <s v="INST"/>
    <x v="0"/>
    <s v="KY"/>
    <s v="Badger"/>
    <x v="1"/>
    <s v="Badger - ME - RF - AMR"/>
    <s v="AMR"/>
    <n v="2024"/>
    <n v="10"/>
    <n v="8307"/>
    <n v="2034"/>
    <n v="2034"/>
    <s v="KY 2034"/>
    <s v="N"/>
    <x v="7"/>
    <n v="10"/>
    <x v="1"/>
    <x v="0"/>
    <s v="KY"/>
  </r>
  <r>
    <s v="INST"/>
    <x v="0"/>
    <s v="KY"/>
    <s v="Badger"/>
    <x v="0"/>
    <s v="Badger - ME - RF - AMR"/>
    <s v="AMR"/>
    <n v="2024"/>
    <n v="10"/>
    <n v="4"/>
    <n v="2034"/>
    <n v="2034"/>
    <s v="KY 2034"/>
    <s v="N"/>
    <x v="7"/>
    <n v="10"/>
    <x v="1"/>
    <x v="0"/>
    <s v="KY"/>
  </r>
  <r>
    <s v="INST"/>
    <x v="0"/>
    <s v="KY"/>
    <s v="Badger"/>
    <x v="1"/>
    <s v="Mueller - RF - AMR"/>
    <s v="AMR"/>
    <n v="2024"/>
    <n v="10"/>
    <n v="2"/>
    <n v="2034"/>
    <n v="2034"/>
    <s v="KY 2034"/>
    <s v="N"/>
    <x v="7"/>
    <n v="10"/>
    <x v="1"/>
    <x v="0"/>
    <s v="KY"/>
  </r>
  <r>
    <s v="INST"/>
    <x v="0"/>
    <s v="KY"/>
    <s v="Badger"/>
    <x v="0"/>
    <s v="Neptune - RF - AMR"/>
    <s v="AMR"/>
    <n v="2016"/>
    <n v="10"/>
    <n v="22"/>
    <n v="2026"/>
    <n v="2026"/>
    <s v="KY 2026"/>
    <s v="N"/>
    <x v="1"/>
    <n v="10"/>
    <x v="1"/>
    <x v="0"/>
    <s v="KY"/>
  </r>
  <r>
    <s v="INST"/>
    <x v="0"/>
    <s v="KY"/>
    <s v="Badger"/>
    <x v="0"/>
    <s v="Neptune - RF - AMR"/>
    <s v="AMR"/>
    <n v="2017"/>
    <n v="10"/>
    <n v="32"/>
    <n v="2027"/>
    <n v="2027"/>
    <s v="KY 2027"/>
    <s v="N"/>
    <x v="2"/>
    <n v="10"/>
    <x v="1"/>
    <x v="0"/>
    <s v="KY"/>
  </r>
  <r>
    <s v="INST"/>
    <x v="0"/>
    <s v="KY"/>
    <s v="Badger"/>
    <x v="0"/>
    <s v="Neptune - RF - AMR"/>
    <s v="AMR"/>
    <n v="2018"/>
    <n v="10"/>
    <n v="91"/>
    <n v="2028"/>
    <n v="2028"/>
    <s v="KY 2028"/>
    <s v="N"/>
    <x v="0"/>
    <n v="10"/>
    <x v="1"/>
    <x v="0"/>
    <s v="KY"/>
  </r>
  <r>
    <s v="INST"/>
    <x v="0"/>
    <s v="KY"/>
    <s v="Badger"/>
    <x v="0"/>
    <s v="Neptune - RF - AMR"/>
    <s v="AMR"/>
    <n v="2020"/>
    <n v="10"/>
    <n v="8"/>
    <n v="2030"/>
    <n v="2030"/>
    <s v="KY 2030"/>
    <s v="N"/>
    <x v="3"/>
    <n v="10"/>
    <x v="1"/>
    <x v="0"/>
    <s v="KY"/>
  </r>
  <r>
    <s v="INST"/>
    <x v="0"/>
    <s v="KY"/>
    <s v="Badger"/>
    <x v="0"/>
    <s v="Neptune - RF - AMR"/>
    <s v="AMR"/>
    <n v="2021"/>
    <n v="10"/>
    <n v="75"/>
    <n v="2031"/>
    <n v="2031"/>
    <s v="KY 2031"/>
    <s v="N"/>
    <x v="4"/>
    <n v="10"/>
    <x v="1"/>
    <x v="0"/>
    <s v="KY"/>
  </r>
  <r>
    <s v="INST"/>
    <x v="0"/>
    <s v="KY"/>
    <s v="Badger"/>
    <x v="0"/>
    <s v="Neptune - RF - AMR"/>
    <s v="AMR"/>
    <n v="2022"/>
    <n v="10"/>
    <n v="89"/>
    <n v="2032"/>
    <n v="2032"/>
    <s v="KY 2032"/>
    <s v="N"/>
    <x v="5"/>
    <n v="10"/>
    <x v="1"/>
    <x v="0"/>
    <s v="KY"/>
  </r>
  <r>
    <s v="INST"/>
    <x v="0"/>
    <s v="KY"/>
    <s v="Badger"/>
    <x v="0"/>
    <s v="Neptune - RF - AMR"/>
    <s v="AMR"/>
    <n v="2023"/>
    <n v="10"/>
    <n v="83"/>
    <n v="2033"/>
    <n v="2033"/>
    <s v="KY 2033"/>
    <s v="N"/>
    <x v="6"/>
    <n v="10"/>
    <x v="1"/>
    <x v="0"/>
    <s v="KY"/>
  </r>
  <r>
    <s v="INST"/>
    <x v="0"/>
    <s v="KY"/>
    <s v="Badger"/>
    <x v="0"/>
    <s v="Neptune - RF - AMR"/>
    <s v="AMR"/>
    <n v="2024"/>
    <n v="10"/>
    <n v="196"/>
    <n v="2034"/>
    <n v="2034"/>
    <s v="KY 2034"/>
    <s v="N"/>
    <x v="7"/>
    <n v="10"/>
    <x v="1"/>
    <x v="0"/>
    <s v="KY"/>
  </r>
  <r>
    <s v="INST"/>
    <x v="0"/>
    <s v="KY"/>
    <s v="Badger"/>
    <x v="1"/>
    <s v="Neptune - RF - AMR"/>
    <s v="AMR"/>
    <n v="2016"/>
    <n v="10"/>
    <n v="2892"/>
    <n v="2026"/>
    <n v="2026"/>
    <s v="KY 2026"/>
    <s v="N"/>
    <x v="1"/>
    <n v="10"/>
    <x v="1"/>
    <x v="0"/>
    <s v="KY"/>
  </r>
  <r>
    <s v="INST"/>
    <x v="0"/>
    <s v="KY"/>
    <s v="Badger"/>
    <x v="1"/>
    <s v="Neptune - RF - AMR"/>
    <s v="AMR"/>
    <n v="2016"/>
    <n v="15"/>
    <n v="1"/>
    <n v="2031"/>
    <n v="2031"/>
    <s v="KY 2031"/>
    <s v="N"/>
    <x v="4"/>
    <n v="15"/>
    <x v="1"/>
    <x v="0"/>
    <s v="KY"/>
  </r>
  <r>
    <s v="INST"/>
    <x v="0"/>
    <s v="KY"/>
    <s v="Badger"/>
    <x v="1"/>
    <s v="Neptune - RF - AMR"/>
    <s v="AMR"/>
    <n v="2017"/>
    <n v="10"/>
    <n v="5675"/>
    <n v="2027"/>
    <n v="2027"/>
    <s v="KY 2027"/>
    <s v="N"/>
    <x v="2"/>
    <n v="10"/>
    <x v="1"/>
    <x v="0"/>
    <s v="KY"/>
  </r>
  <r>
    <s v="INST"/>
    <x v="0"/>
    <s v="KY"/>
    <s v="Badger"/>
    <x v="1"/>
    <s v="Neptune - RF - AMR"/>
    <s v="AMR"/>
    <n v="2018"/>
    <n v="10"/>
    <n v="13995"/>
    <n v="2028"/>
    <n v="2028"/>
    <s v="KY 2028"/>
    <s v="N"/>
    <x v="0"/>
    <n v="10"/>
    <x v="1"/>
    <x v="0"/>
    <s v="KY"/>
  </r>
  <r>
    <s v="INST"/>
    <x v="0"/>
    <s v="KY"/>
    <s v="Badger"/>
    <x v="1"/>
    <s v="Neptune - RF - AMR"/>
    <s v="AMR"/>
    <n v="2018"/>
    <n v="15"/>
    <n v="1"/>
    <n v="2033"/>
    <n v="2033"/>
    <s v="KY 2033"/>
    <s v="N"/>
    <x v="6"/>
    <n v="15"/>
    <x v="1"/>
    <x v="0"/>
    <s v="KY"/>
  </r>
  <r>
    <s v="INST"/>
    <x v="0"/>
    <s v="KY"/>
    <s v="Badger"/>
    <x v="1"/>
    <s v="Neptune - RF - AMR"/>
    <s v="AMR"/>
    <n v="2019"/>
    <n v="10"/>
    <n v="1"/>
    <n v="2029"/>
    <n v="2029"/>
    <s v="KY 2029"/>
    <s v="N"/>
    <x v="8"/>
    <n v="10"/>
    <x v="1"/>
    <x v="0"/>
    <s v="KY"/>
  </r>
  <r>
    <s v="INST"/>
    <x v="0"/>
    <s v="KY"/>
    <s v="Badger"/>
    <x v="1"/>
    <s v="Neptune - RF - AMR"/>
    <s v="AMR"/>
    <n v="2020"/>
    <n v="10"/>
    <n v="1210"/>
    <n v="2030"/>
    <n v="2030"/>
    <s v="KY 2030"/>
    <s v="N"/>
    <x v="3"/>
    <n v="10"/>
    <x v="1"/>
    <x v="0"/>
    <s v="KY"/>
  </r>
  <r>
    <s v="INST"/>
    <x v="0"/>
    <s v="KY"/>
    <s v="Badger"/>
    <x v="1"/>
    <s v="Neptune - RF - AMR"/>
    <s v="AMR"/>
    <n v="2021"/>
    <n v="10"/>
    <n v="6615"/>
    <n v="2031"/>
    <n v="2031"/>
    <s v="KY 2031"/>
    <s v="N"/>
    <x v="4"/>
    <n v="10"/>
    <x v="1"/>
    <x v="0"/>
    <s v="KY"/>
  </r>
  <r>
    <s v="INST"/>
    <x v="0"/>
    <s v="KY"/>
    <s v="Badger"/>
    <x v="1"/>
    <s v="Neptune - RF - AMR"/>
    <s v="AMR"/>
    <n v="2022"/>
    <n v="10"/>
    <n v="3634"/>
    <n v="2032"/>
    <n v="2032"/>
    <s v="KY 2032"/>
    <s v="N"/>
    <x v="5"/>
    <n v="10"/>
    <x v="1"/>
    <x v="0"/>
    <s v="KY"/>
  </r>
  <r>
    <s v="INST"/>
    <x v="0"/>
    <s v="KY"/>
    <s v="Badger"/>
    <x v="1"/>
    <s v="Neptune - RF - AMR"/>
    <s v="AMR"/>
    <n v="2023"/>
    <n v="10"/>
    <n v="11678"/>
    <n v="2033"/>
    <n v="2033"/>
    <s v="KY 2033"/>
    <s v="N"/>
    <x v="6"/>
    <n v="10"/>
    <x v="1"/>
    <x v="0"/>
    <s v="KY"/>
  </r>
  <r>
    <s v="INST"/>
    <x v="0"/>
    <s v="KY"/>
    <s v="Badger"/>
    <x v="1"/>
    <s v="Neptune - RF - AMR"/>
    <s v="AMR"/>
    <n v="2023"/>
    <n v="15"/>
    <n v="10"/>
    <n v="2038"/>
    <n v="2038"/>
    <s v="KY 2038"/>
    <s v="N"/>
    <x v="9"/>
    <n v="15"/>
    <x v="1"/>
    <x v="0"/>
    <s v="KY"/>
  </r>
  <r>
    <s v="INST"/>
    <x v="0"/>
    <s v="KY"/>
    <s v="Badger"/>
    <x v="1"/>
    <s v="Neptune - RF - AMR"/>
    <s v="AMR"/>
    <n v="2024"/>
    <n v="10"/>
    <n v="22808"/>
    <n v="2034"/>
    <n v="2034"/>
    <s v="KY 2034"/>
    <s v="N"/>
    <x v="7"/>
    <n v="10"/>
    <x v="1"/>
    <x v="0"/>
    <s v="KY"/>
  </r>
  <r>
    <s v="INST"/>
    <x v="0"/>
    <s v="KY"/>
    <s v="Badger"/>
    <x v="0"/>
    <s v="Neptune - RF - AMR"/>
    <s v="AMR"/>
    <n v="2017"/>
    <n v="10"/>
    <n v="1"/>
    <n v="2027"/>
    <n v="2027"/>
    <s v="KY 2027"/>
    <s v="N"/>
    <x v="2"/>
    <n v="10"/>
    <x v="1"/>
    <x v="0"/>
    <s v="KY"/>
  </r>
  <r>
    <s v="INST"/>
    <x v="0"/>
    <s v="KY"/>
    <s v="Badger"/>
    <x v="0"/>
    <s v="Neptune - RF - AMR"/>
    <s v="AMR"/>
    <n v="2022"/>
    <n v="10"/>
    <n v="3"/>
    <n v="2032"/>
    <n v="2032"/>
    <s v="KY 2032"/>
    <s v="N"/>
    <x v="5"/>
    <n v="10"/>
    <x v="1"/>
    <x v="0"/>
    <s v="KY"/>
  </r>
  <r>
    <s v="INST"/>
    <x v="0"/>
    <s v="KY"/>
    <s v="Badger"/>
    <x v="0"/>
    <s v="Neptune - RF - AMR"/>
    <s v="AMR"/>
    <n v="2023"/>
    <n v="10"/>
    <n v="5"/>
    <n v="2033"/>
    <n v="2033"/>
    <s v="KY 2033"/>
    <s v="N"/>
    <x v="6"/>
    <n v="10"/>
    <x v="1"/>
    <x v="0"/>
    <s v="KY"/>
  </r>
  <r>
    <s v="INST"/>
    <x v="0"/>
    <s v="KY"/>
    <s v="Badger"/>
    <x v="0"/>
    <s v="Neptune - RF - AMR"/>
    <s v="AMR"/>
    <n v="2024"/>
    <n v="10"/>
    <n v="15"/>
    <n v="2034"/>
    <n v="2034"/>
    <s v="KY 2034"/>
    <s v="N"/>
    <x v="7"/>
    <n v="10"/>
    <x v="1"/>
    <x v="0"/>
    <s v="KY"/>
  </r>
  <r>
    <s v="INST"/>
    <x v="0"/>
    <s v="KY"/>
    <s v="Badger"/>
    <x v="1"/>
    <s v="Neptune - RF-AMI-Fixed Network"/>
    <s v="AMI"/>
    <n v="2024"/>
    <n v="10"/>
    <n v="5"/>
    <n v="2034"/>
    <n v="2034"/>
    <s v="KY 2034"/>
    <s v="Y"/>
    <x v="7"/>
    <n v="10"/>
    <x v="2"/>
    <x v="0"/>
    <s v="KY"/>
  </r>
  <r>
    <s v="INST"/>
    <x v="0"/>
    <s v="KY"/>
    <s v="Hersey"/>
    <x v="0"/>
    <s v="Mueller - RF - AMR"/>
    <s v="AMR"/>
    <n v="2012"/>
    <n v="10"/>
    <n v="52"/>
    <n v="2022"/>
    <n v="2025"/>
    <s v="KY 2025"/>
    <s v="N"/>
    <x v="10"/>
    <n v="13"/>
    <x v="1"/>
    <x v="0"/>
    <s v="KY"/>
  </r>
  <r>
    <s v="INST"/>
    <x v="0"/>
    <s v="KY"/>
    <s v="Hersey"/>
    <x v="0"/>
    <s v="Mueller - RF - AMR"/>
    <s v="AMR"/>
    <n v="2013"/>
    <n v="10"/>
    <n v="93"/>
    <n v="2023"/>
    <n v="2025"/>
    <s v="KY 2025"/>
    <s v="N"/>
    <x v="10"/>
    <n v="12"/>
    <x v="1"/>
    <x v="0"/>
    <s v="KY"/>
  </r>
  <r>
    <s v="INST"/>
    <x v="0"/>
    <s v="KY"/>
    <s v="Hersey"/>
    <x v="0"/>
    <s v="Mueller - RF - AMR"/>
    <s v="AMR"/>
    <n v="2015"/>
    <n v="10"/>
    <n v="1"/>
    <n v="2025"/>
    <n v="2025"/>
    <s v="KY 2025"/>
    <s v="N"/>
    <x v="10"/>
    <n v="10"/>
    <x v="1"/>
    <x v="0"/>
    <s v="KY"/>
  </r>
  <r>
    <s v="INST"/>
    <x v="0"/>
    <s v="KY"/>
    <s v="Hersey"/>
    <x v="1"/>
    <s v="Mueller - RF - AMR"/>
    <s v="AMR"/>
    <n v="2012"/>
    <n v="10"/>
    <n v="7368"/>
    <n v="2022"/>
    <n v="2025"/>
    <s v="KY 2025"/>
    <s v="N"/>
    <x v="10"/>
    <n v="13"/>
    <x v="1"/>
    <x v="0"/>
    <s v="KY"/>
  </r>
  <r>
    <s v="INST"/>
    <x v="0"/>
    <s v="KY"/>
    <s v="Hersey"/>
    <x v="1"/>
    <s v="Mueller - RF - AMR"/>
    <s v="AMR"/>
    <n v="2013"/>
    <n v="10"/>
    <n v="11214"/>
    <n v="2023"/>
    <n v="2025"/>
    <s v="KY 2025"/>
    <s v="N"/>
    <x v="10"/>
    <n v="12"/>
    <x v="1"/>
    <x v="0"/>
    <s v="KY"/>
  </r>
  <r>
    <s v="INST"/>
    <x v="0"/>
    <s v="KY"/>
    <s v="Hersey"/>
    <x v="1"/>
    <s v="Mueller - RF - AMR"/>
    <s v="AMR"/>
    <n v="2014"/>
    <n v="10"/>
    <n v="4"/>
    <n v="2024"/>
    <n v="2025"/>
    <s v="KY 2025"/>
    <s v="N"/>
    <x v="10"/>
    <n v="11"/>
    <x v="1"/>
    <x v="0"/>
    <s v="KY"/>
  </r>
  <r>
    <s v="INST"/>
    <x v="0"/>
    <s v="KY"/>
    <s v="Hersey"/>
    <x v="1"/>
    <s v="Mueller - RF - AMR"/>
    <s v="AMR"/>
    <n v="2015"/>
    <n v="10"/>
    <n v="81"/>
    <n v="2025"/>
    <n v="2025"/>
    <s v="KY 2025"/>
    <s v="N"/>
    <x v="10"/>
    <n v="10"/>
    <x v="1"/>
    <x v="0"/>
    <s v="KY"/>
  </r>
  <r>
    <s v="INST"/>
    <x v="0"/>
    <s v="KY"/>
    <s v="Hersey"/>
    <x v="1"/>
    <s v="Mueller - RF - AMR"/>
    <s v="AMR"/>
    <n v="2016"/>
    <n v="10"/>
    <n v="11"/>
    <n v="2026"/>
    <n v="2026"/>
    <s v="KY 2026"/>
    <s v="N"/>
    <x v="1"/>
    <n v="10"/>
    <x v="1"/>
    <x v="0"/>
    <s v="KY"/>
  </r>
  <r>
    <s v="INST"/>
    <x v="0"/>
    <s v="KY"/>
    <s v="Hersey"/>
    <x v="1"/>
    <s v="Mueller - RF - AMR"/>
    <s v="AMR"/>
    <n v="2017"/>
    <n v="10"/>
    <n v="2"/>
    <n v="2027"/>
    <n v="2027"/>
    <s v="KY 2027"/>
    <s v="N"/>
    <x v="2"/>
    <n v="10"/>
    <x v="1"/>
    <x v="0"/>
    <s v="KY"/>
  </r>
  <r>
    <s v="INST"/>
    <x v="0"/>
    <s v="KY"/>
    <s v="Hersey"/>
    <x v="1"/>
    <s v="Mueller - RF - AMR"/>
    <s v="AMR"/>
    <n v="2023"/>
    <n v="10"/>
    <n v="1"/>
    <n v="2033"/>
    <n v="2033"/>
    <s v="KY 2033"/>
    <s v="N"/>
    <x v="6"/>
    <n v="10"/>
    <x v="1"/>
    <x v="0"/>
    <s v="KY"/>
  </r>
  <r>
    <s v="INST"/>
    <x v="0"/>
    <s v="KY"/>
    <s v="Hersey"/>
    <x v="1"/>
    <s v="Mueller - RF - AMR"/>
    <s v="AMR"/>
    <n v="2024"/>
    <n v="10"/>
    <n v="3"/>
    <n v="2034"/>
    <n v="2034"/>
    <s v="KY 2034"/>
    <s v="N"/>
    <x v="7"/>
    <n v="10"/>
    <x v="1"/>
    <x v="0"/>
    <s v="KY"/>
  </r>
  <r>
    <s v="INST"/>
    <x v="0"/>
    <s v="KY"/>
    <s v="Hersey"/>
    <x v="1"/>
    <s v="Neptune - RF - AMR"/>
    <s v="AMR"/>
    <n v="2013"/>
    <n v="10"/>
    <n v="3"/>
    <n v="2023"/>
    <n v="2025"/>
    <s v="KY 2025"/>
    <s v="N"/>
    <x v="10"/>
    <n v="12"/>
    <x v="1"/>
    <x v="0"/>
    <s v="KY"/>
  </r>
  <r>
    <s v="INST"/>
    <x v="0"/>
    <s v="KY"/>
    <s v="Hersey"/>
    <x v="1"/>
    <s v="Neptune - RF - AMR"/>
    <s v="AMR"/>
    <n v="2015"/>
    <n v="10"/>
    <n v="1"/>
    <n v="2025"/>
    <n v="2025"/>
    <s v="KY 2025"/>
    <s v="N"/>
    <x v="10"/>
    <n v="10"/>
    <x v="1"/>
    <x v="0"/>
    <s v="KY"/>
  </r>
  <r>
    <s v="INST"/>
    <x v="0"/>
    <s v="KY"/>
    <s v="Mueller"/>
    <x v="0"/>
    <s v="Mueller - RF - AMR"/>
    <s v="AMR"/>
    <n v="2014"/>
    <n v="10"/>
    <n v="2"/>
    <n v="2024"/>
    <n v="2025"/>
    <s v="KY 2025"/>
    <s v="N"/>
    <x v="10"/>
    <n v="11"/>
    <x v="1"/>
    <x v="0"/>
    <s v="KY"/>
  </r>
  <r>
    <s v="INST"/>
    <x v="0"/>
    <s v="KY"/>
    <s v="Mueller"/>
    <x v="0"/>
    <s v="Mueller - RF - AMR"/>
    <s v="AMR"/>
    <n v="2015"/>
    <n v="10"/>
    <n v="8"/>
    <n v="2025"/>
    <n v="2025"/>
    <s v="KY 2025"/>
    <s v="N"/>
    <x v="10"/>
    <n v="10"/>
    <x v="1"/>
    <x v="0"/>
    <s v="KY"/>
  </r>
  <r>
    <s v="INST"/>
    <x v="0"/>
    <s v="KY"/>
    <s v="Mueller"/>
    <x v="1"/>
    <s v="Mueller - RF - AMR"/>
    <s v="AMR"/>
    <n v="2012"/>
    <n v="10"/>
    <n v="1"/>
    <n v="2022"/>
    <n v="2025"/>
    <s v="KY 2025"/>
    <s v="N"/>
    <x v="10"/>
    <n v="13"/>
    <x v="1"/>
    <x v="0"/>
    <s v="KY"/>
  </r>
  <r>
    <s v="INST"/>
    <x v="0"/>
    <s v="KY"/>
    <s v="Mueller"/>
    <x v="1"/>
    <s v="Mueller - RF - AMR"/>
    <s v="AMR"/>
    <n v="2013"/>
    <n v="10"/>
    <n v="42"/>
    <n v="2023"/>
    <n v="2025"/>
    <s v="KY 2025"/>
    <s v="N"/>
    <x v="10"/>
    <n v="12"/>
    <x v="1"/>
    <x v="0"/>
    <s v="KY"/>
  </r>
  <r>
    <s v="INST"/>
    <x v="0"/>
    <s v="KY"/>
    <s v="Mueller"/>
    <x v="1"/>
    <s v="Mueller - RF - AMR"/>
    <s v="AMR"/>
    <n v="2014"/>
    <n v="10"/>
    <n v="623"/>
    <n v="2024"/>
    <n v="2025"/>
    <s v="KY 2025"/>
    <s v="N"/>
    <x v="10"/>
    <n v="11"/>
    <x v="1"/>
    <x v="0"/>
    <s v="KY"/>
  </r>
  <r>
    <s v="INST"/>
    <x v="0"/>
    <s v="KY"/>
    <s v="Mueller"/>
    <x v="1"/>
    <s v="Mueller - RF - AMR"/>
    <s v="AMR"/>
    <n v="2015"/>
    <n v="10"/>
    <n v="573"/>
    <n v="2025"/>
    <n v="2025"/>
    <s v="KY 2025"/>
    <s v="N"/>
    <x v="10"/>
    <n v="10"/>
    <x v="1"/>
    <x v="0"/>
    <s v="KY"/>
  </r>
  <r>
    <s v="INST"/>
    <x v="0"/>
    <s v="KY"/>
    <s v="Mueller"/>
    <x v="1"/>
    <s v="Mueller - RF - AMR"/>
    <s v="AMR"/>
    <n v="2016"/>
    <n v="10"/>
    <n v="2"/>
    <n v="2026"/>
    <n v="2026"/>
    <s v="KY 2026"/>
    <s v="N"/>
    <x v="1"/>
    <n v="10"/>
    <x v="1"/>
    <x v="0"/>
    <s v="KY"/>
  </r>
  <r>
    <s v="INST"/>
    <x v="0"/>
    <s v="KY"/>
    <s v="Mueller"/>
    <x v="1"/>
    <s v="Neptune - RF - AMR"/>
    <s v="AMR"/>
    <n v="2014"/>
    <n v="10"/>
    <n v="1"/>
    <n v="2024"/>
    <n v="2025"/>
    <s v="KY 2025"/>
    <s v="N"/>
    <x v="10"/>
    <n v="11"/>
    <x v="1"/>
    <x v="0"/>
    <s v="KY"/>
  </r>
  <r>
    <s v="INST"/>
    <x v="0"/>
    <s v="KY"/>
    <s v="Mueller"/>
    <x v="1"/>
    <s v="Neptune - RF - AMR"/>
    <s v="AMR"/>
    <n v="2015"/>
    <n v="10"/>
    <n v="2"/>
    <n v="2025"/>
    <n v="2025"/>
    <s v="KY 2025"/>
    <s v="N"/>
    <x v="10"/>
    <n v="10"/>
    <x v="1"/>
    <x v="0"/>
    <s v="KY"/>
  </r>
  <r>
    <s v="INST"/>
    <x v="0"/>
    <s v="KY"/>
    <s v="Neptune"/>
    <x v="0"/>
    <m/>
    <s v="Manual"/>
    <n v="2010"/>
    <n v="10"/>
    <n v="1"/>
    <n v="2020"/>
    <n v="2025"/>
    <s v="KY 2025"/>
    <s v="N"/>
    <x v="10"/>
    <n v="15"/>
    <x v="0"/>
    <x v="0"/>
    <s v="KY"/>
  </r>
  <r>
    <s v="INST"/>
    <x v="0"/>
    <s v="KY"/>
    <s v="Neptune"/>
    <x v="0"/>
    <m/>
    <s v="Manual"/>
    <n v="2022"/>
    <n v="10"/>
    <n v="1"/>
    <n v="2032"/>
    <n v="2032"/>
    <s v="KY 2032"/>
    <s v="N"/>
    <x v="5"/>
    <n v="10"/>
    <x v="0"/>
    <x v="0"/>
    <s v="KY"/>
  </r>
  <r>
    <s v="INST"/>
    <x v="0"/>
    <s v="KY"/>
    <s v="Neptune"/>
    <x v="1"/>
    <m/>
    <s v="Manual"/>
    <n v="2019"/>
    <n v="10"/>
    <n v="5"/>
    <n v="2029"/>
    <n v="2029"/>
    <s v="KY 2029"/>
    <s v="N"/>
    <x v="8"/>
    <n v="10"/>
    <x v="0"/>
    <x v="0"/>
    <s v="KY"/>
  </r>
  <r>
    <s v="INST"/>
    <x v="0"/>
    <s v="KY"/>
    <s v="Neptune"/>
    <x v="1"/>
    <m/>
    <s v="Manual"/>
    <n v="2022"/>
    <n v="10"/>
    <n v="2"/>
    <n v="2032"/>
    <n v="2032"/>
    <s v="KY 2032"/>
    <s v="N"/>
    <x v="5"/>
    <n v="10"/>
    <x v="0"/>
    <x v="0"/>
    <s v="KY"/>
  </r>
  <r>
    <s v="INST"/>
    <x v="0"/>
    <s v="KY"/>
    <s v="Neptune"/>
    <x v="1"/>
    <s v="Neptune - RF - AMR"/>
    <s v="AMR"/>
    <n v="2023"/>
    <n v="10"/>
    <n v="1"/>
    <n v="2033"/>
    <n v="2033"/>
    <s v="KY 2033"/>
    <s v="N"/>
    <x v="6"/>
    <n v="10"/>
    <x v="1"/>
    <x v="0"/>
    <s v="KY"/>
  </r>
  <r>
    <s v="INST"/>
    <x v="0"/>
    <s v="KY"/>
    <s v="Neptune"/>
    <x v="0"/>
    <s v="Badger - ATT Cellular - AMI"/>
    <s v="AMI"/>
    <n v="2022"/>
    <n v="10"/>
    <n v="2"/>
    <n v="2032"/>
    <n v="2032"/>
    <s v="KY 2032"/>
    <s v="Y"/>
    <x v="5"/>
    <n v="10"/>
    <x v="2"/>
    <x v="0"/>
    <s v="KY"/>
  </r>
  <r>
    <s v="INST"/>
    <x v="0"/>
    <s v="KY"/>
    <s v="Neptune"/>
    <x v="0"/>
    <s v="Badger - ATT Cellular - AMI"/>
    <s v="AMI"/>
    <n v="2023"/>
    <n v="10"/>
    <n v="1"/>
    <n v="2033"/>
    <n v="2033"/>
    <s v="KY 2033"/>
    <s v="Y"/>
    <x v="6"/>
    <n v="10"/>
    <x v="2"/>
    <x v="0"/>
    <s v="KY"/>
  </r>
  <r>
    <s v="INST"/>
    <x v="0"/>
    <s v="KY"/>
    <s v="Neptune"/>
    <x v="1"/>
    <s v="Badger - ATT Cellular - AMI"/>
    <s v="AMI"/>
    <n v="2023"/>
    <n v="10"/>
    <n v="10"/>
    <n v="2033"/>
    <n v="2033"/>
    <s v="KY 2033"/>
    <s v="Y"/>
    <x v="6"/>
    <n v="10"/>
    <x v="2"/>
    <x v="0"/>
    <s v="KY"/>
  </r>
  <r>
    <s v="INST"/>
    <x v="0"/>
    <s v="KY"/>
    <s v="Neptune"/>
    <x v="1"/>
    <s v="Badger - ME - RF - AMR"/>
    <s v="AMR"/>
    <n v="2011"/>
    <n v="10"/>
    <n v="1"/>
    <n v="2021"/>
    <n v="2025"/>
    <s v="KY 2025"/>
    <s v="N"/>
    <x v="10"/>
    <n v="14"/>
    <x v="1"/>
    <x v="0"/>
    <s v="KY"/>
  </r>
  <r>
    <s v="INST"/>
    <x v="0"/>
    <s v="KY"/>
    <s v="Neptune"/>
    <x v="1"/>
    <s v="Badger - ME - RF - AMR"/>
    <s v="AMR"/>
    <n v="2023"/>
    <n v="10"/>
    <n v="1"/>
    <n v="2033"/>
    <n v="2033"/>
    <s v="KY 2033"/>
    <s v="N"/>
    <x v="6"/>
    <n v="10"/>
    <x v="1"/>
    <x v="0"/>
    <s v="KY"/>
  </r>
  <r>
    <s v="INST"/>
    <x v="0"/>
    <s v="KY"/>
    <s v="Neptune"/>
    <x v="1"/>
    <s v="Mueller - RF - AMR"/>
    <s v="AMR"/>
    <n v="2015"/>
    <n v="10"/>
    <n v="1"/>
    <n v="2025"/>
    <n v="2025"/>
    <s v="KY 2025"/>
    <s v="N"/>
    <x v="10"/>
    <n v="10"/>
    <x v="1"/>
    <x v="0"/>
    <s v="KY"/>
  </r>
  <r>
    <s v="INST"/>
    <x v="0"/>
    <s v="KY"/>
    <s v="Neptune"/>
    <x v="0"/>
    <s v="Neptune - RF - AMR"/>
    <s v="AMR"/>
    <n v="2009"/>
    <n v="10"/>
    <n v="18"/>
    <n v="2019"/>
    <n v="2025"/>
    <s v="KY 2025"/>
    <s v="N"/>
    <x v="10"/>
    <n v="16"/>
    <x v="1"/>
    <x v="0"/>
    <s v="KY"/>
  </r>
  <r>
    <s v="INST"/>
    <x v="0"/>
    <s v="KY"/>
    <s v="Neptune"/>
    <x v="0"/>
    <s v="Neptune - RF - AMR"/>
    <s v="AMR"/>
    <n v="2010"/>
    <n v="10"/>
    <n v="49"/>
    <n v="2020"/>
    <n v="2025"/>
    <s v="KY 2025"/>
    <s v="N"/>
    <x v="10"/>
    <n v="15"/>
    <x v="1"/>
    <x v="0"/>
    <s v="KY"/>
  </r>
  <r>
    <s v="INST"/>
    <x v="0"/>
    <s v="KY"/>
    <s v="Neptune"/>
    <x v="0"/>
    <s v="Neptune - RF - AMR"/>
    <s v="AMR"/>
    <n v="2011"/>
    <n v="10"/>
    <n v="84"/>
    <n v="2021"/>
    <n v="2025"/>
    <s v="KY 2025"/>
    <s v="N"/>
    <x v="10"/>
    <n v="14"/>
    <x v="1"/>
    <x v="0"/>
    <s v="KY"/>
  </r>
  <r>
    <s v="INST"/>
    <x v="0"/>
    <s v="KY"/>
    <s v="Neptune"/>
    <x v="0"/>
    <s v="Neptune - RF - AMR"/>
    <s v="AMR"/>
    <n v="2012"/>
    <n v="10"/>
    <n v="36"/>
    <n v="2022"/>
    <n v="2025"/>
    <s v="KY 2025"/>
    <s v="N"/>
    <x v="10"/>
    <n v="13"/>
    <x v="1"/>
    <x v="0"/>
    <s v="KY"/>
  </r>
  <r>
    <s v="INST"/>
    <x v="0"/>
    <s v="KY"/>
    <s v="Neptune"/>
    <x v="0"/>
    <s v="Neptune - RF - AMR"/>
    <s v="AMR"/>
    <n v="2013"/>
    <n v="10"/>
    <n v="5"/>
    <n v="2023"/>
    <n v="2025"/>
    <s v="KY 2025"/>
    <s v="N"/>
    <x v="10"/>
    <n v="12"/>
    <x v="1"/>
    <x v="0"/>
    <s v="KY"/>
  </r>
  <r>
    <s v="INST"/>
    <x v="0"/>
    <s v="KY"/>
    <s v="Neptune"/>
    <x v="0"/>
    <s v="Neptune - RF - AMR"/>
    <s v="AMR"/>
    <n v="2015"/>
    <n v="10"/>
    <n v="5"/>
    <n v="2025"/>
    <n v="2025"/>
    <s v="KY 2025"/>
    <s v="N"/>
    <x v="10"/>
    <n v="10"/>
    <x v="1"/>
    <x v="0"/>
    <s v="KY"/>
  </r>
  <r>
    <s v="INST"/>
    <x v="0"/>
    <s v="KY"/>
    <s v="Neptune"/>
    <x v="0"/>
    <s v="Neptune - RF - AMR"/>
    <s v="AMR"/>
    <n v="2016"/>
    <n v="10"/>
    <n v="3"/>
    <n v="2026"/>
    <n v="2026"/>
    <s v="KY 2026"/>
    <s v="N"/>
    <x v="1"/>
    <n v="10"/>
    <x v="1"/>
    <x v="0"/>
    <s v="KY"/>
  </r>
  <r>
    <s v="INST"/>
    <x v="0"/>
    <s v="KY"/>
    <s v="Neptune"/>
    <x v="0"/>
    <s v="Neptune - RF - AMR"/>
    <s v="AMR"/>
    <n v="2019"/>
    <n v="10"/>
    <n v="142"/>
    <n v="2029"/>
    <n v="2029"/>
    <s v="KY 2029"/>
    <s v="N"/>
    <x v="8"/>
    <n v="10"/>
    <x v="1"/>
    <x v="0"/>
    <s v="KY"/>
  </r>
  <r>
    <s v="INST"/>
    <x v="0"/>
    <s v="KY"/>
    <s v="Neptune"/>
    <x v="0"/>
    <s v="Neptune - RF - AMR"/>
    <s v="AMR"/>
    <n v="2021"/>
    <n v="10"/>
    <n v="5"/>
    <n v="2031"/>
    <n v="2031"/>
    <s v="KY 2031"/>
    <s v="N"/>
    <x v="4"/>
    <n v="10"/>
    <x v="1"/>
    <x v="0"/>
    <s v="KY"/>
  </r>
  <r>
    <s v="INST"/>
    <x v="0"/>
    <s v="KY"/>
    <s v="Neptune"/>
    <x v="0"/>
    <s v="Neptune - RF - AMR"/>
    <s v="AMR"/>
    <n v="2022"/>
    <n v="10"/>
    <n v="29"/>
    <n v="2032"/>
    <n v="2032"/>
    <s v="KY 2032"/>
    <s v="N"/>
    <x v="5"/>
    <n v="10"/>
    <x v="1"/>
    <x v="0"/>
    <s v="KY"/>
  </r>
  <r>
    <s v="INST"/>
    <x v="0"/>
    <s v="KY"/>
    <s v="Neptune"/>
    <x v="0"/>
    <s v="Neptune - RF - AMR"/>
    <s v="AMR"/>
    <n v="2023"/>
    <n v="10"/>
    <n v="17"/>
    <n v="2033"/>
    <n v="2033"/>
    <s v="KY 2033"/>
    <s v="N"/>
    <x v="6"/>
    <n v="10"/>
    <x v="1"/>
    <x v="0"/>
    <s v="KY"/>
  </r>
  <r>
    <s v="INST"/>
    <x v="0"/>
    <s v="KY"/>
    <s v="Neptune"/>
    <x v="1"/>
    <s v="Neptune - RF - AMR"/>
    <s v="AMR"/>
    <n v="2008"/>
    <n v="10"/>
    <n v="2"/>
    <n v="2018"/>
    <n v="2025"/>
    <s v="KY 2025"/>
    <s v="N"/>
    <x v="10"/>
    <n v="17"/>
    <x v="1"/>
    <x v="0"/>
    <s v="KY"/>
  </r>
  <r>
    <s v="INST"/>
    <x v="0"/>
    <s v="KY"/>
    <s v="Neptune"/>
    <x v="1"/>
    <s v="Neptune - RF - AMR"/>
    <s v="AMR"/>
    <n v="2009"/>
    <n v="10"/>
    <n v="276"/>
    <n v="2019"/>
    <n v="2025"/>
    <s v="KY 2025"/>
    <s v="N"/>
    <x v="10"/>
    <n v="16"/>
    <x v="1"/>
    <x v="0"/>
    <s v="KY"/>
  </r>
  <r>
    <s v="INST"/>
    <x v="0"/>
    <s v="KY"/>
    <s v="Neptune"/>
    <x v="1"/>
    <s v="Neptune - RF - AMR"/>
    <s v="AMR"/>
    <n v="2010"/>
    <n v="10"/>
    <n v="658"/>
    <n v="2020"/>
    <n v="2025"/>
    <s v="KY 2025"/>
    <s v="N"/>
    <x v="10"/>
    <n v="15"/>
    <x v="1"/>
    <x v="0"/>
    <s v="KY"/>
  </r>
  <r>
    <s v="INST"/>
    <x v="0"/>
    <s v="KY"/>
    <s v="Neptune"/>
    <x v="1"/>
    <s v="Neptune - RF - AMR"/>
    <s v="AMR"/>
    <n v="2010"/>
    <n v="15"/>
    <n v="1"/>
    <n v="2025"/>
    <n v="2025"/>
    <s v="KY 2025"/>
    <s v="N"/>
    <x v="10"/>
    <n v="15"/>
    <x v="1"/>
    <x v="0"/>
    <s v="KY"/>
  </r>
  <r>
    <s v="INST"/>
    <x v="0"/>
    <s v="KY"/>
    <s v="Neptune"/>
    <x v="1"/>
    <s v="Neptune - RF - AMR"/>
    <s v="AMR"/>
    <n v="2011"/>
    <n v="10"/>
    <n v="11811"/>
    <n v="2021"/>
    <n v="2025"/>
    <s v="KY 2025"/>
    <s v="N"/>
    <x v="10"/>
    <n v="14"/>
    <x v="1"/>
    <x v="0"/>
    <s v="KY"/>
  </r>
  <r>
    <s v="INST"/>
    <x v="0"/>
    <s v="KY"/>
    <s v="Neptune"/>
    <x v="1"/>
    <s v="Neptune - RF - AMR"/>
    <s v="AMR"/>
    <n v="2011"/>
    <n v="15"/>
    <n v="3"/>
    <n v="2026"/>
    <n v="2026"/>
    <s v="KY 2026"/>
    <s v="N"/>
    <x v="1"/>
    <n v="15"/>
    <x v="1"/>
    <x v="0"/>
    <s v="KY"/>
  </r>
  <r>
    <s v="INST"/>
    <x v="0"/>
    <s v="KY"/>
    <s v="Neptune"/>
    <x v="1"/>
    <s v="Neptune - RF - AMR"/>
    <s v="AMR"/>
    <n v="2012"/>
    <n v="10"/>
    <n v="4621"/>
    <n v="2022"/>
    <n v="2025"/>
    <s v="KY 2025"/>
    <s v="N"/>
    <x v="10"/>
    <n v="13"/>
    <x v="1"/>
    <x v="0"/>
    <s v="KY"/>
  </r>
  <r>
    <s v="INST"/>
    <x v="0"/>
    <s v="KY"/>
    <s v="Neptune"/>
    <x v="1"/>
    <s v="Neptune - RF - AMR"/>
    <s v="AMR"/>
    <n v="2013"/>
    <n v="10"/>
    <n v="260"/>
    <n v="2023"/>
    <n v="2025"/>
    <s v="KY 2025"/>
    <s v="N"/>
    <x v="10"/>
    <n v="12"/>
    <x v="1"/>
    <x v="0"/>
    <s v="KY"/>
  </r>
  <r>
    <s v="INST"/>
    <x v="0"/>
    <s v="KY"/>
    <s v="Neptune"/>
    <x v="1"/>
    <s v="Neptune - RF - AMR"/>
    <s v="AMR"/>
    <n v="2014"/>
    <n v="10"/>
    <n v="6"/>
    <n v="2024"/>
    <n v="2025"/>
    <s v="KY 2025"/>
    <s v="N"/>
    <x v="10"/>
    <n v="11"/>
    <x v="1"/>
    <x v="0"/>
    <s v="KY"/>
  </r>
  <r>
    <s v="INST"/>
    <x v="0"/>
    <s v="KY"/>
    <s v="Neptune"/>
    <x v="1"/>
    <s v="Neptune - RF - AMR"/>
    <s v="AMR"/>
    <n v="2015"/>
    <n v="10"/>
    <n v="808"/>
    <n v="2025"/>
    <n v="2025"/>
    <s v="KY 2025"/>
    <s v="N"/>
    <x v="10"/>
    <n v="10"/>
    <x v="1"/>
    <x v="0"/>
    <s v="KY"/>
  </r>
  <r>
    <s v="INST"/>
    <x v="0"/>
    <s v="KY"/>
    <s v="Neptune"/>
    <x v="1"/>
    <s v="Neptune - RF - AMR"/>
    <s v="AMR"/>
    <n v="2016"/>
    <n v="10"/>
    <n v="191"/>
    <n v="2026"/>
    <n v="2026"/>
    <s v="KY 2026"/>
    <s v="N"/>
    <x v="1"/>
    <n v="10"/>
    <x v="1"/>
    <x v="0"/>
    <s v="KY"/>
  </r>
  <r>
    <s v="INST"/>
    <x v="0"/>
    <s v="KY"/>
    <s v="Neptune"/>
    <x v="1"/>
    <s v="Neptune - RF - AMR"/>
    <s v="AMR"/>
    <n v="2017"/>
    <n v="10"/>
    <n v="9"/>
    <n v="2027"/>
    <n v="2027"/>
    <s v="KY 2027"/>
    <s v="N"/>
    <x v="2"/>
    <n v="10"/>
    <x v="1"/>
    <x v="0"/>
    <s v="KY"/>
  </r>
  <r>
    <s v="INST"/>
    <x v="0"/>
    <s v="KY"/>
    <s v="Neptune"/>
    <x v="1"/>
    <s v="Neptune - RF - AMR"/>
    <s v="AMR"/>
    <n v="2019"/>
    <n v="10"/>
    <n v="11073"/>
    <n v="2029"/>
    <n v="2029"/>
    <s v="KY 2029"/>
    <s v="N"/>
    <x v="8"/>
    <n v="10"/>
    <x v="1"/>
    <x v="0"/>
    <s v="KY"/>
  </r>
  <r>
    <s v="INST"/>
    <x v="0"/>
    <s v="KY"/>
    <s v="Neptune"/>
    <x v="1"/>
    <s v="Neptune - RF - AMR"/>
    <s v="AMR"/>
    <n v="2021"/>
    <n v="10"/>
    <n v="178"/>
    <n v="2031"/>
    <n v="2031"/>
    <s v="KY 2031"/>
    <s v="N"/>
    <x v="4"/>
    <n v="10"/>
    <x v="1"/>
    <x v="0"/>
    <s v="KY"/>
  </r>
  <r>
    <s v="INST"/>
    <x v="0"/>
    <s v="KY"/>
    <s v="Neptune"/>
    <x v="1"/>
    <s v="Neptune - RF - AMR"/>
    <s v="AMR"/>
    <n v="2022"/>
    <n v="10"/>
    <n v="2064"/>
    <n v="2032"/>
    <n v="2032"/>
    <s v="KY 2032"/>
    <s v="N"/>
    <x v="5"/>
    <n v="10"/>
    <x v="1"/>
    <x v="0"/>
    <s v="KY"/>
  </r>
  <r>
    <s v="INST"/>
    <x v="0"/>
    <s v="KY"/>
    <s v="Neptune"/>
    <x v="1"/>
    <s v="Neptune - RF - AMR"/>
    <s v="AMR"/>
    <n v="2023"/>
    <n v="10"/>
    <n v="4822"/>
    <n v="2033"/>
    <n v="2033"/>
    <s v="KY 2033"/>
    <s v="N"/>
    <x v="6"/>
    <n v="10"/>
    <x v="1"/>
    <x v="0"/>
    <s v="KY"/>
  </r>
  <r>
    <s v="INST"/>
    <x v="0"/>
    <s v="KY"/>
    <s v="Neptune"/>
    <x v="1"/>
    <s v="Neptune - RF - AMR"/>
    <s v="AMR"/>
    <n v="2024"/>
    <n v="10"/>
    <n v="2"/>
    <n v="2034"/>
    <n v="2034"/>
    <s v="KY 2034"/>
    <s v="N"/>
    <x v="7"/>
    <n v="10"/>
    <x v="1"/>
    <x v="0"/>
    <s v="KY"/>
  </r>
  <r>
    <s v="INST"/>
    <x v="0"/>
    <s v="KY"/>
    <s v="Neptune"/>
    <x v="0"/>
    <s v="Neptune - RF - AMR"/>
    <s v="AMR"/>
    <n v="2019"/>
    <n v="10"/>
    <n v="1"/>
    <n v="2029"/>
    <n v="2029"/>
    <s v="KY 2029"/>
    <s v="N"/>
    <x v="8"/>
    <n v="10"/>
    <x v="1"/>
    <x v="0"/>
    <s v="KY"/>
  </r>
  <r>
    <s v="INST"/>
    <x v="0"/>
    <s v="KY"/>
    <s v="Neptune"/>
    <x v="0"/>
    <s v="Neptune - RF - AMR"/>
    <s v="AMR"/>
    <n v="2022"/>
    <n v="10"/>
    <n v="1"/>
    <n v="2032"/>
    <n v="2032"/>
    <s v="KY 2032"/>
    <s v="N"/>
    <x v="5"/>
    <n v="10"/>
    <x v="1"/>
    <x v="0"/>
    <s v="KY"/>
  </r>
  <r>
    <s v="INST"/>
    <x v="0"/>
    <s v="KY"/>
    <s v="Neptune"/>
    <x v="0"/>
    <s v="Neptune - RF - AMR"/>
    <s v="AMR"/>
    <n v="2023"/>
    <n v="10"/>
    <n v="1"/>
    <n v="2033"/>
    <n v="2033"/>
    <s v="KY 2033"/>
    <s v="N"/>
    <x v="6"/>
    <n v="10"/>
    <x v="1"/>
    <x v="0"/>
    <s v="KY"/>
  </r>
  <r>
    <s v="INST"/>
    <x v="1"/>
    <s v="KY"/>
    <s v="Badger"/>
    <x v="1"/>
    <m/>
    <s v="Manual"/>
    <n v="2024"/>
    <n v="4"/>
    <n v="1"/>
    <n v="2028"/>
    <n v="2028"/>
    <s v="KY 2028"/>
    <s v="N"/>
    <x v="0"/>
    <n v="4"/>
    <x v="0"/>
    <x v="0"/>
    <s v="KY"/>
  </r>
  <r>
    <s v="INST"/>
    <x v="1"/>
    <s v="KY"/>
    <s v="Badger"/>
    <x v="1"/>
    <s v="Badger - ME - RF - AMR"/>
    <s v="AMR"/>
    <n v="2024"/>
    <n v="4"/>
    <n v="2"/>
    <n v="2028"/>
    <n v="2028"/>
    <s v="KY 2028"/>
    <s v="N"/>
    <x v="0"/>
    <n v="4"/>
    <x v="1"/>
    <x v="0"/>
    <s v="KY"/>
  </r>
  <r>
    <s v="INST"/>
    <x v="1"/>
    <s v="KY"/>
    <s v="Badger"/>
    <x v="1"/>
    <s v="Badger - ME - RF - AMR"/>
    <s v="AMR"/>
    <n v="2025"/>
    <n v="4"/>
    <n v="2"/>
    <n v="2029"/>
    <n v="2029"/>
    <s v="KY 2029"/>
    <s v="N"/>
    <x v="8"/>
    <n v="4"/>
    <x v="1"/>
    <x v="0"/>
    <s v="KY"/>
  </r>
  <r>
    <s v="INST"/>
    <x v="1"/>
    <s v="KY"/>
    <s v="Badger"/>
    <x v="0"/>
    <s v="Badger - ATT Cellular - AMI"/>
    <s v="AMI"/>
    <n v="2024"/>
    <n v="4"/>
    <n v="2"/>
    <n v="2028"/>
    <n v="2028"/>
    <s v="KY 2028"/>
    <s v="Y"/>
    <x v="0"/>
    <n v="4"/>
    <x v="2"/>
    <x v="0"/>
    <s v="KY"/>
  </r>
  <r>
    <s v="INST"/>
    <x v="1"/>
    <s v="KY"/>
    <s v="Badger"/>
    <x v="1"/>
    <s v="Badger - ATT Cellular - AMI"/>
    <s v="AMI"/>
    <n v="2023"/>
    <n v="4"/>
    <n v="56"/>
    <n v="2027"/>
    <n v="2027"/>
    <s v="KY 2027"/>
    <s v="Y"/>
    <x v="2"/>
    <n v="4"/>
    <x v="2"/>
    <x v="0"/>
    <s v="KY"/>
  </r>
  <r>
    <s v="INST"/>
    <x v="1"/>
    <s v="KY"/>
    <s v="Badger"/>
    <x v="1"/>
    <s v="Badger - ATT Cellular - AMI"/>
    <s v="AMI"/>
    <n v="2024"/>
    <n v="4"/>
    <n v="35"/>
    <n v="2028"/>
    <n v="2028"/>
    <s v="KY 2028"/>
    <s v="Y"/>
    <x v="0"/>
    <n v="4"/>
    <x v="2"/>
    <x v="0"/>
    <s v="KY"/>
  </r>
  <r>
    <s v="INST"/>
    <x v="1"/>
    <s v="KY"/>
    <s v="Badger"/>
    <x v="0"/>
    <s v="Badger - ME - RF - AMR"/>
    <s v="AMR"/>
    <n v="2024"/>
    <n v="4"/>
    <n v="5"/>
    <n v="2028"/>
    <n v="2028"/>
    <s v="KY 2028"/>
    <s v="N"/>
    <x v="0"/>
    <n v="4"/>
    <x v="1"/>
    <x v="0"/>
    <s v="KY"/>
  </r>
  <r>
    <s v="INST"/>
    <x v="1"/>
    <s v="KY"/>
    <s v="Badger"/>
    <x v="1"/>
    <s v="Badger - ME - RF - AMR"/>
    <s v="AMR"/>
    <n v="2024"/>
    <n v="4"/>
    <n v="365"/>
    <n v="2028"/>
    <n v="2028"/>
    <s v="KY 2028"/>
    <s v="N"/>
    <x v="0"/>
    <n v="4"/>
    <x v="1"/>
    <x v="0"/>
    <s v="KY"/>
  </r>
  <r>
    <s v="INST"/>
    <x v="1"/>
    <s v="KY"/>
    <s v="Badger"/>
    <x v="1"/>
    <s v="Badger - ME - RF - AMR"/>
    <s v="AMR"/>
    <n v="2025"/>
    <n v="4"/>
    <n v="19"/>
    <n v="2029"/>
    <n v="2029"/>
    <s v="KY 2029"/>
    <s v="N"/>
    <x v="8"/>
    <n v="4"/>
    <x v="1"/>
    <x v="0"/>
    <s v="KY"/>
  </r>
  <r>
    <s v="INST"/>
    <x v="1"/>
    <s v="KY"/>
    <s v="Badger"/>
    <x v="0"/>
    <s v="Neptune - RF - AMR"/>
    <s v="AMR"/>
    <n v="2023"/>
    <n v="4"/>
    <n v="5"/>
    <n v="2027"/>
    <n v="2027"/>
    <s v="KY 2027"/>
    <s v="N"/>
    <x v="2"/>
    <n v="4"/>
    <x v="1"/>
    <x v="0"/>
    <s v="KY"/>
  </r>
  <r>
    <s v="INST"/>
    <x v="1"/>
    <s v="KY"/>
    <s v="Badger"/>
    <x v="0"/>
    <s v="Neptune - RF - AMR"/>
    <s v="AMR"/>
    <n v="2024"/>
    <n v="4"/>
    <n v="7"/>
    <n v="2028"/>
    <n v="2028"/>
    <s v="KY 2028"/>
    <s v="N"/>
    <x v="0"/>
    <n v="4"/>
    <x v="1"/>
    <x v="0"/>
    <s v="KY"/>
  </r>
  <r>
    <s v="INST"/>
    <x v="1"/>
    <s v="KY"/>
    <s v="Badger"/>
    <x v="1"/>
    <s v="Neptune - RF - AMR"/>
    <s v="AMR"/>
    <n v="2023"/>
    <n v="4"/>
    <n v="368"/>
    <n v="2027"/>
    <n v="2027"/>
    <s v="KY 2027"/>
    <s v="N"/>
    <x v="2"/>
    <n v="4"/>
    <x v="1"/>
    <x v="0"/>
    <s v="KY"/>
  </r>
  <r>
    <s v="INST"/>
    <x v="1"/>
    <s v="KY"/>
    <s v="Badger"/>
    <x v="1"/>
    <s v="Neptune - RF - AMR"/>
    <s v="AMR"/>
    <n v="2024"/>
    <n v="4"/>
    <n v="376"/>
    <n v="2028"/>
    <n v="2028"/>
    <s v="KY 2028"/>
    <s v="N"/>
    <x v="0"/>
    <n v="4"/>
    <x v="1"/>
    <x v="0"/>
    <s v="KY"/>
  </r>
  <r>
    <s v="INST"/>
    <x v="1"/>
    <s v="KY"/>
    <s v="Master Meter"/>
    <x v="1"/>
    <s v="Neptune - RF - AMR"/>
    <s v="AMR"/>
    <n v="2020"/>
    <n v="4"/>
    <n v="1"/>
    <n v="2024"/>
    <n v="2025"/>
    <s v="KY 2025"/>
    <s v="N"/>
    <x v="10"/>
    <n v="5"/>
    <x v="1"/>
    <x v="0"/>
    <s v="KY"/>
  </r>
  <r>
    <s v="INST"/>
    <x v="1"/>
    <s v="KY"/>
    <s v="Master Meter"/>
    <x v="0"/>
    <s v="Badger - ATT Cellular - AMI"/>
    <s v="AMI"/>
    <n v="2022"/>
    <n v="4"/>
    <n v="2"/>
    <n v="2026"/>
    <n v="2026"/>
    <s v="KY 2026"/>
    <s v="Y"/>
    <x v="1"/>
    <n v="4"/>
    <x v="2"/>
    <x v="0"/>
    <s v="KY"/>
  </r>
  <r>
    <s v="INST"/>
    <x v="1"/>
    <s v="KY"/>
    <s v="Master Meter"/>
    <x v="1"/>
    <s v="Badger - ATT Cellular - AMI"/>
    <s v="AMI"/>
    <n v="2020"/>
    <n v="4"/>
    <n v="1"/>
    <n v="2024"/>
    <n v="2025"/>
    <s v="KY 2025"/>
    <s v="Y"/>
    <x v="10"/>
    <n v="5"/>
    <x v="2"/>
    <x v="0"/>
    <s v="KY"/>
  </r>
  <r>
    <s v="INST"/>
    <x v="1"/>
    <s v="KY"/>
    <s v="Master Meter"/>
    <x v="1"/>
    <s v="Badger - ATT Cellular - AMI"/>
    <s v="AMI"/>
    <n v="2021"/>
    <n v="4"/>
    <n v="2"/>
    <n v="2025"/>
    <n v="2025"/>
    <s v="KY 2025"/>
    <s v="Y"/>
    <x v="10"/>
    <n v="4"/>
    <x v="2"/>
    <x v="0"/>
    <s v="KY"/>
  </r>
  <r>
    <s v="INST"/>
    <x v="1"/>
    <s v="KY"/>
    <s v="Master Meter"/>
    <x v="1"/>
    <s v="Badger - ATT Cellular - AMI"/>
    <s v="AMI"/>
    <n v="2022"/>
    <n v="4"/>
    <n v="11"/>
    <n v="2026"/>
    <n v="2026"/>
    <s v="KY 2026"/>
    <s v="Y"/>
    <x v="1"/>
    <n v="4"/>
    <x v="2"/>
    <x v="0"/>
    <s v="KY"/>
  </r>
  <r>
    <s v="INST"/>
    <x v="1"/>
    <s v="KY"/>
    <s v="Master Meter"/>
    <x v="1"/>
    <s v="Badger - ME - RF - AMR"/>
    <s v="AMR"/>
    <n v="2021"/>
    <n v="4"/>
    <n v="1"/>
    <n v="2025"/>
    <n v="2025"/>
    <s v="KY 2025"/>
    <s v="N"/>
    <x v="10"/>
    <n v="4"/>
    <x v="1"/>
    <x v="0"/>
    <s v="KY"/>
  </r>
  <r>
    <s v="INST"/>
    <x v="1"/>
    <s v="KY"/>
    <s v="Master Meter"/>
    <x v="1"/>
    <s v="Badger - VZN Cellular - AMI"/>
    <s v="AMI"/>
    <n v="2022"/>
    <n v="4"/>
    <n v="1"/>
    <n v="2026"/>
    <n v="2026"/>
    <s v="KY 2026"/>
    <s v="Y"/>
    <x v="1"/>
    <n v="4"/>
    <x v="2"/>
    <x v="0"/>
    <s v="KY"/>
  </r>
  <r>
    <s v="INST"/>
    <x v="1"/>
    <s v="KY"/>
    <s v="Master Meter"/>
    <x v="0"/>
    <s v="Neptune - RF - AMR"/>
    <s v="AMR"/>
    <n v="2022"/>
    <n v="4"/>
    <n v="2"/>
    <n v="2026"/>
    <n v="2026"/>
    <s v="KY 2026"/>
    <s v="N"/>
    <x v="1"/>
    <n v="4"/>
    <x v="1"/>
    <x v="0"/>
    <s v="KY"/>
  </r>
  <r>
    <s v="INST"/>
    <x v="1"/>
    <s v="KY"/>
    <s v="Master Meter"/>
    <x v="1"/>
    <s v="Neptune - RF - AMR"/>
    <s v="AMR"/>
    <n v="2019"/>
    <n v="4"/>
    <n v="1"/>
    <n v="2023"/>
    <n v="2025"/>
    <s v="KY 2025"/>
    <s v="N"/>
    <x v="10"/>
    <n v="6"/>
    <x v="1"/>
    <x v="0"/>
    <s v="KY"/>
  </r>
  <r>
    <s v="INST"/>
    <x v="1"/>
    <s v="KY"/>
    <s v="Master Meter"/>
    <x v="1"/>
    <s v="Neptune - RF - AMR"/>
    <s v="AMR"/>
    <n v="2020"/>
    <n v="4"/>
    <n v="13"/>
    <n v="2024"/>
    <n v="2025"/>
    <s v="KY 2025"/>
    <s v="N"/>
    <x v="10"/>
    <n v="5"/>
    <x v="1"/>
    <x v="0"/>
    <s v="KY"/>
  </r>
  <r>
    <s v="INST"/>
    <x v="1"/>
    <s v="KY"/>
    <s v="Master Meter"/>
    <x v="1"/>
    <s v="Neptune - RF - AMR"/>
    <s v="AMR"/>
    <n v="2021"/>
    <n v="4"/>
    <n v="5"/>
    <n v="2025"/>
    <n v="2025"/>
    <s v="KY 2025"/>
    <s v="N"/>
    <x v="10"/>
    <n v="4"/>
    <x v="1"/>
    <x v="0"/>
    <s v="KY"/>
  </r>
  <r>
    <s v="INST"/>
    <x v="1"/>
    <s v="KY"/>
    <s v="Master Meter"/>
    <x v="1"/>
    <s v="Neptune - RF - AMR"/>
    <s v="AMR"/>
    <n v="2022"/>
    <n v="4"/>
    <n v="15"/>
    <n v="2026"/>
    <n v="2026"/>
    <s v="KY 2026"/>
    <s v="N"/>
    <x v="1"/>
    <n v="4"/>
    <x v="1"/>
    <x v="0"/>
    <s v="KY"/>
  </r>
  <r>
    <s v="INST"/>
    <x v="1"/>
    <s v="KY"/>
    <s v="Master Meter"/>
    <x v="1"/>
    <s v="Neptune - RF - AMR"/>
    <s v="AMR"/>
    <n v="2023"/>
    <n v="4"/>
    <n v="4"/>
    <n v="2027"/>
    <n v="2027"/>
    <s v="KY 2027"/>
    <s v="N"/>
    <x v="2"/>
    <n v="4"/>
    <x v="1"/>
    <x v="0"/>
    <s v="KY"/>
  </r>
  <r>
    <s v="INST"/>
    <x v="1"/>
    <s v="KY"/>
    <s v="Neptune"/>
    <x v="1"/>
    <m/>
    <s v="Manual"/>
    <n v="2022"/>
    <n v="4"/>
    <n v="1"/>
    <n v="2026"/>
    <n v="2026"/>
    <s v="KY 2026"/>
    <s v="N"/>
    <x v="1"/>
    <n v="4"/>
    <x v="0"/>
    <x v="0"/>
    <s v="KY"/>
  </r>
  <r>
    <s v="INST"/>
    <x v="1"/>
    <s v="KY"/>
    <s v="Neptune"/>
    <x v="1"/>
    <s v="Badger - ME - RF - AMR"/>
    <s v="AMR"/>
    <n v="2025"/>
    <n v="4"/>
    <n v="1"/>
    <n v="2029"/>
    <n v="2029"/>
    <s v="KY 2029"/>
    <s v="N"/>
    <x v="8"/>
    <n v="4"/>
    <x v="1"/>
    <x v="0"/>
    <s v="KY"/>
  </r>
  <r>
    <s v="INST"/>
    <x v="1"/>
    <s v="KY"/>
    <s v="Neptune"/>
    <x v="1"/>
    <s v="Neptune - RF - AMR"/>
    <s v="AMR"/>
    <n v="2018"/>
    <n v="4"/>
    <n v="1"/>
    <n v="2022"/>
    <n v="2025"/>
    <s v="KY 2025"/>
    <s v="N"/>
    <x v="10"/>
    <n v="7"/>
    <x v="1"/>
    <x v="0"/>
    <s v="KY"/>
  </r>
  <r>
    <s v="INST"/>
    <x v="1"/>
    <s v="KY"/>
    <s v="Neptune"/>
    <x v="1"/>
    <s v="Neptune - RF - AMR"/>
    <s v="AMR"/>
    <n v="2022"/>
    <n v="4"/>
    <n v="3"/>
    <n v="2026"/>
    <n v="2026"/>
    <s v="KY 2026"/>
    <s v="N"/>
    <x v="1"/>
    <n v="4"/>
    <x v="1"/>
    <x v="0"/>
    <s v="KY"/>
  </r>
  <r>
    <s v="INST"/>
    <x v="1"/>
    <s v="KY"/>
    <s v="Neptune"/>
    <x v="1"/>
    <s v="Badger - ATT Cellular - AMI"/>
    <s v="AMI"/>
    <n v="2018"/>
    <n v="4"/>
    <n v="1"/>
    <n v="2022"/>
    <n v="2025"/>
    <s v="KY 2025"/>
    <s v="Y"/>
    <x v="10"/>
    <n v="7"/>
    <x v="2"/>
    <x v="0"/>
    <s v="KY"/>
  </r>
  <r>
    <s v="INST"/>
    <x v="1"/>
    <s v="KY"/>
    <s v="Neptune"/>
    <x v="1"/>
    <s v="Badger - ATT Cellular - AMI"/>
    <s v="AMI"/>
    <n v="2019"/>
    <n v="4"/>
    <n v="7"/>
    <n v="2023"/>
    <n v="2025"/>
    <s v="KY 2025"/>
    <s v="Y"/>
    <x v="10"/>
    <n v="6"/>
    <x v="2"/>
    <x v="0"/>
    <s v="KY"/>
  </r>
  <r>
    <s v="INST"/>
    <x v="1"/>
    <s v="KY"/>
    <s v="Neptune"/>
    <x v="1"/>
    <s v="Badger - ATT Cellular - AMI"/>
    <s v="AMI"/>
    <n v="2021"/>
    <n v="4"/>
    <n v="2"/>
    <n v="2025"/>
    <n v="2025"/>
    <s v="KY 2025"/>
    <s v="Y"/>
    <x v="10"/>
    <n v="4"/>
    <x v="2"/>
    <x v="0"/>
    <s v="KY"/>
  </r>
  <r>
    <s v="INST"/>
    <x v="1"/>
    <s v="KY"/>
    <s v="Neptune"/>
    <x v="1"/>
    <s v="Badger - ATT Cellular - AMI"/>
    <s v="AMI"/>
    <n v="2022"/>
    <n v="4"/>
    <n v="3"/>
    <n v="2026"/>
    <n v="2026"/>
    <s v="KY 2026"/>
    <s v="Y"/>
    <x v="1"/>
    <n v="4"/>
    <x v="2"/>
    <x v="0"/>
    <s v="KY"/>
  </r>
  <r>
    <s v="INST"/>
    <x v="1"/>
    <s v="KY"/>
    <s v="Neptune"/>
    <x v="1"/>
    <s v="Badger - ATT Cellular - AMI"/>
    <s v="AMI"/>
    <n v="2023"/>
    <n v="4"/>
    <n v="1"/>
    <n v="2027"/>
    <n v="2027"/>
    <s v="KY 2027"/>
    <s v="Y"/>
    <x v="2"/>
    <n v="4"/>
    <x v="2"/>
    <x v="0"/>
    <s v="KY"/>
  </r>
  <r>
    <s v="INST"/>
    <x v="1"/>
    <s v="KY"/>
    <s v="Neptune"/>
    <x v="1"/>
    <s v="Badger - ME - RF - AMR"/>
    <s v="AMR"/>
    <n v="2020"/>
    <n v="4"/>
    <n v="1"/>
    <n v="2024"/>
    <n v="2025"/>
    <s v="KY 2025"/>
    <s v="N"/>
    <x v="10"/>
    <n v="5"/>
    <x v="1"/>
    <x v="0"/>
    <s v="KY"/>
  </r>
  <r>
    <s v="INST"/>
    <x v="1"/>
    <s v="KY"/>
    <s v="Neptune"/>
    <x v="1"/>
    <s v="Badger - ME - RF - AMR"/>
    <s v="AMR"/>
    <n v="2022"/>
    <n v="4"/>
    <n v="9"/>
    <n v="2026"/>
    <n v="2026"/>
    <s v="KY 2026"/>
    <s v="N"/>
    <x v="1"/>
    <n v="4"/>
    <x v="1"/>
    <x v="0"/>
    <s v="KY"/>
  </r>
  <r>
    <s v="INST"/>
    <x v="1"/>
    <s v="KY"/>
    <s v="Neptune"/>
    <x v="1"/>
    <s v="Badger - ME - RF - AMR"/>
    <s v="AMR"/>
    <n v="2023"/>
    <n v="4"/>
    <n v="7"/>
    <n v="2027"/>
    <n v="2027"/>
    <s v="KY 2027"/>
    <s v="N"/>
    <x v="2"/>
    <n v="4"/>
    <x v="1"/>
    <x v="0"/>
    <s v="KY"/>
  </r>
  <r>
    <s v="INST"/>
    <x v="1"/>
    <s v="KY"/>
    <s v="Neptune"/>
    <x v="1"/>
    <s v="Badger - ME - RF - AMR"/>
    <s v="AMR"/>
    <n v="2025"/>
    <n v="4"/>
    <n v="2"/>
    <n v="2029"/>
    <n v="2029"/>
    <s v="KY 2029"/>
    <s v="N"/>
    <x v="8"/>
    <n v="4"/>
    <x v="1"/>
    <x v="0"/>
    <s v="KY"/>
  </r>
  <r>
    <s v="INST"/>
    <x v="1"/>
    <s v="KY"/>
    <s v="Neptune"/>
    <x v="0"/>
    <s v="Neptune - RF - AMR"/>
    <s v="AMR"/>
    <n v="2018"/>
    <n v="4"/>
    <n v="1"/>
    <n v="2022"/>
    <n v="2025"/>
    <s v="KY 2025"/>
    <s v="N"/>
    <x v="10"/>
    <n v="7"/>
    <x v="1"/>
    <x v="0"/>
    <s v="KY"/>
  </r>
  <r>
    <s v="INST"/>
    <x v="1"/>
    <s v="KY"/>
    <s v="Neptune"/>
    <x v="0"/>
    <s v="Neptune - RF - AMR"/>
    <s v="AMR"/>
    <n v="2020"/>
    <n v="4"/>
    <n v="4"/>
    <n v="2024"/>
    <n v="2025"/>
    <s v="KY 2025"/>
    <s v="N"/>
    <x v="10"/>
    <n v="5"/>
    <x v="1"/>
    <x v="0"/>
    <s v="KY"/>
  </r>
  <r>
    <s v="INST"/>
    <x v="1"/>
    <s v="KY"/>
    <s v="Neptune"/>
    <x v="0"/>
    <s v="Neptune - RF - AMR"/>
    <s v="AMR"/>
    <n v="2022"/>
    <n v="4"/>
    <n v="4"/>
    <n v="2026"/>
    <n v="2026"/>
    <s v="KY 2026"/>
    <s v="N"/>
    <x v="1"/>
    <n v="4"/>
    <x v="1"/>
    <x v="0"/>
    <s v="KY"/>
  </r>
  <r>
    <s v="INST"/>
    <x v="1"/>
    <s v="KY"/>
    <s v="Neptune"/>
    <x v="0"/>
    <s v="Neptune - RF - AMR"/>
    <s v="AMR"/>
    <n v="2023"/>
    <n v="4"/>
    <n v="17"/>
    <n v="2027"/>
    <n v="2027"/>
    <s v="KY 2027"/>
    <s v="N"/>
    <x v="2"/>
    <n v="4"/>
    <x v="1"/>
    <x v="0"/>
    <s v="KY"/>
  </r>
  <r>
    <s v="INST"/>
    <x v="1"/>
    <s v="KY"/>
    <s v="Neptune"/>
    <x v="1"/>
    <s v="Neptune - RF - AMR"/>
    <s v="AMR"/>
    <n v="2015"/>
    <n v="4"/>
    <n v="2"/>
    <n v="2019"/>
    <n v="2025"/>
    <s v="KY 2025"/>
    <s v="N"/>
    <x v="10"/>
    <n v="10"/>
    <x v="1"/>
    <x v="0"/>
    <s v="KY"/>
  </r>
  <r>
    <s v="INST"/>
    <x v="1"/>
    <s v="KY"/>
    <s v="Neptune"/>
    <x v="1"/>
    <s v="Neptune - RF - AMR"/>
    <s v="AMR"/>
    <n v="2016"/>
    <n v="4"/>
    <n v="3"/>
    <n v="2020"/>
    <n v="2025"/>
    <s v="KY 2025"/>
    <s v="N"/>
    <x v="10"/>
    <n v="9"/>
    <x v="1"/>
    <x v="0"/>
    <s v="KY"/>
  </r>
  <r>
    <s v="INST"/>
    <x v="1"/>
    <s v="KY"/>
    <s v="Neptune"/>
    <x v="1"/>
    <s v="Neptune - RF - AMR"/>
    <s v="AMR"/>
    <n v="2017"/>
    <n v="4"/>
    <n v="7"/>
    <n v="2021"/>
    <n v="2025"/>
    <s v="KY 2025"/>
    <s v="N"/>
    <x v="10"/>
    <n v="8"/>
    <x v="1"/>
    <x v="0"/>
    <s v="KY"/>
  </r>
  <r>
    <s v="INST"/>
    <x v="1"/>
    <s v="KY"/>
    <s v="Neptune"/>
    <x v="1"/>
    <s v="Neptune - RF - AMR"/>
    <s v="AMR"/>
    <n v="2018"/>
    <n v="4"/>
    <n v="35"/>
    <n v="2022"/>
    <n v="2025"/>
    <s v="KY 2025"/>
    <s v="N"/>
    <x v="10"/>
    <n v="7"/>
    <x v="1"/>
    <x v="0"/>
    <s v="KY"/>
  </r>
  <r>
    <s v="INST"/>
    <x v="1"/>
    <s v="KY"/>
    <s v="Neptune"/>
    <x v="1"/>
    <s v="Neptune - RF - AMR"/>
    <s v="AMR"/>
    <n v="2019"/>
    <n v="4"/>
    <n v="73"/>
    <n v="2023"/>
    <n v="2025"/>
    <s v="KY 2025"/>
    <s v="N"/>
    <x v="10"/>
    <n v="6"/>
    <x v="1"/>
    <x v="0"/>
    <s v="KY"/>
  </r>
  <r>
    <s v="INST"/>
    <x v="1"/>
    <s v="KY"/>
    <s v="Neptune"/>
    <x v="1"/>
    <s v="Neptune - RF - AMR"/>
    <s v="AMR"/>
    <n v="2020"/>
    <n v="4"/>
    <n v="47"/>
    <n v="2024"/>
    <n v="2025"/>
    <s v="KY 2025"/>
    <s v="N"/>
    <x v="10"/>
    <n v="5"/>
    <x v="1"/>
    <x v="0"/>
    <s v="KY"/>
  </r>
  <r>
    <s v="INST"/>
    <x v="1"/>
    <s v="KY"/>
    <s v="Neptune"/>
    <x v="1"/>
    <s v="Neptune - RF - AMR"/>
    <s v="AMR"/>
    <n v="2021"/>
    <n v="4"/>
    <n v="6"/>
    <n v="2025"/>
    <n v="2025"/>
    <s v="KY 2025"/>
    <s v="N"/>
    <x v="10"/>
    <n v="4"/>
    <x v="1"/>
    <x v="0"/>
    <s v="KY"/>
  </r>
  <r>
    <s v="INST"/>
    <x v="1"/>
    <s v="KY"/>
    <s v="Neptune"/>
    <x v="1"/>
    <s v="Neptune - RF - AMR"/>
    <s v="AMR"/>
    <n v="2022"/>
    <n v="4"/>
    <n v="918"/>
    <n v="2026"/>
    <n v="2026"/>
    <s v="KY 2026"/>
    <s v="N"/>
    <x v="1"/>
    <n v="4"/>
    <x v="1"/>
    <x v="0"/>
    <s v="KY"/>
  </r>
  <r>
    <s v="INST"/>
    <x v="1"/>
    <s v="KY"/>
    <s v="Neptune"/>
    <x v="1"/>
    <s v="Neptune - RF - AMR"/>
    <s v="AMR"/>
    <n v="2023"/>
    <n v="4"/>
    <n v="367"/>
    <n v="2027"/>
    <n v="2027"/>
    <s v="KY 2027"/>
    <s v="N"/>
    <x v="2"/>
    <n v="4"/>
    <x v="1"/>
    <x v="0"/>
    <s v="KY"/>
  </r>
  <r>
    <s v="INST"/>
    <x v="1"/>
    <s v="KY"/>
    <s v="Sensus"/>
    <x v="1"/>
    <s v="Mueller - RF - AMR"/>
    <s v="AMR"/>
    <n v="2021"/>
    <n v="4"/>
    <n v="1"/>
    <n v="2025"/>
    <n v="2025"/>
    <s v="KY 2025"/>
    <s v="N"/>
    <x v="10"/>
    <n v="4"/>
    <x v="1"/>
    <x v="0"/>
    <s v="KY"/>
  </r>
  <r>
    <s v="INST"/>
    <x v="1"/>
    <s v="KY"/>
    <s v="Sensus"/>
    <x v="1"/>
    <s v="Neptune - RF - AMR"/>
    <s v="AMR"/>
    <n v="2016"/>
    <n v="4"/>
    <n v="1"/>
    <n v="2020"/>
    <n v="2025"/>
    <s v="KY 2025"/>
    <s v="N"/>
    <x v="10"/>
    <n v="9"/>
    <x v="1"/>
    <x v="0"/>
    <s v="KY"/>
  </r>
  <r>
    <s v="INST"/>
    <x v="1"/>
    <s v="KY"/>
    <s v="Sensus"/>
    <x v="1"/>
    <s v="Neptune - RF - AMR"/>
    <s v="AMR"/>
    <n v="2017"/>
    <n v="4"/>
    <n v="2"/>
    <n v="2021"/>
    <n v="2025"/>
    <s v="KY 2025"/>
    <s v="N"/>
    <x v="10"/>
    <n v="8"/>
    <x v="1"/>
    <x v="0"/>
    <s v="KY"/>
  </r>
  <r>
    <s v="INST"/>
    <x v="1"/>
    <s v="KY"/>
    <s v="Sensus"/>
    <x v="1"/>
    <s v="Neptune - RF - AMR"/>
    <s v="AMR"/>
    <n v="2018"/>
    <n v="4"/>
    <n v="2"/>
    <n v="2022"/>
    <n v="2025"/>
    <s v="KY 2025"/>
    <s v="N"/>
    <x v="10"/>
    <n v="7"/>
    <x v="1"/>
    <x v="0"/>
    <s v="KY"/>
  </r>
  <r>
    <s v="INST"/>
    <x v="1"/>
    <s v="KY"/>
    <s v="Sensus"/>
    <x v="1"/>
    <s v="Neptune - RF - AMR"/>
    <s v="AMR"/>
    <n v="2019"/>
    <n v="4"/>
    <n v="3"/>
    <n v="2023"/>
    <n v="2025"/>
    <s v="KY 2025"/>
    <s v="N"/>
    <x v="10"/>
    <n v="6"/>
    <x v="1"/>
    <x v="0"/>
    <s v="KY"/>
  </r>
  <r>
    <s v="INST"/>
    <x v="1"/>
    <s v="KY"/>
    <s v="Sensus"/>
    <x v="1"/>
    <s v="Neptune - RF - AMR"/>
    <s v="AMR"/>
    <n v="2021"/>
    <n v="4"/>
    <n v="3"/>
    <n v="2025"/>
    <n v="2025"/>
    <s v="KY 2025"/>
    <s v="N"/>
    <x v="10"/>
    <n v="4"/>
    <x v="1"/>
    <x v="0"/>
    <s v="KY"/>
  </r>
  <r>
    <s v="INST"/>
    <x v="1"/>
    <s v="KY"/>
    <s v="Sensus"/>
    <x v="1"/>
    <s v="Neptune - RF - AMR"/>
    <s v="AMR"/>
    <n v="2022"/>
    <n v="4"/>
    <n v="1"/>
    <n v="2026"/>
    <n v="2026"/>
    <s v="KY 2026"/>
    <s v="N"/>
    <x v="1"/>
    <n v="4"/>
    <x v="1"/>
    <x v="0"/>
    <s v="KY"/>
  </r>
  <r>
    <s v="INST"/>
    <x v="1"/>
    <s v="KY"/>
    <s v="Sensus"/>
    <x v="1"/>
    <s v="Neptune - RF - AMR"/>
    <s v="AMR"/>
    <n v="2023"/>
    <n v="4"/>
    <n v="1"/>
    <n v="2027"/>
    <n v="2027"/>
    <s v="KY 2027"/>
    <s v="N"/>
    <x v="2"/>
    <n v="4"/>
    <x v="1"/>
    <x v="0"/>
    <s v="KY"/>
  </r>
  <r>
    <s v="INST"/>
    <x v="2"/>
    <s v="KY"/>
    <s v="Neptune"/>
    <x v="1"/>
    <s v="Badger - ATT Cellular - AMI"/>
    <s v="AMI"/>
    <n v="2023"/>
    <n v="4"/>
    <n v="1"/>
    <n v="2027"/>
    <n v="2027"/>
    <s v="KY 2027"/>
    <s v="Y"/>
    <x v="2"/>
    <n v="4"/>
    <x v="2"/>
    <x v="0"/>
    <s v="KY"/>
  </r>
  <r>
    <s v="INST"/>
    <x v="2"/>
    <s v="KY"/>
    <s v="Neptune"/>
    <x v="1"/>
    <s v="Badger - ME - RF - AMR"/>
    <s v="AMR"/>
    <n v="2019"/>
    <n v="4"/>
    <n v="1"/>
    <n v="2023"/>
    <n v="2025"/>
    <s v="KY 2025"/>
    <s v="N"/>
    <x v="10"/>
    <n v="6"/>
    <x v="1"/>
    <x v="0"/>
    <s v="KY"/>
  </r>
  <r>
    <s v="INST"/>
    <x v="2"/>
    <s v="KY"/>
    <s v="Neptune"/>
    <x v="1"/>
    <s v="Badger - ME - RF - AMR"/>
    <s v="AMR"/>
    <n v="2023"/>
    <n v="4"/>
    <n v="24"/>
    <n v="2027"/>
    <n v="2027"/>
    <s v="KY 2027"/>
    <s v="N"/>
    <x v="2"/>
    <n v="4"/>
    <x v="1"/>
    <x v="0"/>
    <s v="KY"/>
  </r>
  <r>
    <s v="INST"/>
    <x v="2"/>
    <s v="KY"/>
    <s v="Neptune"/>
    <x v="1"/>
    <s v="Badger - ME - RF - AMR"/>
    <s v="AMR"/>
    <n v="2025"/>
    <n v="4"/>
    <n v="3"/>
    <n v="2029"/>
    <n v="2029"/>
    <s v="KY 2029"/>
    <s v="N"/>
    <x v="8"/>
    <n v="4"/>
    <x v="1"/>
    <x v="0"/>
    <s v="KY"/>
  </r>
  <r>
    <s v="INST"/>
    <x v="2"/>
    <s v="KY"/>
    <s v="Neptune"/>
    <x v="0"/>
    <s v="Neptune - RF - AMR"/>
    <s v="AMR"/>
    <n v="2015"/>
    <n v="4"/>
    <n v="1"/>
    <n v="2019"/>
    <n v="2025"/>
    <s v="KY 2025"/>
    <s v="N"/>
    <x v="10"/>
    <n v="10"/>
    <x v="1"/>
    <x v="0"/>
    <s v="KY"/>
  </r>
  <r>
    <s v="INST"/>
    <x v="2"/>
    <s v="KY"/>
    <s v="Neptune"/>
    <x v="0"/>
    <s v="Neptune - RF - AMR"/>
    <s v="AMR"/>
    <n v="2019"/>
    <n v="4"/>
    <n v="2"/>
    <n v="2023"/>
    <n v="2025"/>
    <s v="KY 2025"/>
    <s v="N"/>
    <x v="10"/>
    <n v="6"/>
    <x v="1"/>
    <x v="0"/>
    <s v="KY"/>
  </r>
  <r>
    <s v="INST"/>
    <x v="2"/>
    <s v="KY"/>
    <s v="Neptune"/>
    <x v="0"/>
    <s v="Neptune - RF - AMR"/>
    <s v="AMR"/>
    <n v="2022"/>
    <n v="4"/>
    <n v="1"/>
    <n v="2026"/>
    <n v="2026"/>
    <s v="KY 2026"/>
    <s v="N"/>
    <x v="1"/>
    <n v="4"/>
    <x v="1"/>
    <x v="0"/>
    <s v="KY"/>
  </r>
  <r>
    <s v="INST"/>
    <x v="2"/>
    <s v="KY"/>
    <s v="Neptune"/>
    <x v="0"/>
    <s v="Neptune - RF - AMR"/>
    <s v="AMR"/>
    <n v="2023"/>
    <n v="4"/>
    <n v="1"/>
    <n v="2027"/>
    <n v="2027"/>
    <s v="KY 2027"/>
    <s v="N"/>
    <x v="2"/>
    <n v="4"/>
    <x v="1"/>
    <x v="0"/>
    <s v="KY"/>
  </r>
  <r>
    <s v="INST"/>
    <x v="2"/>
    <s v="KY"/>
    <s v="Neptune"/>
    <x v="1"/>
    <s v="Neptune - RF - AMR"/>
    <s v="AMR"/>
    <n v="2015"/>
    <n v="4"/>
    <n v="2"/>
    <n v="2019"/>
    <n v="2025"/>
    <s v="KY 2025"/>
    <s v="N"/>
    <x v="10"/>
    <n v="10"/>
    <x v="1"/>
    <x v="0"/>
    <s v="KY"/>
  </r>
  <r>
    <s v="INST"/>
    <x v="2"/>
    <s v="KY"/>
    <s v="Neptune"/>
    <x v="1"/>
    <s v="Neptune - RF - AMR"/>
    <s v="AMR"/>
    <n v="2016"/>
    <n v="4"/>
    <n v="2"/>
    <n v="2020"/>
    <n v="2025"/>
    <s v="KY 2025"/>
    <s v="N"/>
    <x v="10"/>
    <n v="9"/>
    <x v="1"/>
    <x v="0"/>
    <s v="KY"/>
  </r>
  <r>
    <s v="INST"/>
    <x v="2"/>
    <s v="KY"/>
    <s v="Neptune"/>
    <x v="1"/>
    <s v="Neptune - RF - AMR"/>
    <s v="AMR"/>
    <n v="2017"/>
    <n v="4"/>
    <n v="3"/>
    <n v="2021"/>
    <n v="2025"/>
    <s v="KY 2025"/>
    <s v="N"/>
    <x v="10"/>
    <n v="8"/>
    <x v="1"/>
    <x v="0"/>
    <s v="KY"/>
  </r>
  <r>
    <s v="INST"/>
    <x v="2"/>
    <s v="KY"/>
    <s v="Neptune"/>
    <x v="1"/>
    <s v="Neptune - RF - AMR"/>
    <s v="AMR"/>
    <n v="2018"/>
    <n v="4"/>
    <n v="2"/>
    <n v="2022"/>
    <n v="2025"/>
    <s v="KY 2025"/>
    <s v="N"/>
    <x v="10"/>
    <n v="7"/>
    <x v="1"/>
    <x v="0"/>
    <s v="KY"/>
  </r>
  <r>
    <s v="INST"/>
    <x v="2"/>
    <s v="KY"/>
    <s v="Neptune"/>
    <x v="1"/>
    <s v="Neptune - RF - AMR"/>
    <s v="AMR"/>
    <n v="2019"/>
    <n v="4"/>
    <n v="26"/>
    <n v="2023"/>
    <n v="2025"/>
    <s v="KY 2025"/>
    <s v="N"/>
    <x v="10"/>
    <n v="6"/>
    <x v="1"/>
    <x v="0"/>
    <s v="KY"/>
  </r>
  <r>
    <s v="INST"/>
    <x v="2"/>
    <s v="KY"/>
    <s v="Neptune"/>
    <x v="1"/>
    <s v="Neptune - RF - AMR"/>
    <s v="AMR"/>
    <n v="2020"/>
    <n v="4"/>
    <n v="13"/>
    <n v="2024"/>
    <n v="2025"/>
    <s v="KY 2025"/>
    <s v="N"/>
    <x v="10"/>
    <n v="5"/>
    <x v="1"/>
    <x v="0"/>
    <s v="KY"/>
  </r>
  <r>
    <s v="INST"/>
    <x v="2"/>
    <s v="KY"/>
    <s v="Neptune"/>
    <x v="1"/>
    <s v="Neptune - RF - AMR"/>
    <s v="AMR"/>
    <n v="2022"/>
    <n v="4"/>
    <n v="2"/>
    <n v="2026"/>
    <n v="2026"/>
    <s v="KY 2026"/>
    <s v="N"/>
    <x v="1"/>
    <n v="4"/>
    <x v="1"/>
    <x v="0"/>
    <s v="KY"/>
  </r>
  <r>
    <s v="INST"/>
    <x v="2"/>
    <s v="KY"/>
    <s v="Neptune"/>
    <x v="1"/>
    <s v="Neptune - RF - AMR"/>
    <s v="AMR"/>
    <n v="2023"/>
    <n v="4"/>
    <n v="168"/>
    <n v="2027"/>
    <n v="2027"/>
    <s v="KY 2027"/>
    <s v="N"/>
    <x v="2"/>
    <n v="4"/>
    <x v="1"/>
    <x v="0"/>
    <s v="KY"/>
  </r>
  <r>
    <s v="INST"/>
    <x v="2"/>
    <s v="KY"/>
    <s v="Neptune"/>
    <x v="1"/>
    <s v="Neptune - RF - AMR"/>
    <s v="AMR"/>
    <n v="2024"/>
    <n v="4"/>
    <n v="1"/>
    <n v="2028"/>
    <n v="2028"/>
    <s v="KY 2028"/>
    <s v="N"/>
    <x v="0"/>
    <n v="4"/>
    <x v="1"/>
    <x v="0"/>
    <s v="KY"/>
  </r>
  <r>
    <s v="INST"/>
    <x v="2"/>
    <s v="KY"/>
    <s v="Neptune"/>
    <x v="1"/>
    <s v="Neptune - RF - AMR"/>
    <s v="AMR"/>
    <n v="2025"/>
    <n v="4"/>
    <n v="1"/>
    <n v="2029"/>
    <n v="2029"/>
    <s v="KY 2029"/>
    <s v="N"/>
    <x v="8"/>
    <n v="4"/>
    <x v="1"/>
    <x v="0"/>
    <s v="KY"/>
  </r>
  <r>
    <s v="INST"/>
    <x v="3"/>
    <s v="KY"/>
    <s v="Badger"/>
    <x v="1"/>
    <m/>
    <s v="Manual"/>
    <n v="2020"/>
    <n v="10"/>
    <n v="2"/>
    <n v="2030"/>
    <n v="2030"/>
    <s v="KY 2030"/>
    <s v="N"/>
    <x v="3"/>
    <n v="10"/>
    <x v="0"/>
    <x v="0"/>
    <s v="KY"/>
  </r>
  <r>
    <s v="INST"/>
    <x v="3"/>
    <s v="KY"/>
    <s v="Badger"/>
    <x v="0"/>
    <s v="Badger - ATT Cellular - AMI"/>
    <s v="AMI"/>
    <n v="2018"/>
    <n v="10"/>
    <n v="1"/>
    <n v="2028"/>
    <n v="2028"/>
    <s v="KY 2028"/>
    <s v="Y"/>
    <x v="0"/>
    <n v="10"/>
    <x v="2"/>
    <x v="0"/>
    <s v="KY"/>
  </r>
  <r>
    <s v="INST"/>
    <x v="3"/>
    <s v="KY"/>
    <s v="Badger"/>
    <x v="0"/>
    <s v="Badger - ATT Cellular - AMI"/>
    <s v="AMI"/>
    <n v="2020"/>
    <n v="10"/>
    <n v="1"/>
    <n v="2030"/>
    <n v="2030"/>
    <s v="KY 2030"/>
    <s v="Y"/>
    <x v="3"/>
    <n v="10"/>
    <x v="2"/>
    <x v="0"/>
    <s v="KY"/>
  </r>
  <r>
    <s v="INST"/>
    <x v="3"/>
    <s v="KY"/>
    <s v="Badger"/>
    <x v="1"/>
    <s v="Badger - ATT Cellular - AMI"/>
    <s v="AMI"/>
    <n v="2017"/>
    <n v="10"/>
    <n v="12"/>
    <n v="2027"/>
    <n v="2027"/>
    <s v="KY 2027"/>
    <s v="Y"/>
    <x v="2"/>
    <n v="10"/>
    <x v="2"/>
    <x v="0"/>
    <s v="KY"/>
  </r>
  <r>
    <s v="INST"/>
    <x v="3"/>
    <s v="KY"/>
    <s v="Badger"/>
    <x v="1"/>
    <s v="Badger - ATT Cellular - AMI"/>
    <s v="AMI"/>
    <n v="2018"/>
    <n v="10"/>
    <n v="4"/>
    <n v="2028"/>
    <n v="2028"/>
    <s v="KY 2028"/>
    <s v="Y"/>
    <x v="0"/>
    <n v="10"/>
    <x v="2"/>
    <x v="0"/>
    <s v="KY"/>
  </r>
  <r>
    <s v="INST"/>
    <x v="3"/>
    <s v="KY"/>
    <s v="Badger"/>
    <x v="1"/>
    <s v="Badger - ATT Cellular - AMI"/>
    <s v="AMI"/>
    <n v="2019"/>
    <n v="10"/>
    <n v="2"/>
    <n v="2029"/>
    <n v="2029"/>
    <s v="KY 2029"/>
    <s v="Y"/>
    <x v="8"/>
    <n v="10"/>
    <x v="2"/>
    <x v="0"/>
    <s v="KY"/>
  </r>
  <r>
    <s v="INST"/>
    <x v="3"/>
    <s v="KY"/>
    <s v="Badger"/>
    <x v="1"/>
    <s v="Badger - ATT Cellular - AMI"/>
    <s v="AMI"/>
    <n v="2020"/>
    <n v="10"/>
    <n v="2"/>
    <n v="2030"/>
    <n v="2030"/>
    <s v="KY 2030"/>
    <s v="Y"/>
    <x v="3"/>
    <n v="10"/>
    <x v="2"/>
    <x v="0"/>
    <s v="KY"/>
  </r>
  <r>
    <s v="INST"/>
    <x v="3"/>
    <s v="KY"/>
    <s v="Badger"/>
    <x v="1"/>
    <s v="Badger - ATT Cellular - AMI"/>
    <s v="AMI"/>
    <n v="2022"/>
    <n v="10"/>
    <n v="3"/>
    <n v="2032"/>
    <n v="2032"/>
    <s v="KY 2032"/>
    <s v="Y"/>
    <x v="5"/>
    <n v="10"/>
    <x v="2"/>
    <x v="0"/>
    <s v="KY"/>
  </r>
  <r>
    <s v="INST"/>
    <x v="3"/>
    <s v="KY"/>
    <s v="Badger"/>
    <x v="1"/>
    <s v="Badger - ATT Cellular - AMI"/>
    <s v="AMI"/>
    <n v="2023"/>
    <n v="10"/>
    <n v="1"/>
    <n v="2033"/>
    <n v="2033"/>
    <s v="KY 2033"/>
    <s v="Y"/>
    <x v="6"/>
    <n v="10"/>
    <x v="2"/>
    <x v="0"/>
    <s v="KY"/>
  </r>
  <r>
    <s v="INST"/>
    <x v="3"/>
    <s v="KY"/>
    <s v="Badger"/>
    <x v="0"/>
    <s v="Badger - ATT Cellular - AMI"/>
    <s v="AMI"/>
    <n v="2022"/>
    <n v="10"/>
    <n v="1"/>
    <n v="2032"/>
    <n v="2032"/>
    <s v="KY 2032"/>
    <s v="Y"/>
    <x v="5"/>
    <n v="10"/>
    <x v="2"/>
    <x v="0"/>
    <s v="KY"/>
  </r>
  <r>
    <s v="INST"/>
    <x v="3"/>
    <s v="KY"/>
    <s v="Badger"/>
    <x v="1"/>
    <s v="Badger - ME - RF - AMR"/>
    <s v="AMR"/>
    <n v="2017"/>
    <n v="10"/>
    <n v="1"/>
    <n v="2027"/>
    <n v="2027"/>
    <s v="KY 2027"/>
    <s v="N"/>
    <x v="2"/>
    <n v="10"/>
    <x v="1"/>
    <x v="0"/>
    <s v="KY"/>
  </r>
  <r>
    <s v="INST"/>
    <x v="3"/>
    <s v="KY"/>
    <s v="Badger"/>
    <x v="1"/>
    <s v="Badger - ME - RF - AMR"/>
    <s v="AMR"/>
    <n v="2022"/>
    <n v="10"/>
    <n v="1"/>
    <n v="2032"/>
    <n v="2032"/>
    <s v="KY 2032"/>
    <s v="N"/>
    <x v="5"/>
    <n v="10"/>
    <x v="1"/>
    <x v="0"/>
    <s v="KY"/>
  </r>
  <r>
    <s v="INST"/>
    <x v="3"/>
    <s v="KY"/>
    <s v="Badger"/>
    <x v="1"/>
    <s v="Badger - ME - RF - AMR"/>
    <s v="AMR"/>
    <n v="2023"/>
    <n v="10"/>
    <n v="3"/>
    <n v="2033"/>
    <n v="2033"/>
    <s v="KY 2033"/>
    <s v="N"/>
    <x v="6"/>
    <n v="10"/>
    <x v="1"/>
    <x v="0"/>
    <s v="KY"/>
  </r>
  <r>
    <s v="INST"/>
    <x v="3"/>
    <s v="KY"/>
    <s v="Badger"/>
    <x v="1"/>
    <s v="Badger - ME - RF - AMR"/>
    <s v="AMR"/>
    <n v="2024"/>
    <n v="10"/>
    <n v="10"/>
    <n v="2034"/>
    <n v="2034"/>
    <s v="KY 2034"/>
    <s v="N"/>
    <x v="7"/>
    <n v="10"/>
    <x v="1"/>
    <x v="0"/>
    <s v="KY"/>
  </r>
  <r>
    <s v="INST"/>
    <x v="3"/>
    <s v="KY"/>
    <s v="Badger"/>
    <x v="0"/>
    <s v="Neptune - RF - AMR"/>
    <s v="AMR"/>
    <n v="2017"/>
    <n v="10"/>
    <n v="8"/>
    <n v="2027"/>
    <n v="2027"/>
    <s v="KY 2027"/>
    <s v="N"/>
    <x v="2"/>
    <n v="10"/>
    <x v="1"/>
    <x v="0"/>
    <s v="KY"/>
  </r>
  <r>
    <s v="INST"/>
    <x v="3"/>
    <s v="KY"/>
    <s v="Badger"/>
    <x v="0"/>
    <s v="Neptune - RF - AMR"/>
    <s v="AMR"/>
    <n v="2018"/>
    <n v="10"/>
    <n v="8"/>
    <n v="2028"/>
    <n v="2028"/>
    <s v="KY 2028"/>
    <s v="N"/>
    <x v="0"/>
    <n v="10"/>
    <x v="1"/>
    <x v="0"/>
    <s v="KY"/>
  </r>
  <r>
    <s v="INST"/>
    <x v="3"/>
    <s v="KY"/>
    <s v="Badger"/>
    <x v="0"/>
    <s v="Neptune - RF - AMR"/>
    <s v="AMR"/>
    <n v="2019"/>
    <n v="10"/>
    <n v="7"/>
    <n v="2029"/>
    <n v="2029"/>
    <s v="KY 2029"/>
    <s v="N"/>
    <x v="8"/>
    <n v="10"/>
    <x v="1"/>
    <x v="0"/>
    <s v="KY"/>
  </r>
  <r>
    <s v="INST"/>
    <x v="3"/>
    <s v="KY"/>
    <s v="Badger"/>
    <x v="0"/>
    <s v="Neptune - RF - AMR"/>
    <s v="AMR"/>
    <n v="2020"/>
    <n v="10"/>
    <n v="3"/>
    <n v="2030"/>
    <n v="2030"/>
    <s v="KY 2030"/>
    <s v="N"/>
    <x v="3"/>
    <n v="10"/>
    <x v="1"/>
    <x v="0"/>
    <s v="KY"/>
  </r>
  <r>
    <s v="INST"/>
    <x v="3"/>
    <s v="KY"/>
    <s v="Badger"/>
    <x v="0"/>
    <s v="Neptune - RF - AMR"/>
    <s v="AMR"/>
    <n v="2022"/>
    <n v="10"/>
    <n v="4"/>
    <n v="2032"/>
    <n v="2032"/>
    <s v="KY 2032"/>
    <s v="N"/>
    <x v="5"/>
    <n v="10"/>
    <x v="1"/>
    <x v="0"/>
    <s v="KY"/>
  </r>
  <r>
    <s v="INST"/>
    <x v="3"/>
    <s v="KY"/>
    <s v="Badger"/>
    <x v="0"/>
    <s v="Neptune - RF - AMR"/>
    <s v="AMR"/>
    <n v="2023"/>
    <n v="10"/>
    <n v="3"/>
    <n v="2033"/>
    <n v="2033"/>
    <s v="KY 2033"/>
    <s v="N"/>
    <x v="6"/>
    <n v="10"/>
    <x v="1"/>
    <x v="0"/>
    <s v="KY"/>
  </r>
  <r>
    <s v="INST"/>
    <x v="3"/>
    <s v="KY"/>
    <s v="Badger"/>
    <x v="1"/>
    <s v="Neptune - RF - AMR"/>
    <s v="AMR"/>
    <n v="2016"/>
    <n v="10"/>
    <n v="54"/>
    <n v="2026"/>
    <n v="2026"/>
    <s v="KY 2026"/>
    <s v="N"/>
    <x v="1"/>
    <n v="10"/>
    <x v="1"/>
    <x v="0"/>
    <s v="KY"/>
  </r>
  <r>
    <s v="INST"/>
    <x v="3"/>
    <s v="KY"/>
    <s v="Badger"/>
    <x v="1"/>
    <s v="Neptune - RF - AMR"/>
    <s v="AMR"/>
    <n v="2017"/>
    <n v="10"/>
    <n v="1170"/>
    <n v="2027"/>
    <n v="2027"/>
    <s v="KY 2027"/>
    <s v="N"/>
    <x v="2"/>
    <n v="10"/>
    <x v="1"/>
    <x v="0"/>
    <s v="KY"/>
  </r>
  <r>
    <s v="INST"/>
    <x v="3"/>
    <s v="KY"/>
    <s v="Badger"/>
    <x v="1"/>
    <s v="Neptune - RF - AMR"/>
    <s v="AMR"/>
    <n v="2018"/>
    <n v="10"/>
    <n v="911"/>
    <n v="2028"/>
    <n v="2028"/>
    <s v="KY 2028"/>
    <s v="N"/>
    <x v="0"/>
    <n v="10"/>
    <x v="1"/>
    <x v="0"/>
    <s v="KY"/>
  </r>
  <r>
    <s v="INST"/>
    <x v="3"/>
    <s v="KY"/>
    <s v="Badger"/>
    <x v="1"/>
    <s v="Neptune - RF - AMR"/>
    <s v="AMR"/>
    <n v="2019"/>
    <n v="10"/>
    <n v="798"/>
    <n v="2029"/>
    <n v="2029"/>
    <s v="KY 2029"/>
    <s v="N"/>
    <x v="8"/>
    <n v="10"/>
    <x v="1"/>
    <x v="0"/>
    <s v="KY"/>
  </r>
  <r>
    <s v="INST"/>
    <x v="3"/>
    <s v="KY"/>
    <s v="Badger"/>
    <x v="1"/>
    <s v="Neptune - RF - AMR"/>
    <s v="AMR"/>
    <n v="2020"/>
    <n v="10"/>
    <n v="334"/>
    <n v="2030"/>
    <n v="2030"/>
    <s v="KY 2030"/>
    <s v="N"/>
    <x v="3"/>
    <n v="10"/>
    <x v="1"/>
    <x v="0"/>
    <s v="KY"/>
  </r>
  <r>
    <s v="INST"/>
    <x v="3"/>
    <s v="KY"/>
    <s v="Badger"/>
    <x v="1"/>
    <s v="Neptune - RF - AMR"/>
    <s v="AMR"/>
    <n v="2022"/>
    <n v="10"/>
    <n v="452"/>
    <n v="2032"/>
    <n v="2032"/>
    <s v="KY 2032"/>
    <s v="N"/>
    <x v="5"/>
    <n v="10"/>
    <x v="1"/>
    <x v="0"/>
    <s v="KY"/>
  </r>
  <r>
    <s v="INST"/>
    <x v="3"/>
    <s v="KY"/>
    <s v="Badger"/>
    <x v="1"/>
    <s v="Neptune - RF - AMR"/>
    <s v="AMR"/>
    <n v="2023"/>
    <n v="10"/>
    <n v="432"/>
    <n v="2033"/>
    <n v="2033"/>
    <s v="KY 2033"/>
    <s v="N"/>
    <x v="6"/>
    <n v="10"/>
    <x v="1"/>
    <x v="0"/>
    <s v="KY"/>
  </r>
  <r>
    <s v="INST"/>
    <x v="3"/>
    <s v="KY"/>
    <s v="Badger"/>
    <x v="1"/>
    <s v="Neptune - RF - AMR"/>
    <s v="AMR"/>
    <n v="2024"/>
    <n v="10"/>
    <n v="12"/>
    <n v="2034"/>
    <n v="2034"/>
    <s v="KY 2034"/>
    <s v="N"/>
    <x v="7"/>
    <n v="10"/>
    <x v="1"/>
    <x v="0"/>
    <s v="KY"/>
  </r>
  <r>
    <s v="INST"/>
    <x v="3"/>
    <s v="KY"/>
    <s v="Mueller"/>
    <x v="1"/>
    <m/>
    <s v="Manual"/>
    <n v="2014"/>
    <n v="10"/>
    <n v="1"/>
    <n v="2024"/>
    <n v="2025"/>
    <s v="KY 2025"/>
    <s v="N"/>
    <x v="10"/>
    <n v="11"/>
    <x v="0"/>
    <x v="0"/>
    <s v="KY"/>
  </r>
  <r>
    <s v="INST"/>
    <x v="3"/>
    <s v="KY"/>
    <s v="Mueller"/>
    <x v="1"/>
    <s v="Badger - ATT Cellular - AMI"/>
    <s v="AMI"/>
    <n v="2014"/>
    <n v="10"/>
    <n v="1"/>
    <n v="2024"/>
    <n v="2025"/>
    <s v="KY 2025"/>
    <s v="Y"/>
    <x v="10"/>
    <n v="11"/>
    <x v="2"/>
    <x v="0"/>
    <s v="KY"/>
  </r>
  <r>
    <s v="INST"/>
    <x v="3"/>
    <s v="KY"/>
    <s v="Mueller"/>
    <x v="0"/>
    <s v="Mueller - RF - AMR"/>
    <s v="AMR"/>
    <n v="2014"/>
    <n v="10"/>
    <n v="1"/>
    <n v="2024"/>
    <n v="2025"/>
    <s v="KY 2025"/>
    <s v="N"/>
    <x v="10"/>
    <n v="11"/>
    <x v="1"/>
    <x v="0"/>
    <s v="KY"/>
  </r>
  <r>
    <s v="INST"/>
    <x v="3"/>
    <s v="KY"/>
    <s v="Mueller"/>
    <x v="1"/>
    <s v="Mueller - RF - AMR"/>
    <s v="AMR"/>
    <n v="2014"/>
    <n v="10"/>
    <n v="116"/>
    <n v="2024"/>
    <n v="2025"/>
    <s v="KY 2025"/>
    <s v="N"/>
    <x v="10"/>
    <n v="11"/>
    <x v="1"/>
    <x v="0"/>
    <s v="KY"/>
  </r>
  <r>
    <s v="INST"/>
    <x v="3"/>
    <s v="KY"/>
    <s v="Neptune"/>
    <x v="1"/>
    <s v="Neptune - RF - AMR"/>
    <s v="AMR"/>
    <n v="2011"/>
    <n v="10"/>
    <n v="1"/>
    <n v="2021"/>
    <n v="2025"/>
    <s v="KY 2025"/>
    <s v="N"/>
    <x v="10"/>
    <n v="14"/>
    <x v="1"/>
    <x v="0"/>
    <s v="KY"/>
  </r>
  <r>
    <s v="INST"/>
    <x v="3"/>
    <s v="KY"/>
    <s v="Neptune"/>
    <x v="0"/>
    <s v="Badger - ATT Cellular - AMI"/>
    <s v="AMI"/>
    <n v="2024"/>
    <n v="10"/>
    <n v="1"/>
    <n v="2034"/>
    <n v="2034"/>
    <s v="KY 2034"/>
    <s v="Y"/>
    <x v="7"/>
    <n v="10"/>
    <x v="2"/>
    <x v="0"/>
    <s v="KY"/>
  </r>
  <r>
    <s v="INST"/>
    <x v="3"/>
    <s v="KY"/>
    <s v="Neptune"/>
    <x v="1"/>
    <s v="Badger - ATT Cellular - AMI"/>
    <s v="AMI"/>
    <n v="2023"/>
    <n v="10"/>
    <n v="1"/>
    <n v="2033"/>
    <n v="2033"/>
    <s v="KY 2033"/>
    <s v="Y"/>
    <x v="6"/>
    <n v="10"/>
    <x v="2"/>
    <x v="0"/>
    <s v="KY"/>
  </r>
  <r>
    <s v="INST"/>
    <x v="3"/>
    <s v="KY"/>
    <s v="Neptune"/>
    <x v="0"/>
    <s v="Badger - ME - RF - AMR"/>
    <s v="AMR"/>
    <n v="2024"/>
    <n v="10"/>
    <n v="1"/>
    <n v="2034"/>
    <n v="2034"/>
    <s v="KY 2034"/>
    <s v="N"/>
    <x v="7"/>
    <n v="10"/>
    <x v="1"/>
    <x v="0"/>
    <s v="KY"/>
  </r>
  <r>
    <s v="INST"/>
    <x v="3"/>
    <s v="KY"/>
    <s v="Neptune"/>
    <x v="1"/>
    <s v="Badger - ME - RF - AMR"/>
    <s v="AMR"/>
    <n v="2023"/>
    <n v="10"/>
    <n v="1"/>
    <n v="2033"/>
    <n v="2033"/>
    <s v="KY 2033"/>
    <s v="N"/>
    <x v="6"/>
    <n v="10"/>
    <x v="1"/>
    <x v="0"/>
    <s v="KY"/>
  </r>
  <r>
    <s v="INST"/>
    <x v="3"/>
    <s v="KY"/>
    <s v="Neptune"/>
    <x v="1"/>
    <s v="Badger - ME - RF - AMR"/>
    <s v="AMR"/>
    <n v="2024"/>
    <n v="10"/>
    <n v="119"/>
    <n v="2034"/>
    <n v="2034"/>
    <s v="KY 2034"/>
    <s v="N"/>
    <x v="7"/>
    <n v="10"/>
    <x v="1"/>
    <x v="0"/>
    <s v="KY"/>
  </r>
  <r>
    <s v="INST"/>
    <x v="3"/>
    <s v="KY"/>
    <s v="Neptune"/>
    <x v="0"/>
    <s v="Neptune - RF - AMR"/>
    <s v="AMR"/>
    <n v="2010"/>
    <n v="10"/>
    <n v="2"/>
    <n v="2020"/>
    <n v="2025"/>
    <s v="KY 2025"/>
    <s v="N"/>
    <x v="10"/>
    <n v="15"/>
    <x v="1"/>
    <x v="0"/>
    <s v="KY"/>
  </r>
  <r>
    <s v="INST"/>
    <x v="3"/>
    <s v="KY"/>
    <s v="Neptune"/>
    <x v="0"/>
    <s v="Neptune - RF - AMR"/>
    <s v="AMR"/>
    <n v="2011"/>
    <n v="10"/>
    <n v="2"/>
    <n v="2021"/>
    <n v="2025"/>
    <s v="KY 2025"/>
    <s v="N"/>
    <x v="10"/>
    <n v="14"/>
    <x v="1"/>
    <x v="0"/>
    <s v="KY"/>
  </r>
  <r>
    <s v="INST"/>
    <x v="3"/>
    <s v="KY"/>
    <s v="Neptune"/>
    <x v="0"/>
    <s v="Neptune - RF - AMR"/>
    <s v="AMR"/>
    <n v="2012"/>
    <n v="10"/>
    <n v="2"/>
    <n v="2022"/>
    <n v="2025"/>
    <s v="KY 2025"/>
    <s v="N"/>
    <x v="10"/>
    <n v="13"/>
    <x v="1"/>
    <x v="0"/>
    <s v="KY"/>
  </r>
  <r>
    <s v="INST"/>
    <x v="3"/>
    <s v="KY"/>
    <s v="Neptune"/>
    <x v="0"/>
    <s v="Neptune - RF - AMR"/>
    <s v="AMR"/>
    <n v="2013"/>
    <n v="10"/>
    <n v="1"/>
    <n v="2023"/>
    <n v="2025"/>
    <s v="KY 2025"/>
    <s v="N"/>
    <x v="10"/>
    <n v="12"/>
    <x v="1"/>
    <x v="0"/>
    <s v="KY"/>
  </r>
  <r>
    <s v="INST"/>
    <x v="3"/>
    <s v="KY"/>
    <s v="Neptune"/>
    <x v="0"/>
    <s v="Neptune - RF - AMR"/>
    <s v="AMR"/>
    <n v="2016"/>
    <n v="10"/>
    <n v="1"/>
    <n v="2026"/>
    <n v="2026"/>
    <s v="KY 2026"/>
    <s v="N"/>
    <x v="1"/>
    <n v="10"/>
    <x v="1"/>
    <x v="0"/>
    <s v="KY"/>
  </r>
  <r>
    <s v="INST"/>
    <x v="3"/>
    <s v="KY"/>
    <s v="Neptune"/>
    <x v="0"/>
    <s v="Neptune - RF - AMR"/>
    <s v="AMR"/>
    <n v="2023"/>
    <n v="10"/>
    <n v="1"/>
    <n v="2033"/>
    <n v="2033"/>
    <s v="KY 2033"/>
    <s v="N"/>
    <x v="6"/>
    <n v="10"/>
    <x v="1"/>
    <x v="0"/>
    <s v="KY"/>
  </r>
  <r>
    <s v="INST"/>
    <x v="3"/>
    <s v="KY"/>
    <s v="Neptune"/>
    <x v="1"/>
    <s v="Neptune - RF - AMR"/>
    <s v="AMR"/>
    <n v="2009"/>
    <n v="10"/>
    <n v="3"/>
    <n v="2019"/>
    <n v="2025"/>
    <s v="KY 2025"/>
    <s v="N"/>
    <x v="10"/>
    <n v="16"/>
    <x v="1"/>
    <x v="0"/>
    <s v="KY"/>
  </r>
  <r>
    <s v="INST"/>
    <x v="3"/>
    <s v="KY"/>
    <s v="Neptune"/>
    <x v="1"/>
    <s v="Neptune - RF - AMR"/>
    <s v="AMR"/>
    <n v="2010"/>
    <n v="10"/>
    <n v="10"/>
    <n v="2020"/>
    <n v="2025"/>
    <s v="KY 2025"/>
    <s v="N"/>
    <x v="10"/>
    <n v="15"/>
    <x v="1"/>
    <x v="0"/>
    <s v="KY"/>
  </r>
  <r>
    <s v="INST"/>
    <x v="3"/>
    <s v="KY"/>
    <s v="Neptune"/>
    <x v="1"/>
    <s v="Neptune - RF - AMR"/>
    <s v="AMR"/>
    <n v="2011"/>
    <n v="10"/>
    <n v="215"/>
    <n v="2021"/>
    <n v="2025"/>
    <s v="KY 2025"/>
    <s v="N"/>
    <x v="10"/>
    <n v="14"/>
    <x v="1"/>
    <x v="0"/>
    <s v="KY"/>
  </r>
  <r>
    <s v="INST"/>
    <x v="3"/>
    <s v="KY"/>
    <s v="Neptune"/>
    <x v="1"/>
    <s v="Neptune - RF - AMR"/>
    <s v="AMR"/>
    <n v="2012"/>
    <n v="10"/>
    <n v="202"/>
    <n v="2022"/>
    <n v="2025"/>
    <s v="KY 2025"/>
    <s v="N"/>
    <x v="10"/>
    <n v="13"/>
    <x v="1"/>
    <x v="0"/>
    <s v="KY"/>
  </r>
  <r>
    <s v="INST"/>
    <x v="3"/>
    <s v="KY"/>
    <s v="Neptune"/>
    <x v="1"/>
    <s v="Neptune - RF - AMR"/>
    <s v="AMR"/>
    <n v="2013"/>
    <n v="10"/>
    <n v="47"/>
    <n v="2023"/>
    <n v="2025"/>
    <s v="KY 2025"/>
    <s v="N"/>
    <x v="10"/>
    <n v="12"/>
    <x v="1"/>
    <x v="0"/>
    <s v="KY"/>
  </r>
  <r>
    <s v="INST"/>
    <x v="3"/>
    <s v="KY"/>
    <s v="Neptune"/>
    <x v="1"/>
    <s v="Neptune - RF - AMR"/>
    <s v="AMR"/>
    <n v="2014"/>
    <n v="10"/>
    <n v="14"/>
    <n v="2024"/>
    <n v="2025"/>
    <s v="KY 2025"/>
    <s v="N"/>
    <x v="10"/>
    <n v="11"/>
    <x v="1"/>
    <x v="0"/>
    <s v="KY"/>
  </r>
  <r>
    <s v="INST"/>
    <x v="3"/>
    <s v="KY"/>
    <s v="Neptune"/>
    <x v="1"/>
    <s v="Neptune - RF - AMR"/>
    <s v="AMR"/>
    <n v="2015"/>
    <n v="10"/>
    <n v="17"/>
    <n v="2025"/>
    <n v="2025"/>
    <s v="KY 2025"/>
    <s v="N"/>
    <x v="10"/>
    <n v="10"/>
    <x v="1"/>
    <x v="0"/>
    <s v="KY"/>
  </r>
  <r>
    <s v="INST"/>
    <x v="3"/>
    <s v="KY"/>
    <s v="Neptune"/>
    <x v="1"/>
    <s v="Neptune - RF - AMR"/>
    <s v="AMR"/>
    <n v="2016"/>
    <n v="10"/>
    <n v="89"/>
    <n v="2026"/>
    <n v="2026"/>
    <s v="KY 2026"/>
    <s v="N"/>
    <x v="1"/>
    <n v="10"/>
    <x v="1"/>
    <x v="0"/>
    <s v="KY"/>
  </r>
  <r>
    <s v="INST"/>
    <x v="3"/>
    <s v="KY"/>
    <s v="Neptune"/>
    <x v="1"/>
    <s v="Neptune - RF - AMR"/>
    <s v="AMR"/>
    <n v="2017"/>
    <n v="10"/>
    <n v="1"/>
    <n v="2027"/>
    <n v="2027"/>
    <s v="KY 2027"/>
    <s v="N"/>
    <x v="2"/>
    <n v="10"/>
    <x v="1"/>
    <x v="0"/>
    <s v="KY"/>
  </r>
  <r>
    <s v="INST"/>
    <x v="3"/>
    <s v="KY"/>
    <s v="Neptune"/>
    <x v="1"/>
    <s v="Neptune - RF - AMR"/>
    <s v="AMR"/>
    <n v="2020"/>
    <n v="10"/>
    <n v="12"/>
    <n v="2030"/>
    <n v="2030"/>
    <s v="KY 2030"/>
    <s v="N"/>
    <x v="3"/>
    <n v="10"/>
    <x v="1"/>
    <x v="0"/>
    <s v="KY"/>
  </r>
  <r>
    <s v="INST"/>
    <x v="3"/>
    <s v="KY"/>
    <s v="Neptune"/>
    <x v="1"/>
    <s v="Neptune - RF - AMR"/>
    <s v="AMR"/>
    <n v="2021"/>
    <n v="10"/>
    <n v="9"/>
    <n v="2031"/>
    <n v="2031"/>
    <s v="KY 2031"/>
    <s v="N"/>
    <x v="4"/>
    <n v="10"/>
    <x v="1"/>
    <x v="0"/>
    <s v="KY"/>
  </r>
  <r>
    <s v="INST"/>
    <x v="3"/>
    <s v="KY"/>
    <s v="Neptune"/>
    <x v="1"/>
    <s v="Neptune - RF - AMR"/>
    <s v="AMR"/>
    <n v="2022"/>
    <n v="10"/>
    <n v="14"/>
    <n v="2032"/>
    <n v="2032"/>
    <s v="KY 2032"/>
    <s v="N"/>
    <x v="5"/>
    <n v="10"/>
    <x v="1"/>
    <x v="0"/>
    <s v="KY"/>
  </r>
  <r>
    <s v="INST"/>
    <x v="3"/>
    <s v="KY"/>
    <s v="Neptune"/>
    <x v="1"/>
    <s v="Neptune - RF - AMR"/>
    <s v="AMR"/>
    <n v="2023"/>
    <n v="10"/>
    <n v="229"/>
    <n v="2033"/>
    <n v="2033"/>
    <s v="KY 2033"/>
    <s v="N"/>
    <x v="6"/>
    <n v="10"/>
    <x v="1"/>
    <x v="0"/>
    <s v="KY"/>
  </r>
  <r>
    <s v="INST"/>
    <x v="3"/>
    <s v="KY"/>
    <s v="Neptune"/>
    <x v="1"/>
    <s v="Neptune - RF - AMR"/>
    <s v="AMR"/>
    <n v="2024"/>
    <n v="10"/>
    <n v="76"/>
    <n v="2034"/>
    <n v="2034"/>
    <s v="KY 2034"/>
    <s v="N"/>
    <x v="7"/>
    <n v="10"/>
    <x v="1"/>
    <x v="0"/>
    <s v="KY"/>
  </r>
  <r>
    <m/>
    <x v="4"/>
    <s v="Kentucky-American Water"/>
    <m/>
    <x v="0"/>
    <s v="blank"/>
    <m/>
    <m/>
    <m/>
    <n v="0"/>
    <m/>
    <n v="2025"/>
    <s v="Kentucky-American Water 2025"/>
    <m/>
    <x v="10"/>
    <n v="2025"/>
    <x v="2"/>
    <x v="1"/>
    <s v="Kentucky-American Water"/>
  </r>
  <r>
    <m/>
    <x v="4"/>
    <s v="Kentucky-American Water"/>
    <m/>
    <x v="1"/>
    <s v="blank"/>
    <m/>
    <m/>
    <m/>
    <n v="0"/>
    <m/>
    <n v="2025"/>
    <s v="Kentucky-American Water 2025"/>
    <m/>
    <x v="10"/>
    <n v="2025"/>
    <x v="2"/>
    <x v="1"/>
    <s v="Kentucky-American Water"/>
  </r>
  <r>
    <m/>
    <x v="4"/>
    <s v="Kentucky-American Water"/>
    <m/>
    <x v="0"/>
    <s v="blank"/>
    <m/>
    <m/>
    <m/>
    <n v="0"/>
    <m/>
    <n v="2025"/>
    <s v="Kentucky-American Water 2025"/>
    <m/>
    <x v="10"/>
    <n v="2025"/>
    <x v="1"/>
    <x v="1"/>
    <s v="Kentucky-American Water"/>
  </r>
  <r>
    <m/>
    <x v="4"/>
    <s v="Kentucky-American Water"/>
    <m/>
    <x v="1"/>
    <s v="blank"/>
    <m/>
    <m/>
    <m/>
    <n v="0"/>
    <m/>
    <n v="2025"/>
    <s v="Kentucky-American Water 2025"/>
    <m/>
    <x v="10"/>
    <n v="2025"/>
    <x v="1"/>
    <x v="1"/>
    <s v="Kentucky-American Water"/>
  </r>
  <r>
    <m/>
    <x v="4"/>
    <s v="Kentucky-American Water"/>
    <m/>
    <x v="0"/>
    <s v="blank"/>
    <m/>
    <m/>
    <m/>
    <n v="0"/>
    <m/>
    <n v="2025"/>
    <s v="Kentucky-American Water 2025"/>
    <m/>
    <x v="10"/>
    <n v="2025"/>
    <x v="0"/>
    <x v="1"/>
    <s v="Kentucky-American Water"/>
  </r>
  <r>
    <m/>
    <x v="4"/>
    <s v="Kentucky-American Water"/>
    <m/>
    <x v="1"/>
    <s v="blank"/>
    <m/>
    <m/>
    <m/>
    <n v="0"/>
    <m/>
    <n v="2025"/>
    <s v="Kentucky-American Water 2025"/>
    <m/>
    <x v="10"/>
    <n v="2025"/>
    <x v="0"/>
    <x v="1"/>
    <s v="Kentucky-American Water"/>
  </r>
  <r>
    <m/>
    <x v="4"/>
    <s v="Kentucky-American Water"/>
    <m/>
    <x v="0"/>
    <s v="blank"/>
    <m/>
    <m/>
    <m/>
    <n v="0"/>
    <m/>
    <n v="2025"/>
    <s v="Kentucky-American Water 2025"/>
    <m/>
    <x v="10"/>
    <n v="2025"/>
    <x v="2"/>
    <x v="0"/>
    <s v="Kentucky-American Water"/>
  </r>
  <r>
    <m/>
    <x v="4"/>
    <s v="Kentucky-American Water"/>
    <m/>
    <x v="1"/>
    <s v="blank"/>
    <m/>
    <m/>
    <m/>
    <n v="0"/>
    <m/>
    <n v="2025"/>
    <s v="Kentucky-American Water 2025"/>
    <m/>
    <x v="10"/>
    <n v="2025"/>
    <x v="2"/>
    <x v="0"/>
    <s v="Kentucky-American Water"/>
  </r>
  <r>
    <m/>
    <x v="4"/>
    <s v="Kentucky-American Water"/>
    <m/>
    <x v="0"/>
    <s v="blank"/>
    <m/>
    <m/>
    <m/>
    <n v="0"/>
    <m/>
    <n v="2025"/>
    <s v="Kentucky-American Water 2025"/>
    <m/>
    <x v="10"/>
    <n v="2025"/>
    <x v="1"/>
    <x v="0"/>
    <s v="Kentucky-American Water"/>
  </r>
  <r>
    <m/>
    <x v="4"/>
    <s v="Kentucky-American Water"/>
    <m/>
    <x v="1"/>
    <s v="blank"/>
    <m/>
    <m/>
    <m/>
    <n v="0"/>
    <m/>
    <n v="2025"/>
    <s v="Kentucky-American Water 2025"/>
    <m/>
    <x v="10"/>
    <n v="2025"/>
    <x v="1"/>
    <x v="0"/>
    <s v="Kentucky-American Water"/>
  </r>
  <r>
    <m/>
    <x v="4"/>
    <s v="Kentucky-American Water"/>
    <m/>
    <x v="0"/>
    <s v="blank"/>
    <m/>
    <m/>
    <m/>
    <n v="0"/>
    <m/>
    <n v="2025"/>
    <s v="Kentucky-American Water 2025"/>
    <m/>
    <x v="10"/>
    <n v="2025"/>
    <x v="0"/>
    <x v="0"/>
    <s v="Kentucky-American Water"/>
  </r>
  <r>
    <m/>
    <x v="4"/>
    <s v="Kentucky-American Water"/>
    <m/>
    <x v="1"/>
    <s v="blank"/>
    <m/>
    <m/>
    <m/>
    <n v="0"/>
    <m/>
    <n v="2025"/>
    <s v="Kentucky-American Water 2025"/>
    <m/>
    <x v="10"/>
    <n v="2025"/>
    <x v="0"/>
    <x v="0"/>
    <s v="Kentucky-American Water"/>
  </r>
  <r>
    <m/>
    <x v="4"/>
    <m/>
    <m/>
    <x v="2"/>
    <m/>
    <m/>
    <m/>
    <m/>
    <m/>
    <m/>
    <m/>
    <m/>
    <m/>
    <x v="11"/>
    <m/>
    <x v="3"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">
  <r>
    <s v="INST"/>
    <s v="5/8&quot; Water Meter Size"/>
    <s v="KY"/>
    <s v="Badger"/>
    <x v="0"/>
    <m/>
    <s v="Manual"/>
    <n v="2018"/>
    <n v="10"/>
    <n v="2"/>
    <n v="2028"/>
    <n v="2028"/>
    <s v="KY 2028"/>
    <s v="N"/>
    <x v="0"/>
    <n v="10"/>
    <x v="0"/>
    <x v="0"/>
    <s v="KY"/>
    <x v="0"/>
    <n v="10"/>
  </r>
  <r>
    <s v="INST"/>
    <s v="5/8&quot; Water Meter Size"/>
    <s v="KY"/>
    <s v="Badger"/>
    <x v="1"/>
    <m/>
    <s v="Manual"/>
    <n v="2016"/>
    <n v="10"/>
    <n v="1"/>
    <n v="2026"/>
    <n v="2026"/>
    <s v="KY 2026"/>
    <s v="N"/>
    <x v="1"/>
    <n v="10"/>
    <x v="0"/>
    <x v="0"/>
    <s v="KY"/>
    <x v="1"/>
    <n v="10"/>
  </r>
  <r>
    <s v="INST"/>
    <s v="5/8&quot; Water Meter Size"/>
    <s v="KY"/>
    <s v="Badger"/>
    <x v="1"/>
    <m/>
    <s v="Manual"/>
    <n v="2017"/>
    <n v="10"/>
    <n v="2"/>
    <n v="2027"/>
    <n v="2027"/>
    <s v="KY 2027"/>
    <s v="N"/>
    <x v="2"/>
    <n v="10"/>
    <x v="0"/>
    <x v="0"/>
    <s v="KY"/>
    <x v="2"/>
    <n v="10"/>
  </r>
  <r>
    <s v="INST"/>
    <s v="5/8&quot; Water Meter Size"/>
    <s v="KY"/>
    <s v="Badger"/>
    <x v="1"/>
    <m/>
    <s v="Manual"/>
    <n v="2018"/>
    <n v="10"/>
    <n v="9"/>
    <n v="2028"/>
    <n v="2028"/>
    <s v="KY 2028"/>
    <s v="N"/>
    <x v="0"/>
    <n v="10"/>
    <x v="0"/>
    <x v="0"/>
    <s v="KY"/>
    <x v="0"/>
    <n v="10"/>
  </r>
  <r>
    <s v="INST"/>
    <s v="5/8&quot; Water Meter Size"/>
    <s v="KY"/>
    <s v="Badger"/>
    <x v="1"/>
    <m/>
    <s v="Manual"/>
    <n v="2020"/>
    <n v="10"/>
    <n v="1"/>
    <n v="2030"/>
    <n v="2030"/>
    <s v="KY 2030"/>
    <s v="N"/>
    <x v="3"/>
    <n v="10"/>
    <x v="0"/>
    <x v="0"/>
    <s v="KY"/>
    <x v="3"/>
    <n v="10"/>
  </r>
  <r>
    <s v="INST"/>
    <s v="5/8&quot; Water Meter Size"/>
    <s v="KY"/>
    <s v="Badger"/>
    <x v="1"/>
    <m/>
    <s v="Manual"/>
    <n v="2021"/>
    <n v="10"/>
    <n v="4"/>
    <n v="2031"/>
    <n v="2031"/>
    <s v="KY 2031"/>
    <s v="N"/>
    <x v="4"/>
    <n v="10"/>
    <x v="0"/>
    <x v="0"/>
    <s v="KY"/>
    <x v="4"/>
    <n v="10"/>
  </r>
  <r>
    <s v="INST"/>
    <s v="5/8&quot; Water Meter Size"/>
    <s v="KY"/>
    <s v="Badger"/>
    <x v="1"/>
    <m/>
    <s v="Manual"/>
    <n v="2022"/>
    <n v="10"/>
    <n v="4"/>
    <n v="2032"/>
    <n v="2032"/>
    <s v="KY 2032"/>
    <s v="N"/>
    <x v="5"/>
    <n v="10"/>
    <x v="0"/>
    <x v="0"/>
    <s v="KY"/>
    <x v="5"/>
    <n v="10"/>
  </r>
  <r>
    <s v="INST"/>
    <s v="5/8&quot; Water Meter Size"/>
    <s v="KY"/>
    <s v="Badger"/>
    <x v="1"/>
    <m/>
    <s v="Manual"/>
    <n v="2023"/>
    <n v="10"/>
    <n v="1"/>
    <n v="2033"/>
    <n v="2033"/>
    <s v="KY 2033"/>
    <s v="N"/>
    <x v="6"/>
    <n v="10"/>
    <x v="0"/>
    <x v="0"/>
    <s v="KY"/>
    <x v="6"/>
    <n v="10"/>
  </r>
  <r>
    <s v="INST"/>
    <s v="5/8&quot; Water Meter Size"/>
    <s v="KY"/>
    <s v="Badger"/>
    <x v="1"/>
    <m/>
    <s v="Manual"/>
    <n v="2024"/>
    <n v="10"/>
    <n v="4"/>
    <n v="2034"/>
    <n v="2034"/>
    <s v="KY 2034"/>
    <s v="N"/>
    <x v="7"/>
    <n v="10"/>
    <x v="0"/>
    <x v="0"/>
    <s v="KY"/>
    <x v="7"/>
    <n v="10"/>
  </r>
  <r>
    <s v="INST"/>
    <s v="5/8&quot; Water Meter Size"/>
    <s v="KY"/>
    <s v="Badger"/>
    <x v="1"/>
    <s v="Badger - ME - RF - AMR"/>
    <s v="AMR"/>
    <n v="2024"/>
    <n v="10"/>
    <n v="1"/>
    <n v="2034"/>
    <n v="2034"/>
    <s v="KY 2034"/>
    <s v="N"/>
    <x v="7"/>
    <n v="10"/>
    <x v="1"/>
    <x v="0"/>
    <s v="KY"/>
    <x v="7"/>
    <n v="10"/>
  </r>
  <r>
    <s v="INST"/>
    <s v="5/8&quot; Water Meter Size"/>
    <s v="KY"/>
    <s v="Badger"/>
    <x v="0"/>
    <s v="Neptune - RF - AMR"/>
    <s v="AMR"/>
    <n v="2021"/>
    <n v="10"/>
    <n v="1"/>
    <n v="2031"/>
    <n v="2031"/>
    <s v="KY 2031"/>
    <s v="N"/>
    <x v="4"/>
    <n v="10"/>
    <x v="1"/>
    <x v="0"/>
    <s v="KY"/>
    <x v="4"/>
    <n v="10"/>
  </r>
  <r>
    <s v="INST"/>
    <s v="5/8&quot; Water Meter Size"/>
    <s v="KY"/>
    <s v="Badger"/>
    <x v="0"/>
    <s v="Neptune - RF - AMR"/>
    <s v="AMR"/>
    <n v="2023"/>
    <n v="10"/>
    <n v="1"/>
    <n v="2033"/>
    <n v="2033"/>
    <s v="KY 2033"/>
    <s v="N"/>
    <x v="6"/>
    <n v="10"/>
    <x v="1"/>
    <x v="0"/>
    <s v="KY"/>
    <x v="6"/>
    <n v="10"/>
  </r>
  <r>
    <s v="INST"/>
    <s v="5/8&quot; Water Meter Size"/>
    <s v="KY"/>
    <s v="Badger"/>
    <x v="1"/>
    <s v="Neptune - RF - AMR"/>
    <s v="AMR"/>
    <n v="2016"/>
    <n v="10"/>
    <n v="1"/>
    <n v="2026"/>
    <n v="2026"/>
    <s v="KY 2026"/>
    <s v="N"/>
    <x v="1"/>
    <n v="10"/>
    <x v="1"/>
    <x v="0"/>
    <s v="KY"/>
    <x v="1"/>
    <n v="10"/>
  </r>
  <r>
    <s v="INST"/>
    <s v="5/8&quot; Water Meter Size"/>
    <s v="KY"/>
    <s v="Badger"/>
    <x v="1"/>
    <s v="Neptune - RF - AMR"/>
    <s v="AMR"/>
    <n v="2018"/>
    <n v="10"/>
    <n v="1"/>
    <n v="2028"/>
    <n v="2028"/>
    <s v="KY 2028"/>
    <s v="N"/>
    <x v="0"/>
    <n v="10"/>
    <x v="1"/>
    <x v="0"/>
    <s v="KY"/>
    <x v="0"/>
    <n v="10"/>
  </r>
  <r>
    <s v="INST"/>
    <s v="5/8&quot; Water Meter Size"/>
    <s v="KY"/>
    <s v="Badger"/>
    <x v="1"/>
    <s v="Neptune - RF - AMR"/>
    <s v="AMR"/>
    <n v="2022"/>
    <n v="10"/>
    <n v="1"/>
    <n v="2032"/>
    <n v="2032"/>
    <s v="KY 2032"/>
    <s v="N"/>
    <x v="5"/>
    <n v="10"/>
    <x v="1"/>
    <x v="0"/>
    <s v="KY"/>
    <x v="5"/>
    <n v="10"/>
  </r>
  <r>
    <s v="INST"/>
    <s v="5/8&quot; Water Meter Size"/>
    <s v="KY"/>
    <s v="Badger"/>
    <x v="1"/>
    <s v="Neptune - RF - AMR"/>
    <s v="AMR"/>
    <n v="2023"/>
    <n v="10"/>
    <n v="6"/>
    <n v="2033"/>
    <n v="2033"/>
    <s v="KY 2033"/>
    <s v="N"/>
    <x v="6"/>
    <n v="10"/>
    <x v="1"/>
    <x v="0"/>
    <s v="KY"/>
    <x v="6"/>
    <n v="10"/>
  </r>
  <r>
    <s v="INST"/>
    <s v="5/8&quot; Water Meter Size"/>
    <s v="KY"/>
    <s v="Badger"/>
    <x v="1"/>
    <s v="Neptune - RF - AMR"/>
    <s v="AMR"/>
    <n v="2024"/>
    <n v="10"/>
    <n v="21"/>
    <n v="2034"/>
    <n v="2034"/>
    <s v="KY 2034"/>
    <s v="N"/>
    <x v="7"/>
    <n v="10"/>
    <x v="1"/>
    <x v="0"/>
    <s v="KY"/>
    <x v="7"/>
    <n v="10"/>
  </r>
  <r>
    <s v="INST"/>
    <s v="5/8&quot; Water Meter Size"/>
    <s v="KY"/>
    <s v="Badger"/>
    <x v="0"/>
    <s v="Neptune - RF - AMR"/>
    <s v="AMR"/>
    <n v="2024"/>
    <n v="10"/>
    <n v="1"/>
    <n v="2034"/>
    <n v="2034"/>
    <s v="KY 2034"/>
    <s v="N"/>
    <x v="7"/>
    <n v="10"/>
    <x v="1"/>
    <x v="0"/>
    <s v="KY"/>
    <x v="7"/>
    <n v="10"/>
  </r>
  <r>
    <s v="INST"/>
    <s v="5/8&quot; Water Meter Size"/>
    <s v="KY"/>
    <s v="Badger"/>
    <x v="0"/>
    <s v="Badger - ATT Cellular - AMI"/>
    <s v="AMI"/>
    <n v="2016"/>
    <n v="10"/>
    <n v="1"/>
    <n v="2026"/>
    <n v="2026"/>
    <s v="KY 2026"/>
    <s v="Y"/>
    <x v="1"/>
    <n v="10"/>
    <x v="2"/>
    <x v="0"/>
    <s v="KY"/>
    <x v="1"/>
    <n v="10"/>
  </r>
  <r>
    <s v="INST"/>
    <s v="5/8&quot; Water Meter Size"/>
    <s v="KY"/>
    <s v="Badger"/>
    <x v="0"/>
    <s v="Badger - ATT Cellular - AMI"/>
    <s v="AMI"/>
    <n v="2017"/>
    <n v="10"/>
    <n v="1"/>
    <n v="2027"/>
    <n v="2027"/>
    <s v="KY 2027"/>
    <s v="Y"/>
    <x v="2"/>
    <n v="10"/>
    <x v="2"/>
    <x v="0"/>
    <s v="KY"/>
    <x v="2"/>
    <n v="10"/>
  </r>
  <r>
    <s v="INST"/>
    <s v="5/8&quot; Water Meter Size"/>
    <s v="KY"/>
    <s v="Badger"/>
    <x v="0"/>
    <s v="Badger - ATT Cellular - AMI"/>
    <s v="AMI"/>
    <n v="2023"/>
    <n v="10"/>
    <n v="6"/>
    <n v="2033"/>
    <n v="2033"/>
    <s v="KY 2033"/>
    <s v="Y"/>
    <x v="6"/>
    <n v="10"/>
    <x v="2"/>
    <x v="0"/>
    <s v="KY"/>
    <x v="6"/>
    <n v="10"/>
  </r>
  <r>
    <s v="INST"/>
    <s v="5/8&quot; Water Meter Size"/>
    <s v="KY"/>
    <s v="Badger"/>
    <x v="0"/>
    <s v="Badger - ATT Cellular - AMI"/>
    <s v="AMI"/>
    <n v="2024"/>
    <n v="10"/>
    <n v="5"/>
    <n v="2034"/>
    <n v="2034"/>
    <s v="KY 2034"/>
    <s v="Y"/>
    <x v="7"/>
    <n v="10"/>
    <x v="2"/>
    <x v="0"/>
    <s v="KY"/>
    <x v="7"/>
    <n v="10"/>
  </r>
  <r>
    <s v="INST"/>
    <s v="5/8&quot; Water Meter Size"/>
    <s v="KY"/>
    <s v="Badger"/>
    <x v="1"/>
    <s v="Badger - ATT Cellular - AMI"/>
    <s v="AMI"/>
    <n v="2017"/>
    <n v="10"/>
    <n v="3"/>
    <n v="2027"/>
    <n v="2027"/>
    <s v="KY 2027"/>
    <s v="Y"/>
    <x v="2"/>
    <n v="10"/>
    <x v="2"/>
    <x v="0"/>
    <s v="KY"/>
    <x v="2"/>
    <n v="10"/>
  </r>
  <r>
    <s v="INST"/>
    <s v="5/8&quot; Water Meter Size"/>
    <s v="KY"/>
    <s v="Badger"/>
    <x v="1"/>
    <s v="Badger - ATT Cellular - AMI"/>
    <s v="AMI"/>
    <n v="2018"/>
    <n v="10"/>
    <n v="3"/>
    <n v="2028"/>
    <n v="2028"/>
    <s v="KY 2028"/>
    <s v="Y"/>
    <x v="0"/>
    <n v="10"/>
    <x v="2"/>
    <x v="0"/>
    <s v="KY"/>
    <x v="0"/>
    <n v="10"/>
  </r>
  <r>
    <s v="INST"/>
    <s v="5/8&quot; Water Meter Size"/>
    <s v="KY"/>
    <s v="Badger"/>
    <x v="1"/>
    <s v="Badger - ATT Cellular - AMI"/>
    <s v="AMI"/>
    <n v="2020"/>
    <n v="10"/>
    <n v="5"/>
    <n v="2030"/>
    <n v="2030"/>
    <s v="KY 2030"/>
    <s v="Y"/>
    <x v="3"/>
    <n v="10"/>
    <x v="2"/>
    <x v="0"/>
    <s v="KY"/>
    <x v="3"/>
    <n v="10"/>
  </r>
  <r>
    <s v="INST"/>
    <s v="5/8&quot; Water Meter Size"/>
    <s v="KY"/>
    <s v="Badger"/>
    <x v="1"/>
    <s v="Badger - ATT Cellular - AMI"/>
    <s v="AMI"/>
    <n v="2021"/>
    <n v="10"/>
    <n v="11"/>
    <n v="2031"/>
    <n v="2031"/>
    <s v="KY 2031"/>
    <s v="Y"/>
    <x v="4"/>
    <n v="10"/>
    <x v="2"/>
    <x v="0"/>
    <s v="KY"/>
    <x v="4"/>
    <n v="10"/>
  </r>
  <r>
    <s v="INST"/>
    <s v="5/8&quot; Water Meter Size"/>
    <s v="KY"/>
    <s v="Badger"/>
    <x v="1"/>
    <s v="Badger - ATT Cellular - AMI"/>
    <s v="AMI"/>
    <n v="2022"/>
    <n v="10"/>
    <n v="12"/>
    <n v="2032"/>
    <n v="2032"/>
    <s v="KY 2032"/>
    <s v="Y"/>
    <x v="5"/>
    <n v="10"/>
    <x v="2"/>
    <x v="0"/>
    <s v="KY"/>
    <x v="5"/>
    <n v="10"/>
  </r>
  <r>
    <s v="INST"/>
    <s v="5/8&quot; Water Meter Size"/>
    <s v="KY"/>
    <s v="Badger"/>
    <x v="1"/>
    <s v="Badger - ATT Cellular - AMI"/>
    <s v="AMI"/>
    <n v="2023"/>
    <n v="10"/>
    <n v="23"/>
    <n v="2033"/>
    <n v="2033"/>
    <s v="KY 2033"/>
    <s v="Y"/>
    <x v="6"/>
    <n v="10"/>
    <x v="2"/>
    <x v="0"/>
    <s v="KY"/>
    <x v="6"/>
    <n v="10"/>
  </r>
  <r>
    <s v="INST"/>
    <s v="5/8&quot; Water Meter Size"/>
    <s v="KY"/>
    <s v="Badger"/>
    <x v="1"/>
    <s v="Badger - ATT Cellular - AMI"/>
    <s v="AMI"/>
    <n v="2024"/>
    <n v="10"/>
    <n v="13"/>
    <n v="2034"/>
    <n v="2034"/>
    <s v="KY 2034"/>
    <s v="Y"/>
    <x v="7"/>
    <n v="10"/>
    <x v="2"/>
    <x v="0"/>
    <s v="KY"/>
    <x v="7"/>
    <n v="10"/>
  </r>
  <r>
    <s v="INST"/>
    <s v="5/8&quot; Water Meter Size"/>
    <s v="KY"/>
    <s v="Badger"/>
    <x v="0"/>
    <s v="Badger - ATT Cellular - AMI"/>
    <s v="AMI"/>
    <n v="2022"/>
    <n v="10"/>
    <n v="1"/>
    <n v="2032"/>
    <n v="2032"/>
    <s v="KY 2032"/>
    <s v="Y"/>
    <x v="5"/>
    <n v="10"/>
    <x v="2"/>
    <x v="0"/>
    <s v="KY"/>
    <x v="5"/>
    <n v="10"/>
  </r>
  <r>
    <s v="INST"/>
    <s v="5/8&quot; Water Meter Size"/>
    <s v="KY"/>
    <s v="Badger"/>
    <x v="0"/>
    <s v="Badger - ME - RF - AMR"/>
    <s v="AMR"/>
    <n v="2024"/>
    <n v="10"/>
    <n v="49"/>
    <n v="2034"/>
    <n v="2034"/>
    <s v="KY 2034"/>
    <s v="N"/>
    <x v="7"/>
    <n v="10"/>
    <x v="1"/>
    <x v="0"/>
    <s v="KY"/>
    <x v="7"/>
    <n v="10"/>
  </r>
  <r>
    <s v="INST"/>
    <s v="5/8&quot; Water Meter Size"/>
    <s v="KY"/>
    <s v="Badger"/>
    <x v="1"/>
    <s v="Badger - ME - RF - AMR"/>
    <s v="AMR"/>
    <n v="2016"/>
    <n v="10"/>
    <n v="1"/>
    <n v="2026"/>
    <n v="2026"/>
    <s v="KY 2026"/>
    <s v="N"/>
    <x v="1"/>
    <n v="10"/>
    <x v="1"/>
    <x v="0"/>
    <s v="KY"/>
    <x v="1"/>
    <n v="10"/>
  </r>
  <r>
    <s v="INST"/>
    <s v="5/8&quot; Water Meter Size"/>
    <s v="KY"/>
    <s v="Badger"/>
    <x v="1"/>
    <s v="Badger - ME - RF - AMR"/>
    <s v="AMR"/>
    <n v="2017"/>
    <n v="10"/>
    <n v="1"/>
    <n v="2027"/>
    <n v="2027"/>
    <s v="KY 2027"/>
    <s v="N"/>
    <x v="2"/>
    <n v="10"/>
    <x v="1"/>
    <x v="0"/>
    <s v="KY"/>
    <x v="2"/>
    <n v="10"/>
  </r>
  <r>
    <s v="INST"/>
    <s v="5/8&quot; Water Meter Size"/>
    <s v="KY"/>
    <s v="Badger"/>
    <x v="1"/>
    <s v="Badger - ME - RF - AMR"/>
    <s v="AMR"/>
    <n v="2018"/>
    <n v="10"/>
    <n v="5"/>
    <n v="2028"/>
    <n v="2028"/>
    <s v="KY 2028"/>
    <s v="N"/>
    <x v="0"/>
    <n v="10"/>
    <x v="1"/>
    <x v="0"/>
    <s v="KY"/>
    <x v="0"/>
    <n v="10"/>
  </r>
  <r>
    <s v="INST"/>
    <s v="5/8&quot; Water Meter Size"/>
    <s v="KY"/>
    <s v="Badger"/>
    <x v="1"/>
    <s v="Badger - ME - RF - AMR"/>
    <s v="AMR"/>
    <n v="2021"/>
    <n v="10"/>
    <n v="5"/>
    <n v="2031"/>
    <n v="2031"/>
    <s v="KY 2031"/>
    <s v="N"/>
    <x v="4"/>
    <n v="10"/>
    <x v="1"/>
    <x v="0"/>
    <s v="KY"/>
    <x v="4"/>
    <n v="10"/>
  </r>
  <r>
    <s v="INST"/>
    <s v="5/8&quot; Water Meter Size"/>
    <s v="KY"/>
    <s v="Badger"/>
    <x v="1"/>
    <s v="Badger - ME - RF - AMR"/>
    <s v="AMR"/>
    <n v="2022"/>
    <n v="10"/>
    <n v="8"/>
    <n v="2032"/>
    <n v="2032"/>
    <s v="KY 2032"/>
    <s v="N"/>
    <x v="5"/>
    <n v="10"/>
    <x v="1"/>
    <x v="0"/>
    <s v="KY"/>
    <x v="5"/>
    <n v="10"/>
  </r>
  <r>
    <s v="INST"/>
    <s v="5/8&quot; Water Meter Size"/>
    <s v="KY"/>
    <s v="Badger"/>
    <x v="1"/>
    <s v="Badger - ME - RF - AMR"/>
    <s v="AMR"/>
    <n v="2023"/>
    <n v="10"/>
    <n v="9"/>
    <n v="2033"/>
    <n v="2033"/>
    <s v="KY 2033"/>
    <s v="N"/>
    <x v="6"/>
    <n v="10"/>
    <x v="1"/>
    <x v="0"/>
    <s v="KY"/>
    <x v="6"/>
    <n v="10"/>
  </r>
  <r>
    <s v="INST"/>
    <s v="5/8&quot; Water Meter Size"/>
    <s v="KY"/>
    <s v="Badger"/>
    <x v="1"/>
    <s v="Badger - ME - RF - AMR"/>
    <s v="AMR"/>
    <n v="2024"/>
    <n v="10"/>
    <n v="8307"/>
    <n v="2034"/>
    <n v="2034"/>
    <s v="KY 2034"/>
    <s v="N"/>
    <x v="7"/>
    <n v="10"/>
    <x v="1"/>
    <x v="0"/>
    <s v="KY"/>
    <x v="7"/>
    <n v="10"/>
  </r>
  <r>
    <s v="INST"/>
    <s v="5/8&quot; Water Meter Size"/>
    <s v="KY"/>
    <s v="Badger"/>
    <x v="0"/>
    <s v="Badger - ME - RF - AMR"/>
    <s v="AMR"/>
    <n v="2024"/>
    <n v="10"/>
    <n v="4"/>
    <n v="2034"/>
    <n v="2034"/>
    <s v="KY 2034"/>
    <s v="N"/>
    <x v="7"/>
    <n v="10"/>
    <x v="1"/>
    <x v="0"/>
    <s v="KY"/>
    <x v="7"/>
    <n v="10"/>
  </r>
  <r>
    <s v="INST"/>
    <s v="5/8&quot; Water Meter Size"/>
    <s v="KY"/>
    <s v="Badger"/>
    <x v="1"/>
    <s v="Mueller - RF - AMR"/>
    <s v="AMR"/>
    <n v="2024"/>
    <n v="10"/>
    <n v="2"/>
    <n v="2034"/>
    <n v="2034"/>
    <s v="KY 2034"/>
    <s v="N"/>
    <x v="7"/>
    <n v="10"/>
    <x v="1"/>
    <x v="0"/>
    <s v="KY"/>
    <x v="7"/>
    <n v="10"/>
  </r>
  <r>
    <s v="INST"/>
    <s v="5/8&quot; Water Meter Size"/>
    <s v="KY"/>
    <s v="Badger"/>
    <x v="0"/>
    <s v="Neptune - RF - AMR"/>
    <s v="AMR"/>
    <n v="2016"/>
    <n v="10"/>
    <n v="22"/>
    <n v="2026"/>
    <n v="2026"/>
    <s v="KY 2026"/>
    <s v="N"/>
    <x v="1"/>
    <n v="10"/>
    <x v="1"/>
    <x v="0"/>
    <s v="KY"/>
    <x v="1"/>
    <n v="10"/>
  </r>
  <r>
    <s v="INST"/>
    <s v="5/8&quot; Water Meter Size"/>
    <s v="KY"/>
    <s v="Badger"/>
    <x v="0"/>
    <s v="Neptune - RF - AMR"/>
    <s v="AMR"/>
    <n v="2017"/>
    <n v="10"/>
    <n v="32"/>
    <n v="2027"/>
    <n v="2027"/>
    <s v="KY 2027"/>
    <s v="N"/>
    <x v="2"/>
    <n v="10"/>
    <x v="1"/>
    <x v="0"/>
    <s v="KY"/>
    <x v="2"/>
    <n v="10"/>
  </r>
  <r>
    <s v="INST"/>
    <s v="5/8&quot; Water Meter Size"/>
    <s v="KY"/>
    <s v="Badger"/>
    <x v="0"/>
    <s v="Neptune - RF - AMR"/>
    <s v="AMR"/>
    <n v="2018"/>
    <n v="10"/>
    <n v="91"/>
    <n v="2028"/>
    <n v="2028"/>
    <s v="KY 2028"/>
    <s v="N"/>
    <x v="0"/>
    <n v="10"/>
    <x v="1"/>
    <x v="0"/>
    <s v="KY"/>
    <x v="0"/>
    <n v="10"/>
  </r>
  <r>
    <s v="INST"/>
    <s v="5/8&quot; Water Meter Size"/>
    <s v="KY"/>
    <s v="Badger"/>
    <x v="0"/>
    <s v="Neptune - RF - AMR"/>
    <s v="AMR"/>
    <n v="2020"/>
    <n v="10"/>
    <n v="8"/>
    <n v="2030"/>
    <n v="2030"/>
    <s v="KY 2030"/>
    <s v="N"/>
    <x v="3"/>
    <n v="10"/>
    <x v="1"/>
    <x v="0"/>
    <s v="KY"/>
    <x v="3"/>
    <n v="10"/>
  </r>
  <r>
    <s v="INST"/>
    <s v="5/8&quot; Water Meter Size"/>
    <s v="KY"/>
    <s v="Badger"/>
    <x v="0"/>
    <s v="Neptune - RF - AMR"/>
    <s v="AMR"/>
    <n v="2021"/>
    <n v="10"/>
    <n v="75"/>
    <n v="2031"/>
    <n v="2031"/>
    <s v="KY 2031"/>
    <s v="N"/>
    <x v="4"/>
    <n v="10"/>
    <x v="1"/>
    <x v="0"/>
    <s v="KY"/>
    <x v="4"/>
    <n v="10"/>
  </r>
  <r>
    <s v="INST"/>
    <s v="5/8&quot; Water Meter Size"/>
    <s v="KY"/>
    <s v="Badger"/>
    <x v="0"/>
    <s v="Neptune - RF - AMR"/>
    <s v="AMR"/>
    <n v="2022"/>
    <n v="10"/>
    <n v="89"/>
    <n v="2032"/>
    <n v="2032"/>
    <s v="KY 2032"/>
    <s v="N"/>
    <x v="5"/>
    <n v="10"/>
    <x v="1"/>
    <x v="0"/>
    <s v="KY"/>
    <x v="5"/>
    <n v="10"/>
  </r>
  <r>
    <s v="INST"/>
    <s v="5/8&quot; Water Meter Size"/>
    <s v="KY"/>
    <s v="Badger"/>
    <x v="0"/>
    <s v="Neptune - RF - AMR"/>
    <s v="AMR"/>
    <n v="2023"/>
    <n v="10"/>
    <n v="83"/>
    <n v="2033"/>
    <n v="2033"/>
    <s v="KY 2033"/>
    <s v="N"/>
    <x v="6"/>
    <n v="10"/>
    <x v="1"/>
    <x v="0"/>
    <s v="KY"/>
    <x v="6"/>
    <n v="10"/>
  </r>
  <r>
    <s v="INST"/>
    <s v="5/8&quot; Water Meter Size"/>
    <s v="KY"/>
    <s v="Badger"/>
    <x v="0"/>
    <s v="Neptune - RF - AMR"/>
    <s v="AMR"/>
    <n v="2024"/>
    <n v="10"/>
    <n v="196"/>
    <n v="2034"/>
    <n v="2034"/>
    <s v="KY 2034"/>
    <s v="N"/>
    <x v="7"/>
    <n v="10"/>
    <x v="1"/>
    <x v="0"/>
    <s v="KY"/>
    <x v="7"/>
    <n v="10"/>
  </r>
  <r>
    <s v="INST"/>
    <s v="5/8&quot; Water Meter Size"/>
    <s v="KY"/>
    <s v="Badger"/>
    <x v="1"/>
    <s v="Neptune - RF - AMR"/>
    <s v="AMR"/>
    <n v="2016"/>
    <n v="10"/>
    <n v="2892"/>
    <n v="2026"/>
    <n v="2026"/>
    <s v="KY 2026"/>
    <s v="N"/>
    <x v="1"/>
    <n v="10"/>
    <x v="1"/>
    <x v="0"/>
    <s v="KY"/>
    <x v="1"/>
    <n v="10"/>
  </r>
  <r>
    <s v="INST"/>
    <s v="5/8&quot; Water Meter Size"/>
    <s v="KY"/>
    <s v="Badger"/>
    <x v="1"/>
    <s v="Neptune - RF - AMR"/>
    <s v="AMR"/>
    <n v="2016"/>
    <n v="15"/>
    <n v="1"/>
    <n v="2031"/>
    <n v="2031"/>
    <s v="KY 2031"/>
    <s v="N"/>
    <x v="4"/>
    <n v="15"/>
    <x v="1"/>
    <x v="0"/>
    <s v="KY"/>
    <x v="1"/>
    <s v="10**"/>
  </r>
  <r>
    <s v="INST"/>
    <s v="5/8&quot; Water Meter Size"/>
    <s v="KY"/>
    <s v="Badger"/>
    <x v="1"/>
    <s v="Neptune - RF - AMR"/>
    <s v="AMR"/>
    <n v="2017"/>
    <n v="10"/>
    <n v="5675"/>
    <n v="2027"/>
    <n v="2027"/>
    <s v="KY 2027"/>
    <s v="N"/>
    <x v="2"/>
    <n v="10"/>
    <x v="1"/>
    <x v="0"/>
    <s v="KY"/>
    <x v="2"/>
    <n v="10"/>
  </r>
  <r>
    <s v="INST"/>
    <s v="5/8&quot; Water Meter Size"/>
    <s v="KY"/>
    <s v="Badger"/>
    <x v="1"/>
    <s v="Neptune - RF - AMR"/>
    <s v="AMR"/>
    <n v="2018"/>
    <n v="10"/>
    <n v="13995"/>
    <n v="2028"/>
    <n v="2028"/>
    <s v="KY 2028"/>
    <s v="N"/>
    <x v="0"/>
    <n v="10"/>
    <x v="1"/>
    <x v="0"/>
    <s v="KY"/>
    <x v="0"/>
    <n v="10"/>
  </r>
  <r>
    <s v="INST"/>
    <s v="5/8&quot; Water Meter Size"/>
    <s v="KY"/>
    <s v="Badger"/>
    <x v="1"/>
    <s v="Neptune - RF - AMR"/>
    <s v="AMR"/>
    <n v="2018"/>
    <n v="15"/>
    <n v="1"/>
    <n v="2033"/>
    <n v="2033"/>
    <s v="KY 2033"/>
    <s v="N"/>
    <x v="6"/>
    <n v="15"/>
    <x v="1"/>
    <x v="0"/>
    <s v="KY"/>
    <x v="0"/>
    <s v="10**"/>
  </r>
  <r>
    <s v="INST"/>
    <s v="5/8&quot; Water Meter Size"/>
    <s v="KY"/>
    <s v="Badger"/>
    <x v="1"/>
    <s v="Neptune - RF - AMR"/>
    <s v="AMR"/>
    <n v="2019"/>
    <n v="10"/>
    <n v="1"/>
    <n v="2029"/>
    <n v="2029"/>
    <s v="KY 2029"/>
    <s v="N"/>
    <x v="8"/>
    <n v="10"/>
    <x v="1"/>
    <x v="0"/>
    <s v="KY"/>
    <x v="8"/>
    <n v="10"/>
  </r>
  <r>
    <s v="INST"/>
    <s v="5/8&quot; Water Meter Size"/>
    <s v="KY"/>
    <s v="Badger"/>
    <x v="1"/>
    <s v="Neptune - RF - AMR"/>
    <s v="AMR"/>
    <n v="2020"/>
    <n v="10"/>
    <n v="1210"/>
    <n v="2030"/>
    <n v="2030"/>
    <s v="KY 2030"/>
    <s v="N"/>
    <x v="3"/>
    <n v="10"/>
    <x v="1"/>
    <x v="0"/>
    <s v="KY"/>
    <x v="3"/>
    <n v="10"/>
  </r>
  <r>
    <s v="INST"/>
    <s v="5/8&quot; Water Meter Size"/>
    <s v="KY"/>
    <s v="Badger"/>
    <x v="1"/>
    <s v="Neptune - RF - AMR"/>
    <s v="AMR"/>
    <n v="2021"/>
    <n v="10"/>
    <n v="6615"/>
    <n v="2031"/>
    <n v="2031"/>
    <s v="KY 2031"/>
    <s v="N"/>
    <x v="4"/>
    <n v="10"/>
    <x v="1"/>
    <x v="0"/>
    <s v="KY"/>
    <x v="4"/>
    <n v="10"/>
  </r>
  <r>
    <s v="INST"/>
    <s v="5/8&quot; Water Meter Size"/>
    <s v="KY"/>
    <s v="Badger"/>
    <x v="1"/>
    <s v="Neptune - RF - AMR"/>
    <s v="AMR"/>
    <n v="2022"/>
    <n v="10"/>
    <n v="3634"/>
    <n v="2032"/>
    <n v="2032"/>
    <s v="KY 2032"/>
    <s v="N"/>
    <x v="5"/>
    <n v="10"/>
    <x v="1"/>
    <x v="0"/>
    <s v="KY"/>
    <x v="5"/>
    <n v="10"/>
  </r>
  <r>
    <s v="INST"/>
    <s v="5/8&quot; Water Meter Size"/>
    <s v="KY"/>
    <s v="Badger"/>
    <x v="1"/>
    <s v="Neptune - RF - AMR"/>
    <s v="AMR"/>
    <n v="2023"/>
    <n v="10"/>
    <n v="11678"/>
    <n v="2033"/>
    <n v="2033"/>
    <s v="KY 2033"/>
    <s v="N"/>
    <x v="6"/>
    <n v="10"/>
    <x v="1"/>
    <x v="0"/>
    <s v="KY"/>
    <x v="6"/>
    <n v="10"/>
  </r>
  <r>
    <s v="INST"/>
    <s v="5/8&quot; Water Meter Size"/>
    <s v="KY"/>
    <s v="Badger"/>
    <x v="1"/>
    <s v="Neptune - RF - AMR"/>
    <s v="AMR"/>
    <n v="2023"/>
    <n v="15"/>
    <n v="10"/>
    <n v="2038"/>
    <n v="2038"/>
    <s v="KY 2038"/>
    <s v="N"/>
    <x v="9"/>
    <n v="15"/>
    <x v="1"/>
    <x v="0"/>
    <s v="KY"/>
    <x v="6"/>
    <s v="10**"/>
  </r>
  <r>
    <s v="INST"/>
    <s v="5/8&quot; Water Meter Size"/>
    <s v="KY"/>
    <s v="Badger"/>
    <x v="1"/>
    <s v="Neptune - RF - AMR"/>
    <s v="AMR"/>
    <n v="2024"/>
    <n v="10"/>
    <n v="22808"/>
    <n v="2034"/>
    <n v="2034"/>
    <s v="KY 2034"/>
    <s v="N"/>
    <x v="7"/>
    <n v="10"/>
    <x v="1"/>
    <x v="0"/>
    <s v="KY"/>
    <x v="7"/>
    <n v="10"/>
  </r>
  <r>
    <s v="INST"/>
    <s v="5/8&quot; Water Meter Size"/>
    <s v="KY"/>
    <s v="Badger"/>
    <x v="0"/>
    <s v="Neptune - RF - AMR"/>
    <s v="AMR"/>
    <n v="2017"/>
    <n v="10"/>
    <n v="1"/>
    <n v="2027"/>
    <n v="2027"/>
    <s v="KY 2027"/>
    <s v="N"/>
    <x v="2"/>
    <n v="10"/>
    <x v="1"/>
    <x v="0"/>
    <s v="KY"/>
    <x v="2"/>
    <n v="10"/>
  </r>
  <r>
    <s v="INST"/>
    <s v="5/8&quot; Water Meter Size"/>
    <s v="KY"/>
    <s v="Badger"/>
    <x v="0"/>
    <s v="Neptune - RF - AMR"/>
    <s v="AMR"/>
    <n v="2022"/>
    <n v="10"/>
    <n v="3"/>
    <n v="2032"/>
    <n v="2032"/>
    <s v="KY 2032"/>
    <s v="N"/>
    <x v="5"/>
    <n v="10"/>
    <x v="1"/>
    <x v="0"/>
    <s v="KY"/>
    <x v="5"/>
    <n v="10"/>
  </r>
  <r>
    <s v="INST"/>
    <s v="5/8&quot; Water Meter Size"/>
    <s v="KY"/>
    <s v="Badger"/>
    <x v="0"/>
    <s v="Neptune - RF - AMR"/>
    <s v="AMR"/>
    <n v="2023"/>
    <n v="10"/>
    <n v="5"/>
    <n v="2033"/>
    <n v="2033"/>
    <s v="KY 2033"/>
    <s v="N"/>
    <x v="6"/>
    <n v="10"/>
    <x v="1"/>
    <x v="0"/>
    <s v="KY"/>
    <x v="6"/>
    <n v="10"/>
  </r>
  <r>
    <s v="INST"/>
    <s v="5/8&quot; Water Meter Size"/>
    <s v="KY"/>
    <s v="Badger"/>
    <x v="0"/>
    <s v="Neptune - RF - AMR"/>
    <s v="AMR"/>
    <n v="2024"/>
    <n v="10"/>
    <n v="15"/>
    <n v="2034"/>
    <n v="2034"/>
    <s v="KY 2034"/>
    <s v="N"/>
    <x v="7"/>
    <n v="10"/>
    <x v="1"/>
    <x v="0"/>
    <s v="KY"/>
    <x v="7"/>
    <n v="10"/>
  </r>
  <r>
    <s v="INST"/>
    <s v="5/8&quot; Water Meter Size"/>
    <s v="KY"/>
    <s v="Badger"/>
    <x v="1"/>
    <s v="Neptune - RF-AMI-Fixed Network"/>
    <s v="AMI"/>
    <n v="2024"/>
    <n v="10"/>
    <n v="5"/>
    <n v="2034"/>
    <n v="2034"/>
    <s v="KY 2034"/>
    <s v="Y"/>
    <x v="7"/>
    <n v="10"/>
    <x v="2"/>
    <x v="0"/>
    <s v="KY"/>
    <x v="7"/>
    <n v="10"/>
  </r>
  <r>
    <s v="INST"/>
    <s v="5/8&quot; Water Meter Size"/>
    <s v="KY"/>
    <s v="Hersey"/>
    <x v="0"/>
    <s v="Mueller - RF - AMR"/>
    <s v="AMR"/>
    <n v="2012"/>
    <n v="10"/>
    <n v="52"/>
    <n v="2022"/>
    <n v="2025"/>
    <s v="KY 2025"/>
    <s v="N"/>
    <x v="10"/>
    <n v="13"/>
    <x v="1"/>
    <x v="0"/>
    <s v="KY"/>
    <x v="9"/>
    <n v="13"/>
  </r>
  <r>
    <s v="INST"/>
    <s v="5/8&quot; Water Meter Size"/>
    <s v="KY"/>
    <s v="Hersey"/>
    <x v="0"/>
    <s v="Mueller - RF - AMR"/>
    <s v="AMR"/>
    <n v="2013"/>
    <n v="10"/>
    <n v="93"/>
    <n v="2023"/>
    <n v="2025"/>
    <s v="KY 2025"/>
    <s v="N"/>
    <x v="10"/>
    <n v="12"/>
    <x v="1"/>
    <x v="0"/>
    <s v="KY"/>
    <x v="9"/>
    <n v="12"/>
  </r>
  <r>
    <s v="INST"/>
    <s v="5/8&quot; Water Meter Size"/>
    <s v="KY"/>
    <s v="Hersey"/>
    <x v="0"/>
    <s v="Mueller - RF - AMR"/>
    <s v="AMR"/>
    <n v="2015"/>
    <n v="10"/>
    <n v="1"/>
    <n v="2025"/>
    <n v="2025"/>
    <s v="KY 2025"/>
    <s v="N"/>
    <x v="10"/>
    <n v="10"/>
    <x v="1"/>
    <x v="0"/>
    <s v="KY"/>
    <x v="9"/>
    <n v="10"/>
  </r>
  <r>
    <s v="INST"/>
    <s v="5/8&quot; Water Meter Size"/>
    <s v="KY"/>
    <s v="Hersey"/>
    <x v="1"/>
    <s v="Mueller - RF - AMR"/>
    <s v="AMR"/>
    <n v="2012"/>
    <n v="10"/>
    <n v="7368"/>
    <n v="2022"/>
    <n v="2025"/>
    <s v="KY 2025"/>
    <s v="N"/>
    <x v="10"/>
    <n v="13"/>
    <x v="1"/>
    <x v="0"/>
    <s v="KY"/>
    <x v="9"/>
    <n v="13"/>
  </r>
  <r>
    <s v="INST"/>
    <s v="5/8&quot; Water Meter Size"/>
    <s v="KY"/>
    <s v="Hersey"/>
    <x v="1"/>
    <s v="Mueller - RF - AMR"/>
    <s v="AMR"/>
    <n v="2013"/>
    <n v="10"/>
    <n v="11214"/>
    <n v="2023"/>
    <n v="2025"/>
    <s v="KY 2025"/>
    <s v="N"/>
    <x v="10"/>
    <n v="12"/>
    <x v="1"/>
    <x v="0"/>
    <s v="KY"/>
    <x v="9"/>
    <n v="12"/>
  </r>
  <r>
    <s v="INST"/>
    <s v="5/8&quot; Water Meter Size"/>
    <s v="KY"/>
    <s v="Hersey"/>
    <x v="1"/>
    <s v="Mueller - RF - AMR"/>
    <s v="AMR"/>
    <n v="2014"/>
    <n v="10"/>
    <n v="4"/>
    <n v="2024"/>
    <n v="2025"/>
    <s v="KY 2025"/>
    <s v="N"/>
    <x v="10"/>
    <n v="11"/>
    <x v="1"/>
    <x v="0"/>
    <s v="KY"/>
    <x v="9"/>
    <n v="11"/>
  </r>
  <r>
    <s v="INST"/>
    <s v="5/8&quot; Water Meter Size"/>
    <s v="KY"/>
    <s v="Hersey"/>
    <x v="1"/>
    <s v="Mueller - RF - AMR"/>
    <s v="AMR"/>
    <n v="2015"/>
    <n v="10"/>
    <n v="81"/>
    <n v="2025"/>
    <n v="2025"/>
    <s v="KY 2025"/>
    <s v="N"/>
    <x v="10"/>
    <n v="10"/>
    <x v="1"/>
    <x v="0"/>
    <s v="KY"/>
    <x v="9"/>
    <n v="10"/>
  </r>
  <r>
    <s v="INST"/>
    <s v="5/8&quot; Water Meter Size"/>
    <s v="KY"/>
    <s v="Hersey"/>
    <x v="1"/>
    <s v="Mueller - RF - AMR"/>
    <s v="AMR"/>
    <n v="2016"/>
    <n v="10"/>
    <n v="11"/>
    <n v="2026"/>
    <n v="2026"/>
    <s v="KY 2026"/>
    <s v="N"/>
    <x v="1"/>
    <n v="10"/>
    <x v="1"/>
    <x v="0"/>
    <s v="KY"/>
    <x v="1"/>
    <n v="10"/>
  </r>
  <r>
    <s v="INST"/>
    <s v="5/8&quot; Water Meter Size"/>
    <s v="KY"/>
    <s v="Hersey"/>
    <x v="1"/>
    <s v="Mueller - RF - AMR"/>
    <s v="AMR"/>
    <n v="2017"/>
    <n v="10"/>
    <n v="2"/>
    <n v="2027"/>
    <n v="2027"/>
    <s v="KY 2027"/>
    <s v="N"/>
    <x v="2"/>
    <n v="10"/>
    <x v="1"/>
    <x v="0"/>
    <s v="KY"/>
    <x v="2"/>
    <n v="10"/>
  </r>
  <r>
    <s v="INST"/>
    <s v="5/8&quot; Water Meter Size"/>
    <s v="KY"/>
    <s v="Hersey"/>
    <x v="1"/>
    <s v="Mueller - RF - AMR"/>
    <s v="AMR"/>
    <n v="2023"/>
    <n v="10"/>
    <n v="1"/>
    <n v="2033"/>
    <n v="2033"/>
    <s v="KY 2033"/>
    <s v="N"/>
    <x v="6"/>
    <n v="10"/>
    <x v="1"/>
    <x v="0"/>
    <s v="KY"/>
    <x v="6"/>
    <n v="10"/>
  </r>
  <r>
    <s v="INST"/>
    <s v="5/8&quot; Water Meter Size"/>
    <s v="KY"/>
    <s v="Hersey"/>
    <x v="1"/>
    <s v="Mueller - RF - AMR"/>
    <s v="AMR"/>
    <n v="2024"/>
    <n v="10"/>
    <n v="3"/>
    <n v="2034"/>
    <n v="2034"/>
    <s v="KY 2034"/>
    <s v="N"/>
    <x v="7"/>
    <n v="10"/>
    <x v="1"/>
    <x v="0"/>
    <s v="KY"/>
    <x v="7"/>
    <n v="10"/>
  </r>
  <r>
    <s v="INST"/>
    <s v="5/8&quot; Water Meter Size"/>
    <s v="KY"/>
    <s v="Hersey"/>
    <x v="1"/>
    <s v="Neptune - RF - AMR"/>
    <s v="AMR"/>
    <n v="2013"/>
    <n v="10"/>
    <n v="3"/>
    <n v="2023"/>
    <n v="2025"/>
    <s v="KY 2025"/>
    <s v="N"/>
    <x v="10"/>
    <n v="12"/>
    <x v="1"/>
    <x v="0"/>
    <s v="KY"/>
    <x v="9"/>
    <n v="12"/>
  </r>
  <r>
    <s v="INST"/>
    <s v="5/8&quot; Water Meter Size"/>
    <s v="KY"/>
    <s v="Hersey"/>
    <x v="1"/>
    <s v="Neptune - RF - AMR"/>
    <s v="AMR"/>
    <n v="2015"/>
    <n v="10"/>
    <n v="1"/>
    <n v="2025"/>
    <n v="2025"/>
    <s v="KY 2025"/>
    <s v="N"/>
    <x v="10"/>
    <n v="10"/>
    <x v="1"/>
    <x v="0"/>
    <s v="KY"/>
    <x v="9"/>
    <n v="10"/>
  </r>
  <r>
    <s v="INST"/>
    <s v="5/8&quot; Water Meter Size"/>
    <s v="KY"/>
    <s v="Mueller"/>
    <x v="0"/>
    <s v="Mueller - RF - AMR"/>
    <s v="AMR"/>
    <n v="2014"/>
    <n v="10"/>
    <n v="2"/>
    <n v="2024"/>
    <n v="2025"/>
    <s v="KY 2025"/>
    <s v="N"/>
    <x v="10"/>
    <n v="11"/>
    <x v="1"/>
    <x v="0"/>
    <s v="KY"/>
    <x v="9"/>
    <n v="11"/>
  </r>
  <r>
    <s v="INST"/>
    <s v="5/8&quot; Water Meter Size"/>
    <s v="KY"/>
    <s v="Mueller"/>
    <x v="0"/>
    <s v="Mueller - RF - AMR"/>
    <s v="AMR"/>
    <n v="2015"/>
    <n v="10"/>
    <n v="8"/>
    <n v="2025"/>
    <n v="2025"/>
    <s v="KY 2025"/>
    <s v="N"/>
    <x v="10"/>
    <n v="10"/>
    <x v="1"/>
    <x v="0"/>
    <s v="KY"/>
    <x v="9"/>
    <n v="10"/>
  </r>
  <r>
    <s v="INST"/>
    <s v="5/8&quot; Water Meter Size"/>
    <s v="KY"/>
    <s v="Mueller"/>
    <x v="1"/>
    <s v="Mueller - RF - AMR"/>
    <s v="AMR"/>
    <n v="2012"/>
    <n v="10"/>
    <n v="1"/>
    <n v="2022"/>
    <n v="2025"/>
    <s v="KY 2025"/>
    <s v="N"/>
    <x v="10"/>
    <n v="13"/>
    <x v="1"/>
    <x v="0"/>
    <s v="KY"/>
    <x v="9"/>
    <n v="13"/>
  </r>
  <r>
    <s v="INST"/>
    <s v="5/8&quot; Water Meter Size"/>
    <s v="KY"/>
    <s v="Mueller"/>
    <x v="1"/>
    <s v="Mueller - RF - AMR"/>
    <s v="AMR"/>
    <n v="2013"/>
    <n v="10"/>
    <n v="42"/>
    <n v="2023"/>
    <n v="2025"/>
    <s v="KY 2025"/>
    <s v="N"/>
    <x v="10"/>
    <n v="12"/>
    <x v="1"/>
    <x v="0"/>
    <s v="KY"/>
    <x v="9"/>
    <n v="12"/>
  </r>
  <r>
    <s v="INST"/>
    <s v="5/8&quot; Water Meter Size"/>
    <s v="KY"/>
    <s v="Mueller"/>
    <x v="1"/>
    <s v="Mueller - RF - AMR"/>
    <s v="AMR"/>
    <n v="2014"/>
    <n v="10"/>
    <n v="623"/>
    <n v="2024"/>
    <n v="2025"/>
    <s v="KY 2025"/>
    <s v="N"/>
    <x v="10"/>
    <n v="11"/>
    <x v="1"/>
    <x v="0"/>
    <s v="KY"/>
    <x v="9"/>
    <n v="11"/>
  </r>
  <r>
    <s v="INST"/>
    <s v="5/8&quot; Water Meter Size"/>
    <s v="KY"/>
    <s v="Mueller"/>
    <x v="1"/>
    <s v="Mueller - RF - AMR"/>
    <s v="AMR"/>
    <n v="2015"/>
    <n v="10"/>
    <n v="573"/>
    <n v="2025"/>
    <n v="2025"/>
    <s v="KY 2025"/>
    <s v="N"/>
    <x v="10"/>
    <n v="10"/>
    <x v="1"/>
    <x v="0"/>
    <s v="KY"/>
    <x v="9"/>
    <n v="10"/>
  </r>
  <r>
    <s v="INST"/>
    <s v="5/8&quot; Water Meter Size"/>
    <s v="KY"/>
    <s v="Mueller"/>
    <x v="1"/>
    <s v="Mueller - RF - AMR"/>
    <s v="AMR"/>
    <n v="2016"/>
    <n v="10"/>
    <n v="2"/>
    <n v="2026"/>
    <n v="2026"/>
    <s v="KY 2026"/>
    <s v="N"/>
    <x v="1"/>
    <n v="10"/>
    <x v="1"/>
    <x v="0"/>
    <s v="KY"/>
    <x v="1"/>
    <n v="10"/>
  </r>
  <r>
    <s v="INST"/>
    <s v="5/8&quot; Water Meter Size"/>
    <s v="KY"/>
    <s v="Mueller"/>
    <x v="1"/>
    <s v="Neptune - RF - AMR"/>
    <s v="AMR"/>
    <n v="2014"/>
    <n v="10"/>
    <n v="1"/>
    <n v="2024"/>
    <n v="2025"/>
    <s v="KY 2025"/>
    <s v="N"/>
    <x v="10"/>
    <n v="11"/>
    <x v="1"/>
    <x v="0"/>
    <s v="KY"/>
    <x v="9"/>
    <n v="11"/>
  </r>
  <r>
    <s v="INST"/>
    <s v="5/8&quot; Water Meter Size"/>
    <s v="KY"/>
    <s v="Mueller"/>
    <x v="1"/>
    <s v="Neptune - RF - AMR"/>
    <s v="AMR"/>
    <n v="2015"/>
    <n v="10"/>
    <n v="2"/>
    <n v="2025"/>
    <n v="2025"/>
    <s v="KY 2025"/>
    <s v="N"/>
    <x v="10"/>
    <n v="10"/>
    <x v="1"/>
    <x v="0"/>
    <s v="KY"/>
    <x v="9"/>
    <n v="10"/>
  </r>
  <r>
    <s v="INST"/>
    <s v="5/8&quot; Water Meter Size"/>
    <s v="KY"/>
    <s v="Neptune"/>
    <x v="0"/>
    <m/>
    <s v="Manual"/>
    <n v="2010"/>
    <n v="10"/>
    <n v="1"/>
    <n v="2020"/>
    <n v="2025"/>
    <s v="KY 2025"/>
    <s v="N"/>
    <x v="10"/>
    <n v="15"/>
    <x v="0"/>
    <x v="0"/>
    <s v="KY"/>
    <x v="9"/>
    <s v="10**"/>
  </r>
  <r>
    <s v="INST"/>
    <s v="5/8&quot; Water Meter Size"/>
    <s v="KY"/>
    <s v="Neptune"/>
    <x v="0"/>
    <m/>
    <s v="Manual"/>
    <n v="2022"/>
    <n v="10"/>
    <n v="1"/>
    <n v="2032"/>
    <n v="2032"/>
    <s v="KY 2032"/>
    <s v="N"/>
    <x v="5"/>
    <n v="10"/>
    <x v="0"/>
    <x v="0"/>
    <s v="KY"/>
    <x v="5"/>
    <n v="10"/>
  </r>
  <r>
    <s v="INST"/>
    <s v="5/8&quot; Water Meter Size"/>
    <s v="KY"/>
    <s v="Neptune"/>
    <x v="1"/>
    <m/>
    <s v="Manual"/>
    <n v="2019"/>
    <n v="10"/>
    <n v="5"/>
    <n v="2029"/>
    <n v="2029"/>
    <s v="KY 2029"/>
    <s v="N"/>
    <x v="8"/>
    <n v="10"/>
    <x v="0"/>
    <x v="0"/>
    <s v="KY"/>
    <x v="8"/>
    <n v="10"/>
  </r>
  <r>
    <s v="INST"/>
    <s v="5/8&quot; Water Meter Size"/>
    <s v="KY"/>
    <s v="Neptune"/>
    <x v="1"/>
    <m/>
    <s v="Manual"/>
    <n v="2022"/>
    <n v="10"/>
    <n v="2"/>
    <n v="2032"/>
    <n v="2032"/>
    <s v="KY 2032"/>
    <s v="N"/>
    <x v="5"/>
    <n v="10"/>
    <x v="0"/>
    <x v="0"/>
    <s v="KY"/>
    <x v="5"/>
    <n v="10"/>
  </r>
  <r>
    <s v="INST"/>
    <s v="5/8&quot; Water Meter Size"/>
    <s v="KY"/>
    <s v="Neptune"/>
    <x v="1"/>
    <s v="Neptune - RF - AMR"/>
    <s v="AMR"/>
    <n v="2023"/>
    <n v="10"/>
    <n v="1"/>
    <n v="2033"/>
    <n v="2033"/>
    <s v="KY 2033"/>
    <s v="N"/>
    <x v="6"/>
    <n v="10"/>
    <x v="1"/>
    <x v="0"/>
    <s v="KY"/>
    <x v="6"/>
    <n v="10"/>
  </r>
  <r>
    <s v="INST"/>
    <s v="5/8&quot; Water Meter Size"/>
    <s v="KY"/>
    <s v="Neptune"/>
    <x v="0"/>
    <s v="Badger - ATT Cellular - AMI"/>
    <s v="AMI"/>
    <n v="2022"/>
    <n v="10"/>
    <n v="2"/>
    <n v="2032"/>
    <n v="2032"/>
    <s v="KY 2032"/>
    <s v="Y"/>
    <x v="5"/>
    <n v="10"/>
    <x v="2"/>
    <x v="0"/>
    <s v="KY"/>
    <x v="5"/>
    <n v="10"/>
  </r>
  <r>
    <s v="INST"/>
    <s v="5/8&quot; Water Meter Size"/>
    <s v="KY"/>
    <s v="Neptune"/>
    <x v="0"/>
    <s v="Badger - ATT Cellular - AMI"/>
    <s v="AMI"/>
    <n v="2023"/>
    <n v="10"/>
    <n v="1"/>
    <n v="2033"/>
    <n v="2033"/>
    <s v="KY 2033"/>
    <s v="Y"/>
    <x v="6"/>
    <n v="10"/>
    <x v="2"/>
    <x v="0"/>
    <s v="KY"/>
    <x v="6"/>
    <n v="10"/>
  </r>
  <r>
    <s v="INST"/>
    <s v="5/8&quot; Water Meter Size"/>
    <s v="KY"/>
    <s v="Neptune"/>
    <x v="1"/>
    <s v="Badger - ATT Cellular - AMI"/>
    <s v="AMI"/>
    <n v="2023"/>
    <n v="10"/>
    <n v="10"/>
    <n v="2033"/>
    <n v="2033"/>
    <s v="KY 2033"/>
    <s v="Y"/>
    <x v="6"/>
    <n v="10"/>
    <x v="2"/>
    <x v="0"/>
    <s v="KY"/>
    <x v="6"/>
    <n v="10"/>
  </r>
  <r>
    <s v="INST"/>
    <s v="5/8&quot; Water Meter Size"/>
    <s v="KY"/>
    <s v="Neptune"/>
    <x v="1"/>
    <s v="Badger - ME - RF - AMR"/>
    <s v="AMR"/>
    <n v="2011"/>
    <n v="10"/>
    <n v="1"/>
    <n v="2021"/>
    <n v="2025"/>
    <s v="KY 2025"/>
    <s v="N"/>
    <x v="10"/>
    <n v="14"/>
    <x v="1"/>
    <x v="0"/>
    <s v="KY"/>
    <x v="9"/>
    <n v="14"/>
  </r>
  <r>
    <s v="INST"/>
    <s v="5/8&quot; Water Meter Size"/>
    <s v="KY"/>
    <s v="Neptune"/>
    <x v="1"/>
    <s v="Badger - ME - RF - AMR"/>
    <s v="AMR"/>
    <n v="2023"/>
    <n v="10"/>
    <n v="1"/>
    <n v="2033"/>
    <n v="2033"/>
    <s v="KY 2033"/>
    <s v="N"/>
    <x v="6"/>
    <n v="10"/>
    <x v="1"/>
    <x v="0"/>
    <s v="KY"/>
    <x v="6"/>
    <n v="10"/>
  </r>
  <r>
    <s v="INST"/>
    <s v="5/8&quot; Water Meter Size"/>
    <s v="KY"/>
    <s v="Neptune"/>
    <x v="1"/>
    <s v="Mueller - RF - AMR"/>
    <s v="AMR"/>
    <n v="2015"/>
    <n v="10"/>
    <n v="1"/>
    <n v="2025"/>
    <n v="2025"/>
    <s v="KY 2025"/>
    <s v="N"/>
    <x v="10"/>
    <n v="10"/>
    <x v="1"/>
    <x v="0"/>
    <s v="KY"/>
    <x v="9"/>
    <n v="10"/>
  </r>
  <r>
    <s v="INST"/>
    <s v="5/8&quot; Water Meter Size"/>
    <s v="KY"/>
    <s v="Neptune"/>
    <x v="0"/>
    <s v="Neptune - RF - AMR"/>
    <s v="AMR"/>
    <n v="2009"/>
    <n v="10"/>
    <n v="18"/>
    <n v="2019"/>
    <n v="2025"/>
    <s v="KY 2025"/>
    <s v="N"/>
    <x v="10"/>
    <n v="16"/>
    <x v="1"/>
    <x v="0"/>
    <s v="KY"/>
    <x v="9"/>
    <n v="16"/>
  </r>
  <r>
    <s v="INST"/>
    <s v="5/8&quot; Water Meter Size"/>
    <s v="KY"/>
    <s v="Neptune"/>
    <x v="0"/>
    <s v="Neptune - RF - AMR"/>
    <s v="AMR"/>
    <n v="2010"/>
    <n v="10"/>
    <n v="49"/>
    <n v="2020"/>
    <n v="2025"/>
    <s v="KY 2025"/>
    <s v="N"/>
    <x v="10"/>
    <n v="15"/>
    <x v="1"/>
    <x v="0"/>
    <s v="KY"/>
    <x v="9"/>
    <s v="10**"/>
  </r>
  <r>
    <s v="INST"/>
    <s v="5/8&quot; Water Meter Size"/>
    <s v="KY"/>
    <s v="Neptune"/>
    <x v="0"/>
    <s v="Neptune - RF - AMR"/>
    <s v="AMR"/>
    <n v="2011"/>
    <n v="10"/>
    <n v="84"/>
    <n v="2021"/>
    <n v="2025"/>
    <s v="KY 2025"/>
    <s v="N"/>
    <x v="10"/>
    <n v="14"/>
    <x v="1"/>
    <x v="0"/>
    <s v="KY"/>
    <x v="9"/>
    <n v="14"/>
  </r>
  <r>
    <s v="INST"/>
    <s v="5/8&quot; Water Meter Size"/>
    <s v="KY"/>
    <s v="Neptune"/>
    <x v="0"/>
    <s v="Neptune - RF - AMR"/>
    <s v="AMR"/>
    <n v="2012"/>
    <n v="10"/>
    <n v="36"/>
    <n v="2022"/>
    <n v="2025"/>
    <s v="KY 2025"/>
    <s v="N"/>
    <x v="10"/>
    <n v="13"/>
    <x v="1"/>
    <x v="0"/>
    <s v="KY"/>
    <x v="9"/>
    <n v="13"/>
  </r>
  <r>
    <s v="INST"/>
    <s v="5/8&quot; Water Meter Size"/>
    <s v="KY"/>
    <s v="Neptune"/>
    <x v="0"/>
    <s v="Neptune - RF - AMR"/>
    <s v="AMR"/>
    <n v="2013"/>
    <n v="10"/>
    <n v="5"/>
    <n v="2023"/>
    <n v="2025"/>
    <s v="KY 2025"/>
    <s v="N"/>
    <x v="10"/>
    <n v="12"/>
    <x v="1"/>
    <x v="0"/>
    <s v="KY"/>
    <x v="9"/>
    <n v="12"/>
  </r>
  <r>
    <s v="INST"/>
    <s v="5/8&quot; Water Meter Size"/>
    <s v="KY"/>
    <s v="Neptune"/>
    <x v="0"/>
    <s v="Neptune - RF - AMR"/>
    <s v="AMR"/>
    <n v="2015"/>
    <n v="10"/>
    <n v="5"/>
    <n v="2025"/>
    <n v="2025"/>
    <s v="KY 2025"/>
    <s v="N"/>
    <x v="10"/>
    <n v="10"/>
    <x v="1"/>
    <x v="0"/>
    <s v="KY"/>
    <x v="9"/>
    <n v="10"/>
  </r>
  <r>
    <s v="INST"/>
    <s v="5/8&quot; Water Meter Size"/>
    <s v="KY"/>
    <s v="Neptune"/>
    <x v="0"/>
    <s v="Neptune - RF - AMR"/>
    <s v="AMR"/>
    <n v="2016"/>
    <n v="10"/>
    <n v="3"/>
    <n v="2026"/>
    <n v="2026"/>
    <s v="KY 2026"/>
    <s v="N"/>
    <x v="1"/>
    <n v="10"/>
    <x v="1"/>
    <x v="0"/>
    <s v="KY"/>
    <x v="1"/>
    <n v="10"/>
  </r>
  <r>
    <s v="INST"/>
    <s v="5/8&quot; Water Meter Size"/>
    <s v="KY"/>
    <s v="Neptune"/>
    <x v="0"/>
    <s v="Neptune - RF - AMR"/>
    <s v="AMR"/>
    <n v="2019"/>
    <n v="10"/>
    <n v="142"/>
    <n v="2029"/>
    <n v="2029"/>
    <s v="KY 2029"/>
    <s v="N"/>
    <x v="8"/>
    <n v="10"/>
    <x v="1"/>
    <x v="0"/>
    <s v="KY"/>
    <x v="8"/>
    <n v="10"/>
  </r>
  <r>
    <s v="INST"/>
    <s v="5/8&quot; Water Meter Size"/>
    <s v="KY"/>
    <s v="Neptune"/>
    <x v="0"/>
    <s v="Neptune - RF - AMR"/>
    <s v="AMR"/>
    <n v="2021"/>
    <n v="10"/>
    <n v="5"/>
    <n v="2031"/>
    <n v="2031"/>
    <s v="KY 2031"/>
    <s v="N"/>
    <x v="4"/>
    <n v="10"/>
    <x v="1"/>
    <x v="0"/>
    <s v="KY"/>
    <x v="4"/>
    <n v="10"/>
  </r>
  <r>
    <s v="INST"/>
    <s v="5/8&quot; Water Meter Size"/>
    <s v="KY"/>
    <s v="Neptune"/>
    <x v="0"/>
    <s v="Neptune - RF - AMR"/>
    <s v="AMR"/>
    <n v="2022"/>
    <n v="10"/>
    <n v="29"/>
    <n v="2032"/>
    <n v="2032"/>
    <s v="KY 2032"/>
    <s v="N"/>
    <x v="5"/>
    <n v="10"/>
    <x v="1"/>
    <x v="0"/>
    <s v="KY"/>
    <x v="5"/>
    <n v="10"/>
  </r>
  <r>
    <s v="INST"/>
    <s v="5/8&quot; Water Meter Size"/>
    <s v="KY"/>
    <s v="Neptune"/>
    <x v="0"/>
    <s v="Neptune - RF - AMR"/>
    <s v="AMR"/>
    <n v="2023"/>
    <n v="10"/>
    <n v="17"/>
    <n v="2033"/>
    <n v="2033"/>
    <s v="KY 2033"/>
    <s v="N"/>
    <x v="6"/>
    <n v="10"/>
    <x v="1"/>
    <x v="0"/>
    <s v="KY"/>
    <x v="6"/>
    <n v="10"/>
  </r>
  <r>
    <s v="INST"/>
    <s v="5/8&quot; Water Meter Size"/>
    <s v="KY"/>
    <s v="Neptune"/>
    <x v="1"/>
    <s v="Neptune - RF - AMR"/>
    <s v="AMR"/>
    <n v="2008"/>
    <n v="10"/>
    <n v="2"/>
    <n v="2018"/>
    <n v="2025"/>
    <s v="KY 2025"/>
    <s v="N"/>
    <x v="10"/>
    <n v="17"/>
    <x v="1"/>
    <x v="0"/>
    <s v="KY"/>
    <x v="9"/>
    <n v="17"/>
  </r>
  <r>
    <s v="INST"/>
    <s v="5/8&quot; Water Meter Size"/>
    <s v="KY"/>
    <s v="Neptune"/>
    <x v="1"/>
    <s v="Neptune - RF - AMR"/>
    <s v="AMR"/>
    <n v="2009"/>
    <n v="10"/>
    <n v="276"/>
    <n v="2019"/>
    <n v="2025"/>
    <s v="KY 2025"/>
    <s v="N"/>
    <x v="10"/>
    <n v="16"/>
    <x v="1"/>
    <x v="0"/>
    <s v="KY"/>
    <x v="9"/>
    <n v="16"/>
  </r>
  <r>
    <s v="INST"/>
    <s v="5/8&quot; Water Meter Size"/>
    <s v="KY"/>
    <s v="Neptune"/>
    <x v="1"/>
    <s v="Neptune - RF - AMR"/>
    <s v="AMR"/>
    <n v="2010"/>
    <n v="10"/>
    <n v="658"/>
    <n v="2020"/>
    <n v="2025"/>
    <s v="KY 2025"/>
    <s v="N"/>
    <x v="10"/>
    <n v="15"/>
    <x v="1"/>
    <x v="0"/>
    <s v="KY"/>
    <x v="9"/>
    <s v="10**"/>
  </r>
  <r>
    <s v="INST"/>
    <s v="5/8&quot; Water Meter Size"/>
    <s v="KY"/>
    <s v="Neptune"/>
    <x v="1"/>
    <s v="Neptune - RF - AMR"/>
    <s v="AMR"/>
    <n v="2010"/>
    <n v="15"/>
    <n v="1"/>
    <n v="2025"/>
    <n v="2025"/>
    <s v="KY 2025"/>
    <s v="N"/>
    <x v="10"/>
    <n v="15"/>
    <x v="1"/>
    <x v="0"/>
    <s v="KY"/>
    <x v="9"/>
    <s v="10**"/>
  </r>
  <r>
    <s v="INST"/>
    <s v="5/8&quot; Water Meter Size"/>
    <s v="KY"/>
    <s v="Neptune"/>
    <x v="1"/>
    <s v="Neptune - RF - AMR"/>
    <s v="AMR"/>
    <n v="2011"/>
    <n v="10"/>
    <n v="11811"/>
    <n v="2021"/>
    <n v="2025"/>
    <s v="KY 2025"/>
    <s v="N"/>
    <x v="10"/>
    <n v="14"/>
    <x v="1"/>
    <x v="0"/>
    <s v="KY"/>
    <x v="9"/>
    <n v="14"/>
  </r>
  <r>
    <s v="INST"/>
    <s v="5/8&quot; Water Meter Size"/>
    <s v="KY"/>
    <s v="Neptune"/>
    <x v="1"/>
    <s v="Neptune - RF - AMR"/>
    <s v="AMR"/>
    <n v="2011"/>
    <n v="15"/>
    <n v="3"/>
    <n v="2026"/>
    <n v="2026"/>
    <s v="KY 2026"/>
    <s v="N"/>
    <x v="1"/>
    <n v="15"/>
    <x v="1"/>
    <x v="0"/>
    <s v="KY"/>
    <x v="1"/>
    <s v="10**"/>
  </r>
  <r>
    <s v="INST"/>
    <s v="5/8&quot; Water Meter Size"/>
    <s v="KY"/>
    <s v="Neptune"/>
    <x v="1"/>
    <s v="Neptune - RF - AMR"/>
    <s v="AMR"/>
    <n v="2012"/>
    <n v="10"/>
    <n v="4621"/>
    <n v="2022"/>
    <n v="2025"/>
    <s v="KY 2025"/>
    <s v="N"/>
    <x v="10"/>
    <n v="13"/>
    <x v="1"/>
    <x v="0"/>
    <s v="KY"/>
    <x v="9"/>
    <n v="13"/>
  </r>
  <r>
    <s v="INST"/>
    <s v="5/8&quot; Water Meter Size"/>
    <s v="KY"/>
    <s v="Neptune"/>
    <x v="1"/>
    <s v="Neptune - RF - AMR"/>
    <s v="AMR"/>
    <n v="2013"/>
    <n v="10"/>
    <n v="260"/>
    <n v="2023"/>
    <n v="2025"/>
    <s v="KY 2025"/>
    <s v="N"/>
    <x v="10"/>
    <n v="12"/>
    <x v="1"/>
    <x v="0"/>
    <s v="KY"/>
    <x v="9"/>
    <n v="12"/>
  </r>
  <r>
    <s v="INST"/>
    <s v="5/8&quot; Water Meter Size"/>
    <s v="KY"/>
    <s v="Neptune"/>
    <x v="1"/>
    <s v="Neptune - RF - AMR"/>
    <s v="AMR"/>
    <n v="2014"/>
    <n v="10"/>
    <n v="6"/>
    <n v="2024"/>
    <n v="2025"/>
    <s v="KY 2025"/>
    <s v="N"/>
    <x v="10"/>
    <n v="11"/>
    <x v="1"/>
    <x v="0"/>
    <s v="KY"/>
    <x v="9"/>
    <n v="11"/>
  </r>
  <r>
    <s v="INST"/>
    <s v="5/8&quot; Water Meter Size"/>
    <s v="KY"/>
    <s v="Neptune"/>
    <x v="1"/>
    <s v="Neptune - RF - AMR"/>
    <s v="AMR"/>
    <n v="2015"/>
    <n v="10"/>
    <n v="808"/>
    <n v="2025"/>
    <n v="2025"/>
    <s v="KY 2025"/>
    <s v="N"/>
    <x v="10"/>
    <n v="10"/>
    <x v="1"/>
    <x v="0"/>
    <s v="KY"/>
    <x v="9"/>
    <n v="10"/>
  </r>
  <r>
    <s v="INST"/>
    <s v="5/8&quot; Water Meter Size"/>
    <s v="KY"/>
    <s v="Neptune"/>
    <x v="1"/>
    <s v="Neptune - RF - AMR"/>
    <s v="AMR"/>
    <n v="2016"/>
    <n v="10"/>
    <n v="191"/>
    <n v="2026"/>
    <n v="2026"/>
    <s v="KY 2026"/>
    <s v="N"/>
    <x v="1"/>
    <n v="10"/>
    <x v="1"/>
    <x v="0"/>
    <s v="KY"/>
    <x v="1"/>
    <n v="10"/>
  </r>
  <r>
    <s v="INST"/>
    <s v="5/8&quot; Water Meter Size"/>
    <s v="KY"/>
    <s v="Neptune"/>
    <x v="1"/>
    <s v="Neptune - RF - AMR"/>
    <s v="AMR"/>
    <n v="2017"/>
    <n v="10"/>
    <n v="9"/>
    <n v="2027"/>
    <n v="2027"/>
    <s v="KY 2027"/>
    <s v="N"/>
    <x v="2"/>
    <n v="10"/>
    <x v="1"/>
    <x v="0"/>
    <s v="KY"/>
    <x v="2"/>
    <n v="10"/>
  </r>
  <r>
    <s v="INST"/>
    <s v="5/8&quot; Water Meter Size"/>
    <s v="KY"/>
    <s v="Neptune"/>
    <x v="1"/>
    <s v="Neptune - RF - AMR"/>
    <s v="AMR"/>
    <n v="2019"/>
    <n v="10"/>
    <n v="11073"/>
    <n v="2029"/>
    <n v="2029"/>
    <s v="KY 2029"/>
    <s v="N"/>
    <x v="8"/>
    <n v="10"/>
    <x v="1"/>
    <x v="0"/>
    <s v="KY"/>
    <x v="8"/>
    <n v="10"/>
  </r>
  <r>
    <s v="INST"/>
    <s v="5/8&quot; Water Meter Size"/>
    <s v="KY"/>
    <s v="Neptune"/>
    <x v="1"/>
    <s v="Neptune - RF - AMR"/>
    <s v="AMR"/>
    <n v="2021"/>
    <n v="10"/>
    <n v="178"/>
    <n v="2031"/>
    <n v="2031"/>
    <s v="KY 2031"/>
    <s v="N"/>
    <x v="4"/>
    <n v="10"/>
    <x v="1"/>
    <x v="0"/>
    <s v="KY"/>
    <x v="4"/>
    <n v="10"/>
  </r>
  <r>
    <s v="INST"/>
    <s v="5/8&quot; Water Meter Size"/>
    <s v="KY"/>
    <s v="Neptune"/>
    <x v="1"/>
    <s v="Neptune - RF - AMR"/>
    <s v="AMR"/>
    <n v="2022"/>
    <n v="10"/>
    <n v="2064"/>
    <n v="2032"/>
    <n v="2032"/>
    <s v="KY 2032"/>
    <s v="N"/>
    <x v="5"/>
    <n v="10"/>
    <x v="1"/>
    <x v="0"/>
    <s v="KY"/>
    <x v="5"/>
    <n v="10"/>
  </r>
  <r>
    <s v="INST"/>
    <s v="5/8&quot; Water Meter Size"/>
    <s v="KY"/>
    <s v="Neptune"/>
    <x v="1"/>
    <s v="Neptune - RF - AMR"/>
    <s v="AMR"/>
    <n v="2023"/>
    <n v="10"/>
    <n v="4822"/>
    <n v="2033"/>
    <n v="2033"/>
    <s v="KY 2033"/>
    <s v="N"/>
    <x v="6"/>
    <n v="10"/>
    <x v="1"/>
    <x v="0"/>
    <s v="KY"/>
    <x v="6"/>
    <n v="10"/>
  </r>
  <r>
    <s v="INST"/>
    <s v="5/8&quot; Water Meter Size"/>
    <s v="KY"/>
    <s v="Neptune"/>
    <x v="1"/>
    <s v="Neptune - RF - AMR"/>
    <s v="AMR"/>
    <n v="2024"/>
    <n v="10"/>
    <n v="2"/>
    <n v="2034"/>
    <n v="2034"/>
    <s v="KY 2034"/>
    <s v="N"/>
    <x v="7"/>
    <n v="10"/>
    <x v="1"/>
    <x v="0"/>
    <s v="KY"/>
    <x v="7"/>
    <n v="10"/>
  </r>
  <r>
    <s v="INST"/>
    <s v="5/8&quot; Water Meter Size"/>
    <s v="KY"/>
    <s v="Neptune"/>
    <x v="0"/>
    <s v="Neptune - RF - AMR"/>
    <s v="AMR"/>
    <n v="2019"/>
    <n v="10"/>
    <n v="1"/>
    <n v="2029"/>
    <n v="2029"/>
    <s v="KY 2029"/>
    <s v="N"/>
    <x v="8"/>
    <n v="10"/>
    <x v="1"/>
    <x v="0"/>
    <s v="KY"/>
    <x v="8"/>
    <n v="10"/>
  </r>
  <r>
    <s v="INST"/>
    <s v="5/8&quot; Water Meter Size"/>
    <s v="KY"/>
    <s v="Neptune"/>
    <x v="0"/>
    <s v="Neptune - RF - AMR"/>
    <s v="AMR"/>
    <n v="2022"/>
    <n v="10"/>
    <n v="1"/>
    <n v="2032"/>
    <n v="2032"/>
    <s v="KY 2032"/>
    <s v="N"/>
    <x v="5"/>
    <n v="10"/>
    <x v="1"/>
    <x v="0"/>
    <s v="KY"/>
    <x v="5"/>
    <n v="10"/>
  </r>
  <r>
    <s v="INST"/>
    <s v="5/8&quot; Water Meter Size"/>
    <s v="KY"/>
    <s v="Neptune"/>
    <x v="0"/>
    <s v="Neptune - RF - AMR"/>
    <s v="AMR"/>
    <n v="2023"/>
    <n v="10"/>
    <n v="1"/>
    <n v="2033"/>
    <n v="2033"/>
    <s v="KY 2033"/>
    <s v="N"/>
    <x v="6"/>
    <n v="10"/>
    <x v="1"/>
    <x v="0"/>
    <s v="KY"/>
    <x v="6"/>
    <n v="10"/>
  </r>
  <r>
    <s v="INST"/>
    <s v="2&quot; Water Meter Size"/>
    <s v="KY"/>
    <s v="Badger"/>
    <x v="1"/>
    <m/>
    <s v="Manual"/>
    <n v="2024"/>
    <n v="4"/>
    <n v="1"/>
    <n v="2028"/>
    <n v="2028"/>
    <s v="KY 2028"/>
    <s v="N"/>
    <x v="0"/>
    <n v="4"/>
    <x v="0"/>
    <x v="0"/>
    <s v="KY"/>
    <x v="0"/>
    <n v="4"/>
  </r>
  <r>
    <s v="INST"/>
    <s v="2&quot; Water Meter Size"/>
    <s v="KY"/>
    <s v="Badger"/>
    <x v="1"/>
    <s v="Badger - ME - RF - AMR"/>
    <s v="AMR"/>
    <n v="2024"/>
    <n v="4"/>
    <n v="2"/>
    <n v="2028"/>
    <n v="2028"/>
    <s v="KY 2028"/>
    <s v="N"/>
    <x v="0"/>
    <n v="4"/>
    <x v="1"/>
    <x v="0"/>
    <s v="KY"/>
    <x v="0"/>
    <n v="4"/>
  </r>
  <r>
    <s v="INST"/>
    <s v="2&quot; Water Meter Size"/>
    <s v="KY"/>
    <s v="Badger"/>
    <x v="1"/>
    <s v="Badger - ME - RF - AMR"/>
    <s v="AMR"/>
    <n v="2025"/>
    <n v="4"/>
    <n v="2"/>
    <n v="2029"/>
    <n v="2029"/>
    <s v="KY 2029"/>
    <s v="N"/>
    <x v="8"/>
    <n v="4"/>
    <x v="1"/>
    <x v="0"/>
    <s v="KY"/>
    <x v="8"/>
    <n v="4"/>
  </r>
  <r>
    <s v="INST"/>
    <s v="2&quot; Water Meter Size"/>
    <s v="KY"/>
    <s v="Badger"/>
    <x v="0"/>
    <s v="Badger - ATT Cellular - AMI"/>
    <s v="AMI"/>
    <n v="2024"/>
    <n v="4"/>
    <n v="2"/>
    <n v="2028"/>
    <n v="2028"/>
    <s v="KY 2028"/>
    <s v="Y"/>
    <x v="0"/>
    <n v="4"/>
    <x v="2"/>
    <x v="0"/>
    <s v="KY"/>
    <x v="0"/>
    <n v="4"/>
  </r>
  <r>
    <s v="INST"/>
    <s v="2&quot; Water Meter Size"/>
    <s v="KY"/>
    <s v="Badger"/>
    <x v="1"/>
    <s v="Badger - ATT Cellular - AMI"/>
    <s v="AMI"/>
    <n v="2023"/>
    <n v="4"/>
    <n v="56"/>
    <n v="2027"/>
    <n v="2027"/>
    <s v="KY 2027"/>
    <s v="Y"/>
    <x v="2"/>
    <n v="4"/>
    <x v="2"/>
    <x v="0"/>
    <s v="KY"/>
    <x v="2"/>
    <n v="4"/>
  </r>
  <r>
    <s v="INST"/>
    <s v="2&quot; Water Meter Size"/>
    <s v="KY"/>
    <s v="Badger"/>
    <x v="1"/>
    <s v="Badger - ATT Cellular - AMI"/>
    <s v="AMI"/>
    <n v="2024"/>
    <n v="4"/>
    <n v="35"/>
    <n v="2028"/>
    <n v="2028"/>
    <s v="KY 2028"/>
    <s v="Y"/>
    <x v="0"/>
    <n v="4"/>
    <x v="2"/>
    <x v="0"/>
    <s v="KY"/>
    <x v="0"/>
    <n v="4"/>
  </r>
  <r>
    <s v="INST"/>
    <s v="2&quot; Water Meter Size"/>
    <s v="KY"/>
    <s v="Badger"/>
    <x v="0"/>
    <s v="Badger - ME - RF - AMR"/>
    <s v="AMR"/>
    <n v="2024"/>
    <n v="4"/>
    <n v="5"/>
    <n v="2028"/>
    <n v="2028"/>
    <s v="KY 2028"/>
    <s v="N"/>
    <x v="0"/>
    <n v="4"/>
    <x v="1"/>
    <x v="0"/>
    <s v="KY"/>
    <x v="0"/>
    <n v="4"/>
  </r>
  <r>
    <s v="INST"/>
    <s v="2&quot; Water Meter Size"/>
    <s v="KY"/>
    <s v="Badger"/>
    <x v="1"/>
    <s v="Badger - ME - RF - AMR"/>
    <s v="AMR"/>
    <n v="2024"/>
    <n v="4"/>
    <n v="365"/>
    <n v="2028"/>
    <n v="2028"/>
    <s v="KY 2028"/>
    <s v="N"/>
    <x v="0"/>
    <n v="4"/>
    <x v="1"/>
    <x v="0"/>
    <s v="KY"/>
    <x v="0"/>
    <n v="4"/>
  </r>
  <r>
    <s v="INST"/>
    <s v="2&quot; Water Meter Size"/>
    <s v="KY"/>
    <s v="Badger"/>
    <x v="1"/>
    <s v="Badger - ME - RF - AMR"/>
    <s v="AMR"/>
    <n v="2025"/>
    <n v="4"/>
    <n v="19"/>
    <n v="2029"/>
    <n v="2029"/>
    <s v="KY 2029"/>
    <s v="N"/>
    <x v="8"/>
    <n v="4"/>
    <x v="1"/>
    <x v="0"/>
    <s v="KY"/>
    <x v="8"/>
    <n v="4"/>
  </r>
  <r>
    <s v="INST"/>
    <s v="2&quot; Water Meter Size"/>
    <s v="KY"/>
    <s v="Badger"/>
    <x v="0"/>
    <s v="Neptune - RF - AMR"/>
    <s v="AMR"/>
    <n v="2023"/>
    <n v="4"/>
    <n v="5"/>
    <n v="2027"/>
    <n v="2027"/>
    <s v="KY 2027"/>
    <s v="N"/>
    <x v="2"/>
    <n v="4"/>
    <x v="1"/>
    <x v="0"/>
    <s v="KY"/>
    <x v="2"/>
    <n v="4"/>
  </r>
  <r>
    <s v="INST"/>
    <s v="2&quot; Water Meter Size"/>
    <s v="KY"/>
    <s v="Badger"/>
    <x v="0"/>
    <s v="Neptune - RF - AMR"/>
    <s v="AMR"/>
    <n v="2024"/>
    <n v="4"/>
    <n v="7"/>
    <n v="2028"/>
    <n v="2028"/>
    <s v="KY 2028"/>
    <s v="N"/>
    <x v="0"/>
    <n v="4"/>
    <x v="1"/>
    <x v="0"/>
    <s v="KY"/>
    <x v="0"/>
    <n v="4"/>
  </r>
  <r>
    <s v="INST"/>
    <s v="2&quot; Water Meter Size"/>
    <s v="KY"/>
    <s v="Badger"/>
    <x v="1"/>
    <s v="Neptune - RF - AMR"/>
    <s v="AMR"/>
    <n v="2023"/>
    <n v="4"/>
    <n v="368"/>
    <n v="2027"/>
    <n v="2027"/>
    <s v="KY 2027"/>
    <s v="N"/>
    <x v="2"/>
    <n v="4"/>
    <x v="1"/>
    <x v="0"/>
    <s v="KY"/>
    <x v="2"/>
    <n v="4"/>
  </r>
  <r>
    <s v="INST"/>
    <s v="2&quot; Water Meter Size"/>
    <s v="KY"/>
    <s v="Badger"/>
    <x v="1"/>
    <s v="Neptune - RF - AMR"/>
    <s v="AMR"/>
    <n v="2024"/>
    <n v="4"/>
    <n v="376"/>
    <n v="2028"/>
    <n v="2028"/>
    <s v="KY 2028"/>
    <s v="N"/>
    <x v="0"/>
    <n v="4"/>
    <x v="1"/>
    <x v="0"/>
    <s v="KY"/>
    <x v="0"/>
    <n v="4"/>
  </r>
  <r>
    <s v="INST"/>
    <s v="2&quot; Water Meter Size"/>
    <s v="KY"/>
    <s v="Master Meter"/>
    <x v="1"/>
    <s v="Neptune - RF - AMR"/>
    <s v="AMR"/>
    <n v="2020"/>
    <n v="4"/>
    <n v="1"/>
    <n v="2024"/>
    <n v="2025"/>
    <s v="KY 2025"/>
    <s v="N"/>
    <x v="10"/>
    <n v="5"/>
    <x v="1"/>
    <x v="0"/>
    <s v="KY"/>
    <x v="9"/>
    <n v="5"/>
  </r>
  <r>
    <s v="INST"/>
    <s v="2&quot; Water Meter Size"/>
    <s v="KY"/>
    <s v="Master Meter"/>
    <x v="0"/>
    <s v="Badger - ATT Cellular - AMI"/>
    <s v="AMI"/>
    <n v="2022"/>
    <n v="4"/>
    <n v="2"/>
    <n v="2026"/>
    <n v="2026"/>
    <s v="KY 2026"/>
    <s v="Y"/>
    <x v="1"/>
    <n v="4"/>
    <x v="2"/>
    <x v="0"/>
    <s v="KY"/>
    <x v="1"/>
    <n v="4"/>
  </r>
  <r>
    <s v="INST"/>
    <s v="2&quot; Water Meter Size"/>
    <s v="KY"/>
    <s v="Master Meter"/>
    <x v="1"/>
    <s v="Badger - ATT Cellular - AMI"/>
    <s v="AMI"/>
    <n v="2020"/>
    <n v="4"/>
    <n v="1"/>
    <n v="2024"/>
    <n v="2025"/>
    <s v="KY 2025"/>
    <s v="Y"/>
    <x v="10"/>
    <n v="5"/>
    <x v="2"/>
    <x v="0"/>
    <s v="KY"/>
    <x v="9"/>
    <n v="5"/>
  </r>
  <r>
    <s v="INST"/>
    <s v="2&quot; Water Meter Size"/>
    <s v="KY"/>
    <s v="Master Meter"/>
    <x v="1"/>
    <s v="Badger - ATT Cellular - AMI"/>
    <s v="AMI"/>
    <n v="2021"/>
    <n v="4"/>
    <n v="2"/>
    <n v="2025"/>
    <n v="2025"/>
    <s v="KY 2025"/>
    <s v="Y"/>
    <x v="10"/>
    <n v="4"/>
    <x v="2"/>
    <x v="0"/>
    <s v="KY"/>
    <x v="9"/>
    <n v="4"/>
  </r>
  <r>
    <s v="INST"/>
    <s v="2&quot; Water Meter Size"/>
    <s v="KY"/>
    <s v="Master Meter"/>
    <x v="1"/>
    <s v="Badger - ATT Cellular - AMI"/>
    <s v="AMI"/>
    <n v="2022"/>
    <n v="4"/>
    <n v="11"/>
    <n v="2026"/>
    <n v="2026"/>
    <s v="KY 2026"/>
    <s v="Y"/>
    <x v="1"/>
    <n v="4"/>
    <x v="2"/>
    <x v="0"/>
    <s v="KY"/>
    <x v="1"/>
    <n v="4"/>
  </r>
  <r>
    <s v="INST"/>
    <s v="2&quot; Water Meter Size"/>
    <s v="KY"/>
    <s v="Master Meter"/>
    <x v="1"/>
    <s v="Badger - ME - RF - AMR"/>
    <s v="AMR"/>
    <n v="2021"/>
    <n v="4"/>
    <n v="1"/>
    <n v="2025"/>
    <n v="2025"/>
    <s v="KY 2025"/>
    <s v="N"/>
    <x v="10"/>
    <n v="4"/>
    <x v="1"/>
    <x v="0"/>
    <s v="KY"/>
    <x v="9"/>
    <n v="4"/>
  </r>
  <r>
    <s v="INST"/>
    <s v="2&quot; Water Meter Size"/>
    <s v="KY"/>
    <s v="Master Meter"/>
    <x v="1"/>
    <s v="Badger - VZN Cellular - AMI"/>
    <s v="AMI"/>
    <n v="2022"/>
    <n v="4"/>
    <n v="1"/>
    <n v="2026"/>
    <n v="2026"/>
    <s v="KY 2026"/>
    <s v="Y"/>
    <x v="1"/>
    <n v="4"/>
    <x v="2"/>
    <x v="0"/>
    <s v="KY"/>
    <x v="1"/>
    <n v="4"/>
  </r>
  <r>
    <s v="INST"/>
    <s v="2&quot; Water Meter Size"/>
    <s v="KY"/>
    <s v="Master Meter"/>
    <x v="0"/>
    <s v="Neptune - RF - AMR"/>
    <s v="AMR"/>
    <n v="2022"/>
    <n v="4"/>
    <n v="2"/>
    <n v="2026"/>
    <n v="2026"/>
    <s v="KY 2026"/>
    <s v="N"/>
    <x v="1"/>
    <n v="4"/>
    <x v="1"/>
    <x v="0"/>
    <s v="KY"/>
    <x v="1"/>
    <n v="4"/>
  </r>
  <r>
    <s v="INST"/>
    <s v="2&quot; Water Meter Size"/>
    <s v="KY"/>
    <s v="Master Meter"/>
    <x v="1"/>
    <s v="Neptune - RF - AMR"/>
    <s v="AMR"/>
    <n v="2019"/>
    <n v="4"/>
    <n v="1"/>
    <n v="2023"/>
    <n v="2025"/>
    <s v="KY 2025"/>
    <s v="N"/>
    <x v="10"/>
    <n v="6"/>
    <x v="1"/>
    <x v="0"/>
    <s v="KY"/>
    <x v="9"/>
    <n v="6"/>
  </r>
  <r>
    <s v="INST"/>
    <s v="2&quot; Water Meter Size"/>
    <s v="KY"/>
    <s v="Master Meter"/>
    <x v="1"/>
    <s v="Neptune - RF - AMR"/>
    <s v="AMR"/>
    <n v="2020"/>
    <n v="4"/>
    <n v="13"/>
    <n v="2024"/>
    <n v="2025"/>
    <s v="KY 2025"/>
    <s v="N"/>
    <x v="10"/>
    <n v="5"/>
    <x v="1"/>
    <x v="0"/>
    <s v="KY"/>
    <x v="9"/>
    <n v="5"/>
  </r>
  <r>
    <s v="INST"/>
    <s v="2&quot; Water Meter Size"/>
    <s v="KY"/>
    <s v="Master Meter"/>
    <x v="1"/>
    <s v="Neptune - RF - AMR"/>
    <s v="AMR"/>
    <n v="2021"/>
    <n v="4"/>
    <n v="5"/>
    <n v="2025"/>
    <n v="2025"/>
    <s v="KY 2025"/>
    <s v="N"/>
    <x v="10"/>
    <n v="4"/>
    <x v="1"/>
    <x v="0"/>
    <s v="KY"/>
    <x v="9"/>
    <n v="4"/>
  </r>
  <r>
    <s v="INST"/>
    <s v="2&quot; Water Meter Size"/>
    <s v="KY"/>
    <s v="Master Meter"/>
    <x v="1"/>
    <s v="Neptune - RF - AMR"/>
    <s v="AMR"/>
    <n v="2022"/>
    <n v="4"/>
    <n v="15"/>
    <n v="2026"/>
    <n v="2026"/>
    <s v="KY 2026"/>
    <s v="N"/>
    <x v="1"/>
    <n v="4"/>
    <x v="1"/>
    <x v="0"/>
    <s v="KY"/>
    <x v="1"/>
    <n v="4"/>
  </r>
  <r>
    <s v="INST"/>
    <s v="2&quot; Water Meter Size"/>
    <s v="KY"/>
    <s v="Master Meter"/>
    <x v="1"/>
    <s v="Neptune - RF - AMR"/>
    <s v="AMR"/>
    <n v="2023"/>
    <n v="4"/>
    <n v="4"/>
    <n v="2027"/>
    <n v="2027"/>
    <s v="KY 2027"/>
    <s v="N"/>
    <x v="2"/>
    <n v="4"/>
    <x v="1"/>
    <x v="0"/>
    <s v="KY"/>
    <x v="2"/>
    <n v="4"/>
  </r>
  <r>
    <s v="INST"/>
    <s v="2&quot; Water Meter Size"/>
    <s v="KY"/>
    <s v="Neptune"/>
    <x v="1"/>
    <m/>
    <s v="Manual"/>
    <n v="2022"/>
    <n v="4"/>
    <n v="1"/>
    <n v="2026"/>
    <n v="2026"/>
    <s v="KY 2026"/>
    <s v="N"/>
    <x v="1"/>
    <n v="4"/>
    <x v="0"/>
    <x v="0"/>
    <s v="KY"/>
    <x v="1"/>
    <n v="4"/>
  </r>
  <r>
    <s v="INST"/>
    <s v="2&quot; Water Meter Size"/>
    <s v="KY"/>
    <s v="Neptune"/>
    <x v="1"/>
    <s v="Badger - ME - RF - AMR"/>
    <s v="AMR"/>
    <n v="2025"/>
    <n v="4"/>
    <n v="1"/>
    <n v="2029"/>
    <n v="2029"/>
    <s v="KY 2029"/>
    <s v="N"/>
    <x v="8"/>
    <n v="4"/>
    <x v="1"/>
    <x v="0"/>
    <s v="KY"/>
    <x v="8"/>
    <n v="4"/>
  </r>
  <r>
    <s v="INST"/>
    <s v="2&quot; Water Meter Size"/>
    <s v="KY"/>
    <s v="Neptune"/>
    <x v="1"/>
    <s v="Neptune - RF - AMR"/>
    <s v="AMR"/>
    <n v="2018"/>
    <n v="4"/>
    <n v="1"/>
    <n v="2022"/>
    <n v="2025"/>
    <s v="KY 2025"/>
    <s v="N"/>
    <x v="10"/>
    <n v="7"/>
    <x v="1"/>
    <x v="0"/>
    <s v="KY"/>
    <x v="9"/>
    <n v="7"/>
  </r>
  <r>
    <s v="INST"/>
    <s v="2&quot; Water Meter Size"/>
    <s v="KY"/>
    <s v="Neptune"/>
    <x v="1"/>
    <s v="Neptune - RF - AMR"/>
    <s v="AMR"/>
    <n v="2022"/>
    <n v="4"/>
    <n v="3"/>
    <n v="2026"/>
    <n v="2026"/>
    <s v="KY 2026"/>
    <s v="N"/>
    <x v="1"/>
    <n v="4"/>
    <x v="1"/>
    <x v="0"/>
    <s v="KY"/>
    <x v="1"/>
    <n v="4"/>
  </r>
  <r>
    <s v="INST"/>
    <s v="2&quot; Water Meter Size"/>
    <s v="KY"/>
    <s v="Neptune"/>
    <x v="1"/>
    <s v="Badger - ATT Cellular - AMI"/>
    <s v="AMI"/>
    <n v="2018"/>
    <n v="4"/>
    <n v="1"/>
    <n v="2022"/>
    <n v="2025"/>
    <s v="KY 2025"/>
    <s v="Y"/>
    <x v="10"/>
    <n v="7"/>
    <x v="2"/>
    <x v="0"/>
    <s v="KY"/>
    <x v="9"/>
    <n v="7"/>
  </r>
  <r>
    <s v="INST"/>
    <s v="2&quot; Water Meter Size"/>
    <s v="KY"/>
    <s v="Neptune"/>
    <x v="1"/>
    <s v="Badger - ATT Cellular - AMI"/>
    <s v="AMI"/>
    <n v="2019"/>
    <n v="4"/>
    <n v="7"/>
    <n v="2023"/>
    <n v="2025"/>
    <s v="KY 2025"/>
    <s v="Y"/>
    <x v="10"/>
    <n v="6"/>
    <x v="2"/>
    <x v="0"/>
    <s v="KY"/>
    <x v="9"/>
    <n v="6"/>
  </r>
  <r>
    <s v="INST"/>
    <s v="2&quot; Water Meter Size"/>
    <s v="KY"/>
    <s v="Neptune"/>
    <x v="1"/>
    <s v="Badger - ATT Cellular - AMI"/>
    <s v="AMI"/>
    <n v="2021"/>
    <n v="4"/>
    <n v="2"/>
    <n v="2025"/>
    <n v="2025"/>
    <s v="KY 2025"/>
    <s v="Y"/>
    <x v="10"/>
    <n v="4"/>
    <x v="2"/>
    <x v="0"/>
    <s v="KY"/>
    <x v="9"/>
    <n v="4"/>
  </r>
  <r>
    <s v="INST"/>
    <s v="2&quot; Water Meter Size"/>
    <s v="KY"/>
    <s v="Neptune"/>
    <x v="1"/>
    <s v="Badger - ATT Cellular - AMI"/>
    <s v="AMI"/>
    <n v="2022"/>
    <n v="4"/>
    <n v="3"/>
    <n v="2026"/>
    <n v="2026"/>
    <s v="KY 2026"/>
    <s v="Y"/>
    <x v="1"/>
    <n v="4"/>
    <x v="2"/>
    <x v="0"/>
    <s v="KY"/>
    <x v="1"/>
    <n v="4"/>
  </r>
  <r>
    <s v="INST"/>
    <s v="2&quot; Water Meter Size"/>
    <s v="KY"/>
    <s v="Neptune"/>
    <x v="1"/>
    <s v="Badger - ATT Cellular - AMI"/>
    <s v="AMI"/>
    <n v="2023"/>
    <n v="4"/>
    <n v="1"/>
    <n v="2027"/>
    <n v="2027"/>
    <s v="KY 2027"/>
    <s v="Y"/>
    <x v="2"/>
    <n v="4"/>
    <x v="2"/>
    <x v="0"/>
    <s v="KY"/>
    <x v="2"/>
    <n v="4"/>
  </r>
  <r>
    <s v="INST"/>
    <s v="2&quot; Water Meter Size"/>
    <s v="KY"/>
    <s v="Neptune"/>
    <x v="1"/>
    <s v="Badger - ME - RF - AMR"/>
    <s v="AMR"/>
    <n v="2020"/>
    <n v="4"/>
    <n v="1"/>
    <n v="2024"/>
    <n v="2025"/>
    <s v="KY 2025"/>
    <s v="N"/>
    <x v="10"/>
    <n v="5"/>
    <x v="1"/>
    <x v="0"/>
    <s v="KY"/>
    <x v="9"/>
    <n v="5"/>
  </r>
  <r>
    <s v="INST"/>
    <s v="2&quot; Water Meter Size"/>
    <s v="KY"/>
    <s v="Neptune"/>
    <x v="1"/>
    <s v="Badger - ME - RF - AMR"/>
    <s v="AMR"/>
    <n v="2022"/>
    <n v="4"/>
    <n v="9"/>
    <n v="2026"/>
    <n v="2026"/>
    <s v="KY 2026"/>
    <s v="N"/>
    <x v="1"/>
    <n v="4"/>
    <x v="1"/>
    <x v="0"/>
    <s v="KY"/>
    <x v="1"/>
    <n v="4"/>
  </r>
  <r>
    <s v="INST"/>
    <s v="2&quot; Water Meter Size"/>
    <s v="KY"/>
    <s v="Neptune"/>
    <x v="1"/>
    <s v="Badger - ME - RF - AMR"/>
    <s v="AMR"/>
    <n v="2023"/>
    <n v="4"/>
    <n v="7"/>
    <n v="2027"/>
    <n v="2027"/>
    <s v="KY 2027"/>
    <s v="N"/>
    <x v="2"/>
    <n v="4"/>
    <x v="1"/>
    <x v="0"/>
    <s v="KY"/>
    <x v="2"/>
    <n v="4"/>
  </r>
  <r>
    <s v="INST"/>
    <s v="2&quot; Water Meter Size"/>
    <s v="KY"/>
    <s v="Neptune"/>
    <x v="1"/>
    <s v="Badger - ME - RF - AMR"/>
    <s v="AMR"/>
    <n v="2025"/>
    <n v="4"/>
    <n v="2"/>
    <n v="2029"/>
    <n v="2029"/>
    <s v="KY 2029"/>
    <s v="N"/>
    <x v="8"/>
    <n v="4"/>
    <x v="1"/>
    <x v="0"/>
    <s v="KY"/>
    <x v="8"/>
    <n v="4"/>
  </r>
  <r>
    <s v="INST"/>
    <s v="2&quot; Water Meter Size"/>
    <s v="KY"/>
    <s v="Neptune"/>
    <x v="0"/>
    <s v="Neptune - RF - AMR"/>
    <s v="AMR"/>
    <n v="2018"/>
    <n v="4"/>
    <n v="1"/>
    <n v="2022"/>
    <n v="2025"/>
    <s v="KY 2025"/>
    <s v="N"/>
    <x v="10"/>
    <n v="7"/>
    <x v="1"/>
    <x v="0"/>
    <s v="KY"/>
    <x v="9"/>
    <n v="7"/>
  </r>
  <r>
    <s v="INST"/>
    <s v="2&quot; Water Meter Size"/>
    <s v="KY"/>
    <s v="Neptune"/>
    <x v="0"/>
    <s v="Neptune - RF - AMR"/>
    <s v="AMR"/>
    <n v="2020"/>
    <n v="4"/>
    <n v="4"/>
    <n v="2024"/>
    <n v="2025"/>
    <s v="KY 2025"/>
    <s v="N"/>
    <x v="10"/>
    <n v="5"/>
    <x v="1"/>
    <x v="0"/>
    <s v="KY"/>
    <x v="9"/>
    <n v="5"/>
  </r>
  <r>
    <s v="INST"/>
    <s v="2&quot; Water Meter Size"/>
    <s v="KY"/>
    <s v="Neptune"/>
    <x v="0"/>
    <s v="Neptune - RF - AMR"/>
    <s v="AMR"/>
    <n v="2022"/>
    <n v="4"/>
    <n v="4"/>
    <n v="2026"/>
    <n v="2026"/>
    <s v="KY 2026"/>
    <s v="N"/>
    <x v="1"/>
    <n v="4"/>
    <x v="1"/>
    <x v="0"/>
    <s v="KY"/>
    <x v="1"/>
    <n v="4"/>
  </r>
  <r>
    <s v="INST"/>
    <s v="2&quot; Water Meter Size"/>
    <s v="KY"/>
    <s v="Neptune"/>
    <x v="0"/>
    <s v="Neptune - RF - AMR"/>
    <s v="AMR"/>
    <n v="2023"/>
    <n v="4"/>
    <n v="17"/>
    <n v="2027"/>
    <n v="2027"/>
    <s v="KY 2027"/>
    <s v="N"/>
    <x v="2"/>
    <n v="4"/>
    <x v="1"/>
    <x v="0"/>
    <s v="KY"/>
    <x v="2"/>
    <n v="4"/>
  </r>
  <r>
    <s v="INST"/>
    <s v="2&quot; Water Meter Size"/>
    <s v="KY"/>
    <s v="Neptune"/>
    <x v="1"/>
    <s v="Neptune - RF - AMR"/>
    <s v="AMR"/>
    <n v="2015"/>
    <n v="4"/>
    <n v="2"/>
    <n v="2019"/>
    <n v="2025"/>
    <s v="KY 2025"/>
    <s v="N"/>
    <x v="10"/>
    <n v="10"/>
    <x v="1"/>
    <x v="0"/>
    <s v="KY"/>
    <x v="9"/>
    <n v="10"/>
  </r>
  <r>
    <s v="INST"/>
    <s v="2&quot; Water Meter Size"/>
    <s v="KY"/>
    <s v="Neptune"/>
    <x v="1"/>
    <s v="Neptune - RF - AMR"/>
    <s v="AMR"/>
    <n v="2016"/>
    <n v="4"/>
    <n v="3"/>
    <n v="2020"/>
    <n v="2025"/>
    <s v="KY 2025"/>
    <s v="N"/>
    <x v="10"/>
    <n v="9"/>
    <x v="1"/>
    <x v="0"/>
    <s v="KY"/>
    <x v="9"/>
    <n v="9"/>
  </r>
  <r>
    <s v="INST"/>
    <s v="2&quot; Water Meter Size"/>
    <s v="KY"/>
    <s v="Neptune"/>
    <x v="1"/>
    <s v="Neptune - RF - AMR"/>
    <s v="AMR"/>
    <n v="2017"/>
    <n v="4"/>
    <n v="7"/>
    <n v="2021"/>
    <n v="2025"/>
    <s v="KY 2025"/>
    <s v="N"/>
    <x v="10"/>
    <n v="8"/>
    <x v="1"/>
    <x v="0"/>
    <s v="KY"/>
    <x v="9"/>
    <n v="8"/>
  </r>
  <r>
    <s v="INST"/>
    <s v="2&quot; Water Meter Size"/>
    <s v="KY"/>
    <s v="Neptune"/>
    <x v="1"/>
    <s v="Neptune - RF - AMR"/>
    <s v="AMR"/>
    <n v="2018"/>
    <n v="4"/>
    <n v="35"/>
    <n v="2022"/>
    <n v="2025"/>
    <s v="KY 2025"/>
    <s v="N"/>
    <x v="10"/>
    <n v="7"/>
    <x v="1"/>
    <x v="0"/>
    <s v="KY"/>
    <x v="9"/>
    <n v="7"/>
  </r>
  <r>
    <s v="INST"/>
    <s v="2&quot; Water Meter Size"/>
    <s v="KY"/>
    <s v="Neptune"/>
    <x v="1"/>
    <s v="Neptune - RF - AMR"/>
    <s v="AMR"/>
    <n v="2019"/>
    <n v="4"/>
    <n v="73"/>
    <n v="2023"/>
    <n v="2025"/>
    <s v="KY 2025"/>
    <s v="N"/>
    <x v="10"/>
    <n v="6"/>
    <x v="1"/>
    <x v="0"/>
    <s v="KY"/>
    <x v="9"/>
    <n v="6"/>
  </r>
  <r>
    <s v="INST"/>
    <s v="2&quot; Water Meter Size"/>
    <s v="KY"/>
    <s v="Neptune"/>
    <x v="1"/>
    <s v="Neptune - RF - AMR"/>
    <s v="AMR"/>
    <n v="2020"/>
    <n v="4"/>
    <n v="47"/>
    <n v="2024"/>
    <n v="2025"/>
    <s v="KY 2025"/>
    <s v="N"/>
    <x v="10"/>
    <n v="5"/>
    <x v="1"/>
    <x v="0"/>
    <s v="KY"/>
    <x v="9"/>
    <n v="5"/>
  </r>
  <r>
    <s v="INST"/>
    <s v="2&quot; Water Meter Size"/>
    <s v="KY"/>
    <s v="Neptune"/>
    <x v="1"/>
    <s v="Neptune - RF - AMR"/>
    <s v="AMR"/>
    <n v="2021"/>
    <n v="4"/>
    <n v="6"/>
    <n v="2025"/>
    <n v="2025"/>
    <s v="KY 2025"/>
    <s v="N"/>
    <x v="10"/>
    <n v="4"/>
    <x v="1"/>
    <x v="0"/>
    <s v="KY"/>
    <x v="9"/>
    <n v="4"/>
  </r>
  <r>
    <s v="INST"/>
    <s v="2&quot; Water Meter Size"/>
    <s v="KY"/>
    <s v="Neptune"/>
    <x v="1"/>
    <s v="Neptune - RF - AMR"/>
    <s v="AMR"/>
    <n v="2022"/>
    <n v="4"/>
    <n v="918"/>
    <n v="2026"/>
    <n v="2026"/>
    <s v="KY 2026"/>
    <s v="N"/>
    <x v="1"/>
    <n v="4"/>
    <x v="1"/>
    <x v="0"/>
    <s v="KY"/>
    <x v="1"/>
    <n v="4"/>
  </r>
  <r>
    <s v="INST"/>
    <s v="2&quot; Water Meter Size"/>
    <s v="KY"/>
    <s v="Neptune"/>
    <x v="1"/>
    <s v="Neptune - RF - AMR"/>
    <s v="AMR"/>
    <n v="2023"/>
    <n v="4"/>
    <n v="367"/>
    <n v="2027"/>
    <n v="2027"/>
    <s v="KY 2027"/>
    <s v="N"/>
    <x v="2"/>
    <n v="4"/>
    <x v="1"/>
    <x v="0"/>
    <s v="KY"/>
    <x v="2"/>
    <n v="4"/>
  </r>
  <r>
    <s v="INST"/>
    <s v="2&quot; Water Meter Size"/>
    <s v="KY"/>
    <s v="Sensus"/>
    <x v="1"/>
    <s v="Mueller - RF - AMR"/>
    <s v="AMR"/>
    <n v="2021"/>
    <n v="4"/>
    <n v="1"/>
    <n v="2025"/>
    <n v="2025"/>
    <s v="KY 2025"/>
    <s v="N"/>
    <x v="10"/>
    <n v="4"/>
    <x v="1"/>
    <x v="0"/>
    <s v="KY"/>
    <x v="9"/>
    <n v="4"/>
  </r>
  <r>
    <s v="INST"/>
    <s v="2&quot; Water Meter Size"/>
    <s v="KY"/>
    <s v="Sensus"/>
    <x v="1"/>
    <s v="Neptune - RF - AMR"/>
    <s v="AMR"/>
    <n v="2016"/>
    <n v="4"/>
    <n v="1"/>
    <n v="2020"/>
    <n v="2025"/>
    <s v="KY 2025"/>
    <s v="N"/>
    <x v="10"/>
    <n v="9"/>
    <x v="1"/>
    <x v="0"/>
    <s v="KY"/>
    <x v="9"/>
    <n v="9"/>
  </r>
  <r>
    <s v="INST"/>
    <s v="2&quot; Water Meter Size"/>
    <s v="KY"/>
    <s v="Sensus"/>
    <x v="1"/>
    <s v="Neptune - RF - AMR"/>
    <s v="AMR"/>
    <n v="2017"/>
    <n v="4"/>
    <n v="2"/>
    <n v="2021"/>
    <n v="2025"/>
    <s v="KY 2025"/>
    <s v="N"/>
    <x v="10"/>
    <n v="8"/>
    <x v="1"/>
    <x v="0"/>
    <s v="KY"/>
    <x v="9"/>
    <n v="8"/>
  </r>
  <r>
    <s v="INST"/>
    <s v="2&quot; Water Meter Size"/>
    <s v="KY"/>
    <s v="Sensus"/>
    <x v="1"/>
    <s v="Neptune - RF - AMR"/>
    <s v="AMR"/>
    <n v="2018"/>
    <n v="4"/>
    <n v="2"/>
    <n v="2022"/>
    <n v="2025"/>
    <s v="KY 2025"/>
    <s v="N"/>
    <x v="10"/>
    <n v="7"/>
    <x v="1"/>
    <x v="0"/>
    <s v="KY"/>
    <x v="9"/>
    <n v="7"/>
  </r>
  <r>
    <s v="INST"/>
    <s v="2&quot; Water Meter Size"/>
    <s v="KY"/>
    <s v="Sensus"/>
    <x v="1"/>
    <s v="Neptune - RF - AMR"/>
    <s v="AMR"/>
    <n v="2019"/>
    <n v="4"/>
    <n v="3"/>
    <n v="2023"/>
    <n v="2025"/>
    <s v="KY 2025"/>
    <s v="N"/>
    <x v="10"/>
    <n v="6"/>
    <x v="1"/>
    <x v="0"/>
    <s v="KY"/>
    <x v="9"/>
    <n v="6"/>
  </r>
  <r>
    <s v="INST"/>
    <s v="2&quot; Water Meter Size"/>
    <s v="KY"/>
    <s v="Sensus"/>
    <x v="1"/>
    <s v="Neptune - RF - AMR"/>
    <s v="AMR"/>
    <n v="2021"/>
    <n v="4"/>
    <n v="3"/>
    <n v="2025"/>
    <n v="2025"/>
    <s v="KY 2025"/>
    <s v="N"/>
    <x v="10"/>
    <n v="4"/>
    <x v="1"/>
    <x v="0"/>
    <s v="KY"/>
    <x v="9"/>
    <n v="4"/>
  </r>
  <r>
    <s v="INST"/>
    <s v="2&quot; Water Meter Size"/>
    <s v="KY"/>
    <s v="Sensus"/>
    <x v="1"/>
    <s v="Neptune - RF - AMR"/>
    <s v="AMR"/>
    <n v="2022"/>
    <n v="4"/>
    <n v="1"/>
    <n v="2026"/>
    <n v="2026"/>
    <s v="KY 2026"/>
    <s v="N"/>
    <x v="1"/>
    <n v="4"/>
    <x v="1"/>
    <x v="0"/>
    <s v="KY"/>
    <x v="1"/>
    <n v="4"/>
  </r>
  <r>
    <s v="INST"/>
    <s v="2&quot; Water Meter Size"/>
    <s v="KY"/>
    <s v="Sensus"/>
    <x v="1"/>
    <s v="Neptune - RF - AMR"/>
    <s v="AMR"/>
    <n v="2023"/>
    <n v="4"/>
    <n v="1"/>
    <n v="2027"/>
    <n v="2027"/>
    <s v="KY 2027"/>
    <s v="N"/>
    <x v="2"/>
    <n v="4"/>
    <x v="1"/>
    <x v="0"/>
    <s v="KY"/>
    <x v="2"/>
    <n v="4"/>
  </r>
  <r>
    <s v="INST"/>
    <s v="1-1/2&quot; Water Meter Size"/>
    <s v="KY"/>
    <s v="Neptune"/>
    <x v="1"/>
    <s v="Badger - ATT Cellular - AMI"/>
    <s v="AMI"/>
    <n v="2023"/>
    <n v="4"/>
    <n v="1"/>
    <n v="2027"/>
    <n v="2027"/>
    <s v="KY 2027"/>
    <s v="Y"/>
    <x v="2"/>
    <n v="4"/>
    <x v="2"/>
    <x v="0"/>
    <s v="KY"/>
    <x v="2"/>
    <n v="4"/>
  </r>
  <r>
    <s v="INST"/>
    <s v="1-1/2&quot; Water Meter Size"/>
    <s v="KY"/>
    <s v="Neptune"/>
    <x v="1"/>
    <s v="Badger - ME - RF - AMR"/>
    <s v="AMR"/>
    <n v="2019"/>
    <n v="4"/>
    <n v="1"/>
    <n v="2023"/>
    <n v="2025"/>
    <s v="KY 2025"/>
    <s v="N"/>
    <x v="10"/>
    <n v="6"/>
    <x v="1"/>
    <x v="0"/>
    <s v="KY"/>
    <x v="9"/>
    <n v="6"/>
  </r>
  <r>
    <s v="INST"/>
    <s v="1-1/2&quot; Water Meter Size"/>
    <s v="KY"/>
    <s v="Neptune"/>
    <x v="1"/>
    <s v="Badger - ME - RF - AMR"/>
    <s v="AMR"/>
    <n v="2023"/>
    <n v="4"/>
    <n v="24"/>
    <n v="2027"/>
    <n v="2027"/>
    <s v="KY 2027"/>
    <s v="N"/>
    <x v="2"/>
    <n v="4"/>
    <x v="1"/>
    <x v="0"/>
    <s v="KY"/>
    <x v="2"/>
    <n v="4"/>
  </r>
  <r>
    <s v="INST"/>
    <s v="1-1/2&quot; Water Meter Size"/>
    <s v="KY"/>
    <s v="Neptune"/>
    <x v="1"/>
    <s v="Badger - ME - RF - AMR"/>
    <s v="AMR"/>
    <n v="2025"/>
    <n v="4"/>
    <n v="3"/>
    <n v="2029"/>
    <n v="2029"/>
    <s v="KY 2029"/>
    <s v="N"/>
    <x v="8"/>
    <n v="4"/>
    <x v="1"/>
    <x v="0"/>
    <s v="KY"/>
    <x v="8"/>
    <n v="4"/>
  </r>
  <r>
    <s v="INST"/>
    <s v="1-1/2&quot; Water Meter Size"/>
    <s v="KY"/>
    <s v="Neptune"/>
    <x v="0"/>
    <s v="Neptune - RF - AMR"/>
    <s v="AMR"/>
    <n v="2015"/>
    <n v="4"/>
    <n v="1"/>
    <n v="2019"/>
    <n v="2025"/>
    <s v="KY 2025"/>
    <s v="N"/>
    <x v="10"/>
    <n v="10"/>
    <x v="1"/>
    <x v="0"/>
    <s v="KY"/>
    <x v="9"/>
    <n v="10"/>
  </r>
  <r>
    <s v="INST"/>
    <s v="1-1/2&quot; Water Meter Size"/>
    <s v="KY"/>
    <s v="Neptune"/>
    <x v="0"/>
    <s v="Neptune - RF - AMR"/>
    <s v="AMR"/>
    <n v="2019"/>
    <n v="4"/>
    <n v="2"/>
    <n v="2023"/>
    <n v="2025"/>
    <s v="KY 2025"/>
    <s v="N"/>
    <x v="10"/>
    <n v="6"/>
    <x v="1"/>
    <x v="0"/>
    <s v="KY"/>
    <x v="9"/>
    <n v="6"/>
  </r>
  <r>
    <s v="INST"/>
    <s v="1-1/2&quot; Water Meter Size"/>
    <s v="KY"/>
    <s v="Neptune"/>
    <x v="0"/>
    <s v="Neptune - RF - AMR"/>
    <s v="AMR"/>
    <n v="2022"/>
    <n v="4"/>
    <n v="1"/>
    <n v="2026"/>
    <n v="2026"/>
    <s v="KY 2026"/>
    <s v="N"/>
    <x v="1"/>
    <n v="4"/>
    <x v="1"/>
    <x v="0"/>
    <s v="KY"/>
    <x v="1"/>
    <n v="4"/>
  </r>
  <r>
    <s v="INST"/>
    <s v="1-1/2&quot; Water Meter Size"/>
    <s v="KY"/>
    <s v="Neptune"/>
    <x v="0"/>
    <s v="Neptune - RF - AMR"/>
    <s v="AMR"/>
    <n v="2023"/>
    <n v="4"/>
    <n v="1"/>
    <n v="2027"/>
    <n v="2027"/>
    <s v="KY 2027"/>
    <s v="N"/>
    <x v="2"/>
    <n v="4"/>
    <x v="1"/>
    <x v="0"/>
    <s v="KY"/>
    <x v="2"/>
    <n v="4"/>
  </r>
  <r>
    <s v="INST"/>
    <s v="1-1/2&quot; Water Meter Size"/>
    <s v="KY"/>
    <s v="Neptune"/>
    <x v="1"/>
    <s v="Neptune - RF - AMR"/>
    <s v="AMR"/>
    <n v="2015"/>
    <n v="4"/>
    <n v="2"/>
    <n v="2019"/>
    <n v="2025"/>
    <s v="KY 2025"/>
    <s v="N"/>
    <x v="10"/>
    <n v="10"/>
    <x v="1"/>
    <x v="0"/>
    <s v="KY"/>
    <x v="9"/>
    <n v="10"/>
  </r>
  <r>
    <s v="INST"/>
    <s v="1-1/2&quot; Water Meter Size"/>
    <s v="KY"/>
    <s v="Neptune"/>
    <x v="1"/>
    <s v="Neptune - RF - AMR"/>
    <s v="AMR"/>
    <n v="2016"/>
    <n v="4"/>
    <n v="2"/>
    <n v="2020"/>
    <n v="2025"/>
    <s v="KY 2025"/>
    <s v="N"/>
    <x v="10"/>
    <n v="9"/>
    <x v="1"/>
    <x v="0"/>
    <s v="KY"/>
    <x v="9"/>
    <n v="9"/>
  </r>
  <r>
    <s v="INST"/>
    <s v="1-1/2&quot; Water Meter Size"/>
    <s v="KY"/>
    <s v="Neptune"/>
    <x v="1"/>
    <s v="Neptune - RF - AMR"/>
    <s v="AMR"/>
    <n v="2017"/>
    <n v="4"/>
    <n v="3"/>
    <n v="2021"/>
    <n v="2025"/>
    <s v="KY 2025"/>
    <s v="N"/>
    <x v="10"/>
    <n v="8"/>
    <x v="1"/>
    <x v="0"/>
    <s v="KY"/>
    <x v="9"/>
    <n v="8"/>
  </r>
  <r>
    <s v="INST"/>
    <s v="1-1/2&quot; Water Meter Size"/>
    <s v="KY"/>
    <s v="Neptune"/>
    <x v="1"/>
    <s v="Neptune - RF - AMR"/>
    <s v="AMR"/>
    <n v="2018"/>
    <n v="4"/>
    <n v="2"/>
    <n v="2022"/>
    <n v="2025"/>
    <s v="KY 2025"/>
    <s v="N"/>
    <x v="10"/>
    <n v="7"/>
    <x v="1"/>
    <x v="0"/>
    <s v="KY"/>
    <x v="9"/>
    <n v="7"/>
  </r>
  <r>
    <s v="INST"/>
    <s v="1-1/2&quot; Water Meter Size"/>
    <s v="KY"/>
    <s v="Neptune"/>
    <x v="1"/>
    <s v="Neptune - RF - AMR"/>
    <s v="AMR"/>
    <n v="2019"/>
    <n v="4"/>
    <n v="26"/>
    <n v="2023"/>
    <n v="2025"/>
    <s v="KY 2025"/>
    <s v="N"/>
    <x v="10"/>
    <n v="6"/>
    <x v="1"/>
    <x v="0"/>
    <s v="KY"/>
    <x v="9"/>
    <n v="6"/>
  </r>
  <r>
    <s v="INST"/>
    <s v="1-1/2&quot; Water Meter Size"/>
    <s v="KY"/>
    <s v="Neptune"/>
    <x v="1"/>
    <s v="Neptune - RF - AMR"/>
    <s v="AMR"/>
    <n v="2020"/>
    <n v="4"/>
    <n v="13"/>
    <n v="2024"/>
    <n v="2025"/>
    <s v="KY 2025"/>
    <s v="N"/>
    <x v="10"/>
    <n v="5"/>
    <x v="1"/>
    <x v="0"/>
    <s v="KY"/>
    <x v="9"/>
    <n v="5"/>
  </r>
  <r>
    <s v="INST"/>
    <s v="1-1/2&quot; Water Meter Size"/>
    <s v="KY"/>
    <s v="Neptune"/>
    <x v="1"/>
    <s v="Neptune - RF - AMR"/>
    <s v="AMR"/>
    <n v="2022"/>
    <n v="4"/>
    <n v="2"/>
    <n v="2026"/>
    <n v="2026"/>
    <s v="KY 2026"/>
    <s v="N"/>
    <x v="1"/>
    <n v="4"/>
    <x v="1"/>
    <x v="0"/>
    <s v="KY"/>
    <x v="1"/>
    <n v="4"/>
  </r>
  <r>
    <s v="INST"/>
    <s v="1-1/2&quot; Water Meter Size"/>
    <s v="KY"/>
    <s v="Neptune"/>
    <x v="1"/>
    <s v="Neptune - RF - AMR"/>
    <s v="AMR"/>
    <n v="2023"/>
    <n v="4"/>
    <n v="168"/>
    <n v="2027"/>
    <n v="2027"/>
    <s v="KY 2027"/>
    <s v="N"/>
    <x v="2"/>
    <n v="4"/>
    <x v="1"/>
    <x v="0"/>
    <s v="KY"/>
    <x v="2"/>
    <n v="4"/>
  </r>
  <r>
    <s v="INST"/>
    <s v="1-1/2&quot; Water Meter Size"/>
    <s v="KY"/>
    <s v="Neptune"/>
    <x v="1"/>
    <s v="Neptune - RF - AMR"/>
    <s v="AMR"/>
    <n v="2024"/>
    <n v="4"/>
    <n v="1"/>
    <n v="2028"/>
    <n v="2028"/>
    <s v="KY 2028"/>
    <s v="N"/>
    <x v="0"/>
    <n v="4"/>
    <x v="1"/>
    <x v="0"/>
    <s v="KY"/>
    <x v="0"/>
    <n v="4"/>
  </r>
  <r>
    <s v="INST"/>
    <s v="1-1/2&quot; Water Meter Size"/>
    <s v="KY"/>
    <s v="Neptune"/>
    <x v="1"/>
    <s v="Neptune - RF - AMR"/>
    <s v="AMR"/>
    <n v="2025"/>
    <n v="4"/>
    <n v="1"/>
    <n v="2029"/>
    <n v="2029"/>
    <s v="KY 2029"/>
    <s v="N"/>
    <x v="8"/>
    <n v="4"/>
    <x v="1"/>
    <x v="0"/>
    <s v="KY"/>
    <x v="8"/>
    <n v="4"/>
  </r>
  <r>
    <s v="INST"/>
    <s v="1&quot; Water Meter Size"/>
    <s v="KY"/>
    <s v="Badger"/>
    <x v="1"/>
    <m/>
    <s v="Manual"/>
    <n v="2020"/>
    <n v="10"/>
    <n v="2"/>
    <n v="2030"/>
    <n v="2030"/>
    <s v="KY 2030"/>
    <s v="N"/>
    <x v="3"/>
    <n v="10"/>
    <x v="0"/>
    <x v="0"/>
    <s v="KY"/>
    <x v="3"/>
    <n v="10"/>
  </r>
  <r>
    <s v="INST"/>
    <s v="1&quot; Water Meter Size"/>
    <s v="KY"/>
    <s v="Badger"/>
    <x v="0"/>
    <s v="Badger - ATT Cellular - AMI"/>
    <s v="AMI"/>
    <n v="2018"/>
    <n v="10"/>
    <n v="1"/>
    <n v="2028"/>
    <n v="2028"/>
    <s v="KY 2028"/>
    <s v="Y"/>
    <x v="0"/>
    <n v="10"/>
    <x v="2"/>
    <x v="0"/>
    <s v="KY"/>
    <x v="0"/>
    <n v="10"/>
  </r>
  <r>
    <s v="INST"/>
    <s v="1&quot; Water Meter Size"/>
    <s v="KY"/>
    <s v="Badger"/>
    <x v="0"/>
    <s v="Badger - ATT Cellular - AMI"/>
    <s v="AMI"/>
    <n v="2020"/>
    <n v="10"/>
    <n v="1"/>
    <n v="2030"/>
    <n v="2030"/>
    <s v="KY 2030"/>
    <s v="Y"/>
    <x v="3"/>
    <n v="10"/>
    <x v="2"/>
    <x v="0"/>
    <s v="KY"/>
    <x v="3"/>
    <n v="10"/>
  </r>
  <r>
    <s v="INST"/>
    <s v="1&quot; Water Meter Size"/>
    <s v="KY"/>
    <s v="Badger"/>
    <x v="1"/>
    <s v="Badger - ATT Cellular - AMI"/>
    <s v="AMI"/>
    <n v="2017"/>
    <n v="10"/>
    <n v="12"/>
    <n v="2027"/>
    <n v="2027"/>
    <s v="KY 2027"/>
    <s v="Y"/>
    <x v="2"/>
    <n v="10"/>
    <x v="2"/>
    <x v="0"/>
    <s v="KY"/>
    <x v="2"/>
    <n v="10"/>
  </r>
  <r>
    <s v="INST"/>
    <s v="1&quot; Water Meter Size"/>
    <s v="KY"/>
    <s v="Badger"/>
    <x v="1"/>
    <s v="Badger - ATT Cellular - AMI"/>
    <s v="AMI"/>
    <n v="2018"/>
    <n v="10"/>
    <n v="4"/>
    <n v="2028"/>
    <n v="2028"/>
    <s v="KY 2028"/>
    <s v="Y"/>
    <x v="0"/>
    <n v="10"/>
    <x v="2"/>
    <x v="0"/>
    <s v="KY"/>
    <x v="0"/>
    <n v="10"/>
  </r>
  <r>
    <s v="INST"/>
    <s v="1&quot; Water Meter Size"/>
    <s v="KY"/>
    <s v="Badger"/>
    <x v="1"/>
    <s v="Badger - ATT Cellular - AMI"/>
    <s v="AMI"/>
    <n v="2019"/>
    <n v="10"/>
    <n v="2"/>
    <n v="2029"/>
    <n v="2029"/>
    <s v="KY 2029"/>
    <s v="Y"/>
    <x v="8"/>
    <n v="10"/>
    <x v="2"/>
    <x v="0"/>
    <s v="KY"/>
    <x v="8"/>
    <n v="10"/>
  </r>
  <r>
    <s v="INST"/>
    <s v="1&quot; Water Meter Size"/>
    <s v="KY"/>
    <s v="Badger"/>
    <x v="1"/>
    <s v="Badger - ATT Cellular - AMI"/>
    <s v="AMI"/>
    <n v="2020"/>
    <n v="10"/>
    <n v="2"/>
    <n v="2030"/>
    <n v="2030"/>
    <s v="KY 2030"/>
    <s v="Y"/>
    <x v="3"/>
    <n v="10"/>
    <x v="2"/>
    <x v="0"/>
    <s v="KY"/>
    <x v="3"/>
    <n v="10"/>
  </r>
  <r>
    <s v="INST"/>
    <s v="1&quot; Water Meter Size"/>
    <s v="KY"/>
    <s v="Badger"/>
    <x v="1"/>
    <s v="Badger - ATT Cellular - AMI"/>
    <s v="AMI"/>
    <n v="2022"/>
    <n v="10"/>
    <n v="3"/>
    <n v="2032"/>
    <n v="2032"/>
    <s v="KY 2032"/>
    <s v="Y"/>
    <x v="5"/>
    <n v="10"/>
    <x v="2"/>
    <x v="0"/>
    <s v="KY"/>
    <x v="5"/>
    <n v="10"/>
  </r>
  <r>
    <s v="INST"/>
    <s v="1&quot; Water Meter Size"/>
    <s v="KY"/>
    <s v="Badger"/>
    <x v="1"/>
    <s v="Badger - ATT Cellular - AMI"/>
    <s v="AMI"/>
    <n v="2023"/>
    <n v="10"/>
    <n v="1"/>
    <n v="2033"/>
    <n v="2033"/>
    <s v="KY 2033"/>
    <s v="Y"/>
    <x v="6"/>
    <n v="10"/>
    <x v="2"/>
    <x v="0"/>
    <s v="KY"/>
    <x v="6"/>
    <n v="10"/>
  </r>
  <r>
    <s v="INST"/>
    <s v="1&quot; Water Meter Size"/>
    <s v="KY"/>
    <s v="Badger"/>
    <x v="0"/>
    <s v="Badger - ATT Cellular - AMI"/>
    <s v="AMI"/>
    <n v="2022"/>
    <n v="10"/>
    <n v="1"/>
    <n v="2032"/>
    <n v="2032"/>
    <s v="KY 2032"/>
    <s v="Y"/>
    <x v="5"/>
    <n v="10"/>
    <x v="2"/>
    <x v="0"/>
    <s v="KY"/>
    <x v="5"/>
    <n v="10"/>
  </r>
  <r>
    <s v="INST"/>
    <s v="1&quot; Water Meter Size"/>
    <s v="KY"/>
    <s v="Badger"/>
    <x v="1"/>
    <s v="Badger - ME - RF - AMR"/>
    <s v="AMR"/>
    <n v="2017"/>
    <n v="10"/>
    <n v="1"/>
    <n v="2027"/>
    <n v="2027"/>
    <s v="KY 2027"/>
    <s v="N"/>
    <x v="2"/>
    <n v="10"/>
    <x v="1"/>
    <x v="0"/>
    <s v="KY"/>
    <x v="2"/>
    <n v="10"/>
  </r>
  <r>
    <s v="INST"/>
    <s v="1&quot; Water Meter Size"/>
    <s v="KY"/>
    <s v="Badger"/>
    <x v="1"/>
    <s v="Badger - ME - RF - AMR"/>
    <s v="AMR"/>
    <n v="2022"/>
    <n v="10"/>
    <n v="1"/>
    <n v="2032"/>
    <n v="2032"/>
    <s v="KY 2032"/>
    <s v="N"/>
    <x v="5"/>
    <n v="10"/>
    <x v="1"/>
    <x v="0"/>
    <s v="KY"/>
    <x v="5"/>
    <n v="10"/>
  </r>
  <r>
    <s v="INST"/>
    <s v="1&quot; Water Meter Size"/>
    <s v="KY"/>
    <s v="Badger"/>
    <x v="1"/>
    <s v="Badger - ME - RF - AMR"/>
    <s v="AMR"/>
    <n v="2023"/>
    <n v="10"/>
    <n v="3"/>
    <n v="2033"/>
    <n v="2033"/>
    <s v="KY 2033"/>
    <s v="N"/>
    <x v="6"/>
    <n v="10"/>
    <x v="1"/>
    <x v="0"/>
    <s v="KY"/>
    <x v="6"/>
    <n v="10"/>
  </r>
  <r>
    <s v="INST"/>
    <s v="1&quot; Water Meter Size"/>
    <s v="KY"/>
    <s v="Badger"/>
    <x v="1"/>
    <s v="Badger - ME - RF - AMR"/>
    <s v="AMR"/>
    <n v="2024"/>
    <n v="10"/>
    <n v="10"/>
    <n v="2034"/>
    <n v="2034"/>
    <s v="KY 2034"/>
    <s v="N"/>
    <x v="7"/>
    <n v="10"/>
    <x v="1"/>
    <x v="0"/>
    <s v="KY"/>
    <x v="7"/>
    <n v="10"/>
  </r>
  <r>
    <s v="INST"/>
    <s v="1&quot; Water Meter Size"/>
    <s v="KY"/>
    <s v="Badger"/>
    <x v="0"/>
    <s v="Neptune - RF - AMR"/>
    <s v="AMR"/>
    <n v="2017"/>
    <n v="10"/>
    <n v="8"/>
    <n v="2027"/>
    <n v="2027"/>
    <s v="KY 2027"/>
    <s v="N"/>
    <x v="2"/>
    <n v="10"/>
    <x v="1"/>
    <x v="0"/>
    <s v="KY"/>
    <x v="2"/>
    <n v="10"/>
  </r>
  <r>
    <s v="INST"/>
    <s v="1&quot; Water Meter Size"/>
    <s v="KY"/>
    <s v="Badger"/>
    <x v="0"/>
    <s v="Neptune - RF - AMR"/>
    <s v="AMR"/>
    <n v="2018"/>
    <n v="10"/>
    <n v="8"/>
    <n v="2028"/>
    <n v="2028"/>
    <s v="KY 2028"/>
    <s v="N"/>
    <x v="0"/>
    <n v="10"/>
    <x v="1"/>
    <x v="0"/>
    <s v="KY"/>
    <x v="0"/>
    <n v="10"/>
  </r>
  <r>
    <s v="INST"/>
    <s v="1&quot; Water Meter Size"/>
    <s v="KY"/>
    <s v="Badger"/>
    <x v="0"/>
    <s v="Neptune - RF - AMR"/>
    <s v="AMR"/>
    <n v="2019"/>
    <n v="10"/>
    <n v="7"/>
    <n v="2029"/>
    <n v="2029"/>
    <s v="KY 2029"/>
    <s v="N"/>
    <x v="8"/>
    <n v="10"/>
    <x v="1"/>
    <x v="0"/>
    <s v="KY"/>
    <x v="8"/>
    <n v="10"/>
  </r>
  <r>
    <s v="INST"/>
    <s v="1&quot; Water Meter Size"/>
    <s v="KY"/>
    <s v="Badger"/>
    <x v="0"/>
    <s v="Neptune - RF - AMR"/>
    <s v="AMR"/>
    <n v="2020"/>
    <n v="10"/>
    <n v="3"/>
    <n v="2030"/>
    <n v="2030"/>
    <s v="KY 2030"/>
    <s v="N"/>
    <x v="3"/>
    <n v="10"/>
    <x v="1"/>
    <x v="0"/>
    <s v="KY"/>
    <x v="3"/>
    <n v="10"/>
  </r>
  <r>
    <s v="INST"/>
    <s v="1&quot; Water Meter Size"/>
    <s v="KY"/>
    <s v="Badger"/>
    <x v="0"/>
    <s v="Neptune - RF - AMR"/>
    <s v="AMR"/>
    <n v="2022"/>
    <n v="10"/>
    <n v="4"/>
    <n v="2032"/>
    <n v="2032"/>
    <s v="KY 2032"/>
    <s v="N"/>
    <x v="5"/>
    <n v="10"/>
    <x v="1"/>
    <x v="0"/>
    <s v="KY"/>
    <x v="5"/>
    <n v="10"/>
  </r>
  <r>
    <s v="INST"/>
    <s v="1&quot; Water Meter Size"/>
    <s v="KY"/>
    <s v="Badger"/>
    <x v="0"/>
    <s v="Neptune - RF - AMR"/>
    <s v="AMR"/>
    <n v="2023"/>
    <n v="10"/>
    <n v="3"/>
    <n v="2033"/>
    <n v="2033"/>
    <s v="KY 2033"/>
    <s v="N"/>
    <x v="6"/>
    <n v="10"/>
    <x v="1"/>
    <x v="0"/>
    <s v="KY"/>
    <x v="6"/>
    <n v="10"/>
  </r>
  <r>
    <s v="INST"/>
    <s v="1&quot; Water Meter Size"/>
    <s v="KY"/>
    <s v="Badger"/>
    <x v="1"/>
    <s v="Neptune - RF - AMR"/>
    <s v="AMR"/>
    <n v="2016"/>
    <n v="10"/>
    <n v="54"/>
    <n v="2026"/>
    <n v="2026"/>
    <s v="KY 2026"/>
    <s v="N"/>
    <x v="1"/>
    <n v="10"/>
    <x v="1"/>
    <x v="0"/>
    <s v="KY"/>
    <x v="1"/>
    <n v="10"/>
  </r>
  <r>
    <s v="INST"/>
    <s v="1&quot; Water Meter Size"/>
    <s v="KY"/>
    <s v="Badger"/>
    <x v="1"/>
    <s v="Neptune - RF - AMR"/>
    <s v="AMR"/>
    <n v="2017"/>
    <n v="10"/>
    <n v="1170"/>
    <n v="2027"/>
    <n v="2027"/>
    <s v="KY 2027"/>
    <s v="N"/>
    <x v="2"/>
    <n v="10"/>
    <x v="1"/>
    <x v="0"/>
    <s v="KY"/>
    <x v="2"/>
    <n v="10"/>
  </r>
  <r>
    <s v="INST"/>
    <s v="1&quot; Water Meter Size"/>
    <s v="KY"/>
    <s v="Badger"/>
    <x v="1"/>
    <s v="Neptune - RF - AMR"/>
    <s v="AMR"/>
    <n v="2018"/>
    <n v="10"/>
    <n v="911"/>
    <n v="2028"/>
    <n v="2028"/>
    <s v="KY 2028"/>
    <s v="N"/>
    <x v="0"/>
    <n v="10"/>
    <x v="1"/>
    <x v="0"/>
    <s v="KY"/>
    <x v="0"/>
    <n v="10"/>
  </r>
  <r>
    <s v="INST"/>
    <s v="1&quot; Water Meter Size"/>
    <s v="KY"/>
    <s v="Badger"/>
    <x v="1"/>
    <s v="Neptune - RF - AMR"/>
    <s v="AMR"/>
    <n v="2019"/>
    <n v="10"/>
    <n v="798"/>
    <n v="2029"/>
    <n v="2029"/>
    <s v="KY 2029"/>
    <s v="N"/>
    <x v="8"/>
    <n v="10"/>
    <x v="1"/>
    <x v="0"/>
    <s v="KY"/>
    <x v="8"/>
    <n v="10"/>
  </r>
  <r>
    <s v="INST"/>
    <s v="1&quot; Water Meter Size"/>
    <s v="KY"/>
    <s v="Badger"/>
    <x v="1"/>
    <s v="Neptune - RF - AMR"/>
    <s v="AMR"/>
    <n v="2020"/>
    <n v="10"/>
    <n v="334"/>
    <n v="2030"/>
    <n v="2030"/>
    <s v="KY 2030"/>
    <s v="N"/>
    <x v="3"/>
    <n v="10"/>
    <x v="1"/>
    <x v="0"/>
    <s v="KY"/>
    <x v="3"/>
    <n v="10"/>
  </r>
  <r>
    <s v="INST"/>
    <s v="1&quot; Water Meter Size"/>
    <s v="KY"/>
    <s v="Badger"/>
    <x v="1"/>
    <s v="Neptune - RF - AMR"/>
    <s v="AMR"/>
    <n v="2022"/>
    <n v="10"/>
    <n v="452"/>
    <n v="2032"/>
    <n v="2032"/>
    <s v="KY 2032"/>
    <s v="N"/>
    <x v="5"/>
    <n v="10"/>
    <x v="1"/>
    <x v="0"/>
    <s v="KY"/>
    <x v="5"/>
    <n v="10"/>
  </r>
  <r>
    <s v="INST"/>
    <s v="1&quot; Water Meter Size"/>
    <s v="KY"/>
    <s v="Badger"/>
    <x v="1"/>
    <s v="Neptune - RF - AMR"/>
    <s v="AMR"/>
    <n v="2023"/>
    <n v="10"/>
    <n v="432"/>
    <n v="2033"/>
    <n v="2033"/>
    <s v="KY 2033"/>
    <s v="N"/>
    <x v="6"/>
    <n v="10"/>
    <x v="1"/>
    <x v="0"/>
    <s v="KY"/>
    <x v="6"/>
    <n v="10"/>
  </r>
  <r>
    <s v="INST"/>
    <s v="1&quot; Water Meter Size"/>
    <s v="KY"/>
    <s v="Badger"/>
    <x v="1"/>
    <s v="Neptune - RF - AMR"/>
    <s v="AMR"/>
    <n v="2024"/>
    <n v="10"/>
    <n v="12"/>
    <n v="2034"/>
    <n v="2034"/>
    <s v="KY 2034"/>
    <s v="N"/>
    <x v="7"/>
    <n v="10"/>
    <x v="1"/>
    <x v="0"/>
    <s v="KY"/>
    <x v="7"/>
    <n v="10"/>
  </r>
  <r>
    <s v="INST"/>
    <s v="1&quot; Water Meter Size"/>
    <s v="KY"/>
    <s v="Mueller"/>
    <x v="1"/>
    <m/>
    <s v="Manual"/>
    <n v="2014"/>
    <n v="10"/>
    <n v="1"/>
    <n v="2024"/>
    <n v="2025"/>
    <s v="KY 2025"/>
    <s v="N"/>
    <x v="10"/>
    <n v="11"/>
    <x v="0"/>
    <x v="0"/>
    <s v="KY"/>
    <x v="9"/>
    <n v="11"/>
  </r>
  <r>
    <s v="INST"/>
    <s v="1&quot; Water Meter Size"/>
    <s v="KY"/>
    <s v="Mueller"/>
    <x v="1"/>
    <s v="Badger - ATT Cellular - AMI"/>
    <s v="AMI"/>
    <n v="2014"/>
    <n v="10"/>
    <n v="1"/>
    <n v="2024"/>
    <n v="2025"/>
    <s v="KY 2025"/>
    <s v="Y"/>
    <x v="10"/>
    <n v="11"/>
    <x v="2"/>
    <x v="0"/>
    <s v="KY"/>
    <x v="9"/>
    <n v="11"/>
  </r>
  <r>
    <s v="INST"/>
    <s v="1&quot; Water Meter Size"/>
    <s v="KY"/>
    <s v="Mueller"/>
    <x v="0"/>
    <s v="Mueller - RF - AMR"/>
    <s v="AMR"/>
    <n v="2014"/>
    <n v="10"/>
    <n v="1"/>
    <n v="2024"/>
    <n v="2025"/>
    <s v="KY 2025"/>
    <s v="N"/>
    <x v="10"/>
    <n v="11"/>
    <x v="1"/>
    <x v="0"/>
    <s v="KY"/>
    <x v="9"/>
    <n v="11"/>
  </r>
  <r>
    <s v="INST"/>
    <s v="1&quot; Water Meter Size"/>
    <s v="KY"/>
    <s v="Mueller"/>
    <x v="1"/>
    <s v="Mueller - RF - AMR"/>
    <s v="AMR"/>
    <n v="2014"/>
    <n v="10"/>
    <n v="116"/>
    <n v="2024"/>
    <n v="2025"/>
    <s v="KY 2025"/>
    <s v="N"/>
    <x v="10"/>
    <n v="11"/>
    <x v="1"/>
    <x v="0"/>
    <s v="KY"/>
    <x v="9"/>
    <n v="11"/>
  </r>
  <r>
    <s v="INST"/>
    <s v="1&quot; Water Meter Size"/>
    <s v="KY"/>
    <s v="Neptune"/>
    <x v="1"/>
    <s v="Neptune - RF - AMR"/>
    <s v="AMR"/>
    <n v="2011"/>
    <n v="10"/>
    <n v="1"/>
    <n v="2021"/>
    <n v="2025"/>
    <s v="KY 2025"/>
    <s v="N"/>
    <x v="10"/>
    <n v="14"/>
    <x v="1"/>
    <x v="0"/>
    <s v="KY"/>
    <x v="9"/>
    <n v="14"/>
  </r>
  <r>
    <s v="INST"/>
    <s v="1&quot; Water Meter Size"/>
    <s v="KY"/>
    <s v="Neptune"/>
    <x v="0"/>
    <s v="Badger - ATT Cellular - AMI"/>
    <s v="AMI"/>
    <n v="2024"/>
    <n v="10"/>
    <n v="1"/>
    <n v="2034"/>
    <n v="2034"/>
    <s v="KY 2034"/>
    <s v="Y"/>
    <x v="7"/>
    <n v="10"/>
    <x v="2"/>
    <x v="0"/>
    <s v="KY"/>
    <x v="7"/>
    <n v="10"/>
  </r>
  <r>
    <s v="INST"/>
    <s v="1&quot; Water Meter Size"/>
    <s v="KY"/>
    <s v="Neptune"/>
    <x v="1"/>
    <s v="Badger - ATT Cellular - AMI"/>
    <s v="AMI"/>
    <n v="2023"/>
    <n v="10"/>
    <n v="1"/>
    <n v="2033"/>
    <n v="2033"/>
    <s v="KY 2033"/>
    <s v="Y"/>
    <x v="6"/>
    <n v="10"/>
    <x v="2"/>
    <x v="0"/>
    <s v="KY"/>
    <x v="6"/>
    <n v="10"/>
  </r>
  <r>
    <s v="INST"/>
    <s v="1&quot; Water Meter Size"/>
    <s v="KY"/>
    <s v="Neptune"/>
    <x v="0"/>
    <s v="Badger - ME - RF - AMR"/>
    <s v="AMR"/>
    <n v="2024"/>
    <n v="10"/>
    <n v="1"/>
    <n v="2034"/>
    <n v="2034"/>
    <s v="KY 2034"/>
    <s v="N"/>
    <x v="7"/>
    <n v="10"/>
    <x v="1"/>
    <x v="0"/>
    <s v="KY"/>
    <x v="7"/>
    <n v="10"/>
  </r>
  <r>
    <s v="INST"/>
    <s v="1&quot; Water Meter Size"/>
    <s v="KY"/>
    <s v="Neptune"/>
    <x v="1"/>
    <s v="Badger - ME - RF - AMR"/>
    <s v="AMR"/>
    <n v="2023"/>
    <n v="10"/>
    <n v="1"/>
    <n v="2033"/>
    <n v="2033"/>
    <s v="KY 2033"/>
    <s v="N"/>
    <x v="6"/>
    <n v="10"/>
    <x v="1"/>
    <x v="0"/>
    <s v="KY"/>
    <x v="6"/>
    <n v="10"/>
  </r>
  <r>
    <s v="INST"/>
    <s v="1&quot; Water Meter Size"/>
    <s v="KY"/>
    <s v="Neptune"/>
    <x v="1"/>
    <s v="Badger - ME - RF - AMR"/>
    <s v="AMR"/>
    <n v="2024"/>
    <n v="10"/>
    <n v="119"/>
    <n v="2034"/>
    <n v="2034"/>
    <s v="KY 2034"/>
    <s v="N"/>
    <x v="7"/>
    <n v="10"/>
    <x v="1"/>
    <x v="0"/>
    <s v="KY"/>
    <x v="7"/>
    <n v="10"/>
  </r>
  <r>
    <s v="INST"/>
    <s v="1&quot; Water Meter Size"/>
    <s v="KY"/>
    <s v="Neptune"/>
    <x v="0"/>
    <s v="Neptune - RF - AMR"/>
    <s v="AMR"/>
    <n v="2010"/>
    <n v="10"/>
    <n v="2"/>
    <n v="2020"/>
    <n v="2025"/>
    <s v="KY 2025"/>
    <s v="N"/>
    <x v="10"/>
    <n v="15"/>
    <x v="1"/>
    <x v="0"/>
    <s v="KY"/>
    <x v="9"/>
    <s v="10**"/>
  </r>
  <r>
    <s v="INST"/>
    <s v="1&quot; Water Meter Size"/>
    <s v="KY"/>
    <s v="Neptune"/>
    <x v="0"/>
    <s v="Neptune - RF - AMR"/>
    <s v="AMR"/>
    <n v="2011"/>
    <n v="10"/>
    <n v="2"/>
    <n v="2021"/>
    <n v="2025"/>
    <s v="KY 2025"/>
    <s v="N"/>
    <x v="10"/>
    <n v="14"/>
    <x v="1"/>
    <x v="0"/>
    <s v="KY"/>
    <x v="9"/>
    <n v="14"/>
  </r>
  <r>
    <s v="INST"/>
    <s v="1&quot; Water Meter Size"/>
    <s v="KY"/>
    <s v="Neptune"/>
    <x v="0"/>
    <s v="Neptune - RF - AMR"/>
    <s v="AMR"/>
    <n v="2012"/>
    <n v="10"/>
    <n v="2"/>
    <n v="2022"/>
    <n v="2025"/>
    <s v="KY 2025"/>
    <s v="N"/>
    <x v="10"/>
    <n v="13"/>
    <x v="1"/>
    <x v="0"/>
    <s v="KY"/>
    <x v="9"/>
    <n v="13"/>
  </r>
  <r>
    <s v="INST"/>
    <s v="1&quot; Water Meter Size"/>
    <s v="KY"/>
    <s v="Neptune"/>
    <x v="0"/>
    <s v="Neptune - RF - AMR"/>
    <s v="AMR"/>
    <n v="2013"/>
    <n v="10"/>
    <n v="1"/>
    <n v="2023"/>
    <n v="2025"/>
    <s v="KY 2025"/>
    <s v="N"/>
    <x v="10"/>
    <n v="12"/>
    <x v="1"/>
    <x v="0"/>
    <s v="KY"/>
    <x v="9"/>
    <n v="12"/>
  </r>
  <r>
    <s v="INST"/>
    <s v="1&quot; Water Meter Size"/>
    <s v="KY"/>
    <s v="Neptune"/>
    <x v="0"/>
    <s v="Neptune - RF - AMR"/>
    <s v="AMR"/>
    <n v="2016"/>
    <n v="10"/>
    <n v="1"/>
    <n v="2026"/>
    <n v="2026"/>
    <s v="KY 2026"/>
    <s v="N"/>
    <x v="1"/>
    <n v="10"/>
    <x v="1"/>
    <x v="0"/>
    <s v="KY"/>
    <x v="1"/>
    <n v="10"/>
  </r>
  <r>
    <s v="INST"/>
    <s v="1&quot; Water Meter Size"/>
    <s v="KY"/>
    <s v="Neptune"/>
    <x v="0"/>
    <s v="Neptune - RF - AMR"/>
    <s v="AMR"/>
    <n v="2023"/>
    <n v="10"/>
    <n v="1"/>
    <n v="2033"/>
    <n v="2033"/>
    <s v="KY 2033"/>
    <s v="N"/>
    <x v="6"/>
    <n v="10"/>
    <x v="1"/>
    <x v="0"/>
    <s v="KY"/>
    <x v="6"/>
    <n v="10"/>
  </r>
  <r>
    <s v="INST"/>
    <s v="1&quot; Water Meter Size"/>
    <s v="KY"/>
    <s v="Neptune"/>
    <x v="1"/>
    <s v="Neptune - RF - AMR"/>
    <s v="AMR"/>
    <n v="2009"/>
    <n v="10"/>
    <n v="3"/>
    <n v="2019"/>
    <n v="2025"/>
    <s v="KY 2025"/>
    <s v="N"/>
    <x v="10"/>
    <n v="16"/>
    <x v="1"/>
    <x v="0"/>
    <s v="KY"/>
    <x v="9"/>
    <n v="16"/>
  </r>
  <r>
    <s v="INST"/>
    <s v="1&quot; Water Meter Size"/>
    <s v="KY"/>
    <s v="Neptune"/>
    <x v="1"/>
    <s v="Neptune - RF - AMR"/>
    <s v="AMR"/>
    <n v="2010"/>
    <n v="10"/>
    <n v="10"/>
    <n v="2020"/>
    <n v="2025"/>
    <s v="KY 2025"/>
    <s v="N"/>
    <x v="10"/>
    <n v="15"/>
    <x v="1"/>
    <x v="0"/>
    <s v="KY"/>
    <x v="9"/>
    <s v="10**"/>
  </r>
  <r>
    <s v="INST"/>
    <s v="1&quot; Water Meter Size"/>
    <s v="KY"/>
    <s v="Neptune"/>
    <x v="1"/>
    <s v="Neptune - RF - AMR"/>
    <s v="AMR"/>
    <n v="2011"/>
    <n v="10"/>
    <n v="215"/>
    <n v="2021"/>
    <n v="2025"/>
    <s v="KY 2025"/>
    <s v="N"/>
    <x v="10"/>
    <n v="14"/>
    <x v="1"/>
    <x v="0"/>
    <s v="KY"/>
    <x v="9"/>
    <n v="14"/>
  </r>
  <r>
    <s v="INST"/>
    <s v="1&quot; Water Meter Size"/>
    <s v="KY"/>
    <s v="Neptune"/>
    <x v="1"/>
    <s v="Neptune - RF - AMR"/>
    <s v="AMR"/>
    <n v="2012"/>
    <n v="10"/>
    <n v="202"/>
    <n v="2022"/>
    <n v="2025"/>
    <s v="KY 2025"/>
    <s v="N"/>
    <x v="10"/>
    <n v="13"/>
    <x v="1"/>
    <x v="0"/>
    <s v="KY"/>
    <x v="9"/>
    <n v="13"/>
  </r>
  <r>
    <s v="INST"/>
    <s v="1&quot; Water Meter Size"/>
    <s v="KY"/>
    <s v="Neptune"/>
    <x v="1"/>
    <s v="Neptune - RF - AMR"/>
    <s v="AMR"/>
    <n v="2013"/>
    <n v="10"/>
    <n v="47"/>
    <n v="2023"/>
    <n v="2025"/>
    <s v="KY 2025"/>
    <s v="N"/>
    <x v="10"/>
    <n v="12"/>
    <x v="1"/>
    <x v="0"/>
    <s v="KY"/>
    <x v="9"/>
    <n v="12"/>
  </r>
  <r>
    <s v="INST"/>
    <s v="1&quot; Water Meter Size"/>
    <s v="KY"/>
    <s v="Neptune"/>
    <x v="1"/>
    <s v="Neptune - RF - AMR"/>
    <s v="AMR"/>
    <n v="2014"/>
    <n v="10"/>
    <n v="14"/>
    <n v="2024"/>
    <n v="2025"/>
    <s v="KY 2025"/>
    <s v="N"/>
    <x v="10"/>
    <n v="11"/>
    <x v="1"/>
    <x v="0"/>
    <s v="KY"/>
    <x v="9"/>
    <n v="11"/>
  </r>
  <r>
    <s v="INST"/>
    <s v="1&quot; Water Meter Size"/>
    <s v="KY"/>
    <s v="Neptune"/>
    <x v="1"/>
    <s v="Neptune - RF - AMR"/>
    <s v="AMR"/>
    <n v="2015"/>
    <n v="10"/>
    <n v="17"/>
    <n v="2025"/>
    <n v="2025"/>
    <s v="KY 2025"/>
    <s v="N"/>
    <x v="10"/>
    <n v="10"/>
    <x v="1"/>
    <x v="0"/>
    <s v="KY"/>
    <x v="9"/>
    <n v="10"/>
  </r>
  <r>
    <s v="INST"/>
    <s v="1&quot; Water Meter Size"/>
    <s v="KY"/>
    <s v="Neptune"/>
    <x v="1"/>
    <s v="Neptune - RF - AMR"/>
    <s v="AMR"/>
    <n v="2016"/>
    <n v="10"/>
    <n v="89"/>
    <n v="2026"/>
    <n v="2026"/>
    <s v="KY 2026"/>
    <s v="N"/>
    <x v="1"/>
    <n v="10"/>
    <x v="1"/>
    <x v="0"/>
    <s v="KY"/>
    <x v="1"/>
    <n v="10"/>
  </r>
  <r>
    <s v="INST"/>
    <s v="1&quot; Water Meter Size"/>
    <s v="KY"/>
    <s v="Neptune"/>
    <x v="1"/>
    <s v="Neptune - RF - AMR"/>
    <s v="AMR"/>
    <n v="2017"/>
    <n v="10"/>
    <n v="1"/>
    <n v="2027"/>
    <n v="2027"/>
    <s v="KY 2027"/>
    <s v="N"/>
    <x v="2"/>
    <n v="10"/>
    <x v="1"/>
    <x v="0"/>
    <s v="KY"/>
    <x v="2"/>
    <n v="10"/>
  </r>
  <r>
    <s v="INST"/>
    <s v="1&quot; Water Meter Size"/>
    <s v="KY"/>
    <s v="Neptune"/>
    <x v="1"/>
    <s v="Neptune - RF - AMR"/>
    <s v="AMR"/>
    <n v="2020"/>
    <n v="10"/>
    <n v="12"/>
    <n v="2030"/>
    <n v="2030"/>
    <s v="KY 2030"/>
    <s v="N"/>
    <x v="3"/>
    <n v="10"/>
    <x v="1"/>
    <x v="0"/>
    <s v="KY"/>
    <x v="3"/>
    <n v="10"/>
  </r>
  <r>
    <s v="INST"/>
    <s v="1&quot; Water Meter Size"/>
    <s v="KY"/>
    <s v="Neptune"/>
    <x v="1"/>
    <s v="Neptune - RF - AMR"/>
    <s v="AMR"/>
    <n v="2021"/>
    <n v="10"/>
    <n v="9"/>
    <n v="2031"/>
    <n v="2031"/>
    <s v="KY 2031"/>
    <s v="N"/>
    <x v="4"/>
    <n v="10"/>
    <x v="1"/>
    <x v="0"/>
    <s v="KY"/>
    <x v="4"/>
    <n v="10"/>
  </r>
  <r>
    <s v="INST"/>
    <s v="1&quot; Water Meter Size"/>
    <s v="KY"/>
    <s v="Neptune"/>
    <x v="1"/>
    <s v="Neptune - RF - AMR"/>
    <s v="AMR"/>
    <n v="2022"/>
    <n v="10"/>
    <n v="14"/>
    <n v="2032"/>
    <n v="2032"/>
    <s v="KY 2032"/>
    <s v="N"/>
    <x v="5"/>
    <n v="10"/>
    <x v="1"/>
    <x v="0"/>
    <s v="KY"/>
    <x v="5"/>
    <n v="10"/>
  </r>
  <r>
    <s v="INST"/>
    <s v="1&quot; Water Meter Size"/>
    <s v="KY"/>
    <s v="Neptune"/>
    <x v="1"/>
    <s v="Neptune - RF - AMR"/>
    <s v="AMR"/>
    <n v="2023"/>
    <n v="10"/>
    <n v="229"/>
    <n v="2033"/>
    <n v="2033"/>
    <s v="KY 2033"/>
    <s v="N"/>
    <x v="6"/>
    <n v="10"/>
    <x v="1"/>
    <x v="0"/>
    <s v="KY"/>
    <x v="6"/>
    <n v="10"/>
  </r>
  <r>
    <s v="INST"/>
    <s v="1&quot; Water Meter Size"/>
    <s v="KY"/>
    <s v="Neptune"/>
    <x v="1"/>
    <s v="Neptune - RF - AMR"/>
    <s v="AMR"/>
    <n v="2024"/>
    <n v="10"/>
    <n v="76"/>
    <n v="2034"/>
    <n v="2034"/>
    <s v="KY 2034"/>
    <s v="N"/>
    <x v="7"/>
    <n v="10"/>
    <x v="1"/>
    <x v="0"/>
    <s v="KY"/>
    <x v="7"/>
    <n v="10"/>
  </r>
  <r>
    <m/>
    <m/>
    <s v="Kentucky-American Water"/>
    <m/>
    <x v="0"/>
    <s v="blank"/>
    <m/>
    <m/>
    <m/>
    <n v="0"/>
    <m/>
    <n v="2026"/>
    <s v="Kentucky-American Water 2026"/>
    <m/>
    <x v="10"/>
    <n v="2025"/>
    <x v="2"/>
    <x v="1"/>
    <s v="Kentucky-American Water"/>
    <x v="9"/>
    <n v="2025"/>
  </r>
  <r>
    <m/>
    <m/>
    <s v="Kentucky-American Water"/>
    <m/>
    <x v="1"/>
    <s v="blank"/>
    <m/>
    <m/>
    <m/>
    <n v="0"/>
    <m/>
    <n v="2026"/>
    <s v="Kentucky-American Water 2026"/>
    <m/>
    <x v="10"/>
    <n v="2025"/>
    <x v="2"/>
    <x v="1"/>
    <s v="Kentucky-American Water"/>
    <x v="9"/>
    <n v="2025"/>
  </r>
  <r>
    <m/>
    <m/>
    <s v="Kentucky-American Water"/>
    <m/>
    <x v="0"/>
    <s v="blank"/>
    <m/>
    <m/>
    <m/>
    <n v="0"/>
    <m/>
    <n v="2026"/>
    <s v="Kentucky-American Water 2026"/>
    <m/>
    <x v="10"/>
    <n v="2025"/>
    <x v="1"/>
    <x v="1"/>
    <s v="Kentucky-American Water"/>
    <x v="9"/>
    <n v="2025"/>
  </r>
  <r>
    <m/>
    <m/>
    <s v="Kentucky-American Water"/>
    <m/>
    <x v="1"/>
    <s v="blank"/>
    <m/>
    <m/>
    <m/>
    <n v="0"/>
    <m/>
    <n v="2026"/>
    <s v="Kentucky-American Water 2026"/>
    <m/>
    <x v="10"/>
    <n v="2025"/>
    <x v="1"/>
    <x v="1"/>
    <s v="Kentucky-American Water"/>
    <x v="9"/>
    <n v="2025"/>
  </r>
  <r>
    <m/>
    <m/>
    <s v="Kentucky-American Water"/>
    <m/>
    <x v="0"/>
    <s v="blank"/>
    <m/>
    <m/>
    <m/>
    <n v="0"/>
    <m/>
    <n v="2026"/>
    <s v="Kentucky-American Water 2026"/>
    <m/>
    <x v="10"/>
    <n v="2025"/>
    <x v="0"/>
    <x v="1"/>
    <s v="Kentucky-American Water"/>
    <x v="9"/>
    <n v="2025"/>
  </r>
  <r>
    <m/>
    <m/>
    <s v="Kentucky-American Water"/>
    <m/>
    <x v="1"/>
    <s v="blank"/>
    <m/>
    <m/>
    <m/>
    <n v="0"/>
    <m/>
    <n v="2026"/>
    <s v="Kentucky-American Water 2026"/>
    <m/>
    <x v="10"/>
    <n v="2025"/>
    <x v="0"/>
    <x v="1"/>
    <s v="Kentucky-American Water"/>
    <x v="9"/>
    <n v="2025"/>
  </r>
  <r>
    <m/>
    <m/>
    <s v="Kentucky-American Water"/>
    <m/>
    <x v="0"/>
    <s v="blank"/>
    <m/>
    <m/>
    <m/>
    <n v="0"/>
    <m/>
    <n v="2026"/>
    <s v="Kentucky-American Water 2026"/>
    <m/>
    <x v="10"/>
    <n v="2025"/>
    <x v="2"/>
    <x v="0"/>
    <s v="Kentucky-American Water"/>
    <x v="9"/>
    <n v="2025"/>
  </r>
  <r>
    <m/>
    <m/>
    <s v="Kentucky-American Water"/>
    <m/>
    <x v="1"/>
    <s v="blank"/>
    <m/>
    <m/>
    <m/>
    <n v="0"/>
    <m/>
    <n v="2026"/>
    <s v="Kentucky-American Water 2026"/>
    <m/>
    <x v="10"/>
    <n v="2025"/>
    <x v="2"/>
    <x v="0"/>
    <s v="Kentucky-American Water"/>
    <x v="9"/>
    <n v="2025"/>
  </r>
  <r>
    <m/>
    <m/>
    <s v="Kentucky-American Water"/>
    <m/>
    <x v="0"/>
    <s v="blank"/>
    <m/>
    <m/>
    <m/>
    <n v="0"/>
    <m/>
    <n v="2026"/>
    <s v="Kentucky-American Water 2026"/>
    <m/>
    <x v="10"/>
    <n v="2025"/>
    <x v="1"/>
    <x v="0"/>
    <s v="Kentucky-American Water"/>
    <x v="9"/>
    <n v="2025"/>
  </r>
  <r>
    <m/>
    <m/>
    <s v="Kentucky-American Water"/>
    <m/>
    <x v="1"/>
    <s v="blank"/>
    <m/>
    <m/>
    <m/>
    <n v="0"/>
    <m/>
    <n v="2026"/>
    <s v="Kentucky-American Water 2026"/>
    <m/>
    <x v="10"/>
    <n v="2025"/>
    <x v="1"/>
    <x v="0"/>
    <s v="Kentucky-American Water"/>
    <x v="9"/>
    <n v="2025"/>
  </r>
  <r>
    <m/>
    <m/>
    <s v="Kentucky-American Water"/>
    <m/>
    <x v="0"/>
    <s v="blank"/>
    <m/>
    <m/>
    <m/>
    <n v="0"/>
    <m/>
    <n v="2026"/>
    <s v="Kentucky-American Water 2026"/>
    <m/>
    <x v="10"/>
    <n v="2025"/>
    <x v="0"/>
    <x v="0"/>
    <s v="Kentucky-American Water"/>
    <x v="9"/>
    <n v="2025"/>
  </r>
  <r>
    <m/>
    <m/>
    <s v="Kentucky-American Water"/>
    <m/>
    <x v="1"/>
    <s v="blank"/>
    <m/>
    <m/>
    <m/>
    <n v="0"/>
    <m/>
    <n v="2026"/>
    <s v="Kentucky-American Water 2026"/>
    <m/>
    <x v="10"/>
    <n v="2025"/>
    <x v="0"/>
    <x v="0"/>
    <s v="Kentucky-American Water"/>
    <x v="9"/>
    <n v="2025"/>
  </r>
  <r>
    <m/>
    <m/>
    <m/>
    <m/>
    <x v="2"/>
    <m/>
    <m/>
    <m/>
    <m/>
    <m/>
    <m/>
    <m/>
    <m/>
    <m/>
    <x v="11"/>
    <m/>
    <x v="3"/>
    <x v="2"/>
    <m/>
    <x v="1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">
  <r>
    <s v="INST"/>
    <s v="5/8&quot; Water Meter Size"/>
    <s v="KY"/>
    <s v="Badger"/>
    <x v="0"/>
    <x v="0"/>
    <s v="Manual"/>
    <n v="2018"/>
    <n v="10"/>
    <n v="2"/>
    <n v="2028"/>
    <n v="2028"/>
    <s v="KY 2028"/>
    <s v="N"/>
    <x v="0"/>
    <n v="10"/>
    <x v="0"/>
    <x v="0"/>
    <x v="0"/>
    <x v="0"/>
    <n v="10"/>
  </r>
  <r>
    <s v="INST"/>
    <s v="5/8&quot; Water Meter Size"/>
    <s v="KY"/>
    <s v="Badger"/>
    <x v="1"/>
    <x v="0"/>
    <s v="Manual"/>
    <n v="2016"/>
    <n v="10"/>
    <n v="1"/>
    <n v="2026"/>
    <n v="2026"/>
    <s v="KY 2026"/>
    <s v="N"/>
    <x v="1"/>
    <n v="10"/>
    <x v="0"/>
    <x v="0"/>
    <x v="0"/>
    <x v="1"/>
    <n v="10"/>
  </r>
  <r>
    <s v="INST"/>
    <s v="5/8&quot; Water Meter Size"/>
    <s v="KY"/>
    <s v="Badger"/>
    <x v="1"/>
    <x v="0"/>
    <s v="Manual"/>
    <n v="2017"/>
    <n v="10"/>
    <n v="2"/>
    <n v="2027"/>
    <n v="2027"/>
    <s v="KY 2027"/>
    <s v="N"/>
    <x v="2"/>
    <n v="10"/>
    <x v="0"/>
    <x v="0"/>
    <x v="0"/>
    <x v="2"/>
    <n v="10"/>
  </r>
  <r>
    <s v="INST"/>
    <s v="5/8&quot; Water Meter Size"/>
    <s v="KY"/>
    <s v="Badger"/>
    <x v="1"/>
    <x v="0"/>
    <s v="Manual"/>
    <n v="2018"/>
    <n v="10"/>
    <n v="9"/>
    <n v="2028"/>
    <n v="2028"/>
    <s v="KY 2028"/>
    <s v="N"/>
    <x v="0"/>
    <n v="10"/>
    <x v="0"/>
    <x v="0"/>
    <x v="0"/>
    <x v="0"/>
    <n v="10"/>
  </r>
  <r>
    <s v="INST"/>
    <s v="5/8&quot; Water Meter Size"/>
    <s v="KY"/>
    <s v="Badger"/>
    <x v="1"/>
    <x v="0"/>
    <s v="Manual"/>
    <n v="2020"/>
    <n v="10"/>
    <n v="1"/>
    <n v="2030"/>
    <n v="2030"/>
    <s v="KY 2030"/>
    <s v="N"/>
    <x v="3"/>
    <n v="10"/>
    <x v="0"/>
    <x v="0"/>
    <x v="0"/>
    <x v="3"/>
    <n v="10"/>
  </r>
  <r>
    <s v="INST"/>
    <s v="5/8&quot; Water Meter Size"/>
    <s v="KY"/>
    <s v="Badger"/>
    <x v="1"/>
    <x v="0"/>
    <s v="Manual"/>
    <n v="2021"/>
    <n v="10"/>
    <n v="4"/>
    <n v="2031"/>
    <n v="2031"/>
    <s v="KY 2031"/>
    <s v="N"/>
    <x v="4"/>
    <n v="10"/>
    <x v="0"/>
    <x v="0"/>
    <x v="0"/>
    <x v="4"/>
    <n v="10"/>
  </r>
  <r>
    <s v="INST"/>
    <s v="5/8&quot; Water Meter Size"/>
    <s v="KY"/>
    <s v="Badger"/>
    <x v="1"/>
    <x v="0"/>
    <s v="Manual"/>
    <n v="2022"/>
    <n v="10"/>
    <n v="4"/>
    <n v="2032"/>
    <n v="2032"/>
    <s v="KY 2032"/>
    <s v="N"/>
    <x v="5"/>
    <n v="10"/>
    <x v="0"/>
    <x v="0"/>
    <x v="0"/>
    <x v="5"/>
    <n v="10"/>
  </r>
  <r>
    <s v="INST"/>
    <s v="5/8&quot; Water Meter Size"/>
    <s v="KY"/>
    <s v="Badger"/>
    <x v="1"/>
    <x v="0"/>
    <s v="Manual"/>
    <n v="2023"/>
    <n v="10"/>
    <n v="1"/>
    <n v="2033"/>
    <n v="2033"/>
    <s v="KY 2033"/>
    <s v="N"/>
    <x v="6"/>
    <n v="10"/>
    <x v="0"/>
    <x v="0"/>
    <x v="0"/>
    <x v="6"/>
    <n v="10"/>
  </r>
  <r>
    <s v="INST"/>
    <s v="5/8&quot; Water Meter Size"/>
    <s v="KY"/>
    <s v="Badger"/>
    <x v="1"/>
    <x v="0"/>
    <s v="Manual"/>
    <n v="2024"/>
    <n v="10"/>
    <n v="4"/>
    <n v="2034"/>
    <n v="2034"/>
    <s v="KY 2034"/>
    <s v="N"/>
    <x v="7"/>
    <n v="10"/>
    <x v="0"/>
    <x v="0"/>
    <x v="0"/>
    <x v="7"/>
    <n v="10"/>
  </r>
  <r>
    <s v="INST"/>
    <s v="5/8&quot; Water Meter Size"/>
    <s v="KY"/>
    <s v="Badger"/>
    <x v="1"/>
    <x v="1"/>
    <s v="AMR"/>
    <n v="2024"/>
    <n v="10"/>
    <n v="1"/>
    <n v="2034"/>
    <n v="2034"/>
    <s v="KY 2034"/>
    <s v="N"/>
    <x v="7"/>
    <n v="10"/>
    <x v="1"/>
    <x v="0"/>
    <x v="0"/>
    <x v="7"/>
    <n v="10"/>
  </r>
  <r>
    <s v="INST"/>
    <s v="5/8&quot; Water Meter Size"/>
    <s v="KY"/>
    <s v="Badger"/>
    <x v="0"/>
    <x v="2"/>
    <s v="AMR"/>
    <n v="2021"/>
    <n v="10"/>
    <n v="1"/>
    <n v="2031"/>
    <n v="2031"/>
    <s v="KY 2031"/>
    <s v="N"/>
    <x v="4"/>
    <n v="10"/>
    <x v="1"/>
    <x v="0"/>
    <x v="0"/>
    <x v="4"/>
    <n v="10"/>
  </r>
  <r>
    <s v="INST"/>
    <s v="5/8&quot; Water Meter Size"/>
    <s v="KY"/>
    <s v="Badger"/>
    <x v="0"/>
    <x v="2"/>
    <s v="AMR"/>
    <n v="2023"/>
    <n v="10"/>
    <n v="1"/>
    <n v="2033"/>
    <n v="2033"/>
    <s v="KY 2033"/>
    <s v="N"/>
    <x v="6"/>
    <n v="10"/>
    <x v="1"/>
    <x v="0"/>
    <x v="0"/>
    <x v="6"/>
    <n v="10"/>
  </r>
  <r>
    <s v="INST"/>
    <s v="5/8&quot; Water Meter Size"/>
    <s v="KY"/>
    <s v="Badger"/>
    <x v="1"/>
    <x v="2"/>
    <s v="AMR"/>
    <n v="2016"/>
    <n v="10"/>
    <n v="1"/>
    <n v="2026"/>
    <n v="2026"/>
    <s v="KY 2026"/>
    <s v="N"/>
    <x v="1"/>
    <n v="10"/>
    <x v="1"/>
    <x v="0"/>
    <x v="0"/>
    <x v="1"/>
    <n v="10"/>
  </r>
  <r>
    <s v="INST"/>
    <s v="5/8&quot; Water Meter Size"/>
    <s v="KY"/>
    <s v="Badger"/>
    <x v="1"/>
    <x v="2"/>
    <s v="AMR"/>
    <n v="2018"/>
    <n v="10"/>
    <n v="1"/>
    <n v="2028"/>
    <n v="2028"/>
    <s v="KY 2028"/>
    <s v="N"/>
    <x v="0"/>
    <n v="10"/>
    <x v="1"/>
    <x v="0"/>
    <x v="0"/>
    <x v="0"/>
    <n v="10"/>
  </r>
  <r>
    <s v="INST"/>
    <s v="5/8&quot; Water Meter Size"/>
    <s v="KY"/>
    <s v="Badger"/>
    <x v="1"/>
    <x v="2"/>
    <s v="AMR"/>
    <n v="2022"/>
    <n v="10"/>
    <n v="1"/>
    <n v="2032"/>
    <n v="2032"/>
    <s v="KY 2032"/>
    <s v="N"/>
    <x v="5"/>
    <n v="10"/>
    <x v="1"/>
    <x v="0"/>
    <x v="0"/>
    <x v="5"/>
    <n v="10"/>
  </r>
  <r>
    <s v="INST"/>
    <s v="5/8&quot; Water Meter Size"/>
    <s v="KY"/>
    <s v="Badger"/>
    <x v="1"/>
    <x v="2"/>
    <s v="AMR"/>
    <n v="2023"/>
    <n v="10"/>
    <n v="6"/>
    <n v="2033"/>
    <n v="2033"/>
    <s v="KY 2033"/>
    <s v="N"/>
    <x v="6"/>
    <n v="10"/>
    <x v="1"/>
    <x v="0"/>
    <x v="0"/>
    <x v="6"/>
    <n v="10"/>
  </r>
  <r>
    <s v="INST"/>
    <s v="5/8&quot; Water Meter Size"/>
    <s v="KY"/>
    <s v="Badger"/>
    <x v="1"/>
    <x v="2"/>
    <s v="AMR"/>
    <n v="2024"/>
    <n v="10"/>
    <n v="21"/>
    <n v="2034"/>
    <n v="2034"/>
    <s v="KY 2034"/>
    <s v="N"/>
    <x v="7"/>
    <n v="10"/>
    <x v="1"/>
    <x v="0"/>
    <x v="0"/>
    <x v="7"/>
    <n v="10"/>
  </r>
  <r>
    <s v="INST"/>
    <s v="5/8&quot; Water Meter Size"/>
    <s v="KY"/>
    <s v="Badger"/>
    <x v="0"/>
    <x v="2"/>
    <s v="AMR"/>
    <n v="2024"/>
    <n v="10"/>
    <n v="1"/>
    <n v="2034"/>
    <n v="2034"/>
    <s v="KY 2034"/>
    <s v="N"/>
    <x v="7"/>
    <n v="10"/>
    <x v="1"/>
    <x v="0"/>
    <x v="0"/>
    <x v="7"/>
    <n v="10"/>
  </r>
  <r>
    <s v="INST"/>
    <s v="5/8&quot; Water Meter Size"/>
    <s v="KY"/>
    <s v="Badger"/>
    <x v="0"/>
    <x v="3"/>
    <s v="AMI"/>
    <n v="2016"/>
    <n v="10"/>
    <n v="1"/>
    <n v="2026"/>
    <n v="2026"/>
    <s v="KY 2026"/>
    <s v="Y"/>
    <x v="1"/>
    <n v="10"/>
    <x v="2"/>
    <x v="0"/>
    <x v="0"/>
    <x v="1"/>
    <n v="10"/>
  </r>
  <r>
    <s v="INST"/>
    <s v="5/8&quot; Water Meter Size"/>
    <s v="KY"/>
    <s v="Badger"/>
    <x v="0"/>
    <x v="3"/>
    <s v="AMI"/>
    <n v="2017"/>
    <n v="10"/>
    <n v="1"/>
    <n v="2027"/>
    <n v="2027"/>
    <s v="KY 2027"/>
    <s v="Y"/>
    <x v="2"/>
    <n v="10"/>
    <x v="2"/>
    <x v="0"/>
    <x v="0"/>
    <x v="2"/>
    <n v="10"/>
  </r>
  <r>
    <s v="INST"/>
    <s v="5/8&quot; Water Meter Size"/>
    <s v="KY"/>
    <s v="Badger"/>
    <x v="0"/>
    <x v="3"/>
    <s v="AMI"/>
    <n v="2023"/>
    <n v="10"/>
    <n v="6"/>
    <n v="2033"/>
    <n v="2033"/>
    <s v="KY 2033"/>
    <s v="Y"/>
    <x v="6"/>
    <n v="10"/>
    <x v="2"/>
    <x v="0"/>
    <x v="0"/>
    <x v="6"/>
    <n v="10"/>
  </r>
  <r>
    <s v="INST"/>
    <s v="5/8&quot; Water Meter Size"/>
    <s v="KY"/>
    <s v="Badger"/>
    <x v="0"/>
    <x v="3"/>
    <s v="AMI"/>
    <n v="2024"/>
    <n v="10"/>
    <n v="5"/>
    <n v="2034"/>
    <n v="2034"/>
    <s v="KY 2034"/>
    <s v="Y"/>
    <x v="7"/>
    <n v="10"/>
    <x v="2"/>
    <x v="0"/>
    <x v="0"/>
    <x v="7"/>
    <n v="10"/>
  </r>
  <r>
    <s v="INST"/>
    <s v="5/8&quot; Water Meter Size"/>
    <s v="KY"/>
    <s v="Badger"/>
    <x v="1"/>
    <x v="3"/>
    <s v="AMI"/>
    <n v="2017"/>
    <n v="10"/>
    <n v="3"/>
    <n v="2027"/>
    <n v="2027"/>
    <s v="KY 2027"/>
    <s v="Y"/>
    <x v="2"/>
    <n v="10"/>
    <x v="2"/>
    <x v="0"/>
    <x v="0"/>
    <x v="2"/>
    <n v="10"/>
  </r>
  <r>
    <s v="INST"/>
    <s v="5/8&quot; Water Meter Size"/>
    <s v="KY"/>
    <s v="Badger"/>
    <x v="1"/>
    <x v="3"/>
    <s v="AMI"/>
    <n v="2018"/>
    <n v="10"/>
    <n v="3"/>
    <n v="2028"/>
    <n v="2028"/>
    <s v="KY 2028"/>
    <s v="Y"/>
    <x v="0"/>
    <n v="10"/>
    <x v="2"/>
    <x v="0"/>
    <x v="0"/>
    <x v="0"/>
    <n v="10"/>
  </r>
  <r>
    <s v="INST"/>
    <s v="5/8&quot; Water Meter Size"/>
    <s v="KY"/>
    <s v="Badger"/>
    <x v="1"/>
    <x v="3"/>
    <s v="AMI"/>
    <n v="2020"/>
    <n v="10"/>
    <n v="5"/>
    <n v="2030"/>
    <n v="2030"/>
    <s v="KY 2030"/>
    <s v="Y"/>
    <x v="3"/>
    <n v="10"/>
    <x v="2"/>
    <x v="0"/>
    <x v="0"/>
    <x v="3"/>
    <n v="10"/>
  </r>
  <r>
    <s v="INST"/>
    <s v="5/8&quot; Water Meter Size"/>
    <s v="KY"/>
    <s v="Badger"/>
    <x v="1"/>
    <x v="3"/>
    <s v="AMI"/>
    <n v="2021"/>
    <n v="10"/>
    <n v="11"/>
    <n v="2031"/>
    <n v="2031"/>
    <s v="KY 2031"/>
    <s v="Y"/>
    <x v="4"/>
    <n v="10"/>
    <x v="2"/>
    <x v="0"/>
    <x v="0"/>
    <x v="4"/>
    <n v="10"/>
  </r>
  <r>
    <s v="INST"/>
    <s v="5/8&quot; Water Meter Size"/>
    <s v="KY"/>
    <s v="Badger"/>
    <x v="1"/>
    <x v="3"/>
    <s v="AMI"/>
    <n v="2022"/>
    <n v="10"/>
    <n v="12"/>
    <n v="2032"/>
    <n v="2032"/>
    <s v="KY 2032"/>
    <s v="Y"/>
    <x v="5"/>
    <n v="10"/>
    <x v="2"/>
    <x v="0"/>
    <x v="0"/>
    <x v="5"/>
    <n v="10"/>
  </r>
  <r>
    <s v="INST"/>
    <s v="5/8&quot; Water Meter Size"/>
    <s v="KY"/>
    <s v="Badger"/>
    <x v="1"/>
    <x v="3"/>
    <s v="AMI"/>
    <n v="2023"/>
    <n v="10"/>
    <n v="23"/>
    <n v="2033"/>
    <n v="2033"/>
    <s v="KY 2033"/>
    <s v="Y"/>
    <x v="6"/>
    <n v="10"/>
    <x v="2"/>
    <x v="0"/>
    <x v="0"/>
    <x v="6"/>
    <n v="10"/>
  </r>
  <r>
    <s v="INST"/>
    <s v="5/8&quot; Water Meter Size"/>
    <s v="KY"/>
    <s v="Badger"/>
    <x v="1"/>
    <x v="3"/>
    <s v="AMI"/>
    <n v="2024"/>
    <n v="10"/>
    <n v="13"/>
    <n v="2034"/>
    <n v="2034"/>
    <s v="KY 2034"/>
    <s v="Y"/>
    <x v="7"/>
    <n v="10"/>
    <x v="2"/>
    <x v="0"/>
    <x v="0"/>
    <x v="7"/>
    <n v="10"/>
  </r>
  <r>
    <s v="INST"/>
    <s v="5/8&quot; Water Meter Size"/>
    <s v="KY"/>
    <s v="Badger"/>
    <x v="0"/>
    <x v="3"/>
    <s v="AMI"/>
    <n v="2022"/>
    <n v="10"/>
    <n v="1"/>
    <n v="2032"/>
    <n v="2032"/>
    <s v="KY 2032"/>
    <s v="Y"/>
    <x v="5"/>
    <n v="10"/>
    <x v="2"/>
    <x v="0"/>
    <x v="0"/>
    <x v="5"/>
    <n v="10"/>
  </r>
  <r>
    <s v="INST"/>
    <s v="5/8&quot; Water Meter Size"/>
    <s v="KY"/>
    <s v="Badger"/>
    <x v="0"/>
    <x v="1"/>
    <s v="AMR"/>
    <n v="2024"/>
    <n v="10"/>
    <n v="49"/>
    <n v="2034"/>
    <n v="2034"/>
    <s v="KY 2034"/>
    <s v="N"/>
    <x v="7"/>
    <n v="10"/>
    <x v="1"/>
    <x v="0"/>
    <x v="0"/>
    <x v="7"/>
    <n v="10"/>
  </r>
  <r>
    <s v="INST"/>
    <s v="5/8&quot; Water Meter Size"/>
    <s v="KY"/>
    <s v="Badger"/>
    <x v="1"/>
    <x v="1"/>
    <s v="AMR"/>
    <n v="2016"/>
    <n v="10"/>
    <n v="1"/>
    <n v="2026"/>
    <n v="2026"/>
    <s v="KY 2026"/>
    <s v="N"/>
    <x v="1"/>
    <n v="10"/>
    <x v="1"/>
    <x v="0"/>
    <x v="0"/>
    <x v="1"/>
    <n v="10"/>
  </r>
  <r>
    <s v="INST"/>
    <s v="5/8&quot; Water Meter Size"/>
    <s v="KY"/>
    <s v="Badger"/>
    <x v="1"/>
    <x v="1"/>
    <s v="AMR"/>
    <n v="2017"/>
    <n v="10"/>
    <n v="1"/>
    <n v="2027"/>
    <n v="2027"/>
    <s v="KY 2027"/>
    <s v="N"/>
    <x v="2"/>
    <n v="10"/>
    <x v="1"/>
    <x v="0"/>
    <x v="0"/>
    <x v="2"/>
    <n v="10"/>
  </r>
  <r>
    <s v="INST"/>
    <s v="5/8&quot; Water Meter Size"/>
    <s v="KY"/>
    <s v="Badger"/>
    <x v="1"/>
    <x v="1"/>
    <s v="AMR"/>
    <n v="2018"/>
    <n v="10"/>
    <n v="5"/>
    <n v="2028"/>
    <n v="2028"/>
    <s v="KY 2028"/>
    <s v="N"/>
    <x v="0"/>
    <n v="10"/>
    <x v="1"/>
    <x v="0"/>
    <x v="0"/>
    <x v="0"/>
    <n v="10"/>
  </r>
  <r>
    <s v="INST"/>
    <s v="5/8&quot; Water Meter Size"/>
    <s v="KY"/>
    <s v="Badger"/>
    <x v="1"/>
    <x v="1"/>
    <s v="AMR"/>
    <n v="2021"/>
    <n v="10"/>
    <n v="5"/>
    <n v="2031"/>
    <n v="2031"/>
    <s v="KY 2031"/>
    <s v="N"/>
    <x v="4"/>
    <n v="10"/>
    <x v="1"/>
    <x v="0"/>
    <x v="0"/>
    <x v="4"/>
    <n v="10"/>
  </r>
  <r>
    <s v="INST"/>
    <s v="5/8&quot; Water Meter Size"/>
    <s v="KY"/>
    <s v="Badger"/>
    <x v="1"/>
    <x v="1"/>
    <s v="AMR"/>
    <n v="2022"/>
    <n v="10"/>
    <n v="8"/>
    <n v="2032"/>
    <n v="2032"/>
    <s v="KY 2032"/>
    <s v="N"/>
    <x v="5"/>
    <n v="10"/>
    <x v="1"/>
    <x v="0"/>
    <x v="0"/>
    <x v="5"/>
    <n v="10"/>
  </r>
  <r>
    <s v="INST"/>
    <s v="5/8&quot; Water Meter Size"/>
    <s v="KY"/>
    <s v="Badger"/>
    <x v="1"/>
    <x v="1"/>
    <s v="AMR"/>
    <n v="2023"/>
    <n v="10"/>
    <n v="9"/>
    <n v="2033"/>
    <n v="2033"/>
    <s v="KY 2033"/>
    <s v="N"/>
    <x v="6"/>
    <n v="10"/>
    <x v="1"/>
    <x v="0"/>
    <x v="0"/>
    <x v="6"/>
    <n v="10"/>
  </r>
  <r>
    <s v="INST"/>
    <s v="5/8&quot; Water Meter Size"/>
    <s v="KY"/>
    <s v="Badger"/>
    <x v="1"/>
    <x v="1"/>
    <s v="AMR"/>
    <n v="2024"/>
    <n v="10"/>
    <n v="8307"/>
    <n v="2034"/>
    <n v="2034"/>
    <s v="KY 2034"/>
    <s v="N"/>
    <x v="7"/>
    <n v="10"/>
    <x v="1"/>
    <x v="0"/>
    <x v="0"/>
    <x v="7"/>
    <n v="10"/>
  </r>
  <r>
    <s v="INST"/>
    <s v="5/8&quot; Water Meter Size"/>
    <s v="KY"/>
    <s v="Badger"/>
    <x v="0"/>
    <x v="1"/>
    <s v="AMR"/>
    <n v="2024"/>
    <n v="10"/>
    <n v="4"/>
    <n v="2034"/>
    <n v="2034"/>
    <s v="KY 2034"/>
    <s v="N"/>
    <x v="7"/>
    <n v="10"/>
    <x v="1"/>
    <x v="0"/>
    <x v="0"/>
    <x v="7"/>
    <n v="10"/>
  </r>
  <r>
    <s v="INST"/>
    <s v="5/8&quot; Water Meter Size"/>
    <s v="KY"/>
    <s v="Badger"/>
    <x v="1"/>
    <x v="4"/>
    <s v="AMR"/>
    <n v="2024"/>
    <n v="10"/>
    <n v="2"/>
    <n v="2034"/>
    <n v="2034"/>
    <s v="KY 2034"/>
    <s v="N"/>
    <x v="7"/>
    <n v="10"/>
    <x v="1"/>
    <x v="0"/>
    <x v="0"/>
    <x v="7"/>
    <n v="10"/>
  </r>
  <r>
    <s v="INST"/>
    <s v="5/8&quot; Water Meter Size"/>
    <s v="KY"/>
    <s v="Badger"/>
    <x v="0"/>
    <x v="2"/>
    <s v="AMR"/>
    <n v="2016"/>
    <n v="10"/>
    <n v="22"/>
    <n v="2026"/>
    <n v="2026"/>
    <s v="KY 2026"/>
    <s v="N"/>
    <x v="1"/>
    <n v="10"/>
    <x v="1"/>
    <x v="0"/>
    <x v="0"/>
    <x v="1"/>
    <n v="10"/>
  </r>
  <r>
    <s v="INST"/>
    <s v="5/8&quot; Water Meter Size"/>
    <s v="KY"/>
    <s v="Badger"/>
    <x v="0"/>
    <x v="2"/>
    <s v="AMR"/>
    <n v="2017"/>
    <n v="10"/>
    <n v="32"/>
    <n v="2027"/>
    <n v="2027"/>
    <s v="KY 2027"/>
    <s v="N"/>
    <x v="2"/>
    <n v="10"/>
    <x v="1"/>
    <x v="0"/>
    <x v="0"/>
    <x v="2"/>
    <n v="10"/>
  </r>
  <r>
    <s v="INST"/>
    <s v="5/8&quot; Water Meter Size"/>
    <s v="KY"/>
    <s v="Badger"/>
    <x v="0"/>
    <x v="2"/>
    <s v="AMR"/>
    <n v="2018"/>
    <n v="10"/>
    <n v="91"/>
    <n v="2028"/>
    <n v="2028"/>
    <s v="KY 2028"/>
    <s v="N"/>
    <x v="0"/>
    <n v="10"/>
    <x v="1"/>
    <x v="0"/>
    <x v="0"/>
    <x v="0"/>
    <n v="10"/>
  </r>
  <r>
    <s v="INST"/>
    <s v="5/8&quot; Water Meter Size"/>
    <s v="KY"/>
    <s v="Badger"/>
    <x v="0"/>
    <x v="2"/>
    <s v="AMR"/>
    <n v="2020"/>
    <n v="10"/>
    <n v="8"/>
    <n v="2030"/>
    <n v="2030"/>
    <s v="KY 2030"/>
    <s v="N"/>
    <x v="3"/>
    <n v="10"/>
    <x v="1"/>
    <x v="0"/>
    <x v="0"/>
    <x v="3"/>
    <n v="10"/>
  </r>
  <r>
    <s v="INST"/>
    <s v="5/8&quot; Water Meter Size"/>
    <s v="KY"/>
    <s v="Badger"/>
    <x v="0"/>
    <x v="2"/>
    <s v="AMR"/>
    <n v="2021"/>
    <n v="10"/>
    <n v="75"/>
    <n v="2031"/>
    <n v="2031"/>
    <s v="KY 2031"/>
    <s v="N"/>
    <x v="4"/>
    <n v="10"/>
    <x v="1"/>
    <x v="0"/>
    <x v="0"/>
    <x v="4"/>
    <n v="10"/>
  </r>
  <r>
    <s v="INST"/>
    <s v="5/8&quot; Water Meter Size"/>
    <s v="KY"/>
    <s v="Badger"/>
    <x v="0"/>
    <x v="2"/>
    <s v="AMR"/>
    <n v="2022"/>
    <n v="10"/>
    <n v="89"/>
    <n v="2032"/>
    <n v="2032"/>
    <s v="KY 2032"/>
    <s v="N"/>
    <x v="5"/>
    <n v="10"/>
    <x v="1"/>
    <x v="0"/>
    <x v="0"/>
    <x v="5"/>
    <n v="10"/>
  </r>
  <r>
    <s v="INST"/>
    <s v="5/8&quot; Water Meter Size"/>
    <s v="KY"/>
    <s v="Badger"/>
    <x v="0"/>
    <x v="2"/>
    <s v="AMR"/>
    <n v="2023"/>
    <n v="10"/>
    <n v="83"/>
    <n v="2033"/>
    <n v="2033"/>
    <s v="KY 2033"/>
    <s v="N"/>
    <x v="6"/>
    <n v="10"/>
    <x v="1"/>
    <x v="0"/>
    <x v="0"/>
    <x v="6"/>
    <n v="10"/>
  </r>
  <r>
    <s v="INST"/>
    <s v="5/8&quot; Water Meter Size"/>
    <s v="KY"/>
    <s v="Badger"/>
    <x v="0"/>
    <x v="2"/>
    <s v="AMR"/>
    <n v="2024"/>
    <n v="10"/>
    <n v="196"/>
    <n v="2034"/>
    <n v="2034"/>
    <s v="KY 2034"/>
    <s v="N"/>
    <x v="7"/>
    <n v="10"/>
    <x v="1"/>
    <x v="0"/>
    <x v="0"/>
    <x v="7"/>
    <n v="10"/>
  </r>
  <r>
    <s v="INST"/>
    <s v="5/8&quot; Water Meter Size"/>
    <s v="KY"/>
    <s v="Badger"/>
    <x v="1"/>
    <x v="2"/>
    <s v="AMR"/>
    <n v="2016"/>
    <n v="10"/>
    <n v="2892"/>
    <n v="2026"/>
    <n v="2026"/>
    <s v="KY 2026"/>
    <s v="N"/>
    <x v="1"/>
    <n v="10"/>
    <x v="1"/>
    <x v="0"/>
    <x v="0"/>
    <x v="1"/>
    <n v="10"/>
  </r>
  <r>
    <s v="INST"/>
    <s v="5/8&quot; Water Meter Size"/>
    <s v="KY"/>
    <s v="Badger"/>
    <x v="1"/>
    <x v="2"/>
    <s v="AMR"/>
    <n v="2016"/>
    <n v="15"/>
    <n v="1"/>
    <n v="2031"/>
    <n v="2031"/>
    <s v="KY 2031"/>
    <s v="N"/>
    <x v="4"/>
    <n v="15"/>
    <x v="1"/>
    <x v="0"/>
    <x v="0"/>
    <x v="1"/>
    <s v="10**"/>
  </r>
  <r>
    <s v="INST"/>
    <s v="5/8&quot; Water Meter Size"/>
    <s v="KY"/>
    <s v="Badger"/>
    <x v="1"/>
    <x v="2"/>
    <s v="AMR"/>
    <n v="2017"/>
    <n v="10"/>
    <n v="5675"/>
    <n v="2027"/>
    <n v="2027"/>
    <s v="KY 2027"/>
    <s v="N"/>
    <x v="2"/>
    <n v="10"/>
    <x v="1"/>
    <x v="0"/>
    <x v="0"/>
    <x v="2"/>
    <n v="10"/>
  </r>
  <r>
    <s v="INST"/>
    <s v="5/8&quot; Water Meter Size"/>
    <s v="KY"/>
    <s v="Badger"/>
    <x v="1"/>
    <x v="2"/>
    <s v="AMR"/>
    <n v="2018"/>
    <n v="10"/>
    <n v="13995"/>
    <n v="2028"/>
    <n v="2028"/>
    <s v="KY 2028"/>
    <s v="N"/>
    <x v="0"/>
    <n v="10"/>
    <x v="1"/>
    <x v="0"/>
    <x v="0"/>
    <x v="0"/>
    <n v="10"/>
  </r>
  <r>
    <s v="INST"/>
    <s v="5/8&quot; Water Meter Size"/>
    <s v="KY"/>
    <s v="Badger"/>
    <x v="1"/>
    <x v="2"/>
    <s v="AMR"/>
    <n v="2018"/>
    <n v="15"/>
    <n v="1"/>
    <n v="2033"/>
    <n v="2033"/>
    <s v="KY 2033"/>
    <s v="N"/>
    <x v="6"/>
    <n v="15"/>
    <x v="1"/>
    <x v="0"/>
    <x v="0"/>
    <x v="0"/>
    <s v="10**"/>
  </r>
  <r>
    <s v="INST"/>
    <s v="5/8&quot; Water Meter Size"/>
    <s v="KY"/>
    <s v="Badger"/>
    <x v="1"/>
    <x v="2"/>
    <s v="AMR"/>
    <n v="2019"/>
    <n v="10"/>
    <n v="1"/>
    <n v="2029"/>
    <n v="2029"/>
    <s v="KY 2029"/>
    <s v="N"/>
    <x v="8"/>
    <n v="10"/>
    <x v="1"/>
    <x v="0"/>
    <x v="0"/>
    <x v="8"/>
    <n v="10"/>
  </r>
  <r>
    <s v="INST"/>
    <s v="5/8&quot; Water Meter Size"/>
    <s v="KY"/>
    <s v="Badger"/>
    <x v="1"/>
    <x v="2"/>
    <s v="AMR"/>
    <n v="2020"/>
    <n v="10"/>
    <n v="1210"/>
    <n v="2030"/>
    <n v="2030"/>
    <s v="KY 2030"/>
    <s v="N"/>
    <x v="3"/>
    <n v="10"/>
    <x v="1"/>
    <x v="0"/>
    <x v="0"/>
    <x v="3"/>
    <n v="10"/>
  </r>
  <r>
    <s v="INST"/>
    <s v="5/8&quot; Water Meter Size"/>
    <s v="KY"/>
    <s v="Badger"/>
    <x v="1"/>
    <x v="2"/>
    <s v="AMR"/>
    <n v="2021"/>
    <n v="10"/>
    <n v="6615"/>
    <n v="2031"/>
    <n v="2031"/>
    <s v="KY 2031"/>
    <s v="N"/>
    <x v="4"/>
    <n v="10"/>
    <x v="1"/>
    <x v="0"/>
    <x v="0"/>
    <x v="4"/>
    <n v="10"/>
  </r>
  <r>
    <s v="INST"/>
    <s v="5/8&quot; Water Meter Size"/>
    <s v="KY"/>
    <s v="Badger"/>
    <x v="1"/>
    <x v="2"/>
    <s v="AMR"/>
    <n v="2022"/>
    <n v="10"/>
    <n v="3634"/>
    <n v="2032"/>
    <n v="2032"/>
    <s v="KY 2032"/>
    <s v="N"/>
    <x v="5"/>
    <n v="10"/>
    <x v="1"/>
    <x v="0"/>
    <x v="0"/>
    <x v="5"/>
    <n v="10"/>
  </r>
  <r>
    <s v="INST"/>
    <s v="5/8&quot; Water Meter Size"/>
    <s v="KY"/>
    <s v="Badger"/>
    <x v="1"/>
    <x v="2"/>
    <s v="AMR"/>
    <n v="2023"/>
    <n v="10"/>
    <n v="11678"/>
    <n v="2033"/>
    <n v="2033"/>
    <s v="KY 2033"/>
    <s v="N"/>
    <x v="6"/>
    <n v="10"/>
    <x v="1"/>
    <x v="0"/>
    <x v="0"/>
    <x v="6"/>
    <n v="10"/>
  </r>
  <r>
    <s v="INST"/>
    <s v="5/8&quot; Water Meter Size"/>
    <s v="KY"/>
    <s v="Badger"/>
    <x v="1"/>
    <x v="2"/>
    <s v="AMR"/>
    <n v="2023"/>
    <n v="15"/>
    <n v="10"/>
    <n v="2038"/>
    <n v="2038"/>
    <s v="KY 2038"/>
    <s v="N"/>
    <x v="9"/>
    <n v="15"/>
    <x v="1"/>
    <x v="0"/>
    <x v="0"/>
    <x v="6"/>
    <s v="10**"/>
  </r>
  <r>
    <s v="INST"/>
    <s v="5/8&quot; Water Meter Size"/>
    <s v="KY"/>
    <s v="Badger"/>
    <x v="1"/>
    <x v="2"/>
    <s v="AMR"/>
    <n v="2024"/>
    <n v="10"/>
    <n v="22808"/>
    <n v="2034"/>
    <n v="2034"/>
    <s v="KY 2034"/>
    <s v="N"/>
    <x v="7"/>
    <n v="10"/>
    <x v="1"/>
    <x v="0"/>
    <x v="0"/>
    <x v="7"/>
    <n v="10"/>
  </r>
  <r>
    <s v="INST"/>
    <s v="5/8&quot; Water Meter Size"/>
    <s v="KY"/>
    <s v="Badger"/>
    <x v="0"/>
    <x v="2"/>
    <s v="AMR"/>
    <n v="2017"/>
    <n v="10"/>
    <n v="1"/>
    <n v="2027"/>
    <n v="2027"/>
    <s v="KY 2027"/>
    <s v="N"/>
    <x v="2"/>
    <n v="10"/>
    <x v="1"/>
    <x v="0"/>
    <x v="0"/>
    <x v="2"/>
    <n v="10"/>
  </r>
  <r>
    <s v="INST"/>
    <s v="5/8&quot; Water Meter Size"/>
    <s v="KY"/>
    <s v="Badger"/>
    <x v="0"/>
    <x v="2"/>
    <s v="AMR"/>
    <n v="2022"/>
    <n v="10"/>
    <n v="3"/>
    <n v="2032"/>
    <n v="2032"/>
    <s v="KY 2032"/>
    <s v="N"/>
    <x v="5"/>
    <n v="10"/>
    <x v="1"/>
    <x v="0"/>
    <x v="0"/>
    <x v="5"/>
    <n v="10"/>
  </r>
  <r>
    <s v="INST"/>
    <s v="5/8&quot; Water Meter Size"/>
    <s v="KY"/>
    <s v="Badger"/>
    <x v="0"/>
    <x v="2"/>
    <s v="AMR"/>
    <n v="2023"/>
    <n v="10"/>
    <n v="5"/>
    <n v="2033"/>
    <n v="2033"/>
    <s v="KY 2033"/>
    <s v="N"/>
    <x v="6"/>
    <n v="10"/>
    <x v="1"/>
    <x v="0"/>
    <x v="0"/>
    <x v="6"/>
    <n v="10"/>
  </r>
  <r>
    <s v="INST"/>
    <s v="5/8&quot; Water Meter Size"/>
    <s v="KY"/>
    <s v="Badger"/>
    <x v="0"/>
    <x v="2"/>
    <s v="AMR"/>
    <n v="2024"/>
    <n v="10"/>
    <n v="15"/>
    <n v="2034"/>
    <n v="2034"/>
    <s v="KY 2034"/>
    <s v="N"/>
    <x v="7"/>
    <n v="10"/>
    <x v="1"/>
    <x v="0"/>
    <x v="0"/>
    <x v="7"/>
    <n v="10"/>
  </r>
  <r>
    <s v="INST"/>
    <s v="5/8&quot; Water Meter Size"/>
    <s v="KY"/>
    <s v="Badger"/>
    <x v="1"/>
    <x v="5"/>
    <s v="AMI"/>
    <n v="2024"/>
    <n v="10"/>
    <n v="5"/>
    <n v="2034"/>
    <n v="2034"/>
    <s v="KY 2034"/>
    <s v="Y"/>
    <x v="7"/>
    <n v="10"/>
    <x v="2"/>
    <x v="0"/>
    <x v="0"/>
    <x v="7"/>
    <n v="10"/>
  </r>
  <r>
    <s v="INST"/>
    <s v="5/8&quot; Water Meter Size"/>
    <s v="KY"/>
    <s v="Hersey"/>
    <x v="0"/>
    <x v="4"/>
    <s v="AMR"/>
    <n v="2012"/>
    <n v="10"/>
    <n v="52"/>
    <n v="2022"/>
    <n v="2025"/>
    <s v="KY 2025"/>
    <s v="N"/>
    <x v="10"/>
    <n v="13"/>
    <x v="1"/>
    <x v="0"/>
    <x v="0"/>
    <x v="9"/>
    <n v="13"/>
  </r>
  <r>
    <s v="INST"/>
    <s v="5/8&quot; Water Meter Size"/>
    <s v="KY"/>
    <s v="Hersey"/>
    <x v="0"/>
    <x v="4"/>
    <s v="AMR"/>
    <n v="2013"/>
    <n v="10"/>
    <n v="93"/>
    <n v="2023"/>
    <n v="2025"/>
    <s v="KY 2025"/>
    <s v="N"/>
    <x v="10"/>
    <n v="12"/>
    <x v="1"/>
    <x v="0"/>
    <x v="0"/>
    <x v="9"/>
    <n v="12"/>
  </r>
  <r>
    <s v="INST"/>
    <s v="5/8&quot; Water Meter Size"/>
    <s v="KY"/>
    <s v="Hersey"/>
    <x v="0"/>
    <x v="4"/>
    <s v="AMR"/>
    <n v="2015"/>
    <n v="10"/>
    <n v="1"/>
    <n v="2025"/>
    <n v="2025"/>
    <s v="KY 2025"/>
    <s v="N"/>
    <x v="10"/>
    <n v="10"/>
    <x v="1"/>
    <x v="0"/>
    <x v="0"/>
    <x v="9"/>
    <n v="10"/>
  </r>
  <r>
    <s v="INST"/>
    <s v="5/8&quot; Water Meter Size"/>
    <s v="KY"/>
    <s v="Hersey"/>
    <x v="1"/>
    <x v="4"/>
    <s v="AMR"/>
    <n v="2012"/>
    <n v="10"/>
    <n v="7368"/>
    <n v="2022"/>
    <n v="2025"/>
    <s v="KY 2025"/>
    <s v="N"/>
    <x v="10"/>
    <n v="13"/>
    <x v="1"/>
    <x v="0"/>
    <x v="0"/>
    <x v="9"/>
    <n v="13"/>
  </r>
  <r>
    <s v="INST"/>
    <s v="5/8&quot; Water Meter Size"/>
    <s v="KY"/>
    <s v="Hersey"/>
    <x v="1"/>
    <x v="4"/>
    <s v="AMR"/>
    <n v="2013"/>
    <n v="10"/>
    <n v="11214"/>
    <n v="2023"/>
    <n v="2025"/>
    <s v="KY 2025"/>
    <s v="N"/>
    <x v="10"/>
    <n v="12"/>
    <x v="1"/>
    <x v="0"/>
    <x v="0"/>
    <x v="9"/>
    <n v="12"/>
  </r>
  <r>
    <s v="INST"/>
    <s v="5/8&quot; Water Meter Size"/>
    <s v="KY"/>
    <s v="Hersey"/>
    <x v="1"/>
    <x v="4"/>
    <s v="AMR"/>
    <n v="2014"/>
    <n v="10"/>
    <n v="4"/>
    <n v="2024"/>
    <n v="2025"/>
    <s v="KY 2025"/>
    <s v="N"/>
    <x v="10"/>
    <n v="11"/>
    <x v="1"/>
    <x v="0"/>
    <x v="0"/>
    <x v="9"/>
    <n v="11"/>
  </r>
  <r>
    <s v="INST"/>
    <s v="5/8&quot; Water Meter Size"/>
    <s v="KY"/>
    <s v="Hersey"/>
    <x v="1"/>
    <x v="4"/>
    <s v="AMR"/>
    <n v="2015"/>
    <n v="10"/>
    <n v="81"/>
    <n v="2025"/>
    <n v="2025"/>
    <s v="KY 2025"/>
    <s v="N"/>
    <x v="10"/>
    <n v="10"/>
    <x v="1"/>
    <x v="0"/>
    <x v="0"/>
    <x v="9"/>
    <n v="10"/>
  </r>
  <r>
    <s v="INST"/>
    <s v="5/8&quot; Water Meter Size"/>
    <s v="KY"/>
    <s v="Hersey"/>
    <x v="1"/>
    <x v="4"/>
    <s v="AMR"/>
    <n v="2016"/>
    <n v="10"/>
    <n v="11"/>
    <n v="2026"/>
    <n v="2026"/>
    <s v="KY 2026"/>
    <s v="N"/>
    <x v="1"/>
    <n v="10"/>
    <x v="1"/>
    <x v="0"/>
    <x v="0"/>
    <x v="1"/>
    <n v="10"/>
  </r>
  <r>
    <s v="INST"/>
    <s v="5/8&quot; Water Meter Size"/>
    <s v="KY"/>
    <s v="Hersey"/>
    <x v="1"/>
    <x v="4"/>
    <s v="AMR"/>
    <n v="2017"/>
    <n v="10"/>
    <n v="2"/>
    <n v="2027"/>
    <n v="2027"/>
    <s v="KY 2027"/>
    <s v="N"/>
    <x v="2"/>
    <n v="10"/>
    <x v="1"/>
    <x v="0"/>
    <x v="0"/>
    <x v="2"/>
    <n v="10"/>
  </r>
  <r>
    <s v="INST"/>
    <s v="5/8&quot; Water Meter Size"/>
    <s v="KY"/>
    <s v="Hersey"/>
    <x v="1"/>
    <x v="4"/>
    <s v="AMR"/>
    <n v="2023"/>
    <n v="10"/>
    <n v="1"/>
    <n v="2033"/>
    <n v="2033"/>
    <s v="KY 2033"/>
    <s v="N"/>
    <x v="6"/>
    <n v="10"/>
    <x v="1"/>
    <x v="0"/>
    <x v="0"/>
    <x v="6"/>
    <n v="10"/>
  </r>
  <r>
    <s v="INST"/>
    <s v="5/8&quot; Water Meter Size"/>
    <s v="KY"/>
    <s v="Hersey"/>
    <x v="1"/>
    <x v="4"/>
    <s v="AMR"/>
    <n v="2024"/>
    <n v="10"/>
    <n v="3"/>
    <n v="2034"/>
    <n v="2034"/>
    <s v="KY 2034"/>
    <s v="N"/>
    <x v="7"/>
    <n v="10"/>
    <x v="1"/>
    <x v="0"/>
    <x v="0"/>
    <x v="7"/>
    <n v="10"/>
  </r>
  <r>
    <s v="INST"/>
    <s v="5/8&quot; Water Meter Size"/>
    <s v="KY"/>
    <s v="Hersey"/>
    <x v="1"/>
    <x v="2"/>
    <s v="AMR"/>
    <n v="2013"/>
    <n v="10"/>
    <n v="3"/>
    <n v="2023"/>
    <n v="2025"/>
    <s v="KY 2025"/>
    <s v="N"/>
    <x v="10"/>
    <n v="12"/>
    <x v="1"/>
    <x v="0"/>
    <x v="0"/>
    <x v="9"/>
    <n v="12"/>
  </r>
  <r>
    <s v="INST"/>
    <s v="5/8&quot; Water Meter Size"/>
    <s v="KY"/>
    <s v="Hersey"/>
    <x v="1"/>
    <x v="2"/>
    <s v="AMR"/>
    <n v="2015"/>
    <n v="10"/>
    <n v="1"/>
    <n v="2025"/>
    <n v="2025"/>
    <s v="KY 2025"/>
    <s v="N"/>
    <x v="10"/>
    <n v="10"/>
    <x v="1"/>
    <x v="0"/>
    <x v="0"/>
    <x v="9"/>
    <n v="10"/>
  </r>
  <r>
    <s v="INST"/>
    <s v="5/8&quot; Water Meter Size"/>
    <s v="KY"/>
    <s v="Mueller"/>
    <x v="0"/>
    <x v="4"/>
    <s v="AMR"/>
    <n v="2014"/>
    <n v="10"/>
    <n v="2"/>
    <n v="2024"/>
    <n v="2025"/>
    <s v="KY 2025"/>
    <s v="N"/>
    <x v="10"/>
    <n v="11"/>
    <x v="1"/>
    <x v="0"/>
    <x v="0"/>
    <x v="9"/>
    <n v="11"/>
  </r>
  <r>
    <s v="INST"/>
    <s v="5/8&quot; Water Meter Size"/>
    <s v="KY"/>
    <s v="Mueller"/>
    <x v="0"/>
    <x v="4"/>
    <s v="AMR"/>
    <n v="2015"/>
    <n v="10"/>
    <n v="8"/>
    <n v="2025"/>
    <n v="2025"/>
    <s v="KY 2025"/>
    <s v="N"/>
    <x v="10"/>
    <n v="10"/>
    <x v="1"/>
    <x v="0"/>
    <x v="0"/>
    <x v="9"/>
    <n v="10"/>
  </r>
  <r>
    <s v="INST"/>
    <s v="5/8&quot; Water Meter Size"/>
    <s v="KY"/>
    <s v="Mueller"/>
    <x v="1"/>
    <x v="4"/>
    <s v="AMR"/>
    <n v="2012"/>
    <n v="10"/>
    <n v="1"/>
    <n v="2022"/>
    <n v="2025"/>
    <s v="KY 2025"/>
    <s v="N"/>
    <x v="10"/>
    <n v="13"/>
    <x v="1"/>
    <x v="0"/>
    <x v="0"/>
    <x v="9"/>
    <n v="13"/>
  </r>
  <r>
    <s v="INST"/>
    <s v="5/8&quot; Water Meter Size"/>
    <s v="KY"/>
    <s v="Mueller"/>
    <x v="1"/>
    <x v="4"/>
    <s v="AMR"/>
    <n v="2013"/>
    <n v="10"/>
    <n v="42"/>
    <n v="2023"/>
    <n v="2025"/>
    <s v="KY 2025"/>
    <s v="N"/>
    <x v="10"/>
    <n v="12"/>
    <x v="1"/>
    <x v="0"/>
    <x v="0"/>
    <x v="9"/>
    <n v="12"/>
  </r>
  <r>
    <s v="INST"/>
    <s v="5/8&quot; Water Meter Size"/>
    <s v="KY"/>
    <s v="Mueller"/>
    <x v="1"/>
    <x v="4"/>
    <s v="AMR"/>
    <n v="2014"/>
    <n v="10"/>
    <n v="623"/>
    <n v="2024"/>
    <n v="2025"/>
    <s v="KY 2025"/>
    <s v="N"/>
    <x v="10"/>
    <n v="11"/>
    <x v="1"/>
    <x v="0"/>
    <x v="0"/>
    <x v="9"/>
    <n v="11"/>
  </r>
  <r>
    <s v="INST"/>
    <s v="5/8&quot; Water Meter Size"/>
    <s v="KY"/>
    <s v="Mueller"/>
    <x v="1"/>
    <x v="4"/>
    <s v="AMR"/>
    <n v="2015"/>
    <n v="10"/>
    <n v="573"/>
    <n v="2025"/>
    <n v="2025"/>
    <s v="KY 2025"/>
    <s v="N"/>
    <x v="10"/>
    <n v="10"/>
    <x v="1"/>
    <x v="0"/>
    <x v="0"/>
    <x v="9"/>
    <n v="10"/>
  </r>
  <r>
    <s v="INST"/>
    <s v="5/8&quot; Water Meter Size"/>
    <s v="KY"/>
    <s v="Mueller"/>
    <x v="1"/>
    <x v="4"/>
    <s v="AMR"/>
    <n v="2016"/>
    <n v="10"/>
    <n v="2"/>
    <n v="2026"/>
    <n v="2026"/>
    <s v="KY 2026"/>
    <s v="N"/>
    <x v="1"/>
    <n v="10"/>
    <x v="1"/>
    <x v="0"/>
    <x v="0"/>
    <x v="1"/>
    <n v="10"/>
  </r>
  <r>
    <s v="INST"/>
    <s v="5/8&quot; Water Meter Size"/>
    <s v="KY"/>
    <s v="Mueller"/>
    <x v="1"/>
    <x v="2"/>
    <s v="AMR"/>
    <n v="2014"/>
    <n v="10"/>
    <n v="1"/>
    <n v="2024"/>
    <n v="2025"/>
    <s v="KY 2025"/>
    <s v="N"/>
    <x v="10"/>
    <n v="11"/>
    <x v="1"/>
    <x v="0"/>
    <x v="0"/>
    <x v="9"/>
    <n v="11"/>
  </r>
  <r>
    <s v="INST"/>
    <s v="5/8&quot; Water Meter Size"/>
    <s v="KY"/>
    <s v="Mueller"/>
    <x v="1"/>
    <x v="2"/>
    <s v="AMR"/>
    <n v="2015"/>
    <n v="10"/>
    <n v="2"/>
    <n v="2025"/>
    <n v="2025"/>
    <s v="KY 2025"/>
    <s v="N"/>
    <x v="10"/>
    <n v="10"/>
    <x v="1"/>
    <x v="0"/>
    <x v="0"/>
    <x v="9"/>
    <n v="10"/>
  </r>
  <r>
    <s v="INST"/>
    <s v="5/8&quot; Water Meter Size"/>
    <s v="KY"/>
    <s v="Neptune"/>
    <x v="0"/>
    <x v="0"/>
    <s v="Manual"/>
    <n v="2010"/>
    <n v="10"/>
    <n v="1"/>
    <n v="2020"/>
    <n v="2025"/>
    <s v="KY 2025"/>
    <s v="N"/>
    <x v="10"/>
    <n v="15"/>
    <x v="0"/>
    <x v="0"/>
    <x v="0"/>
    <x v="9"/>
    <s v="10**"/>
  </r>
  <r>
    <s v="INST"/>
    <s v="5/8&quot; Water Meter Size"/>
    <s v="KY"/>
    <s v="Neptune"/>
    <x v="0"/>
    <x v="0"/>
    <s v="Manual"/>
    <n v="2022"/>
    <n v="10"/>
    <n v="1"/>
    <n v="2032"/>
    <n v="2032"/>
    <s v="KY 2032"/>
    <s v="N"/>
    <x v="5"/>
    <n v="10"/>
    <x v="0"/>
    <x v="0"/>
    <x v="0"/>
    <x v="5"/>
    <n v="10"/>
  </r>
  <r>
    <s v="INST"/>
    <s v="5/8&quot; Water Meter Size"/>
    <s v="KY"/>
    <s v="Neptune"/>
    <x v="1"/>
    <x v="0"/>
    <s v="Manual"/>
    <n v="2019"/>
    <n v="10"/>
    <n v="5"/>
    <n v="2029"/>
    <n v="2029"/>
    <s v="KY 2029"/>
    <s v="N"/>
    <x v="8"/>
    <n v="10"/>
    <x v="0"/>
    <x v="0"/>
    <x v="0"/>
    <x v="8"/>
    <n v="10"/>
  </r>
  <r>
    <s v="INST"/>
    <s v="5/8&quot; Water Meter Size"/>
    <s v="KY"/>
    <s v="Neptune"/>
    <x v="1"/>
    <x v="0"/>
    <s v="Manual"/>
    <n v="2022"/>
    <n v="10"/>
    <n v="2"/>
    <n v="2032"/>
    <n v="2032"/>
    <s v="KY 2032"/>
    <s v="N"/>
    <x v="5"/>
    <n v="10"/>
    <x v="0"/>
    <x v="0"/>
    <x v="0"/>
    <x v="5"/>
    <n v="10"/>
  </r>
  <r>
    <s v="INST"/>
    <s v="5/8&quot; Water Meter Size"/>
    <s v="KY"/>
    <s v="Neptune"/>
    <x v="1"/>
    <x v="2"/>
    <s v="AMR"/>
    <n v="2023"/>
    <n v="10"/>
    <n v="1"/>
    <n v="2033"/>
    <n v="2033"/>
    <s v="KY 2033"/>
    <s v="N"/>
    <x v="6"/>
    <n v="10"/>
    <x v="1"/>
    <x v="0"/>
    <x v="0"/>
    <x v="6"/>
    <n v="10"/>
  </r>
  <r>
    <s v="INST"/>
    <s v="5/8&quot; Water Meter Size"/>
    <s v="KY"/>
    <s v="Neptune"/>
    <x v="0"/>
    <x v="3"/>
    <s v="AMI"/>
    <n v="2022"/>
    <n v="10"/>
    <n v="2"/>
    <n v="2032"/>
    <n v="2032"/>
    <s v="KY 2032"/>
    <s v="Y"/>
    <x v="5"/>
    <n v="10"/>
    <x v="2"/>
    <x v="0"/>
    <x v="0"/>
    <x v="5"/>
    <n v="10"/>
  </r>
  <r>
    <s v="INST"/>
    <s v="5/8&quot; Water Meter Size"/>
    <s v="KY"/>
    <s v="Neptune"/>
    <x v="0"/>
    <x v="3"/>
    <s v="AMI"/>
    <n v="2023"/>
    <n v="10"/>
    <n v="1"/>
    <n v="2033"/>
    <n v="2033"/>
    <s v="KY 2033"/>
    <s v="Y"/>
    <x v="6"/>
    <n v="10"/>
    <x v="2"/>
    <x v="0"/>
    <x v="0"/>
    <x v="6"/>
    <n v="10"/>
  </r>
  <r>
    <s v="INST"/>
    <s v="5/8&quot; Water Meter Size"/>
    <s v="KY"/>
    <s v="Neptune"/>
    <x v="1"/>
    <x v="3"/>
    <s v="AMI"/>
    <n v="2023"/>
    <n v="10"/>
    <n v="10"/>
    <n v="2033"/>
    <n v="2033"/>
    <s v="KY 2033"/>
    <s v="Y"/>
    <x v="6"/>
    <n v="10"/>
    <x v="2"/>
    <x v="0"/>
    <x v="0"/>
    <x v="6"/>
    <n v="10"/>
  </r>
  <r>
    <s v="INST"/>
    <s v="5/8&quot; Water Meter Size"/>
    <s v="KY"/>
    <s v="Neptune"/>
    <x v="1"/>
    <x v="1"/>
    <s v="AMR"/>
    <n v="2011"/>
    <n v="10"/>
    <n v="1"/>
    <n v="2021"/>
    <n v="2025"/>
    <s v="KY 2025"/>
    <s v="N"/>
    <x v="10"/>
    <n v="14"/>
    <x v="1"/>
    <x v="0"/>
    <x v="0"/>
    <x v="9"/>
    <n v="14"/>
  </r>
  <r>
    <s v="INST"/>
    <s v="5/8&quot; Water Meter Size"/>
    <s v="KY"/>
    <s v="Neptune"/>
    <x v="1"/>
    <x v="1"/>
    <s v="AMR"/>
    <n v="2023"/>
    <n v="10"/>
    <n v="1"/>
    <n v="2033"/>
    <n v="2033"/>
    <s v="KY 2033"/>
    <s v="N"/>
    <x v="6"/>
    <n v="10"/>
    <x v="1"/>
    <x v="0"/>
    <x v="0"/>
    <x v="6"/>
    <n v="10"/>
  </r>
  <r>
    <s v="INST"/>
    <s v="5/8&quot; Water Meter Size"/>
    <s v="KY"/>
    <s v="Neptune"/>
    <x v="1"/>
    <x v="4"/>
    <s v="AMR"/>
    <n v="2015"/>
    <n v="10"/>
    <n v="1"/>
    <n v="2025"/>
    <n v="2025"/>
    <s v="KY 2025"/>
    <s v="N"/>
    <x v="10"/>
    <n v="10"/>
    <x v="1"/>
    <x v="0"/>
    <x v="0"/>
    <x v="9"/>
    <n v="10"/>
  </r>
  <r>
    <s v="INST"/>
    <s v="5/8&quot; Water Meter Size"/>
    <s v="KY"/>
    <s v="Neptune"/>
    <x v="0"/>
    <x v="2"/>
    <s v="AMR"/>
    <n v="2009"/>
    <n v="10"/>
    <n v="18"/>
    <n v="2019"/>
    <n v="2025"/>
    <s v="KY 2025"/>
    <s v="N"/>
    <x v="10"/>
    <n v="16"/>
    <x v="1"/>
    <x v="0"/>
    <x v="0"/>
    <x v="9"/>
    <n v="16"/>
  </r>
  <r>
    <s v="INST"/>
    <s v="5/8&quot; Water Meter Size"/>
    <s v="KY"/>
    <s v="Neptune"/>
    <x v="0"/>
    <x v="2"/>
    <s v="AMR"/>
    <n v="2010"/>
    <n v="10"/>
    <n v="49"/>
    <n v="2020"/>
    <n v="2025"/>
    <s v="KY 2025"/>
    <s v="N"/>
    <x v="10"/>
    <n v="15"/>
    <x v="1"/>
    <x v="0"/>
    <x v="0"/>
    <x v="9"/>
    <s v="10**"/>
  </r>
  <r>
    <s v="INST"/>
    <s v="5/8&quot; Water Meter Size"/>
    <s v="KY"/>
    <s v="Neptune"/>
    <x v="0"/>
    <x v="2"/>
    <s v="AMR"/>
    <n v="2011"/>
    <n v="10"/>
    <n v="84"/>
    <n v="2021"/>
    <n v="2025"/>
    <s v="KY 2025"/>
    <s v="N"/>
    <x v="10"/>
    <n v="14"/>
    <x v="1"/>
    <x v="0"/>
    <x v="0"/>
    <x v="9"/>
    <n v="14"/>
  </r>
  <r>
    <s v="INST"/>
    <s v="5/8&quot; Water Meter Size"/>
    <s v="KY"/>
    <s v="Neptune"/>
    <x v="0"/>
    <x v="2"/>
    <s v="AMR"/>
    <n v="2012"/>
    <n v="10"/>
    <n v="36"/>
    <n v="2022"/>
    <n v="2025"/>
    <s v="KY 2025"/>
    <s v="N"/>
    <x v="10"/>
    <n v="13"/>
    <x v="1"/>
    <x v="0"/>
    <x v="0"/>
    <x v="9"/>
    <n v="13"/>
  </r>
  <r>
    <s v="INST"/>
    <s v="5/8&quot; Water Meter Size"/>
    <s v="KY"/>
    <s v="Neptune"/>
    <x v="0"/>
    <x v="2"/>
    <s v="AMR"/>
    <n v="2013"/>
    <n v="10"/>
    <n v="5"/>
    <n v="2023"/>
    <n v="2025"/>
    <s v="KY 2025"/>
    <s v="N"/>
    <x v="10"/>
    <n v="12"/>
    <x v="1"/>
    <x v="0"/>
    <x v="0"/>
    <x v="9"/>
    <n v="12"/>
  </r>
  <r>
    <s v="INST"/>
    <s v="5/8&quot; Water Meter Size"/>
    <s v="KY"/>
    <s v="Neptune"/>
    <x v="0"/>
    <x v="2"/>
    <s v="AMR"/>
    <n v="2015"/>
    <n v="10"/>
    <n v="5"/>
    <n v="2025"/>
    <n v="2025"/>
    <s v="KY 2025"/>
    <s v="N"/>
    <x v="10"/>
    <n v="10"/>
    <x v="1"/>
    <x v="0"/>
    <x v="0"/>
    <x v="9"/>
    <n v="10"/>
  </r>
  <r>
    <s v="INST"/>
    <s v="5/8&quot; Water Meter Size"/>
    <s v="KY"/>
    <s v="Neptune"/>
    <x v="0"/>
    <x v="2"/>
    <s v="AMR"/>
    <n v="2016"/>
    <n v="10"/>
    <n v="3"/>
    <n v="2026"/>
    <n v="2026"/>
    <s v="KY 2026"/>
    <s v="N"/>
    <x v="1"/>
    <n v="10"/>
    <x v="1"/>
    <x v="0"/>
    <x v="0"/>
    <x v="1"/>
    <n v="10"/>
  </r>
  <r>
    <s v="INST"/>
    <s v="5/8&quot; Water Meter Size"/>
    <s v="KY"/>
    <s v="Neptune"/>
    <x v="0"/>
    <x v="2"/>
    <s v="AMR"/>
    <n v="2019"/>
    <n v="10"/>
    <n v="142"/>
    <n v="2029"/>
    <n v="2029"/>
    <s v="KY 2029"/>
    <s v="N"/>
    <x v="8"/>
    <n v="10"/>
    <x v="1"/>
    <x v="0"/>
    <x v="0"/>
    <x v="8"/>
    <n v="10"/>
  </r>
  <r>
    <s v="INST"/>
    <s v="5/8&quot; Water Meter Size"/>
    <s v="KY"/>
    <s v="Neptune"/>
    <x v="0"/>
    <x v="2"/>
    <s v="AMR"/>
    <n v="2021"/>
    <n v="10"/>
    <n v="5"/>
    <n v="2031"/>
    <n v="2031"/>
    <s v="KY 2031"/>
    <s v="N"/>
    <x v="4"/>
    <n v="10"/>
    <x v="1"/>
    <x v="0"/>
    <x v="0"/>
    <x v="4"/>
    <n v="10"/>
  </r>
  <r>
    <s v="INST"/>
    <s v="5/8&quot; Water Meter Size"/>
    <s v="KY"/>
    <s v="Neptune"/>
    <x v="0"/>
    <x v="2"/>
    <s v="AMR"/>
    <n v="2022"/>
    <n v="10"/>
    <n v="29"/>
    <n v="2032"/>
    <n v="2032"/>
    <s v="KY 2032"/>
    <s v="N"/>
    <x v="5"/>
    <n v="10"/>
    <x v="1"/>
    <x v="0"/>
    <x v="0"/>
    <x v="5"/>
    <n v="10"/>
  </r>
  <r>
    <s v="INST"/>
    <s v="5/8&quot; Water Meter Size"/>
    <s v="KY"/>
    <s v="Neptune"/>
    <x v="0"/>
    <x v="2"/>
    <s v="AMR"/>
    <n v="2023"/>
    <n v="10"/>
    <n v="17"/>
    <n v="2033"/>
    <n v="2033"/>
    <s v="KY 2033"/>
    <s v="N"/>
    <x v="6"/>
    <n v="10"/>
    <x v="1"/>
    <x v="0"/>
    <x v="0"/>
    <x v="6"/>
    <n v="10"/>
  </r>
  <r>
    <s v="INST"/>
    <s v="5/8&quot; Water Meter Size"/>
    <s v="KY"/>
    <s v="Neptune"/>
    <x v="1"/>
    <x v="2"/>
    <s v="AMR"/>
    <n v="2008"/>
    <n v="10"/>
    <n v="2"/>
    <n v="2018"/>
    <n v="2025"/>
    <s v="KY 2025"/>
    <s v="N"/>
    <x v="10"/>
    <n v="17"/>
    <x v="1"/>
    <x v="0"/>
    <x v="0"/>
    <x v="9"/>
    <n v="17"/>
  </r>
  <r>
    <s v="INST"/>
    <s v="5/8&quot; Water Meter Size"/>
    <s v="KY"/>
    <s v="Neptune"/>
    <x v="1"/>
    <x v="2"/>
    <s v="AMR"/>
    <n v="2009"/>
    <n v="10"/>
    <n v="276"/>
    <n v="2019"/>
    <n v="2025"/>
    <s v="KY 2025"/>
    <s v="N"/>
    <x v="10"/>
    <n v="16"/>
    <x v="1"/>
    <x v="0"/>
    <x v="0"/>
    <x v="9"/>
    <n v="16"/>
  </r>
  <r>
    <s v="INST"/>
    <s v="5/8&quot; Water Meter Size"/>
    <s v="KY"/>
    <s v="Neptune"/>
    <x v="1"/>
    <x v="2"/>
    <s v="AMR"/>
    <n v="2010"/>
    <n v="10"/>
    <n v="658"/>
    <n v="2020"/>
    <n v="2025"/>
    <s v="KY 2025"/>
    <s v="N"/>
    <x v="10"/>
    <n v="15"/>
    <x v="1"/>
    <x v="0"/>
    <x v="0"/>
    <x v="9"/>
    <s v="10**"/>
  </r>
  <r>
    <s v="INST"/>
    <s v="5/8&quot; Water Meter Size"/>
    <s v="KY"/>
    <s v="Neptune"/>
    <x v="1"/>
    <x v="2"/>
    <s v="AMR"/>
    <n v="2010"/>
    <n v="15"/>
    <n v="1"/>
    <n v="2025"/>
    <n v="2025"/>
    <s v="KY 2025"/>
    <s v="N"/>
    <x v="10"/>
    <n v="15"/>
    <x v="1"/>
    <x v="0"/>
    <x v="0"/>
    <x v="9"/>
    <s v="10**"/>
  </r>
  <r>
    <s v="INST"/>
    <s v="5/8&quot; Water Meter Size"/>
    <s v="KY"/>
    <s v="Neptune"/>
    <x v="1"/>
    <x v="2"/>
    <s v="AMR"/>
    <n v="2011"/>
    <n v="10"/>
    <n v="11811"/>
    <n v="2021"/>
    <n v="2025"/>
    <s v="KY 2025"/>
    <s v="N"/>
    <x v="10"/>
    <n v="14"/>
    <x v="1"/>
    <x v="0"/>
    <x v="0"/>
    <x v="9"/>
    <n v="14"/>
  </r>
  <r>
    <s v="INST"/>
    <s v="5/8&quot; Water Meter Size"/>
    <s v="KY"/>
    <s v="Neptune"/>
    <x v="1"/>
    <x v="2"/>
    <s v="AMR"/>
    <n v="2011"/>
    <n v="15"/>
    <n v="3"/>
    <n v="2026"/>
    <n v="2026"/>
    <s v="KY 2026"/>
    <s v="N"/>
    <x v="1"/>
    <n v="15"/>
    <x v="1"/>
    <x v="0"/>
    <x v="0"/>
    <x v="1"/>
    <s v="10**"/>
  </r>
  <r>
    <s v="INST"/>
    <s v="5/8&quot; Water Meter Size"/>
    <s v="KY"/>
    <s v="Neptune"/>
    <x v="1"/>
    <x v="2"/>
    <s v="AMR"/>
    <n v="2012"/>
    <n v="10"/>
    <n v="4621"/>
    <n v="2022"/>
    <n v="2025"/>
    <s v="KY 2025"/>
    <s v="N"/>
    <x v="10"/>
    <n v="13"/>
    <x v="1"/>
    <x v="0"/>
    <x v="0"/>
    <x v="9"/>
    <n v="13"/>
  </r>
  <r>
    <s v="INST"/>
    <s v="5/8&quot; Water Meter Size"/>
    <s v="KY"/>
    <s v="Neptune"/>
    <x v="1"/>
    <x v="2"/>
    <s v="AMR"/>
    <n v="2013"/>
    <n v="10"/>
    <n v="260"/>
    <n v="2023"/>
    <n v="2025"/>
    <s v="KY 2025"/>
    <s v="N"/>
    <x v="10"/>
    <n v="12"/>
    <x v="1"/>
    <x v="0"/>
    <x v="0"/>
    <x v="9"/>
    <n v="12"/>
  </r>
  <r>
    <s v="INST"/>
    <s v="5/8&quot; Water Meter Size"/>
    <s v="KY"/>
    <s v="Neptune"/>
    <x v="1"/>
    <x v="2"/>
    <s v="AMR"/>
    <n v="2014"/>
    <n v="10"/>
    <n v="6"/>
    <n v="2024"/>
    <n v="2025"/>
    <s v="KY 2025"/>
    <s v="N"/>
    <x v="10"/>
    <n v="11"/>
    <x v="1"/>
    <x v="0"/>
    <x v="0"/>
    <x v="9"/>
    <n v="11"/>
  </r>
  <r>
    <s v="INST"/>
    <s v="5/8&quot; Water Meter Size"/>
    <s v="KY"/>
    <s v="Neptune"/>
    <x v="1"/>
    <x v="2"/>
    <s v="AMR"/>
    <n v="2015"/>
    <n v="10"/>
    <n v="808"/>
    <n v="2025"/>
    <n v="2025"/>
    <s v="KY 2025"/>
    <s v="N"/>
    <x v="10"/>
    <n v="10"/>
    <x v="1"/>
    <x v="0"/>
    <x v="0"/>
    <x v="9"/>
    <n v="10"/>
  </r>
  <r>
    <s v="INST"/>
    <s v="5/8&quot; Water Meter Size"/>
    <s v="KY"/>
    <s v="Neptune"/>
    <x v="1"/>
    <x v="2"/>
    <s v="AMR"/>
    <n v="2016"/>
    <n v="10"/>
    <n v="191"/>
    <n v="2026"/>
    <n v="2026"/>
    <s v="KY 2026"/>
    <s v="N"/>
    <x v="1"/>
    <n v="10"/>
    <x v="1"/>
    <x v="0"/>
    <x v="0"/>
    <x v="1"/>
    <n v="10"/>
  </r>
  <r>
    <s v="INST"/>
    <s v="5/8&quot; Water Meter Size"/>
    <s v="KY"/>
    <s v="Neptune"/>
    <x v="1"/>
    <x v="2"/>
    <s v="AMR"/>
    <n v="2017"/>
    <n v="10"/>
    <n v="9"/>
    <n v="2027"/>
    <n v="2027"/>
    <s v="KY 2027"/>
    <s v="N"/>
    <x v="2"/>
    <n v="10"/>
    <x v="1"/>
    <x v="0"/>
    <x v="0"/>
    <x v="2"/>
    <n v="10"/>
  </r>
  <r>
    <s v="INST"/>
    <s v="5/8&quot; Water Meter Size"/>
    <s v="KY"/>
    <s v="Neptune"/>
    <x v="1"/>
    <x v="2"/>
    <s v="AMR"/>
    <n v="2019"/>
    <n v="10"/>
    <n v="11073"/>
    <n v="2029"/>
    <n v="2029"/>
    <s v="KY 2029"/>
    <s v="N"/>
    <x v="8"/>
    <n v="10"/>
    <x v="1"/>
    <x v="0"/>
    <x v="0"/>
    <x v="8"/>
    <n v="10"/>
  </r>
  <r>
    <s v="INST"/>
    <s v="5/8&quot; Water Meter Size"/>
    <s v="KY"/>
    <s v="Neptune"/>
    <x v="1"/>
    <x v="2"/>
    <s v="AMR"/>
    <n v="2021"/>
    <n v="10"/>
    <n v="178"/>
    <n v="2031"/>
    <n v="2031"/>
    <s v="KY 2031"/>
    <s v="N"/>
    <x v="4"/>
    <n v="10"/>
    <x v="1"/>
    <x v="0"/>
    <x v="0"/>
    <x v="4"/>
    <n v="10"/>
  </r>
  <r>
    <s v="INST"/>
    <s v="5/8&quot; Water Meter Size"/>
    <s v="KY"/>
    <s v="Neptune"/>
    <x v="1"/>
    <x v="2"/>
    <s v="AMR"/>
    <n v="2022"/>
    <n v="10"/>
    <n v="2064"/>
    <n v="2032"/>
    <n v="2032"/>
    <s v="KY 2032"/>
    <s v="N"/>
    <x v="5"/>
    <n v="10"/>
    <x v="1"/>
    <x v="0"/>
    <x v="0"/>
    <x v="5"/>
    <n v="10"/>
  </r>
  <r>
    <s v="INST"/>
    <s v="5/8&quot; Water Meter Size"/>
    <s v="KY"/>
    <s v="Neptune"/>
    <x v="1"/>
    <x v="2"/>
    <s v="AMR"/>
    <n v="2023"/>
    <n v="10"/>
    <n v="4822"/>
    <n v="2033"/>
    <n v="2033"/>
    <s v="KY 2033"/>
    <s v="N"/>
    <x v="6"/>
    <n v="10"/>
    <x v="1"/>
    <x v="0"/>
    <x v="0"/>
    <x v="6"/>
    <n v="10"/>
  </r>
  <r>
    <s v="INST"/>
    <s v="5/8&quot; Water Meter Size"/>
    <s v="KY"/>
    <s v="Neptune"/>
    <x v="1"/>
    <x v="2"/>
    <s v="AMR"/>
    <n v="2024"/>
    <n v="10"/>
    <n v="2"/>
    <n v="2034"/>
    <n v="2034"/>
    <s v="KY 2034"/>
    <s v="N"/>
    <x v="7"/>
    <n v="10"/>
    <x v="1"/>
    <x v="0"/>
    <x v="0"/>
    <x v="7"/>
    <n v="10"/>
  </r>
  <r>
    <s v="INST"/>
    <s v="5/8&quot; Water Meter Size"/>
    <s v="KY"/>
    <s v="Neptune"/>
    <x v="0"/>
    <x v="2"/>
    <s v="AMR"/>
    <n v="2019"/>
    <n v="10"/>
    <n v="1"/>
    <n v="2029"/>
    <n v="2029"/>
    <s v="KY 2029"/>
    <s v="N"/>
    <x v="8"/>
    <n v="10"/>
    <x v="1"/>
    <x v="0"/>
    <x v="0"/>
    <x v="8"/>
    <n v="10"/>
  </r>
  <r>
    <s v="INST"/>
    <s v="5/8&quot; Water Meter Size"/>
    <s v="KY"/>
    <s v="Neptune"/>
    <x v="0"/>
    <x v="2"/>
    <s v="AMR"/>
    <n v="2022"/>
    <n v="10"/>
    <n v="1"/>
    <n v="2032"/>
    <n v="2032"/>
    <s v="KY 2032"/>
    <s v="N"/>
    <x v="5"/>
    <n v="10"/>
    <x v="1"/>
    <x v="0"/>
    <x v="0"/>
    <x v="5"/>
    <n v="10"/>
  </r>
  <r>
    <s v="INST"/>
    <s v="5/8&quot; Water Meter Size"/>
    <s v="KY"/>
    <s v="Neptune"/>
    <x v="0"/>
    <x v="2"/>
    <s v="AMR"/>
    <n v="2023"/>
    <n v="10"/>
    <n v="1"/>
    <n v="2033"/>
    <n v="2033"/>
    <s v="KY 2033"/>
    <s v="N"/>
    <x v="6"/>
    <n v="10"/>
    <x v="1"/>
    <x v="0"/>
    <x v="0"/>
    <x v="6"/>
    <n v="10"/>
  </r>
  <r>
    <s v="INST"/>
    <s v="2&quot; Water Meter Size"/>
    <s v="KY"/>
    <s v="Badger"/>
    <x v="1"/>
    <x v="0"/>
    <s v="Manual"/>
    <n v="2024"/>
    <n v="4"/>
    <n v="1"/>
    <n v="2028"/>
    <n v="2028"/>
    <s v="KY 2028"/>
    <s v="N"/>
    <x v="0"/>
    <n v="4"/>
    <x v="0"/>
    <x v="0"/>
    <x v="0"/>
    <x v="0"/>
    <n v="4"/>
  </r>
  <r>
    <s v="INST"/>
    <s v="2&quot; Water Meter Size"/>
    <s v="KY"/>
    <s v="Badger"/>
    <x v="1"/>
    <x v="1"/>
    <s v="AMR"/>
    <n v="2024"/>
    <n v="4"/>
    <n v="2"/>
    <n v="2028"/>
    <n v="2028"/>
    <s v="KY 2028"/>
    <s v="N"/>
    <x v="0"/>
    <n v="4"/>
    <x v="1"/>
    <x v="0"/>
    <x v="0"/>
    <x v="0"/>
    <n v="4"/>
  </r>
  <r>
    <s v="INST"/>
    <s v="2&quot; Water Meter Size"/>
    <s v="KY"/>
    <s v="Badger"/>
    <x v="1"/>
    <x v="1"/>
    <s v="AMR"/>
    <n v="2025"/>
    <n v="4"/>
    <n v="2"/>
    <n v="2029"/>
    <n v="2029"/>
    <s v="KY 2029"/>
    <s v="N"/>
    <x v="8"/>
    <n v="4"/>
    <x v="1"/>
    <x v="0"/>
    <x v="0"/>
    <x v="8"/>
    <n v="4"/>
  </r>
  <r>
    <s v="INST"/>
    <s v="2&quot; Water Meter Size"/>
    <s v="KY"/>
    <s v="Badger"/>
    <x v="0"/>
    <x v="3"/>
    <s v="AMI"/>
    <n v="2024"/>
    <n v="4"/>
    <n v="2"/>
    <n v="2028"/>
    <n v="2028"/>
    <s v="KY 2028"/>
    <s v="Y"/>
    <x v="0"/>
    <n v="4"/>
    <x v="2"/>
    <x v="0"/>
    <x v="0"/>
    <x v="0"/>
    <n v="4"/>
  </r>
  <r>
    <s v="INST"/>
    <s v="2&quot; Water Meter Size"/>
    <s v="KY"/>
    <s v="Badger"/>
    <x v="1"/>
    <x v="3"/>
    <s v="AMI"/>
    <n v="2023"/>
    <n v="4"/>
    <n v="56"/>
    <n v="2027"/>
    <n v="2027"/>
    <s v="KY 2027"/>
    <s v="Y"/>
    <x v="2"/>
    <n v="4"/>
    <x v="2"/>
    <x v="0"/>
    <x v="0"/>
    <x v="2"/>
    <n v="4"/>
  </r>
  <r>
    <s v="INST"/>
    <s v="2&quot; Water Meter Size"/>
    <s v="KY"/>
    <s v="Badger"/>
    <x v="1"/>
    <x v="3"/>
    <s v="AMI"/>
    <n v="2024"/>
    <n v="4"/>
    <n v="35"/>
    <n v="2028"/>
    <n v="2028"/>
    <s v="KY 2028"/>
    <s v="Y"/>
    <x v="0"/>
    <n v="4"/>
    <x v="2"/>
    <x v="0"/>
    <x v="0"/>
    <x v="0"/>
    <n v="4"/>
  </r>
  <r>
    <s v="INST"/>
    <s v="2&quot; Water Meter Size"/>
    <s v="KY"/>
    <s v="Badger"/>
    <x v="0"/>
    <x v="1"/>
    <s v="AMR"/>
    <n v="2024"/>
    <n v="4"/>
    <n v="5"/>
    <n v="2028"/>
    <n v="2028"/>
    <s v="KY 2028"/>
    <s v="N"/>
    <x v="0"/>
    <n v="4"/>
    <x v="1"/>
    <x v="0"/>
    <x v="0"/>
    <x v="0"/>
    <n v="4"/>
  </r>
  <r>
    <s v="INST"/>
    <s v="2&quot; Water Meter Size"/>
    <s v="KY"/>
    <s v="Badger"/>
    <x v="1"/>
    <x v="1"/>
    <s v="AMR"/>
    <n v="2024"/>
    <n v="4"/>
    <n v="365"/>
    <n v="2028"/>
    <n v="2028"/>
    <s v="KY 2028"/>
    <s v="N"/>
    <x v="0"/>
    <n v="4"/>
    <x v="1"/>
    <x v="0"/>
    <x v="0"/>
    <x v="0"/>
    <n v="4"/>
  </r>
  <r>
    <s v="INST"/>
    <s v="2&quot; Water Meter Size"/>
    <s v="KY"/>
    <s v="Badger"/>
    <x v="1"/>
    <x v="1"/>
    <s v="AMR"/>
    <n v="2025"/>
    <n v="4"/>
    <n v="19"/>
    <n v="2029"/>
    <n v="2029"/>
    <s v="KY 2029"/>
    <s v="N"/>
    <x v="8"/>
    <n v="4"/>
    <x v="1"/>
    <x v="0"/>
    <x v="0"/>
    <x v="8"/>
    <n v="4"/>
  </r>
  <r>
    <s v="INST"/>
    <s v="2&quot; Water Meter Size"/>
    <s v="KY"/>
    <s v="Badger"/>
    <x v="0"/>
    <x v="2"/>
    <s v="AMR"/>
    <n v="2023"/>
    <n v="4"/>
    <n v="5"/>
    <n v="2027"/>
    <n v="2027"/>
    <s v="KY 2027"/>
    <s v="N"/>
    <x v="2"/>
    <n v="4"/>
    <x v="1"/>
    <x v="0"/>
    <x v="0"/>
    <x v="2"/>
    <n v="4"/>
  </r>
  <r>
    <s v="INST"/>
    <s v="2&quot; Water Meter Size"/>
    <s v="KY"/>
    <s v="Badger"/>
    <x v="0"/>
    <x v="2"/>
    <s v="AMR"/>
    <n v="2024"/>
    <n v="4"/>
    <n v="7"/>
    <n v="2028"/>
    <n v="2028"/>
    <s v="KY 2028"/>
    <s v="N"/>
    <x v="0"/>
    <n v="4"/>
    <x v="1"/>
    <x v="0"/>
    <x v="0"/>
    <x v="0"/>
    <n v="4"/>
  </r>
  <r>
    <s v="INST"/>
    <s v="2&quot; Water Meter Size"/>
    <s v="KY"/>
    <s v="Badger"/>
    <x v="1"/>
    <x v="2"/>
    <s v="AMR"/>
    <n v="2023"/>
    <n v="4"/>
    <n v="368"/>
    <n v="2027"/>
    <n v="2027"/>
    <s v="KY 2027"/>
    <s v="N"/>
    <x v="2"/>
    <n v="4"/>
    <x v="1"/>
    <x v="0"/>
    <x v="0"/>
    <x v="2"/>
    <n v="4"/>
  </r>
  <r>
    <s v="INST"/>
    <s v="2&quot; Water Meter Size"/>
    <s v="KY"/>
    <s v="Badger"/>
    <x v="1"/>
    <x v="2"/>
    <s v="AMR"/>
    <n v="2024"/>
    <n v="4"/>
    <n v="376"/>
    <n v="2028"/>
    <n v="2028"/>
    <s v="KY 2028"/>
    <s v="N"/>
    <x v="0"/>
    <n v="4"/>
    <x v="1"/>
    <x v="0"/>
    <x v="0"/>
    <x v="0"/>
    <n v="4"/>
  </r>
  <r>
    <s v="INST"/>
    <s v="2&quot; Water Meter Size"/>
    <s v="KY"/>
    <s v="Master Meter"/>
    <x v="1"/>
    <x v="2"/>
    <s v="AMR"/>
    <n v="2020"/>
    <n v="4"/>
    <n v="1"/>
    <n v="2024"/>
    <n v="2025"/>
    <s v="KY 2025"/>
    <s v="N"/>
    <x v="10"/>
    <n v="5"/>
    <x v="1"/>
    <x v="0"/>
    <x v="0"/>
    <x v="9"/>
    <n v="5"/>
  </r>
  <r>
    <s v="INST"/>
    <s v="2&quot; Water Meter Size"/>
    <s v="KY"/>
    <s v="Master Meter"/>
    <x v="0"/>
    <x v="3"/>
    <s v="AMI"/>
    <n v="2022"/>
    <n v="4"/>
    <n v="2"/>
    <n v="2026"/>
    <n v="2026"/>
    <s v="KY 2026"/>
    <s v="Y"/>
    <x v="1"/>
    <n v="4"/>
    <x v="2"/>
    <x v="0"/>
    <x v="0"/>
    <x v="1"/>
    <n v="4"/>
  </r>
  <r>
    <s v="INST"/>
    <s v="2&quot; Water Meter Size"/>
    <s v="KY"/>
    <s v="Master Meter"/>
    <x v="1"/>
    <x v="3"/>
    <s v="AMI"/>
    <n v="2020"/>
    <n v="4"/>
    <n v="1"/>
    <n v="2024"/>
    <n v="2025"/>
    <s v="KY 2025"/>
    <s v="Y"/>
    <x v="10"/>
    <n v="5"/>
    <x v="2"/>
    <x v="0"/>
    <x v="0"/>
    <x v="9"/>
    <n v="5"/>
  </r>
  <r>
    <s v="INST"/>
    <s v="2&quot; Water Meter Size"/>
    <s v="KY"/>
    <s v="Master Meter"/>
    <x v="1"/>
    <x v="3"/>
    <s v="AMI"/>
    <n v="2021"/>
    <n v="4"/>
    <n v="2"/>
    <n v="2025"/>
    <n v="2025"/>
    <s v="KY 2025"/>
    <s v="Y"/>
    <x v="10"/>
    <n v="4"/>
    <x v="2"/>
    <x v="0"/>
    <x v="0"/>
    <x v="9"/>
    <n v="4"/>
  </r>
  <r>
    <s v="INST"/>
    <s v="2&quot; Water Meter Size"/>
    <s v="KY"/>
    <s v="Master Meter"/>
    <x v="1"/>
    <x v="3"/>
    <s v="AMI"/>
    <n v="2022"/>
    <n v="4"/>
    <n v="11"/>
    <n v="2026"/>
    <n v="2026"/>
    <s v="KY 2026"/>
    <s v="Y"/>
    <x v="1"/>
    <n v="4"/>
    <x v="2"/>
    <x v="0"/>
    <x v="0"/>
    <x v="1"/>
    <n v="4"/>
  </r>
  <r>
    <s v="INST"/>
    <s v="2&quot; Water Meter Size"/>
    <s v="KY"/>
    <s v="Master Meter"/>
    <x v="1"/>
    <x v="1"/>
    <s v="AMR"/>
    <n v="2021"/>
    <n v="4"/>
    <n v="1"/>
    <n v="2025"/>
    <n v="2025"/>
    <s v="KY 2025"/>
    <s v="N"/>
    <x v="10"/>
    <n v="4"/>
    <x v="1"/>
    <x v="0"/>
    <x v="0"/>
    <x v="9"/>
    <n v="4"/>
  </r>
  <r>
    <s v="INST"/>
    <s v="2&quot; Water Meter Size"/>
    <s v="KY"/>
    <s v="Master Meter"/>
    <x v="1"/>
    <x v="6"/>
    <s v="AMI"/>
    <n v="2022"/>
    <n v="4"/>
    <n v="1"/>
    <n v="2026"/>
    <n v="2026"/>
    <s v="KY 2026"/>
    <s v="Y"/>
    <x v="1"/>
    <n v="4"/>
    <x v="2"/>
    <x v="0"/>
    <x v="0"/>
    <x v="1"/>
    <n v="4"/>
  </r>
  <r>
    <s v="INST"/>
    <s v="2&quot; Water Meter Size"/>
    <s v="KY"/>
    <s v="Master Meter"/>
    <x v="0"/>
    <x v="2"/>
    <s v="AMR"/>
    <n v="2022"/>
    <n v="4"/>
    <n v="2"/>
    <n v="2026"/>
    <n v="2026"/>
    <s v="KY 2026"/>
    <s v="N"/>
    <x v="1"/>
    <n v="4"/>
    <x v="1"/>
    <x v="0"/>
    <x v="0"/>
    <x v="1"/>
    <n v="4"/>
  </r>
  <r>
    <s v="INST"/>
    <s v="2&quot; Water Meter Size"/>
    <s v="KY"/>
    <s v="Master Meter"/>
    <x v="1"/>
    <x v="2"/>
    <s v="AMR"/>
    <n v="2019"/>
    <n v="4"/>
    <n v="1"/>
    <n v="2023"/>
    <n v="2025"/>
    <s v="KY 2025"/>
    <s v="N"/>
    <x v="10"/>
    <n v="6"/>
    <x v="1"/>
    <x v="0"/>
    <x v="0"/>
    <x v="9"/>
    <n v="6"/>
  </r>
  <r>
    <s v="INST"/>
    <s v="2&quot; Water Meter Size"/>
    <s v="KY"/>
    <s v="Master Meter"/>
    <x v="1"/>
    <x v="2"/>
    <s v="AMR"/>
    <n v="2020"/>
    <n v="4"/>
    <n v="13"/>
    <n v="2024"/>
    <n v="2025"/>
    <s v="KY 2025"/>
    <s v="N"/>
    <x v="10"/>
    <n v="5"/>
    <x v="1"/>
    <x v="0"/>
    <x v="0"/>
    <x v="9"/>
    <n v="5"/>
  </r>
  <r>
    <s v="INST"/>
    <s v="2&quot; Water Meter Size"/>
    <s v="KY"/>
    <s v="Master Meter"/>
    <x v="1"/>
    <x v="2"/>
    <s v="AMR"/>
    <n v="2021"/>
    <n v="4"/>
    <n v="5"/>
    <n v="2025"/>
    <n v="2025"/>
    <s v="KY 2025"/>
    <s v="N"/>
    <x v="10"/>
    <n v="4"/>
    <x v="1"/>
    <x v="0"/>
    <x v="0"/>
    <x v="9"/>
    <n v="4"/>
  </r>
  <r>
    <s v="INST"/>
    <s v="2&quot; Water Meter Size"/>
    <s v="KY"/>
    <s v="Master Meter"/>
    <x v="1"/>
    <x v="2"/>
    <s v="AMR"/>
    <n v="2022"/>
    <n v="4"/>
    <n v="15"/>
    <n v="2026"/>
    <n v="2026"/>
    <s v="KY 2026"/>
    <s v="N"/>
    <x v="1"/>
    <n v="4"/>
    <x v="1"/>
    <x v="0"/>
    <x v="0"/>
    <x v="1"/>
    <n v="4"/>
  </r>
  <r>
    <s v="INST"/>
    <s v="2&quot; Water Meter Size"/>
    <s v="KY"/>
    <s v="Master Meter"/>
    <x v="1"/>
    <x v="2"/>
    <s v="AMR"/>
    <n v="2023"/>
    <n v="4"/>
    <n v="4"/>
    <n v="2027"/>
    <n v="2027"/>
    <s v="KY 2027"/>
    <s v="N"/>
    <x v="2"/>
    <n v="4"/>
    <x v="1"/>
    <x v="0"/>
    <x v="0"/>
    <x v="2"/>
    <n v="4"/>
  </r>
  <r>
    <s v="INST"/>
    <s v="2&quot; Water Meter Size"/>
    <s v="KY"/>
    <s v="Neptune"/>
    <x v="1"/>
    <x v="0"/>
    <s v="Manual"/>
    <n v="2022"/>
    <n v="4"/>
    <n v="1"/>
    <n v="2026"/>
    <n v="2026"/>
    <s v="KY 2026"/>
    <s v="N"/>
    <x v="1"/>
    <n v="4"/>
    <x v="0"/>
    <x v="0"/>
    <x v="0"/>
    <x v="1"/>
    <n v="4"/>
  </r>
  <r>
    <s v="INST"/>
    <s v="2&quot; Water Meter Size"/>
    <s v="KY"/>
    <s v="Neptune"/>
    <x v="1"/>
    <x v="1"/>
    <s v="AMR"/>
    <n v="2025"/>
    <n v="4"/>
    <n v="1"/>
    <n v="2029"/>
    <n v="2029"/>
    <s v="KY 2029"/>
    <s v="N"/>
    <x v="8"/>
    <n v="4"/>
    <x v="1"/>
    <x v="0"/>
    <x v="0"/>
    <x v="8"/>
    <n v="4"/>
  </r>
  <r>
    <s v="INST"/>
    <s v="2&quot; Water Meter Size"/>
    <s v="KY"/>
    <s v="Neptune"/>
    <x v="1"/>
    <x v="2"/>
    <s v="AMR"/>
    <n v="2018"/>
    <n v="4"/>
    <n v="1"/>
    <n v="2022"/>
    <n v="2025"/>
    <s v="KY 2025"/>
    <s v="N"/>
    <x v="10"/>
    <n v="7"/>
    <x v="1"/>
    <x v="0"/>
    <x v="0"/>
    <x v="9"/>
    <n v="7"/>
  </r>
  <r>
    <s v="INST"/>
    <s v="2&quot; Water Meter Size"/>
    <s v="KY"/>
    <s v="Neptune"/>
    <x v="1"/>
    <x v="2"/>
    <s v="AMR"/>
    <n v="2022"/>
    <n v="4"/>
    <n v="3"/>
    <n v="2026"/>
    <n v="2026"/>
    <s v="KY 2026"/>
    <s v="N"/>
    <x v="1"/>
    <n v="4"/>
    <x v="1"/>
    <x v="0"/>
    <x v="0"/>
    <x v="1"/>
    <n v="4"/>
  </r>
  <r>
    <s v="INST"/>
    <s v="2&quot; Water Meter Size"/>
    <s v="KY"/>
    <s v="Neptune"/>
    <x v="1"/>
    <x v="3"/>
    <s v="AMI"/>
    <n v="2018"/>
    <n v="4"/>
    <n v="1"/>
    <n v="2022"/>
    <n v="2025"/>
    <s v="KY 2025"/>
    <s v="Y"/>
    <x v="10"/>
    <n v="7"/>
    <x v="2"/>
    <x v="0"/>
    <x v="0"/>
    <x v="9"/>
    <n v="7"/>
  </r>
  <r>
    <s v="INST"/>
    <s v="2&quot; Water Meter Size"/>
    <s v="KY"/>
    <s v="Neptune"/>
    <x v="1"/>
    <x v="3"/>
    <s v="AMI"/>
    <n v="2019"/>
    <n v="4"/>
    <n v="7"/>
    <n v="2023"/>
    <n v="2025"/>
    <s v="KY 2025"/>
    <s v="Y"/>
    <x v="10"/>
    <n v="6"/>
    <x v="2"/>
    <x v="0"/>
    <x v="0"/>
    <x v="9"/>
    <n v="6"/>
  </r>
  <r>
    <s v="INST"/>
    <s v="2&quot; Water Meter Size"/>
    <s v="KY"/>
    <s v="Neptune"/>
    <x v="1"/>
    <x v="3"/>
    <s v="AMI"/>
    <n v="2021"/>
    <n v="4"/>
    <n v="2"/>
    <n v="2025"/>
    <n v="2025"/>
    <s v="KY 2025"/>
    <s v="Y"/>
    <x v="10"/>
    <n v="4"/>
    <x v="2"/>
    <x v="0"/>
    <x v="0"/>
    <x v="9"/>
    <n v="4"/>
  </r>
  <r>
    <s v="INST"/>
    <s v="2&quot; Water Meter Size"/>
    <s v="KY"/>
    <s v="Neptune"/>
    <x v="1"/>
    <x v="3"/>
    <s v="AMI"/>
    <n v="2022"/>
    <n v="4"/>
    <n v="3"/>
    <n v="2026"/>
    <n v="2026"/>
    <s v="KY 2026"/>
    <s v="Y"/>
    <x v="1"/>
    <n v="4"/>
    <x v="2"/>
    <x v="0"/>
    <x v="0"/>
    <x v="1"/>
    <n v="4"/>
  </r>
  <r>
    <s v="INST"/>
    <s v="2&quot; Water Meter Size"/>
    <s v="KY"/>
    <s v="Neptune"/>
    <x v="1"/>
    <x v="3"/>
    <s v="AMI"/>
    <n v="2023"/>
    <n v="4"/>
    <n v="1"/>
    <n v="2027"/>
    <n v="2027"/>
    <s v="KY 2027"/>
    <s v="Y"/>
    <x v="2"/>
    <n v="4"/>
    <x v="2"/>
    <x v="0"/>
    <x v="0"/>
    <x v="2"/>
    <n v="4"/>
  </r>
  <r>
    <s v="INST"/>
    <s v="2&quot; Water Meter Size"/>
    <s v="KY"/>
    <s v="Neptune"/>
    <x v="1"/>
    <x v="1"/>
    <s v="AMR"/>
    <n v="2020"/>
    <n v="4"/>
    <n v="1"/>
    <n v="2024"/>
    <n v="2025"/>
    <s v="KY 2025"/>
    <s v="N"/>
    <x v="10"/>
    <n v="5"/>
    <x v="1"/>
    <x v="0"/>
    <x v="0"/>
    <x v="9"/>
    <n v="5"/>
  </r>
  <r>
    <s v="INST"/>
    <s v="2&quot; Water Meter Size"/>
    <s v="KY"/>
    <s v="Neptune"/>
    <x v="1"/>
    <x v="1"/>
    <s v="AMR"/>
    <n v="2022"/>
    <n v="4"/>
    <n v="9"/>
    <n v="2026"/>
    <n v="2026"/>
    <s v="KY 2026"/>
    <s v="N"/>
    <x v="1"/>
    <n v="4"/>
    <x v="1"/>
    <x v="0"/>
    <x v="0"/>
    <x v="1"/>
    <n v="4"/>
  </r>
  <r>
    <s v="INST"/>
    <s v="2&quot; Water Meter Size"/>
    <s v="KY"/>
    <s v="Neptune"/>
    <x v="1"/>
    <x v="1"/>
    <s v="AMR"/>
    <n v="2023"/>
    <n v="4"/>
    <n v="7"/>
    <n v="2027"/>
    <n v="2027"/>
    <s v="KY 2027"/>
    <s v="N"/>
    <x v="2"/>
    <n v="4"/>
    <x v="1"/>
    <x v="0"/>
    <x v="0"/>
    <x v="2"/>
    <n v="4"/>
  </r>
  <r>
    <s v="INST"/>
    <s v="2&quot; Water Meter Size"/>
    <s v="KY"/>
    <s v="Neptune"/>
    <x v="1"/>
    <x v="1"/>
    <s v="AMR"/>
    <n v="2025"/>
    <n v="4"/>
    <n v="2"/>
    <n v="2029"/>
    <n v="2029"/>
    <s v="KY 2029"/>
    <s v="N"/>
    <x v="8"/>
    <n v="4"/>
    <x v="1"/>
    <x v="0"/>
    <x v="0"/>
    <x v="8"/>
    <n v="4"/>
  </r>
  <r>
    <s v="INST"/>
    <s v="2&quot; Water Meter Size"/>
    <s v="KY"/>
    <s v="Neptune"/>
    <x v="0"/>
    <x v="2"/>
    <s v="AMR"/>
    <n v="2018"/>
    <n v="4"/>
    <n v="1"/>
    <n v="2022"/>
    <n v="2025"/>
    <s v="KY 2025"/>
    <s v="N"/>
    <x v="10"/>
    <n v="7"/>
    <x v="1"/>
    <x v="0"/>
    <x v="0"/>
    <x v="9"/>
    <n v="7"/>
  </r>
  <r>
    <s v="INST"/>
    <s v="2&quot; Water Meter Size"/>
    <s v="KY"/>
    <s v="Neptune"/>
    <x v="0"/>
    <x v="2"/>
    <s v="AMR"/>
    <n v="2020"/>
    <n v="4"/>
    <n v="4"/>
    <n v="2024"/>
    <n v="2025"/>
    <s v="KY 2025"/>
    <s v="N"/>
    <x v="10"/>
    <n v="5"/>
    <x v="1"/>
    <x v="0"/>
    <x v="0"/>
    <x v="9"/>
    <n v="5"/>
  </r>
  <r>
    <s v="INST"/>
    <s v="2&quot; Water Meter Size"/>
    <s v="KY"/>
    <s v="Neptune"/>
    <x v="0"/>
    <x v="2"/>
    <s v="AMR"/>
    <n v="2022"/>
    <n v="4"/>
    <n v="4"/>
    <n v="2026"/>
    <n v="2026"/>
    <s v="KY 2026"/>
    <s v="N"/>
    <x v="1"/>
    <n v="4"/>
    <x v="1"/>
    <x v="0"/>
    <x v="0"/>
    <x v="1"/>
    <n v="4"/>
  </r>
  <r>
    <s v="INST"/>
    <s v="2&quot; Water Meter Size"/>
    <s v="KY"/>
    <s v="Neptune"/>
    <x v="0"/>
    <x v="2"/>
    <s v="AMR"/>
    <n v="2023"/>
    <n v="4"/>
    <n v="17"/>
    <n v="2027"/>
    <n v="2027"/>
    <s v="KY 2027"/>
    <s v="N"/>
    <x v="2"/>
    <n v="4"/>
    <x v="1"/>
    <x v="0"/>
    <x v="0"/>
    <x v="2"/>
    <n v="4"/>
  </r>
  <r>
    <s v="INST"/>
    <s v="2&quot; Water Meter Size"/>
    <s v="KY"/>
    <s v="Neptune"/>
    <x v="1"/>
    <x v="2"/>
    <s v="AMR"/>
    <n v="2015"/>
    <n v="4"/>
    <n v="2"/>
    <n v="2019"/>
    <n v="2025"/>
    <s v="KY 2025"/>
    <s v="N"/>
    <x v="10"/>
    <n v="10"/>
    <x v="1"/>
    <x v="0"/>
    <x v="0"/>
    <x v="9"/>
    <n v="10"/>
  </r>
  <r>
    <s v="INST"/>
    <s v="2&quot; Water Meter Size"/>
    <s v="KY"/>
    <s v="Neptune"/>
    <x v="1"/>
    <x v="2"/>
    <s v="AMR"/>
    <n v="2016"/>
    <n v="4"/>
    <n v="3"/>
    <n v="2020"/>
    <n v="2025"/>
    <s v="KY 2025"/>
    <s v="N"/>
    <x v="10"/>
    <n v="9"/>
    <x v="1"/>
    <x v="0"/>
    <x v="0"/>
    <x v="9"/>
    <n v="9"/>
  </r>
  <r>
    <s v="INST"/>
    <s v="2&quot; Water Meter Size"/>
    <s v="KY"/>
    <s v="Neptune"/>
    <x v="1"/>
    <x v="2"/>
    <s v="AMR"/>
    <n v="2017"/>
    <n v="4"/>
    <n v="7"/>
    <n v="2021"/>
    <n v="2025"/>
    <s v="KY 2025"/>
    <s v="N"/>
    <x v="10"/>
    <n v="8"/>
    <x v="1"/>
    <x v="0"/>
    <x v="0"/>
    <x v="9"/>
    <n v="8"/>
  </r>
  <r>
    <s v="INST"/>
    <s v="2&quot; Water Meter Size"/>
    <s v="KY"/>
    <s v="Neptune"/>
    <x v="1"/>
    <x v="2"/>
    <s v="AMR"/>
    <n v="2018"/>
    <n v="4"/>
    <n v="35"/>
    <n v="2022"/>
    <n v="2025"/>
    <s v="KY 2025"/>
    <s v="N"/>
    <x v="10"/>
    <n v="7"/>
    <x v="1"/>
    <x v="0"/>
    <x v="0"/>
    <x v="9"/>
    <n v="7"/>
  </r>
  <r>
    <s v="INST"/>
    <s v="2&quot; Water Meter Size"/>
    <s v="KY"/>
    <s v="Neptune"/>
    <x v="1"/>
    <x v="2"/>
    <s v="AMR"/>
    <n v="2019"/>
    <n v="4"/>
    <n v="73"/>
    <n v="2023"/>
    <n v="2025"/>
    <s v="KY 2025"/>
    <s v="N"/>
    <x v="10"/>
    <n v="6"/>
    <x v="1"/>
    <x v="0"/>
    <x v="0"/>
    <x v="9"/>
    <n v="6"/>
  </r>
  <r>
    <s v="INST"/>
    <s v="2&quot; Water Meter Size"/>
    <s v="KY"/>
    <s v="Neptune"/>
    <x v="1"/>
    <x v="2"/>
    <s v="AMR"/>
    <n v="2020"/>
    <n v="4"/>
    <n v="47"/>
    <n v="2024"/>
    <n v="2025"/>
    <s v="KY 2025"/>
    <s v="N"/>
    <x v="10"/>
    <n v="5"/>
    <x v="1"/>
    <x v="0"/>
    <x v="0"/>
    <x v="9"/>
    <n v="5"/>
  </r>
  <r>
    <s v="INST"/>
    <s v="2&quot; Water Meter Size"/>
    <s v="KY"/>
    <s v="Neptune"/>
    <x v="1"/>
    <x v="2"/>
    <s v="AMR"/>
    <n v="2021"/>
    <n v="4"/>
    <n v="6"/>
    <n v="2025"/>
    <n v="2025"/>
    <s v="KY 2025"/>
    <s v="N"/>
    <x v="10"/>
    <n v="4"/>
    <x v="1"/>
    <x v="0"/>
    <x v="0"/>
    <x v="9"/>
    <n v="4"/>
  </r>
  <r>
    <s v="INST"/>
    <s v="2&quot; Water Meter Size"/>
    <s v="KY"/>
    <s v="Neptune"/>
    <x v="1"/>
    <x v="2"/>
    <s v="AMR"/>
    <n v="2022"/>
    <n v="4"/>
    <n v="918"/>
    <n v="2026"/>
    <n v="2026"/>
    <s v="KY 2026"/>
    <s v="N"/>
    <x v="1"/>
    <n v="4"/>
    <x v="1"/>
    <x v="0"/>
    <x v="0"/>
    <x v="1"/>
    <n v="4"/>
  </r>
  <r>
    <s v="INST"/>
    <s v="2&quot; Water Meter Size"/>
    <s v="KY"/>
    <s v="Neptune"/>
    <x v="1"/>
    <x v="2"/>
    <s v="AMR"/>
    <n v="2023"/>
    <n v="4"/>
    <n v="367"/>
    <n v="2027"/>
    <n v="2027"/>
    <s v="KY 2027"/>
    <s v="N"/>
    <x v="2"/>
    <n v="4"/>
    <x v="1"/>
    <x v="0"/>
    <x v="0"/>
    <x v="2"/>
    <n v="4"/>
  </r>
  <r>
    <s v="INST"/>
    <s v="2&quot; Water Meter Size"/>
    <s v="KY"/>
    <s v="Sensus"/>
    <x v="1"/>
    <x v="4"/>
    <s v="AMR"/>
    <n v="2021"/>
    <n v="4"/>
    <n v="1"/>
    <n v="2025"/>
    <n v="2025"/>
    <s v="KY 2025"/>
    <s v="N"/>
    <x v="10"/>
    <n v="4"/>
    <x v="1"/>
    <x v="0"/>
    <x v="0"/>
    <x v="9"/>
    <n v="4"/>
  </r>
  <r>
    <s v="INST"/>
    <s v="2&quot; Water Meter Size"/>
    <s v="KY"/>
    <s v="Sensus"/>
    <x v="1"/>
    <x v="2"/>
    <s v="AMR"/>
    <n v="2016"/>
    <n v="4"/>
    <n v="1"/>
    <n v="2020"/>
    <n v="2025"/>
    <s v="KY 2025"/>
    <s v="N"/>
    <x v="10"/>
    <n v="9"/>
    <x v="1"/>
    <x v="0"/>
    <x v="0"/>
    <x v="9"/>
    <n v="9"/>
  </r>
  <r>
    <s v="INST"/>
    <s v="2&quot; Water Meter Size"/>
    <s v="KY"/>
    <s v="Sensus"/>
    <x v="1"/>
    <x v="2"/>
    <s v="AMR"/>
    <n v="2017"/>
    <n v="4"/>
    <n v="2"/>
    <n v="2021"/>
    <n v="2025"/>
    <s v="KY 2025"/>
    <s v="N"/>
    <x v="10"/>
    <n v="8"/>
    <x v="1"/>
    <x v="0"/>
    <x v="0"/>
    <x v="9"/>
    <n v="8"/>
  </r>
  <r>
    <s v="INST"/>
    <s v="2&quot; Water Meter Size"/>
    <s v="KY"/>
    <s v="Sensus"/>
    <x v="1"/>
    <x v="2"/>
    <s v="AMR"/>
    <n v="2018"/>
    <n v="4"/>
    <n v="2"/>
    <n v="2022"/>
    <n v="2025"/>
    <s v="KY 2025"/>
    <s v="N"/>
    <x v="10"/>
    <n v="7"/>
    <x v="1"/>
    <x v="0"/>
    <x v="0"/>
    <x v="9"/>
    <n v="7"/>
  </r>
  <r>
    <s v="INST"/>
    <s v="2&quot; Water Meter Size"/>
    <s v="KY"/>
    <s v="Sensus"/>
    <x v="1"/>
    <x v="2"/>
    <s v="AMR"/>
    <n v="2019"/>
    <n v="4"/>
    <n v="3"/>
    <n v="2023"/>
    <n v="2025"/>
    <s v="KY 2025"/>
    <s v="N"/>
    <x v="10"/>
    <n v="6"/>
    <x v="1"/>
    <x v="0"/>
    <x v="0"/>
    <x v="9"/>
    <n v="6"/>
  </r>
  <r>
    <s v="INST"/>
    <s v="2&quot; Water Meter Size"/>
    <s v="KY"/>
    <s v="Sensus"/>
    <x v="1"/>
    <x v="2"/>
    <s v="AMR"/>
    <n v="2021"/>
    <n v="4"/>
    <n v="3"/>
    <n v="2025"/>
    <n v="2025"/>
    <s v="KY 2025"/>
    <s v="N"/>
    <x v="10"/>
    <n v="4"/>
    <x v="1"/>
    <x v="0"/>
    <x v="0"/>
    <x v="9"/>
    <n v="4"/>
  </r>
  <r>
    <s v="INST"/>
    <s v="2&quot; Water Meter Size"/>
    <s v="KY"/>
    <s v="Sensus"/>
    <x v="1"/>
    <x v="2"/>
    <s v="AMR"/>
    <n v="2022"/>
    <n v="4"/>
    <n v="1"/>
    <n v="2026"/>
    <n v="2026"/>
    <s v="KY 2026"/>
    <s v="N"/>
    <x v="1"/>
    <n v="4"/>
    <x v="1"/>
    <x v="0"/>
    <x v="0"/>
    <x v="1"/>
    <n v="4"/>
  </r>
  <r>
    <s v="INST"/>
    <s v="2&quot; Water Meter Size"/>
    <s v="KY"/>
    <s v="Sensus"/>
    <x v="1"/>
    <x v="2"/>
    <s v="AMR"/>
    <n v="2023"/>
    <n v="4"/>
    <n v="1"/>
    <n v="2027"/>
    <n v="2027"/>
    <s v="KY 2027"/>
    <s v="N"/>
    <x v="2"/>
    <n v="4"/>
    <x v="1"/>
    <x v="0"/>
    <x v="0"/>
    <x v="2"/>
    <n v="4"/>
  </r>
  <r>
    <s v="INST"/>
    <s v="1-1/2&quot; Water Meter Size"/>
    <s v="KY"/>
    <s v="Neptune"/>
    <x v="1"/>
    <x v="3"/>
    <s v="AMI"/>
    <n v="2023"/>
    <n v="4"/>
    <n v="1"/>
    <n v="2027"/>
    <n v="2027"/>
    <s v="KY 2027"/>
    <s v="Y"/>
    <x v="2"/>
    <n v="4"/>
    <x v="2"/>
    <x v="0"/>
    <x v="0"/>
    <x v="2"/>
    <n v="4"/>
  </r>
  <r>
    <s v="INST"/>
    <s v="1-1/2&quot; Water Meter Size"/>
    <s v="KY"/>
    <s v="Neptune"/>
    <x v="1"/>
    <x v="1"/>
    <s v="AMR"/>
    <n v="2019"/>
    <n v="4"/>
    <n v="1"/>
    <n v="2023"/>
    <n v="2025"/>
    <s v="KY 2025"/>
    <s v="N"/>
    <x v="10"/>
    <n v="6"/>
    <x v="1"/>
    <x v="0"/>
    <x v="0"/>
    <x v="9"/>
    <n v="6"/>
  </r>
  <r>
    <s v="INST"/>
    <s v="1-1/2&quot; Water Meter Size"/>
    <s v="KY"/>
    <s v="Neptune"/>
    <x v="1"/>
    <x v="1"/>
    <s v="AMR"/>
    <n v="2023"/>
    <n v="4"/>
    <n v="24"/>
    <n v="2027"/>
    <n v="2027"/>
    <s v="KY 2027"/>
    <s v="N"/>
    <x v="2"/>
    <n v="4"/>
    <x v="1"/>
    <x v="0"/>
    <x v="0"/>
    <x v="2"/>
    <n v="4"/>
  </r>
  <r>
    <s v="INST"/>
    <s v="1-1/2&quot; Water Meter Size"/>
    <s v="KY"/>
    <s v="Neptune"/>
    <x v="1"/>
    <x v="1"/>
    <s v="AMR"/>
    <n v="2025"/>
    <n v="4"/>
    <n v="3"/>
    <n v="2029"/>
    <n v="2029"/>
    <s v="KY 2029"/>
    <s v="N"/>
    <x v="8"/>
    <n v="4"/>
    <x v="1"/>
    <x v="0"/>
    <x v="0"/>
    <x v="8"/>
    <n v="4"/>
  </r>
  <r>
    <s v="INST"/>
    <s v="1-1/2&quot; Water Meter Size"/>
    <s v="KY"/>
    <s v="Neptune"/>
    <x v="0"/>
    <x v="2"/>
    <s v="AMR"/>
    <n v="2015"/>
    <n v="4"/>
    <n v="1"/>
    <n v="2019"/>
    <n v="2025"/>
    <s v="KY 2025"/>
    <s v="N"/>
    <x v="10"/>
    <n v="10"/>
    <x v="1"/>
    <x v="0"/>
    <x v="0"/>
    <x v="9"/>
    <n v="10"/>
  </r>
  <r>
    <s v="INST"/>
    <s v="1-1/2&quot; Water Meter Size"/>
    <s v="KY"/>
    <s v="Neptune"/>
    <x v="0"/>
    <x v="2"/>
    <s v="AMR"/>
    <n v="2019"/>
    <n v="4"/>
    <n v="2"/>
    <n v="2023"/>
    <n v="2025"/>
    <s v="KY 2025"/>
    <s v="N"/>
    <x v="10"/>
    <n v="6"/>
    <x v="1"/>
    <x v="0"/>
    <x v="0"/>
    <x v="9"/>
    <n v="6"/>
  </r>
  <r>
    <s v="INST"/>
    <s v="1-1/2&quot; Water Meter Size"/>
    <s v="KY"/>
    <s v="Neptune"/>
    <x v="0"/>
    <x v="2"/>
    <s v="AMR"/>
    <n v="2022"/>
    <n v="4"/>
    <n v="1"/>
    <n v="2026"/>
    <n v="2026"/>
    <s v="KY 2026"/>
    <s v="N"/>
    <x v="1"/>
    <n v="4"/>
    <x v="1"/>
    <x v="0"/>
    <x v="0"/>
    <x v="1"/>
    <n v="4"/>
  </r>
  <r>
    <s v="INST"/>
    <s v="1-1/2&quot; Water Meter Size"/>
    <s v="KY"/>
    <s v="Neptune"/>
    <x v="0"/>
    <x v="2"/>
    <s v="AMR"/>
    <n v="2023"/>
    <n v="4"/>
    <n v="1"/>
    <n v="2027"/>
    <n v="2027"/>
    <s v="KY 2027"/>
    <s v="N"/>
    <x v="2"/>
    <n v="4"/>
    <x v="1"/>
    <x v="0"/>
    <x v="0"/>
    <x v="2"/>
    <n v="4"/>
  </r>
  <r>
    <s v="INST"/>
    <s v="1-1/2&quot; Water Meter Size"/>
    <s v="KY"/>
    <s v="Neptune"/>
    <x v="1"/>
    <x v="2"/>
    <s v="AMR"/>
    <n v="2015"/>
    <n v="4"/>
    <n v="2"/>
    <n v="2019"/>
    <n v="2025"/>
    <s v="KY 2025"/>
    <s v="N"/>
    <x v="10"/>
    <n v="10"/>
    <x v="1"/>
    <x v="0"/>
    <x v="0"/>
    <x v="9"/>
    <n v="10"/>
  </r>
  <r>
    <s v="INST"/>
    <s v="1-1/2&quot; Water Meter Size"/>
    <s v="KY"/>
    <s v="Neptune"/>
    <x v="1"/>
    <x v="2"/>
    <s v="AMR"/>
    <n v="2016"/>
    <n v="4"/>
    <n v="2"/>
    <n v="2020"/>
    <n v="2025"/>
    <s v="KY 2025"/>
    <s v="N"/>
    <x v="10"/>
    <n v="9"/>
    <x v="1"/>
    <x v="0"/>
    <x v="0"/>
    <x v="9"/>
    <n v="9"/>
  </r>
  <r>
    <s v="INST"/>
    <s v="1-1/2&quot; Water Meter Size"/>
    <s v="KY"/>
    <s v="Neptune"/>
    <x v="1"/>
    <x v="2"/>
    <s v="AMR"/>
    <n v="2017"/>
    <n v="4"/>
    <n v="3"/>
    <n v="2021"/>
    <n v="2025"/>
    <s v="KY 2025"/>
    <s v="N"/>
    <x v="10"/>
    <n v="8"/>
    <x v="1"/>
    <x v="0"/>
    <x v="0"/>
    <x v="9"/>
    <n v="8"/>
  </r>
  <r>
    <s v="INST"/>
    <s v="1-1/2&quot; Water Meter Size"/>
    <s v="KY"/>
    <s v="Neptune"/>
    <x v="1"/>
    <x v="2"/>
    <s v="AMR"/>
    <n v="2018"/>
    <n v="4"/>
    <n v="2"/>
    <n v="2022"/>
    <n v="2025"/>
    <s v="KY 2025"/>
    <s v="N"/>
    <x v="10"/>
    <n v="7"/>
    <x v="1"/>
    <x v="0"/>
    <x v="0"/>
    <x v="9"/>
    <n v="7"/>
  </r>
  <r>
    <s v="INST"/>
    <s v="1-1/2&quot; Water Meter Size"/>
    <s v="KY"/>
    <s v="Neptune"/>
    <x v="1"/>
    <x v="2"/>
    <s v="AMR"/>
    <n v="2019"/>
    <n v="4"/>
    <n v="26"/>
    <n v="2023"/>
    <n v="2025"/>
    <s v="KY 2025"/>
    <s v="N"/>
    <x v="10"/>
    <n v="6"/>
    <x v="1"/>
    <x v="0"/>
    <x v="0"/>
    <x v="9"/>
    <n v="6"/>
  </r>
  <r>
    <s v="INST"/>
    <s v="1-1/2&quot; Water Meter Size"/>
    <s v="KY"/>
    <s v="Neptune"/>
    <x v="1"/>
    <x v="2"/>
    <s v="AMR"/>
    <n v="2020"/>
    <n v="4"/>
    <n v="13"/>
    <n v="2024"/>
    <n v="2025"/>
    <s v="KY 2025"/>
    <s v="N"/>
    <x v="10"/>
    <n v="5"/>
    <x v="1"/>
    <x v="0"/>
    <x v="0"/>
    <x v="9"/>
    <n v="5"/>
  </r>
  <r>
    <s v="INST"/>
    <s v="1-1/2&quot; Water Meter Size"/>
    <s v="KY"/>
    <s v="Neptune"/>
    <x v="1"/>
    <x v="2"/>
    <s v="AMR"/>
    <n v="2022"/>
    <n v="4"/>
    <n v="2"/>
    <n v="2026"/>
    <n v="2026"/>
    <s v="KY 2026"/>
    <s v="N"/>
    <x v="1"/>
    <n v="4"/>
    <x v="1"/>
    <x v="0"/>
    <x v="0"/>
    <x v="1"/>
    <n v="4"/>
  </r>
  <r>
    <s v="INST"/>
    <s v="1-1/2&quot; Water Meter Size"/>
    <s v="KY"/>
    <s v="Neptune"/>
    <x v="1"/>
    <x v="2"/>
    <s v="AMR"/>
    <n v="2023"/>
    <n v="4"/>
    <n v="168"/>
    <n v="2027"/>
    <n v="2027"/>
    <s v="KY 2027"/>
    <s v="N"/>
    <x v="2"/>
    <n v="4"/>
    <x v="1"/>
    <x v="0"/>
    <x v="0"/>
    <x v="2"/>
    <n v="4"/>
  </r>
  <r>
    <s v="INST"/>
    <s v="1-1/2&quot; Water Meter Size"/>
    <s v="KY"/>
    <s v="Neptune"/>
    <x v="1"/>
    <x v="2"/>
    <s v="AMR"/>
    <n v="2024"/>
    <n v="4"/>
    <n v="1"/>
    <n v="2028"/>
    <n v="2028"/>
    <s v="KY 2028"/>
    <s v="N"/>
    <x v="0"/>
    <n v="4"/>
    <x v="1"/>
    <x v="0"/>
    <x v="0"/>
    <x v="0"/>
    <n v="4"/>
  </r>
  <r>
    <s v="INST"/>
    <s v="1-1/2&quot; Water Meter Size"/>
    <s v="KY"/>
    <s v="Neptune"/>
    <x v="1"/>
    <x v="2"/>
    <s v="AMR"/>
    <n v="2025"/>
    <n v="4"/>
    <n v="1"/>
    <n v="2029"/>
    <n v="2029"/>
    <s v="KY 2029"/>
    <s v="N"/>
    <x v="8"/>
    <n v="4"/>
    <x v="1"/>
    <x v="0"/>
    <x v="0"/>
    <x v="8"/>
    <n v="4"/>
  </r>
  <r>
    <s v="INST"/>
    <s v="1&quot; Water Meter Size"/>
    <s v="KY"/>
    <s v="Badger"/>
    <x v="1"/>
    <x v="0"/>
    <s v="Manual"/>
    <n v="2020"/>
    <n v="10"/>
    <n v="2"/>
    <n v="2030"/>
    <n v="2030"/>
    <s v="KY 2030"/>
    <s v="N"/>
    <x v="3"/>
    <n v="10"/>
    <x v="0"/>
    <x v="0"/>
    <x v="0"/>
    <x v="3"/>
    <n v="10"/>
  </r>
  <r>
    <s v="INST"/>
    <s v="1&quot; Water Meter Size"/>
    <s v="KY"/>
    <s v="Badger"/>
    <x v="0"/>
    <x v="3"/>
    <s v="AMI"/>
    <n v="2018"/>
    <n v="10"/>
    <n v="1"/>
    <n v="2028"/>
    <n v="2028"/>
    <s v="KY 2028"/>
    <s v="Y"/>
    <x v="0"/>
    <n v="10"/>
    <x v="2"/>
    <x v="0"/>
    <x v="0"/>
    <x v="0"/>
    <n v="10"/>
  </r>
  <r>
    <s v="INST"/>
    <s v="1&quot; Water Meter Size"/>
    <s v="KY"/>
    <s v="Badger"/>
    <x v="0"/>
    <x v="3"/>
    <s v="AMI"/>
    <n v="2020"/>
    <n v="10"/>
    <n v="1"/>
    <n v="2030"/>
    <n v="2030"/>
    <s v="KY 2030"/>
    <s v="Y"/>
    <x v="3"/>
    <n v="10"/>
    <x v="2"/>
    <x v="0"/>
    <x v="0"/>
    <x v="3"/>
    <n v="10"/>
  </r>
  <r>
    <s v="INST"/>
    <s v="1&quot; Water Meter Size"/>
    <s v="KY"/>
    <s v="Badger"/>
    <x v="1"/>
    <x v="3"/>
    <s v="AMI"/>
    <n v="2017"/>
    <n v="10"/>
    <n v="12"/>
    <n v="2027"/>
    <n v="2027"/>
    <s v="KY 2027"/>
    <s v="Y"/>
    <x v="2"/>
    <n v="10"/>
    <x v="2"/>
    <x v="0"/>
    <x v="0"/>
    <x v="2"/>
    <n v="10"/>
  </r>
  <r>
    <s v="INST"/>
    <s v="1&quot; Water Meter Size"/>
    <s v="KY"/>
    <s v="Badger"/>
    <x v="1"/>
    <x v="3"/>
    <s v="AMI"/>
    <n v="2018"/>
    <n v="10"/>
    <n v="4"/>
    <n v="2028"/>
    <n v="2028"/>
    <s v="KY 2028"/>
    <s v="Y"/>
    <x v="0"/>
    <n v="10"/>
    <x v="2"/>
    <x v="0"/>
    <x v="0"/>
    <x v="0"/>
    <n v="10"/>
  </r>
  <r>
    <s v="INST"/>
    <s v="1&quot; Water Meter Size"/>
    <s v="KY"/>
    <s v="Badger"/>
    <x v="1"/>
    <x v="3"/>
    <s v="AMI"/>
    <n v="2019"/>
    <n v="10"/>
    <n v="2"/>
    <n v="2029"/>
    <n v="2029"/>
    <s v="KY 2029"/>
    <s v="Y"/>
    <x v="8"/>
    <n v="10"/>
    <x v="2"/>
    <x v="0"/>
    <x v="0"/>
    <x v="8"/>
    <n v="10"/>
  </r>
  <r>
    <s v="INST"/>
    <s v="1&quot; Water Meter Size"/>
    <s v="KY"/>
    <s v="Badger"/>
    <x v="1"/>
    <x v="3"/>
    <s v="AMI"/>
    <n v="2020"/>
    <n v="10"/>
    <n v="2"/>
    <n v="2030"/>
    <n v="2030"/>
    <s v="KY 2030"/>
    <s v="Y"/>
    <x v="3"/>
    <n v="10"/>
    <x v="2"/>
    <x v="0"/>
    <x v="0"/>
    <x v="3"/>
    <n v="10"/>
  </r>
  <r>
    <s v="INST"/>
    <s v="1&quot; Water Meter Size"/>
    <s v="KY"/>
    <s v="Badger"/>
    <x v="1"/>
    <x v="3"/>
    <s v="AMI"/>
    <n v="2022"/>
    <n v="10"/>
    <n v="3"/>
    <n v="2032"/>
    <n v="2032"/>
    <s v="KY 2032"/>
    <s v="Y"/>
    <x v="5"/>
    <n v="10"/>
    <x v="2"/>
    <x v="0"/>
    <x v="0"/>
    <x v="5"/>
    <n v="10"/>
  </r>
  <r>
    <s v="INST"/>
    <s v="1&quot; Water Meter Size"/>
    <s v="KY"/>
    <s v="Badger"/>
    <x v="1"/>
    <x v="3"/>
    <s v="AMI"/>
    <n v="2023"/>
    <n v="10"/>
    <n v="1"/>
    <n v="2033"/>
    <n v="2033"/>
    <s v="KY 2033"/>
    <s v="Y"/>
    <x v="6"/>
    <n v="10"/>
    <x v="2"/>
    <x v="0"/>
    <x v="0"/>
    <x v="6"/>
    <n v="10"/>
  </r>
  <r>
    <s v="INST"/>
    <s v="1&quot; Water Meter Size"/>
    <s v="KY"/>
    <s v="Badger"/>
    <x v="0"/>
    <x v="3"/>
    <s v="AMI"/>
    <n v="2022"/>
    <n v="10"/>
    <n v="1"/>
    <n v="2032"/>
    <n v="2032"/>
    <s v="KY 2032"/>
    <s v="Y"/>
    <x v="5"/>
    <n v="10"/>
    <x v="2"/>
    <x v="0"/>
    <x v="0"/>
    <x v="5"/>
    <n v="10"/>
  </r>
  <r>
    <s v="INST"/>
    <s v="1&quot; Water Meter Size"/>
    <s v="KY"/>
    <s v="Badger"/>
    <x v="1"/>
    <x v="1"/>
    <s v="AMR"/>
    <n v="2017"/>
    <n v="10"/>
    <n v="1"/>
    <n v="2027"/>
    <n v="2027"/>
    <s v="KY 2027"/>
    <s v="N"/>
    <x v="2"/>
    <n v="10"/>
    <x v="1"/>
    <x v="0"/>
    <x v="0"/>
    <x v="2"/>
    <n v="10"/>
  </r>
  <r>
    <s v="INST"/>
    <s v="1&quot; Water Meter Size"/>
    <s v="KY"/>
    <s v="Badger"/>
    <x v="1"/>
    <x v="1"/>
    <s v="AMR"/>
    <n v="2022"/>
    <n v="10"/>
    <n v="1"/>
    <n v="2032"/>
    <n v="2032"/>
    <s v="KY 2032"/>
    <s v="N"/>
    <x v="5"/>
    <n v="10"/>
    <x v="1"/>
    <x v="0"/>
    <x v="0"/>
    <x v="5"/>
    <n v="10"/>
  </r>
  <r>
    <s v="INST"/>
    <s v="1&quot; Water Meter Size"/>
    <s v="KY"/>
    <s v="Badger"/>
    <x v="1"/>
    <x v="1"/>
    <s v="AMR"/>
    <n v="2023"/>
    <n v="10"/>
    <n v="3"/>
    <n v="2033"/>
    <n v="2033"/>
    <s v="KY 2033"/>
    <s v="N"/>
    <x v="6"/>
    <n v="10"/>
    <x v="1"/>
    <x v="0"/>
    <x v="0"/>
    <x v="6"/>
    <n v="10"/>
  </r>
  <r>
    <s v="INST"/>
    <s v="1&quot; Water Meter Size"/>
    <s v="KY"/>
    <s v="Badger"/>
    <x v="1"/>
    <x v="1"/>
    <s v="AMR"/>
    <n v="2024"/>
    <n v="10"/>
    <n v="10"/>
    <n v="2034"/>
    <n v="2034"/>
    <s v="KY 2034"/>
    <s v="N"/>
    <x v="7"/>
    <n v="10"/>
    <x v="1"/>
    <x v="0"/>
    <x v="0"/>
    <x v="7"/>
    <n v="10"/>
  </r>
  <r>
    <s v="INST"/>
    <s v="1&quot; Water Meter Size"/>
    <s v="KY"/>
    <s v="Badger"/>
    <x v="0"/>
    <x v="2"/>
    <s v="AMR"/>
    <n v="2017"/>
    <n v="10"/>
    <n v="8"/>
    <n v="2027"/>
    <n v="2027"/>
    <s v="KY 2027"/>
    <s v="N"/>
    <x v="2"/>
    <n v="10"/>
    <x v="1"/>
    <x v="0"/>
    <x v="0"/>
    <x v="2"/>
    <n v="10"/>
  </r>
  <r>
    <s v="INST"/>
    <s v="1&quot; Water Meter Size"/>
    <s v="KY"/>
    <s v="Badger"/>
    <x v="0"/>
    <x v="2"/>
    <s v="AMR"/>
    <n v="2018"/>
    <n v="10"/>
    <n v="8"/>
    <n v="2028"/>
    <n v="2028"/>
    <s v="KY 2028"/>
    <s v="N"/>
    <x v="0"/>
    <n v="10"/>
    <x v="1"/>
    <x v="0"/>
    <x v="0"/>
    <x v="0"/>
    <n v="10"/>
  </r>
  <r>
    <s v="INST"/>
    <s v="1&quot; Water Meter Size"/>
    <s v="KY"/>
    <s v="Badger"/>
    <x v="0"/>
    <x v="2"/>
    <s v="AMR"/>
    <n v="2019"/>
    <n v="10"/>
    <n v="7"/>
    <n v="2029"/>
    <n v="2029"/>
    <s v="KY 2029"/>
    <s v="N"/>
    <x v="8"/>
    <n v="10"/>
    <x v="1"/>
    <x v="0"/>
    <x v="0"/>
    <x v="8"/>
    <n v="10"/>
  </r>
  <r>
    <s v="INST"/>
    <s v="1&quot; Water Meter Size"/>
    <s v="KY"/>
    <s v="Badger"/>
    <x v="0"/>
    <x v="2"/>
    <s v="AMR"/>
    <n v="2020"/>
    <n v="10"/>
    <n v="3"/>
    <n v="2030"/>
    <n v="2030"/>
    <s v="KY 2030"/>
    <s v="N"/>
    <x v="3"/>
    <n v="10"/>
    <x v="1"/>
    <x v="0"/>
    <x v="0"/>
    <x v="3"/>
    <n v="10"/>
  </r>
  <r>
    <s v="INST"/>
    <s v="1&quot; Water Meter Size"/>
    <s v="KY"/>
    <s v="Badger"/>
    <x v="0"/>
    <x v="2"/>
    <s v="AMR"/>
    <n v="2022"/>
    <n v="10"/>
    <n v="4"/>
    <n v="2032"/>
    <n v="2032"/>
    <s v="KY 2032"/>
    <s v="N"/>
    <x v="5"/>
    <n v="10"/>
    <x v="1"/>
    <x v="0"/>
    <x v="0"/>
    <x v="5"/>
    <n v="10"/>
  </r>
  <r>
    <s v="INST"/>
    <s v="1&quot; Water Meter Size"/>
    <s v="KY"/>
    <s v="Badger"/>
    <x v="0"/>
    <x v="2"/>
    <s v="AMR"/>
    <n v="2023"/>
    <n v="10"/>
    <n v="3"/>
    <n v="2033"/>
    <n v="2033"/>
    <s v="KY 2033"/>
    <s v="N"/>
    <x v="6"/>
    <n v="10"/>
    <x v="1"/>
    <x v="0"/>
    <x v="0"/>
    <x v="6"/>
    <n v="10"/>
  </r>
  <r>
    <s v="INST"/>
    <s v="1&quot; Water Meter Size"/>
    <s v="KY"/>
    <s v="Badger"/>
    <x v="1"/>
    <x v="2"/>
    <s v="AMR"/>
    <n v="2016"/>
    <n v="10"/>
    <n v="54"/>
    <n v="2026"/>
    <n v="2026"/>
    <s v="KY 2026"/>
    <s v="N"/>
    <x v="1"/>
    <n v="10"/>
    <x v="1"/>
    <x v="0"/>
    <x v="0"/>
    <x v="1"/>
    <n v="10"/>
  </r>
  <r>
    <s v="INST"/>
    <s v="1&quot; Water Meter Size"/>
    <s v="KY"/>
    <s v="Badger"/>
    <x v="1"/>
    <x v="2"/>
    <s v="AMR"/>
    <n v="2017"/>
    <n v="10"/>
    <n v="1170"/>
    <n v="2027"/>
    <n v="2027"/>
    <s v="KY 2027"/>
    <s v="N"/>
    <x v="2"/>
    <n v="10"/>
    <x v="1"/>
    <x v="0"/>
    <x v="0"/>
    <x v="2"/>
    <n v="10"/>
  </r>
  <r>
    <s v="INST"/>
    <s v="1&quot; Water Meter Size"/>
    <s v="KY"/>
    <s v="Badger"/>
    <x v="1"/>
    <x v="2"/>
    <s v="AMR"/>
    <n v="2018"/>
    <n v="10"/>
    <n v="911"/>
    <n v="2028"/>
    <n v="2028"/>
    <s v="KY 2028"/>
    <s v="N"/>
    <x v="0"/>
    <n v="10"/>
    <x v="1"/>
    <x v="0"/>
    <x v="0"/>
    <x v="0"/>
    <n v="10"/>
  </r>
  <r>
    <s v="INST"/>
    <s v="1&quot; Water Meter Size"/>
    <s v="KY"/>
    <s v="Badger"/>
    <x v="1"/>
    <x v="2"/>
    <s v="AMR"/>
    <n v="2019"/>
    <n v="10"/>
    <n v="798"/>
    <n v="2029"/>
    <n v="2029"/>
    <s v="KY 2029"/>
    <s v="N"/>
    <x v="8"/>
    <n v="10"/>
    <x v="1"/>
    <x v="0"/>
    <x v="0"/>
    <x v="8"/>
    <n v="10"/>
  </r>
  <r>
    <s v="INST"/>
    <s v="1&quot; Water Meter Size"/>
    <s v="KY"/>
    <s v="Badger"/>
    <x v="1"/>
    <x v="2"/>
    <s v="AMR"/>
    <n v="2020"/>
    <n v="10"/>
    <n v="334"/>
    <n v="2030"/>
    <n v="2030"/>
    <s v="KY 2030"/>
    <s v="N"/>
    <x v="3"/>
    <n v="10"/>
    <x v="1"/>
    <x v="0"/>
    <x v="0"/>
    <x v="3"/>
    <n v="10"/>
  </r>
  <r>
    <s v="INST"/>
    <s v="1&quot; Water Meter Size"/>
    <s v="KY"/>
    <s v="Badger"/>
    <x v="1"/>
    <x v="2"/>
    <s v="AMR"/>
    <n v="2022"/>
    <n v="10"/>
    <n v="452"/>
    <n v="2032"/>
    <n v="2032"/>
    <s v="KY 2032"/>
    <s v="N"/>
    <x v="5"/>
    <n v="10"/>
    <x v="1"/>
    <x v="0"/>
    <x v="0"/>
    <x v="5"/>
    <n v="10"/>
  </r>
  <r>
    <s v="INST"/>
    <s v="1&quot; Water Meter Size"/>
    <s v="KY"/>
    <s v="Badger"/>
    <x v="1"/>
    <x v="2"/>
    <s v="AMR"/>
    <n v="2023"/>
    <n v="10"/>
    <n v="432"/>
    <n v="2033"/>
    <n v="2033"/>
    <s v="KY 2033"/>
    <s v="N"/>
    <x v="6"/>
    <n v="10"/>
    <x v="1"/>
    <x v="0"/>
    <x v="0"/>
    <x v="6"/>
    <n v="10"/>
  </r>
  <r>
    <s v="INST"/>
    <s v="1&quot; Water Meter Size"/>
    <s v="KY"/>
    <s v="Badger"/>
    <x v="1"/>
    <x v="2"/>
    <s v="AMR"/>
    <n v="2024"/>
    <n v="10"/>
    <n v="12"/>
    <n v="2034"/>
    <n v="2034"/>
    <s v="KY 2034"/>
    <s v="N"/>
    <x v="7"/>
    <n v="10"/>
    <x v="1"/>
    <x v="0"/>
    <x v="0"/>
    <x v="7"/>
    <n v="10"/>
  </r>
  <r>
    <s v="INST"/>
    <s v="1&quot; Water Meter Size"/>
    <s v="KY"/>
    <s v="Mueller"/>
    <x v="1"/>
    <x v="0"/>
    <s v="Manual"/>
    <n v="2014"/>
    <n v="10"/>
    <n v="1"/>
    <n v="2024"/>
    <n v="2025"/>
    <s v="KY 2025"/>
    <s v="N"/>
    <x v="10"/>
    <n v="11"/>
    <x v="0"/>
    <x v="0"/>
    <x v="0"/>
    <x v="9"/>
    <n v="11"/>
  </r>
  <r>
    <s v="INST"/>
    <s v="1&quot; Water Meter Size"/>
    <s v="KY"/>
    <s v="Mueller"/>
    <x v="1"/>
    <x v="3"/>
    <s v="AMI"/>
    <n v="2014"/>
    <n v="10"/>
    <n v="1"/>
    <n v="2024"/>
    <n v="2025"/>
    <s v="KY 2025"/>
    <s v="Y"/>
    <x v="10"/>
    <n v="11"/>
    <x v="2"/>
    <x v="0"/>
    <x v="0"/>
    <x v="9"/>
    <n v="11"/>
  </r>
  <r>
    <s v="INST"/>
    <s v="1&quot; Water Meter Size"/>
    <s v="KY"/>
    <s v="Mueller"/>
    <x v="0"/>
    <x v="4"/>
    <s v="AMR"/>
    <n v="2014"/>
    <n v="10"/>
    <n v="1"/>
    <n v="2024"/>
    <n v="2025"/>
    <s v="KY 2025"/>
    <s v="N"/>
    <x v="10"/>
    <n v="11"/>
    <x v="1"/>
    <x v="0"/>
    <x v="0"/>
    <x v="9"/>
    <n v="11"/>
  </r>
  <r>
    <s v="INST"/>
    <s v="1&quot; Water Meter Size"/>
    <s v="KY"/>
    <s v="Mueller"/>
    <x v="1"/>
    <x v="4"/>
    <s v="AMR"/>
    <n v="2014"/>
    <n v="10"/>
    <n v="116"/>
    <n v="2024"/>
    <n v="2025"/>
    <s v="KY 2025"/>
    <s v="N"/>
    <x v="10"/>
    <n v="11"/>
    <x v="1"/>
    <x v="0"/>
    <x v="0"/>
    <x v="9"/>
    <n v="11"/>
  </r>
  <r>
    <s v="INST"/>
    <s v="1&quot; Water Meter Size"/>
    <s v="KY"/>
    <s v="Neptune"/>
    <x v="1"/>
    <x v="2"/>
    <s v="AMR"/>
    <n v="2011"/>
    <n v="10"/>
    <n v="1"/>
    <n v="2021"/>
    <n v="2025"/>
    <s v="KY 2025"/>
    <s v="N"/>
    <x v="10"/>
    <n v="14"/>
    <x v="1"/>
    <x v="0"/>
    <x v="0"/>
    <x v="9"/>
    <n v="14"/>
  </r>
  <r>
    <s v="INST"/>
    <s v="1&quot; Water Meter Size"/>
    <s v="KY"/>
    <s v="Neptune"/>
    <x v="0"/>
    <x v="3"/>
    <s v="AMI"/>
    <n v="2024"/>
    <n v="10"/>
    <n v="1"/>
    <n v="2034"/>
    <n v="2034"/>
    <s v="KY 2034"/>
    <s v="Y"/>
    <x v="7"/>
    <n v="10"/>
    <x v="2"/>
    <x v="0"/>
    <x v="0"/>
    <x v="7"/>
    <n v="10"/>
  </r>
  <r>
    <s v="INST"/>
    <s v="1&quot; Water Meter Size"/>
    <s v="KY"/>
    <s v="Neptune"/>
    <x v="1"/>
    <x v="3"/>
    <s v="AMI"/>
    <n v="2023"/>
    <n v="10"/>
    <n v="1"/>
    <n v="2033"/>
    <n v="2033"/>
    <s v="KY 2033"/>
    <s v="Y"/>
    <x v="6"/>
    <n v="10"/>
    <x v="2"/>
    <x v="0"/>
    <x v="0"/>
    <x v="6"/>
    <n v="10"/>
  </r>
  <r>
    <s v="INST"/>
    <s v="1&quot; Water Meter Size"/>
    <s v="KY"/>
    <s v="Neptune"/>
    <x v="0"/>
    <x v="1"/>
    <s v="AMR"/>
    <n v="2024"/>
    <n v="10"/>
    <n v="1"/>
    <n v="2034"/>
    <n v="2034"/>
    <s v="KY 2034"/>
    <s v="N"/>
    <x v="7"/>
    <n v="10"/>
    <x v="1"/>
    <x v="0"/>
    <x v="0"/>
    <x v="7"/>
    <n v="10"/>
  </r>
  <r>
    <s v="INST"/>
    <s v="1&quot; Water Meter Size"/>
    <s v="KY"/>
    <s v="Neptune"/>
    <x v="1"/>
    <x v="1"/>
    <s v="AMR"/>
    <n v="2023"/>
    <n v="10"/>
    <n v="1"/>
    <n v="2033"/>
    <n v="2033"/>
    <s v="KY 2033"/>
    <s v="N"/>
    <x v="6"/>
    <n v="10"/>
    <x v="1"/>
    <x v="0"/>
    <x v="0"/>
    <x v="6"/>
    <n v="10"/>
  </r>
  <r>
    <s v="INST"/>
    <s v="1&quot; Water Meter Size"/>
    <s v="KY"/>
    <s v="Neptune"/>
    <x v="1"/>
    <x v="1"/>
    <s v="AMR"/>
    <n v="2024"/>
    <n v="10"/>
    <n v="119"/>
    <n v="2034"/>
    <n v="2034"/>
    <s v="KY 2034"/>
    <s v="N"/>
    <x v="7"/>
    <n v="10"/>
    <x v="1"/>
    <x v="0"/>
    <x v="0"/>
    <x v="7"/>
    <n v="10"/>
  </r>
  <r>
    <s v="INST"/>
    <s v="1&quot; Water Meter Size"/>
    <s v="KY"/>
    <s v="Neptune"/>
    <x v="0"/>
    <x v="2"/>
    <s v="AMR"/>
    <n v="2010"/>
    <n v="10"/>
    <n v="2"/>
    <n v="2020"/>
    <n v="2025"/>
    <s v="KY 2025"/>
    <s v="N"/>
    <x v="10"/>
    <n v="15"/>
    <x v="1"/>
    <x v="0"/>
    <x v="0"/>
    <x v="9"/>
    <s v="10**"/>
  </r>
  <r>
    <s v="INST"/>
    <s v="1&quot; Water Meter Size"/>
    <s v="KY"/>
    <s v="Neptune"/>
    <x v="0"/>
    <x v="2"/>
    <s v="AMR"/>
    <n v="2011"/>
    <n v="10"/>
    <n v="2"/>
    <n v="2021"/>
    <n v="2025"/>
    <s v="KY 2025"/>
    <s v="N"/>
    <x v="10"/>
    <n v="14"/>
    <x v="1"/>
    <x v="0"/>
    <x v="0"/>
    <x v="9"/>
    <n v="14"/>
  </r>
  <r>
    <s v="INST"/>
    <s v="1&quot; Water Meter Size"/>
    <s v="KY"/>
    <s v="Neptune"/>
    <x v="0"/>
    <x v="2"/>
    <s v="AMR"/>
    <n v="2012"/>
    <n v="10"/>
    <n v="2"/>
    <n v="2022"/>
    <n v="2025"/>
    <s v="KY 2025"/>
    <s v="N"/>
    <x v="10"/>
    <n v="13"/>
    <x v="1"/>
    <x v="0"/>
    <x v="0"/>
    <x v="9"/>
    <n v="13"/>
  </r>
  <r>
    <s v="INST"/>
    <s v="1&quot; Water Meter Size"/>
    <s v="KY"/>
    <s v="Neptune"/>
    <x v="0"/>
    <x v="2"/>
    <s v="AMR"/>
    <n v="2013"/>
    <n v="10"/>
    <n v="1"/>
    <n v="2023"/>
    <n v="2025"/>
    <s v="KY 2025"/>
    <s v="N"/>
    <x v="10"/>
    <n v="12"/>
    <x v="1"/>
    <x v="0"/>
    <x v="0"/>
    <x v="9"/>
    <n v="12"/>
  </r>
  <r>
    <s v="INST"/>
    <s v="1&quot; Water Meter Size"/>
    <s v="KY"/>
    <s v="Neptune"/>
    <x v="0"/>
    <x v="2"/>
    <s v="AMR"/>
    <n v="2016"/>
    <n v="10"/>
    <n v="1"/>
    <n v="2026"/>
    <n v="2026"/>
    <s v="KY 2026"/>
    <s v="N"/>
    <x v="1"/>
    <n v="10"/>
    <x v="1"/>
    <x v="0"/>
    <x v="0"/>
    <x v="1"/>
    <n v="10"/>
  </r>
  <r>
    <s v="INST"/>
    <s v="1&quot; Water Meter Size"/>
    <s v="KY"/>
    <s v="Neptune"/>
    <x v="0"/>
    <x v="2"/>
    <s v="AMR"/>
    <n v="2023"/>
    <n v="10"/>
    <n v="1"/>
    <n v="2033"/>
    <n v="2033"/>
    <s v="KY 2033"/>
    <s v="N"/>
    <x v="6"/>
    <n v="10"/>
    <x v="1"/>
    <x v="0"/>
    <x v="0"/>
    <x v="6"/>
    <n v="10"/>
  </r>
  <r>
    <s v="INST"/>
    <s v="1&quot; Water Meter Size"/>
    <s v="KY"/>
    <s v="Neptune"/>
    <x v="1"/>
    <x v="2"/>
    <s v="AMR"/>
    <n v="2009"/>
    <n v="10"/>
    <n v="3"/>
    <n v="2019"/>
    <n v="2025"/>
    <s v="KY 2025"/>
    <s v="N"/>
    <x v="10"/>
    <n v="16"/>
    <x v="1"/>
    <x v="0"/>
    <x v="0"/>
    <x v="9"/>
    <n v="16"/>
  </r>
  <r>
    <s v="INST"/>
    <s v="1&quot; Water Meter Size"/>
    <s v="KY"/>
    <s v="Neptune"/>
    <x v="1"/>
    <x v="2"/>
    <s v="AMR"/>
    <n v="2010"/>
    <n v="10"/>
    <n v="10"/>
    <n v="2020"/>
    <n v="2025"/>
    <s v="KY 2025"/>
    <s v="N"/>
    <x v="10"/>
    <n v="15"/>
    <x v="1"/>
    <x v="0"/>
    <x v="0"/>
    <x v="9"/>
    <s v="10**"/>
  </r>
  <r>
    <s v="INST"/>
    <s v="1&quot; Water Meter Size"/>
    <s v="KY"/>
    <s v="Neptune"/>
    <x v="1"/>
    <x v="2"/>
    <s v="AMR"/>
    <n v="2011"/>
    <n v="10"/>
    <n v="215"/>
    <n v="2021"/>
    <n v="2025"/>
    <s v="KY 2025"/>
    <s v="N"/>
    <x v="10"/>
    <n v="14"/>
    <x v="1"/>
    <x v="0"/>
    <x v="0"/>
    <x v="9"/>
    <n v="14"/>
  </r>
  <r>
    <s v="INST"/>
    <s v="1&quot; Water Meter Size"/>
    <s v="KY"/>
    <s v="Neptune"/>
    <x v="1"/>
    <x v="2"/>
    <s v="AMR"/>
    <n v="2012"/>
    <n v="10"/>
    <n v="202"/>
    <n v="2022"/>
    <n v="2025"/>
    <s v="KY 2025"/>
    <s v="N"/>
    <x v="10"/>
    <n v="13"/>
    <x v="1"/>
    <x v="0"/>
    <x v="0"/>
    <x v="9"/>
    <n v="13"/>
  </r>
  <r>
    <s v="INST"/>
    <s v="1&quot; Water Meter Size"/>
    <s v="KY"/>
    <s v="Neptune"/>
    <x v="1"/>
    <x v="2"/>
    <s v="AMR"/>
    <n v="2013"/>
    <n v="10"/>
    <n v="47"/>
    <n v="2023"/>
    <n v="2025"/>
    <s v="KY 2025"/>
    <s v="N"/>
    <x v="10"/>
    <n v="12"/>
    <x v="1"/>
    <x v="0"/>
    <x v="0"/>
    <x v="9"/>
    <n v="12"/>
  </r>
  <r>
    <s v="INST"/>
    <s v="1&quot; Water Meter Size"/>
    <s v="KY"/>
    <s v="Neptune"/>
    <x v="1"/>
    <x v="2"/>
    <s v="AMR"/>
    <n v="2014"/>
    <n v="10"/>
    <n v="14"/>
    <n v="2024"/>
    <n v="2025"/>
    <s v="KY 2025"/>
    <s v="N"/>
    <x v="10"/>
    <n v="11"/>
    <x v="1"/>
    <x v="0"/>
    <x v="0"/>
    <x v="9"/>
    <n v="11"/>
  </r>
  <r>
    <s v="INST"/>
    <s v="1&quot; Water Meter Size"/>
    <s v="KY"/>
    <s v="Neptune"/>
    <x v="1"/>
    <x v="2"/>
    <s v="AMR"/>
    <n v="2015"/>
    <n v="10"/>
    <n v="17"/>
    <n v="2025"/>
    <n v="2025"/>
    <s v="KY 2025"/>
    <s v="N"/>
    <x v="10"/>
    <n v="10"/>
    <x v="1"/>
    <x v="0"/>
    <x v="0"/>
    <x v="9"/>
    <n v="10"/>
  </r>
  <r>
    <s v="INST"/>
    <s v="1&quot; Water Meter Size"/>
    <s v="KY"/>
    <s v="Neptune"/>
    <x v="1"/>
    <x v="2"/>
    <s v="AMR"/>
    <n v="2016"/>
    <n v="10"/>
    <n v="89"/>
    <n v="2026"/>
    <n v="2026"/>
    <s v="KY 2026"/>
    <s v="N"/>
    <x v="1"/>
    <n v="10"/>
    <x v="1"/>
    <x v="0"/>
    <x v="0"/>
    <x v="1"/>
    <n v="10"/>
  </r>
  <r>
    <s v="INST"/>
    <s v="1&quot; Water Meter Size"/>
    <s v="KY"/>
    <s v="Neptune"/>
    <x v="1"/>
    <x v="2"/>
    <s v="AMR"/>
    <n v="2017"/>
    <n v="10"/>
    <n v="1"/>
    <n v="2027"/>
    <n v="2027"/>
    <s v="KY 2027"/>
    <s v="N"/>
    <x v="2"/>
    <n v="10"/>
    <x v="1"/>
    <x v="0"/>
    <x v="0"/>
    <x v="2"/>
    <n v="10"/>
  </r>
  <r>
    <s v="INST"/>
    <s v="1&quot; Water Meter Size"/>
    <s v="KY"/>
    <s v="Neptune"/>
    <x v="1"/>
    <x v="2"/>
    <s v="AMR"/>
    <n v="2020"/>
    <n v="10"/>
    <n v="12"/>
    <n v="2030"/>
    <n v="2030"/>
    <s v="KY 2030"/>
    <s v="N"/>
    <x v="3"/>
    <n v="10"/>
    <x v="1"/>
    <x v="0"/>
    <x v="0"/>
    <x v="3"/>
    <n v="10"/>
  </r>
  <r>
    <s v="INST"/>
    <s v="1&quot; Water Meter Size"/>
    <s v="KY"/>
    <s v="Neptune"/>
    <x v="1"/>
    <x v="2"/>
    <s v="AMR"/>
    <n v="2021"/>
    <n v="10"/>
    <n v="9"/>
    <n v="2031"/>
    <n v="2031"/>
    <s v="KY 2031"/>
    <s v="N"/>
    <x v="4"/>
    <n v="10"/>
    <x v="1"/>
    <x v="0"/>
    <x v="0"/>
    <x v="4"/>
    <n v="10"/>
  </r>
  <r>
    <s v="INST"/>
    <s v="1&quot; Water Meter Size"/>
    <s v="KY"/>
    <s v="Neptune"/>
    <x v="1"/>
    <x v="2"/>
    <s v="AMR"/>
    <n v="2022"/>
    <n v="10"/>
    <n v="14"/>
    <n v="2032"/>
    <n v="2032"/>
    <s v="KY 2032"/>
    <s v="N"/>
    <x v="5"/>
    <n v="10"/>
    <x v="1"/>
    <x v="0"/>
    <x v="0"/>
    <x v="5"/>
    <n v="10"/>
  </r>
  <r>
    <s v="INST"/>
    <s v="1&quot; Water Meter Size"/>
    <s v="KY"/>
    <s v="Neptune"/>
    <x v="1"/>
    <x v="2"/>
    <s v="AMR"/>
    <n v="2023"/>
    <n v="10"/>
    <n v="229"/>
    <n v="2033"/>
    <n v="2033"/>
    <s v="KY 2033"/>
    <s v="N"/>
    <x v="6"/>
    <n v="10"/>
    <x v="1"/>
    <x v="0"/>
    <x v="0"/>
    <x v="6"/>
    <n v="10"/>
  </r>
  <r>
    <s v="INST"/>
    <s v="1&quot; Water Meter Size"/>
    <s v="KY"/>
    <s v="Neptune"/>
    <x v="1"/>
    <x v="2"/>
    <s v="AMR"/>
    <n v="2024"/>
    <n v="10"/>
    <n v="76"/>
    <n v="2034"/>
    <n v="2034"/>
    <s v="KY 2034"/>
    <s v="N"/>
    <x v="7"/>
    <n v="10"/>
    <x v="1"/>
    <x v="0"/>
    <x v="0"/>
    <x v="7"/>
    <n v="10"/>
  </r>
  <r>
    <m/>
    <m/>
    <s v="Kentucky-American Water"/>
    <m/>
    <x v="0"/>
    <x v="7"/>
    <m/>
    <m/>
    <m/>
    <n v="0"/>
    <m/>
    <n v="2026"/>
    <s v="Kentucky-American Water 2026"/>
    <m/>
    <x v="10"/>
    <n v="2025"/>
    <x v="2"/>
    <x v="1"/>
    <x v="1"/>
    <x v="9"/>
    <n v="2025"/>
  </r>
  <r>
    <m/>
    <m/>
    <s v="Kentucky-American Water"/>
    <m/>
    <x v="1"/>
    <x v="7"/>
    <m/>
    <m/>
    <m/>
    <n v="0"/>
    <m/>
    <n v="2026"/>
    <s v="Kentucky-American Water 2026"/>
    <m/>
    <x v="10"/>
    <n v="2025"/>
    <x v="2"/>
    <x v="1"/>
    <x v="1"/>
    <x v="9"/>
    <n v="2025"/>
  </r>
  <r>
    <m/>
    <m/>
    <s v="Kentucky-American Water"/>
    <m/>
    <x v="0"/>
    <x v="7"/>
    <m/>
    <m/>
    <m/>
    <n v="0"/>
    <m/>
    <n v="2026"/>
    <s v="Kentucky-American Water 2026"/>
    <m/>
    <x v="10"/>
    <n v="2025"/>
    <x v="1"/>
    <x v="1"/>
    <x v="1"/>
    <x v="9"/>
    <n v="2025"/>
  </r>
  <r>
    <m/>
    <m/>
    <s v="Kentucky-American Water"/>
    <m/>
    <x v="1"/>
    <x v="7"/>
    <m/>
    <m/>
    <m/>
    <n v="0"/>
    <m/>
    <n v="2026"/>
    <s v="Kentucky-American Water 2026"/>
    <m/>
    <x v="10"/>
    <n v="2025"/>
    <x v="1"/>
    <x v="1"/>
    <x v="1"/>
    <x v="9"/>
    <n v="2025"/>
  </r>
  <r>
    <m/>
    <m/>
    <s v="Kentucky-American Water"/>
    <m/>
    <x v="0"/>
    <x v="7"/>
    <m/>
    <m/>
    <m/>
    <n v="0"/>
    <m/>
    <n v="2026"/>
    <s v="Kentucky-American Water 2026"/>
    <m/>
    <x v="10"/>
    <n v="2025"/>
    <x v="0"/>
    <x v="1"/>
    <x v="1"/>
    <x v="9"/>
    <n v="2025"/>
  </r>
  <r>
    <m/>
    <m/>
    <s v="Kentucky-American Water"/>
    <m/>
    <x v="1"/>
    <x v="7"/>
    <m/>
    <m/>
    <m/>
    <n v="0"/>
    <m/>
    <n v="2026"/>
    <s v="Kentucky-American Water 2026"/>
    <m/>
    <x v="10"/>
    <n v="2025"/>
    <x v="0"/>
    <x v="1"/>
    <x v="1"/>
    <x v="9"/>
    <n v="2025"/>
  </r>
  <r>
    <m/>
    <m/>
    <s v="Kentucky-American Water"/>
    <m/>
    <x v="0"/>
    <x v="7"/>
    <m/>
    <m/>
    <m/>
    <n v="0"/>
    <m/>
    <n v="2026"/>
    <s v="Kentucky-American Water 2026"/>
    <m/>
    <x v="10"/>
    <n v="2025"/>
    <x v="2"/>
    <x v="0"/>
    <x v="1"/>
    <x v="9"/>
    <n v="2025"/>
  </r>
  <r>
    <m/>
    <m/>
    <s v="Kentucky-American Water"/>
    <m/>
    <x v="1"/>
    <x v="7"/>
    <m/>
    <m/>
    <m/>
    <n v="0"/>
    <m/>
    <n v="2026"/>
    <s v="Kentucky-American Water 2026"/>
    <m/>
    <x v="10"/>
    <n v="2025"/>
    <x v="2"/>
    <x v="0"/>
    <x v="1"/>
    <x v="9"/>
    <n v="2025"/>
  </r>
  <r>
    <m/>
    <m/>
    <s v="Kentucky-American Water"/>
    <m/>
    <x v="0"/>
    <x v="7"/>
    <m/>
    <m/>
    <m/>
    <n v="0"/>
    <m/>
    <n v="2026"/>
    <s v="Kentucky-American Water 2026"/>
    <m/>
    <x v="10"/>
    <n v="2025"/>
    <x v="1"/>
    <x v="0"/>
    <x v="1"/>
    <x v="9"/>
    <n v="2025"/>
  </r>
  <r>
    <m/>
    <m/>
    <s v="Kentucky-American Water"/>
    <m/>
    <x v="1"/>
    <x v="7"/>
    <m/>
    <m/>
    <m/>
    <n v="0"/>
    <m/>
    <n v="2026"/>
    <s v="Kentucky-American Water 2026"/>
    <m/>
    <x v="10"/>
    <n v="2025"/>
    <x v="1"/>
    <x v="0"/>
    <x v="1"/>
    <x v="9"/>
    <n v="2025"/>
  </r>
  <r>
    <m/>
    <m/>
    <s v="Kentucky-American Water"/>
    <m/>
    <x v="0"/>
    <x v="7"/>
    <m/>
    <m/>
    <m/>
    <n v="0"/>
    <m/>
    <n v="2026"/>
    <s v="Kentucky-American Water 2026"/>
    <m/>
    <x v="10"/>
    <n v="2025"/>
    <x v="0"/>
    <x v="0"/>
    <x v="1"/>
    <x v="9"/>
    <n v="2025"/>
  </r>
  <r>
    <m/>
    <m/>
    <s v="Kentucky-American Water"/>
    <m/>
    <x v="1"/>
    <x v="7"/>
    <m/>
    <m/>
    <m/>
    <n v="0"/>
    <m/>
    <n v="2026"/>
    <s v="Kentucky-American Water 2026"/>
    <m/>
    <x v="10"/>
    <n v="2025"/>
    <x v="0"/>
    <x v="0"/>
    <x v="1"/>
    <x v="9"/>
    <n v="2025"/>
  </r>
  <r>
    <m/>
    <m/>
    <m/>
    <m/>
    <x v="2"/>
    <x v="0"/>
    <m/>
    <m/>
    <m/>
    <m/>
    <m/>
    <m/>
    <m/>
    <m/>
    <x v="11"/>
    <m/>
    <x v="3"/>
    <x v="2"/>
    <x v="2"/>
    <x v="1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957396-18E9-4213-B77E-DC51FD7183C6}" name="PivotTable15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6:N50" firstHeaderRow="1" firstDataRow="2" firstDataCol="3"/>
  <pivotFields count="21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6">
        <item x="0"/>
        <item x="1"/>
        <item m="1" x="4"/>
        <item x="2"/>
        <item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8">
        <item m="1" x="14"/>
        <item m="1" x="13"/>
        <item x="10"/>
        <item x="1"/>
        <item x="2"/>
        <item x="0"/>
        <item x="8"/>
        <item x="3"/>
        <item x="4"/>
        <item x="5"/>
        <item x="6"/>
        <item x="7"/>
        <item m="1" x="12"/>
        <item m="1" x="15"/>
        <item m="1" x="16"/>
        <item x="9"/>
        <item x="11"/>
        <item t="default"/>
      </items>
    </pivotField>
    <pivotField compact="0" outline="0" showAll="0"/>
    <pivotField axis="axisRow" compact="0" outline="0" showAll="0" defaultSubtotal="0">
      <items count="4">
        <item x="2"/>
        <item x="1"/>
        <item x="0"/>
        <item h="1" x="3"/>
      </items>
    </pivotField>
    <pivotField axis="axisRow" compact="0" outline="0" showAll="0" defaultSubtotal="0">
      <items count="3">
        <item x="1"/>
        <item x="0"/>
        <item x="2"/>
      </items>
    </pivotField>
    <pivotField compact="0" outline="0" showAll="0"/>
    <pivotField axis="axisCol" compact="0" outline="0" showAll="0">
      <items count="14">
        <item m="1" x="12"/>
        <item m="1" x="11"/>
        <item x="9"/>
        <item x="1"/>
        <item x="2"/>
        <item x="0"/>
        <item x="8"/>
        <item x="3"/>
        <item x="4"/>
        <item x="5"/>
        <item x="6"/>
        <item x="10"/>
        <item x="7"/>
        <item t="default"/>
      </items>
    </pivotField>
    <pivotField compact="0" outline="0" showAll="0"/>
  </pivotFields>
  <rowFields count="3">
    <field x="16"/>
    <field x="17"/>
    <field x="4"/>
  </rowFields>
  <rowItems count="13">
    <i>
      <x/>
      <x/>
      <x/>
    </i>
    <i r="2">
      <x v="1"/>
    </i>
    <i r="1">
      <x v="1"/>
      <x/>
    </i>
    <i r="2">
      <x v="1"/>
    </i>
    <i>
      <x v="1"/>
      <x/>
      <x/>
    </i>
    <i r="2">
      <x v="1"/>
    </i>
    <i r="1">
      <x v="1"/>
      <x/>
    </i>
    <i r="2">
      <x v="1"/>
    </i>
    <i>
      <x v="2"/>
      <x/>
      <x/>
    </i>
    <i r="2">
      <x v="1"/>
    </i>
    <i r="1">
      <x v="1"/>
      <x/>
    </i>
    <i r="2">
      <x v="1"/>
    </i>
    <i t="grand">
      <x/>
    </i>
  </rowItems>
  <colFields count="1">
    <field x="19"/>
  </colFields>
  <colItems count="11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 t="grand">
      <x/>
    </i>
  </colItems>
  <dataFields count="1">
    <dataField name="Sum of Number of Records" fld="9" baseField="3" baseItem="0" numFmtId="3"/>
  </dataFields>
  <formats count="1">
    <format dxfId="16">
      <pivotArea field="14" type="button" dataOnly="0" labelOnly="1" outline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E1E1FA-F28C-4F8A-A605-36BD1B962F7C}" name="PivotTable10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6:N50" firstHeaderRow="1" firstDataRow="2" firstDataCol="3"/>
  <pivotFields count="21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6">
        <item x="0"/>
        <item x="1"/>
        <item m="1" x="4"/>
        <item x="2"/>
        <item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8">
        <item m="1" x="14"/>
        <item m="1" x="13"/>
        <item x="10"/>
        <item x="1"/>
        <item x="2"/>
        <item x="0"/>
        <item x="8"/>
        <item x="3"/>
        <item x="4"/>
        <item x="5"/>
        <item x="6"/>
        <item x="7"/>
        <item m="1" x="12"/>
        <item m="1" x="15"/>
        <item m="1" x="16"/>
        <item x="9"/>
        <item x="11"/>
        <item t="default"/>
      </items>
    </pivotField>
    <pivotField compact="0" outline="0" showAll="0"/>
    <pivotField axis="axisRow" compact="0" outline="0" showAll="0" defaultSubtotal="0">
      <items count="4">
        <item x="2"/>
        <item x="1"/>
        <item x="0"/>
        <item h="1" x="3"/>
      </items>
    </pivotField>
    <pivotField axis="axisRow" compact="0" outline="0" showAll="0" defaultSubtotal="0">
      <items count="3">
        <item x="1"/>
        <item x="0"/>
        <item x="2"/>
      </items>
    </pivotField>
    <pivotField compact="0" outline="0" showAll="0"/>
    <pivotField axis="axisCol" compact="0" outline="0" showAll="0">
      <items count="14">
        <item m="1" x="12"/>
        <item m="1" x="11"/>
        <item x="9"/>
        <item x="1"/>
        <item x="2"/>
        <item x="0"/>
        <item x="8"/>
        <item x="3"/>
        <item x="4"/>
        <item x="5"/>
        <item x="6"/>
        <item x="10"/>
        <item x="7"/>
        <item t="default"/>
      </items>
    </pivotField>
    <pivotField compact="0" outline="0" showAll="0"/>
  </pivotFields>
  <rowFields count="3">
    <field x="16"/>
    <field x="17"/>
    <field x="4"/>
  </rowFields>
  <rowItems count="13">
    <i>
      <x/>
      <x/>
      <x/>
    </i>
    <i r="2">
      <x v="1"/>
    </i>
    <i r="1">
      <x v="1"/>
      <x/>
    </i>
    <i r="2">
      <x v="1"/>
    </i>
    <i>
      <x v="1"/>
      <x/>
      <x/>
    </i>
    <i r="2">
      <x v="1"/>
    </i>
    <i r="1">
      <x v="1"/>
      <x/>
    </i>
    <i r="2">
      <x v="1"/>
    </i>
    <i>
      <x v="2"/>
      <x/>
      <x/>
    </i>
    <i r="2">
      <x v="1"/>
    </i>
    <i r="1">
      <x v="1"/>
      <x/>
    </i>
    <i r="2">
      <x v="1"/>
    </i>
    <i t="grand">
      <x/>
    </i>
  </rowItems>
  <colFields count="1">
    <field x="19"/>
  </colFields>
  <colItems count="11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 t="grand">
      <x/>
    </i>
  </colItems>
  <dataFields count="1">
    <dataField name="Sum of Number of Records" fld="9" baseField="3" baseItem="0" numFmtId="3"/>
  </dataFields>
  <formats count="1">
    <format dxfId="15">
      <pivotArea field="14" type="button" dataOnly="0" labelOnly="1" outline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25C6AA-AA5F-4710-9CD6-C6C2FA57A8A1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O17" firstHeaderRow="1" firstDataRow="2" firstDataCol="3"/>
  <pivotFields count="19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">
        <item x="0"/>
        <item x="1"/>
        <item m="1" x="4"/>
        <item x="2"/>
        <item m="1" x="5"/>
        <item m="1" x="6"/>
        <item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name="AMI Year of Replacement (LOS)" axis="axisCol" compact="0" outline="0" showAll="0">
      <items count="18">
        <item m="1" x="14"/>
        <item m="1" x="13"/>
        <item x="10"/>
        <item x="1"/>
        <item x="2"/>
        <item x="0"/>
        <item x="8"/>
        <item x="3"/>
        <item x="4"/>
        <item x="5"/>
        <item x="6"/>
        <item x="7"/>
        <item m="1" x="12"/>
        <item m="1" x="15"/>
        <item m="1" x="16"/>
        <item x="9"/>
        <item x="11"/>
        <item t="default"/>
      </items>
    </pivotField>
    <pivotField compact="0" outline="0" showAll="0"/>
    <pivotField axis="axisRow" compact="0" outline="0" showAll="0" defaultSubtotal="0">
      <items count="4">
        <item x="2"/>
        <item x="1"/>
        <item x="0"/>
        <item h="1" x="3"/>
      </items>
    </pivotField>
    <pivotField axis="axisRow" compact="0" outline="0" showAll="0" defaultSubtotal="0">
      <items count="3">
        <item x="1"/>
        <item x="0"/>
        <item x="2"/>
      </items>
    </pivotField>
    <pivotField compact="0" outline="0" showAll="0"/>
  </pivotFields>
  <rowFields count="3">
    <field x="16"/>
    <field x="17"/>
    <field x="4"/>
  </rowFields>
  <rowItems count="13">
    <i>
      <x/>
      <x/>
      <x/>
    </i>
    <i r="2">
      <x v="1"/>
    </i>
    <i r="1">
      <x v="1"/>
      <x/>
    </i>
    <i r="2">
      <x v="1"/>
    </i>
    <i>
      <x v="1"/>
      <x/>
      <x/>
    </i>
    <i r="2">
      <x v="1"/>
    </i>
    <i r="1">
      <x v="1"/>
      <x/>
    </i>
    <i r="2">
      <x v="1"/>
    </i>
    <i>
      <x v="2"/>
      <x/>
      <x/>
    </i>
    <i r="2">
      <x v="1"/>
    </i>
    <i r="1">
      <x v="1"/>
      <x/>
    </i>
    <i r="2">
      <x v="1"/>
    </i>
    <i t="grand">
      <x/>
    </i>
  </rowItems>
  <colFields count="1">
    <field x="14"/>
  </colFields>
  <colItems count="12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5"/>
    </i>
    <i t="grand">
      <x/>
    </i>
  </colItems>
  <dataFields count="1">
    <dataField name="Sum of Number of Records" fld="9" baseField="3" baseItem="0" numFmtId="3"/>
  </dataFields>
  <formats count="3">
    <format dxfId="13">
      <pivotArea field="14" grandRow="1" outline="0" axis="axisCol" fieldPosition="0">
        <references count="1">
          <reference field="14" count="3" selected="0">
            <x v="3"/>
            <x v="4"/>
            <x v="5"/>
          </reference>
        </references>
      </pivotArea>
    </format>
    <format dxfId="12">
      <pivotArea field="14" type="button" dataOnly="0" labelOnly="1" outline="0" axis="axisCol" fieldPosition="0"/>
    </format>
    <format dxfId="11">
      <pivotArea field="14" grandRow="1" outline="0" axis="axisCol" fieldPosition="0">
        <references count="1">
          <reference field="14" count="3" selected="0"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ECB816-A01E-493F-A3B9-EDF56AF17175}" name="PivotTable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27:N41" firstHeaderRow="1" firstDataRow="2" firstDataCol="3"/>
  <pivotFields count="21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">
        <item x="0"/>
        <item x="1"/>
        <item m="1" x="4"/>
        <item x="2"/>
        <item m="1" x="5"/>
        <item m="1" x="6"/>
        <item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8">
        <item m="1" x="14"/>
        <item m="1" x="13"/>
        <item x="10"/>
        <item x="1"/>
        <item x="2"/>
        <item x="0"/>
        <item x="8"/>
        <item x="3"/>
        <item x="4"/>
        <item x="5"/>
        <item x="6"/>
        <item x="7"/>
        <item m="1" x="12"/>
        <item m="1" x="15"/>
        <item m="1" x="16"/>
        <item x="9"/>
        <item x="11"/>
        <item t="default"/>
      </items>
    </pivotField>
    <pivotField compact="0" outline="0" showAll="0"/>
    <pivotField axis="axisRow" compact="0" outline="0" showAll="0" defaultSubtotal="0">
      <items count="4">
        <item x="2"/>
        <item x="1"/>
        <item x="0"/>
        <item h="1" x="3"/>
      </items>
    </pivotField>
    <pivotField axis="axisRow" compact="0" outline="0" showAll="0" defaultSubtotal="0">
      <items count="3">
        <item x="1"/>
        <item x="0"/>
        <item x="2"/>
      </items>
    </pivotField>
    <pivotField compact="0" outline="0" showAll="0"/>
    <pivotField axis="axisCol" compact="0" outline="0" showAll="0">
      <items count="14">
        <item m="1" x="12"/>
        <item m="1" x="11"/>
        <item x="9"/>
        <item x="1"/>
        <item x="2"/>
        <item x="0"/>
        <item x="8"/>
        <item x="3"/>
        <item x="4"/>
        <item x="5"/>
        <item x="6"/>
        <item x="10"/>
        <item x="7"/>
        <item t="default"/>
      </items>
    </pivotField>
    <pivotField compact="0" outline="0" showAll="0"/>
  </pivotFields>
  <rowFields count="3">
    <field x="16"/>
    <field x="17"/>
    <field x="4"/>
  </rowFields>
  <rowItems count="13">
    <i>
      <x/>
      <x/>
      <x/>
    </i>
    <i r="2">
      <x v="1"/>
    </i>
    <i r="1">
      <x v="1"/>
      <x/>
    </i>
    <i r="2">
      <x v="1"/>
    </i>
    <i>
      <x v="1"/>
      <x/>
      <x/>
    </i>
    <i r="2">
      <x v="1"/>
    </i>
    <i r="1">
      <x v="1"/>
      <x/>
    </i>
    <i r="2">
      <x v="1"/>
    </i>
    <i>
      <x v="2"/>
      <x/>
      <x/>
    </i>
    <i r="2">
      <x v="1"/>
    </i>
    <i r="1">
      <x v="1"/>
      <x/>
    </i>
    <i r="2">
      <x v="1"/>
    </i>
    <i t="grand">
      <x/>
    </i>
  </rowItems>
  <colFields count="1">
    <field x="19"/>
  </colFields>
  <colItems count="11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 t="grand">
      <x/>
    </i>
  </colItems>
  <dataFields count="1">
    <dataField name="Sum of Number of Records" fld="9" baseField="3" baseItem="0" numFmtId="3"/>
  </dataFields>
  <formats count="1">
    <format dxfId="14">
      <pivotArea field="14" type="button" dataOnly="0" labelOnly="1" outline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6C3F2C-704B-46E5-AF5B-642237A4074A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5:B12" firstHeaderRow="2" firstDataRow="2" firstDataCol="1"/>
  <pivotFields count="19">
    <pivotField compact="0" outline="0" showAll="0"/>
    <pivotField axis="axisRow" compact="0" outline="0" showAll="0">
      <items count="6">
        <item x="3"/>
        <item x="1"/>
        <item x="4"/>
        <item x="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8">
        <item m="1" x="14"/>
        <item m="1" x="13"/>
        <item x="10"/>
        <item x="1"/>
        <item x="2"/>
        <item x="0"/>
        <item x="8"/>
        <item x="3"/>
        <item x="4"/>
        <item x="5"/>
        <item x="6"/>
        <item x="7"/>
        <item m="1" x="12"/>
        <item m="1" x="15"/>
        <item m="1" x="16"/>
        <item x="9"/>
        <item x="11"/>
        <item t="default"/>
      </items>
    </pivotField>
    <pivotField compact="0" outline="0" showAll="0"/>
    <pivotField compact="0" outline="0" showAll="0"/>
    <pivotField compact="0" outline="0" showAll="0" defaultSubtotal="0"/>
    <pivotField compact="0" outline="0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Number of Records" fld="9" showDataAs="percentOfCol" baseField="1" baseItem="2" numFmtId="187"/>
  </dataFields>
  <formats count="3">
    <format dxfId="10">
      <pivotArea field="14" type="button" dataOnly="0" labelOnly="1" outline="0"/>
    </format>
    <format dxfId="9">
      <pivotArea outline="0" fieldPosition="0">
        <references count="1">
          <reference field="4294967294" count="1">
            <x v="0"/>
          </reference>
        </references>
      </pivotArea>
    </format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F673E-CFA9-46B2-88F8-DA8F4176C8F8}" name="PivotTable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gridDropZones="1" multipleFieldFilters="0">
  <location ref="E15:G21" firstHeaderRow="2" firstDataRow="2" firstDataCol="2"/>
  <pivotFields count="2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5">
        <item h="1" x="2"/>
        <item x="1"/>
        <item x="0"/>
        <item h="1" x="3"/>
        <item t="default"/>
      </items>
    </pivotField>
    <pivotField compact="0" outline="0" showAll="0"/>
    <pivotField axis="axisRow" compact="0" outline="0" showAll="0" defaultSubtotal="0">
      <items count="3">
        <item x="2"/>
        <item x="0"/>
        <item x="1"/>
      </items>
    </pivotField>
    <pivotField compact="0" outline="0" showAll="0"/>
    <pivotField compact="0" outline="0" showAll="0"/>
  </pivotFields>
  <rowFields count="2">
    <field x="18"/>
    <field x="16"/>
  </rowFields>
  <rowItems count="5">
    <i>
      <x v="1"/>
      <x v="1"/>
    </i>
    <i r="1">
      <x v="2"/>
    </i>
    <i>
      <x v="2"/>
      <x v="1"/>
    </i>
    <i r="1">
      <x v="2"/>
    </i>
    <i t="grand">
      <x/>
    </i>
  </rowItems>
  <colItems count="1">
    <i/>
  </colItems>
  <dataFields count="1">
    <dataField name="Sum of Number of Records" fld="9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D7C14-5D81-414B-B7EA-053B4A3CB837}" name="PivotTable4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gridDropZones="1" multipleFieldFilters="0">
  <location ref="K5:N10" firstHeaderRow="1" firstDataRow="2" firstDataCol="1" rowPageCount="1" colPageCount="1"/>
  <pivotFields count="21"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8">
        <item x="0"/>
        <item x="1"/>
        <item h="1" x="2"/>
        <item h="1" m="1" x="4"/>
        <item h="1" m="1" x="5"/>
        <item h="1" m="1" x="6"/>
        <item h="1"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>
      <items count="5">
        <item x="3"/>
        <item x="0"/>
        <item x="1"/>
        <item x="2"/>
        <item t="default"/>
      </items>
    </pivotField>
    <pivotField compact="0" outline="0" showAll="0"/>
    <pivotField axis="axisPage" compact="0" outline="0" showAll="0">
      <items count="4">
        <item x="2"/>
        <item x="0"/>
        <item x="1"/>
        <item t="default"/>
      </items>
    </pivotField>
    <pivotField compact="0" outline="0" showAll="0"/>
    <pivotField compact="0" outline="0" showAll="0"/>
  </pivotFields>
  <rowFields count="1">
    <field x="16"/>
  </rowFields>
  <rowItems count="4">
    <i>
      <x v="1"/>
    </i>
    <i>
      <x v="2"/>
    </i>
    <i>
      <x v="3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1">
    <pageField fld="18" hier="-1"/>
  </pageFields>
  <dataFields count="1">
    <dataField name="Sum of Number of Records" fld="9" showDataAs="percentOfRow" baseField="4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833725-5AF3-4DEA-863C-4457AA116778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gridDropZones="1" multipleFieldFilters="0">
  <location ref="E5:F11" firstHeaderRow="2" firstDataRow="2" firstDataCol="1" rowPageCount="1" colPageCount="1"/>
  <pivotFields count="2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>
      <items count="5">
        <item x="3"/>
        <item x="0"/>
        <item x="1"/>
        <item x="2"/>
        <item t="default"/>
      </items>
    </pivotField>
    <pivotField compact="0" outline="0" showAll="0"/>
    <pivotField axis="axisPage" compact="0" outline="0" showAll="0">
      <items count="4">
        <item x="2"/>
        <item x="0"/>
        <item x="1"/>
        <item t="default"/>
      </items>
    </pivotField>
    <pivotField compact="0" outline="0" showAll="0"/>
    <pivotField compact="0" outline="0" showAll="0"/>
  </pivotFields>
  <rowFields count="1">
    <field x="16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18" hier="-1"/>
  </pageFields>
  <dataFields count="1">
    <dataField name="Sum of Number of Records" fld="9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727E9F-0792-46E2-B1F4-4C7A4CF007F4}" name="PivotTable5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gridDropZones="1" multipleFieldFilters="0">
  <location ref="K20:N28" firstHeaderRow="1" firstDataRow="2" firstDataCol="2"/>
  <pivotFields count="2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">
        <item x="0"/>
        <item m="1" x="8"/>
        <item x="2"/>
        <item x="4"/>
        <item m="1" x="9"/>
        <item x="7"/>
        <item x="1"/>
        <item x="3"/>
        <item x="5"/>
        <item x="6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>
      <items count="5">
        <item h="1" x="3"/>
        <item x="0"/>
        <item x="1"/>
        <item h="1" x="2"/>
        <item t="default"/>
      </items>
    </pivotField>
    <pivotField compact="0" outline="0" showAll="0"/>
    <pivotField axis="axisCol" compact="0" outline="0" showAll="0">
      <items count="4">
        <item x="2"/>
        <item x="0"/>
        <item h="1" x="1"/>
        <item t="default"/>
      </items>
    </pivotField>
    <pivotField compact="0" outline="0" showAll="0"/>
    <pivotField compact="0" outline="0" showAll="0"/>
  </pivotFields>
  <rowFields count="2">
    <field x="16"/>
    <field x="5"/>
  </rowFields>
  <rowItems count="7">
    <i>
      <x v="1"/>
      <x/>
    </i>
    <i t="default">
      <x v="1"/>
    </i>
    <i>
      <x v="2"/>
      <x v="2"/>
    </i>
    <i r="1">
      <x v="3"/>
    </i>
    <i r="1">
      <x v="6"/>
    </i>
    <i t="default">
      <x v="2"/>
    </i>
    <i t="grand">
      <x/>
    </i>
  </rowItems>
  <colFields count="1">
    <field x="18"/>
  </colFields>
  <colItems count="2">
    <i>
      <x v="1"/>
    </i>
    <i t="grand">
      <x/>
    </i>
  </colItems>
  <dataFields count="1">
    <dataField name="Sum of Number of Records" fld="9" showDataAs="percentOfCol" baseField="5" baseItem="16" numFmtId="10"/>
  </dataFields>
  <formats count="1">
    <format dxfId="7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5C46B0-F956-4A76-A02C-B7E00D250E19}" name="Table3" displayName="Table3" ref="A3:U26" totalsRowShown="0">
  <autoFilter ref="A3:U26" xr:uid="{565C46B0-F956-4A76-A02C-B7E00D250E19}"/>
  <tableColumns count="21">
    <tableColumn id="1" xr3:uid="{022B2AF9-521F-48A6-B156-46C43CFA5760}" name="Oper System Status"/>
    <tableColumn id="2" xr3:uid="{1B8CC9C3-EC05-4791-B600-5A2A063C27D2}" name="Function Class/Meter"/>
    <tableColumn id="3" xr3:uid="{BA1D4372-6CE4-4DF8-A77F-DD0AAEEA2476}" name="Company code"/>
    <tableColumn id="4" xr3:uid="{5951A828-C9EB-4840-84C3-705A0BE44A88}" name="Manufacturer"/>
    <tableColumn id="5" xr3:uid="{F29D7DCC-E5A3-4F43-8906-23D3611F44E2}" name="Location"/>
    <tableColumn id="6" xr3:uid="{D171B168-5E52-4DB7-A9FA-A15DD53FC686}" name="Endpoint"/>
    <tableColumn id="7" xr3:uid="{E8EE8709-1023-4D95-BD5C-EF82D6FA0909}" name="MR Device End Pt Ty1"/>
    <tableColumn id="8" xr3:uid="{2CB0D136-1F7F-49C3-BAA0-9AE0B9FCE9DD}" name="Certification Year"/>
    <tableColumn id="9" xr3:uid="{8E668B42-9047-418B-9BE3-F4F3CBB95F99}" name="Cal Val"/>
    <tableColumn id="10" xr3:uid="{F78D66A6-0FBE-4CD2-A691-4F13B4CB0187}" name="Number of Records"/>
    <tableColumn id="11" xr3:uid="{A40465AD-FEA1-4792-B188-8A7B9DDA997A}" name="Anticipated Year of Replacement"/>
    <tableColumn id="12" xr3:uid="{EB34F340-3304-461F-B2A1-2FF1B36B9DBF}" name="LOS Group"/>
    <tableColumn id="13" xr3:uid="{61885526-A587-416D-99E5-82EEC5D22747}" name="State-LOS Year"/>
    <tableColumn id="14" xr3:uid="{3904600A-C0AD-47EB-8AF3-7E4BF701AF2F}" name="Already AMI (Y/N)"/>
    <tableColumn id="15" xr3:uid="{89FB177C-50F6-4846-B9AE-3EF9D0FBB9D5}" name="AMI Year of Replacement(LOS)"/>
    <tableColumn id="16" xr3:uid="{9EF02AEE-5D97-4793-91A1-6F06C460D19B}" name="Calibration Limit"/>
    <tableColumn id="17" xr3:uid="{9CF7746F-BB7D-46B2-A7CC-8B6179FBF192}" name="Endpoint Type"/>
    <tableColumn id="18" xr3:uid="{49B06FE0-B4E1-461E-9DC3-303E54213801}" name="Type of Replacement LOS"/>
    <tableColumn id="19" xr3:uid="{C4174676-1A19-4C05-8FCE-9F1AFCC43BC0}" name="Co"/>
    <tableColumn id="20" xr3:uid="{F1100424-8E67-4AEA-B673-D6523D94284E}" name="Alternate Year of Replacement (10 vs. 15)"/>
    <tableColumn id="21" xr3:uid="{7C26BC43-4BC4-45B7-8267-CEB46BFB8416}" name="Alternate age at replacem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5" Type="http://schemas.openxmlformats.org/officeDocument/2006/relationships/drawing" Target="../drawings/drawing7.xml"/><Relationship Id="rId4" Type="http://schemas.openxmlformats.org/officeDocument/2006/relationships/customProperty" Target="../customProperty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15.bin"/><Relationship Id="rId4" Type="http://schemas.openxmlformats.org/officeDocument/2006/relationships/pivotTable" Target="../pivotTables/pivotTable9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eia.gov/outlooks/aeo/data/browser/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75BD-3F6A-4F80-9CE3-6486AAF3F31C}">
  <sheetPr>
    <tabColor rgb="FFFFFF00"/>
    <pageSetUpPr fitToPage="1"/>
  </sheetPr>
  <dimension ref="A1:S323"/>
  <sheetViews>
    <sheetView zoomScaleNormal="100" workbookViewId="0">
      <pane xSplit="2" ySplit="5" topLeftCell="C3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RowHeight="14.5" outlineLevelRow="1" outlineLevelCol="1" x14ac:dyDescent="0.35"/>
  <cols>
    <col min="1" max="1" width="61.7265625" customWidth="1"/>
    <col min="2" max="2" width="20" style="3" customWidth="1" outlineLevel="1"/>
    <col min="3" max="5" width="15.1796875" customWidth="1"/>
    <col min="6" max="6" width="19.1796875" customWidth="1"/>
    <col min="7" max="17" width="15.1796875" customWidth="1"/>
  </cols>
  <sheetData>
    <row r="1" spans="1:17" x14ac:dyDescent="0.35">
      <c r="A1" s="19" t="s">
        <v>0</v>
      </c>
      <c r="B1" s="64" t="s">
        <v>1</v>
      </c>
      <c r="F1" s="469" t="s">
        <v>1107</v>
      </c>
    </row>
    <row r="2" spans="1:17" ht="17.25" customHeight="1" x14ac:dyDescent="0.35">
      <c r="B2" s="99">
        <v>5</v>
      </c>
      <c r="D2" s="27"/>
      <c r="E2" s="27"/>
      <c r="F2" s="27"/>
      <c r="G2" s="27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5" customHeight="1" x14ac:dyDescent="0.35">
      <c r="C3" s="464">
        <v>1</v>
      </c>
      <c r="D3" s="27">
        <f>C3+1</f>
        <v>2</v>
      </c>
      <c r="E3" s="27">
        <f t="shared" ref="E3" si="0">D3+1</f>
        <v>3</v>
      </c>
      <c r="F3" s="27">
        <f t="shared" ref="F3" si="1">E3+1</f>
        <v>4</v>
      </c>
      <c r="G3" s="27">
        <f t="shared" ref="G3" si="2">F3+1</f>
        <v>5</v>
      </c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s="3" customFormat="1" x14ac:dyDescent="0.35">
      <c r="A4" s="17"/>
      <c r="B4" s="192"/>
      <c r="C4" s="193"/>
      <c r="D4" s="193" t="s">
        <v>1088</v>
      </c>
      <c r="E4" s="193"/>
      <c r="F4" s="193" t="s">
        <v>1087</v>
      </c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</row>
    <row r="5" spans="1:17" ht="49.5" customHeight="1" x14ac:dyDescent="0.35">
      <c r="A5" s="19" t="s">
        <v>2</v>
      </c>
      <c r="B5" s="194" t="str" cm="1">
        <f t="array" ref="B5">INDEX(C5:Q5,Selected)</f>
        <v>Average 
Cost*</v>
      </c>
      <c r="C5" s="312" t="s">
        <v>3</v>
      </c>
      <c r="D5" s="312" t="s">
        <v>1090</v>
      </c>
      <c r="E5" s="312" t="s">
        <v>1092</v>
      </c>
      <c r="F5" s="312" t="s">
        <v>1091</v>
      </c>
      <c r="G5" s="312" t="s">
        <v>1089</v>
      </c>
      <c r="H5" s="271"/>
      <c r="I5" s="271"/>
      <c r="J5" s="271"/>
      <c r="K5" s="271"/>
      <c r="L5" s="271"/>
      <c r="M5" s="271"/>
      <c r="N5" s="271"/>
      <c r="O5" s="271"/>
      <c r="P5" s="271"/>
      <c r="Q5" s="271"/>
    </row>
    <row r="6" spans="1:17" ht="27.75" customHeight="1" x14ac:dyDescent="0.35">
      <c r="A6" s="19"/>
      <c r="B6" s="224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</row>
    <row r="7" spans="1:17" x14ac:dyDescent="0.35">
      <c r="A7" s="216" t="s">
        <v>4</v>
      </c>
      <c r="B7" s="194" cm="1">
        <f t="array" ref="B7">INDEX(C7:Q7,Selected)</f>
        <v>2026</v>
      </c>
      <c r="C7" s="272">
        <v>2026</v>
      </c>
      <c r="D7" s="272">
        <v>2026</v>
      </c>
      <c r="E7" s="272">
        <v>2026</v>
      </c>
      <c r="F7" s="272">
        <v>2026</v>
      </c>
      <c r="G7" s="272">
        <v>2026</v>
      </c>
      <c r="H7" s="485"/>
      <c r="I7" s="485"/>
      <c r="J7" s="485"/>
      <c r="K7" s="485"/>
      <c r="L7" s="485"/>
      <c r="M7" s="485"/>
      <c r="N7" s="485"/>
      <c r="O7" s="485"/>
      <c r="P7" s="485"/>
      <c r="Q7" s="485"/>
    </row>
    <row r="9" spans="1:17" ht="18.5" x14ac:dyDescent="0.45">
      <c r="A9" s="225" t="s">
        <v>5</v>
      </c>
    </row>
    <row r="10" spans="1:17" outlineLevel="1" x14ac:dyDescent="0.35">
      <c r="A10" s="8" t="s">
        <v>6</v>
      </c>
      <c r="B10" s="232" cm="1">
        <f t="array" ref="B10">INDEX(C10:Q10,Selected)</f>
        <v>42</v>
      </c>
      <c r="C10" s="255">
        <f>MeterEnds!$B7</f>
        <v>42</v>
      </c>
      <c r="D10" s="255">
        <f>MeterEnds!$B7</f>
        <v>42</v>
      </c>
      <c r="E10" s="255">
        <f>MeterEnds!$B7</f>
        <v>42</v>
      </c>
      <c r="F10" s="255">
        <f>MeterEnds!$B7</f>
        <v>42</v>
      </c>
      <c r="G10" s="255">
        <f>MeterEnds!$B7</f>
        <v>42</v>
      </c>
      <c r="H10" s="479"/>
      <c r="I10" s="479"/>
      <c r="J10" s="479"/>
      <c r="K10" s="479"/>
      <c r="L10" s="479"/>
      <c r="M10" s="479"/>
      <c r="N10" s="479"/>
      <c r="O10" s="479"/>
      <c r="P10" s="479"/>
      <c r="Q10" s="479"/>
    </row>
    <row r="11" spans="1:17" outlineLevel="1" x14ac:dyDescent="0.35">
      <c r="A11" s="8" t="s">
        <v>7</v>
      </c>
      <c r="B11" s="232" cm="1">
        <f t="array" ref="B11">INDEX(C11:Q11,Selected)</f>
        <v>143201</v>
      </c>
      <c r="C11" s="255">
        <f>MeterEnds!$B8</f>
        <v>143201</v>
      </c>
      <c r="D11" s="255">
        <f>MeterEnds!$B8</f>
        <v>143201</v>
      </c>
      <c r="E11" s="255">
        <f>MeterEnds!$B8</f>
        <v>143201</v>
      </c>
      <c r="F11" s="255">
        <f>MeterEnds!$B8</f>
        <v>143201</v>
      </c>
      <c r="G11" s="255">
        <f>MeterEnds!$B8</f>
        <v>143201</v>
      </c>
      <c r="H11" s="479"/>
      <c r="I11" s="479"/>
      <c r="J11" s="479"/>
      <c r="K11" s="479"/>
      <c r="L11" s="479"/>
      <c r="M11" s="479"/>
      <c r="N11" s="479"/>
      <c r="O11" s="479"/>
      <c r="P11" s="479"/>
      <c r="Q11" s="479"/>
    </row>
    <row r="12" spans="1:17" outlineLevel="1" x14ac:dyDescent="0.35">
      <c r="A12" s="8" t="s">
        <v>8</v>
      </c>
      <c r="B12" s="232" cm="1">
        <f t="array" ref="B12">INDEX(C12:Q12,Selected)</f>
        <v>257</v>
      </c>
      <c r="C12" s="255">
        <f>MeterEnds!$B9</f>
        <v>257</v>
      </c>
      <c r="D12" s="255">
        <f>MeterEnds!$B9</f>
        <v>257</v>
      </c>
      <c r="E12" s="255">
        <f>MeterEnds!$B9</f>
        <v>257</v>
      </c>
      <c r="F12" s="255">
        <f>MeterEnds!$B9</f>
        <v>257</v>
      </c>
      <c r="G12" s="255">
        <f>MeterEnds!$B9</f>
        <v>257</v>
      </c>
      <c r="H12" s="479"/>
      <c r="I12" s="479"/>
      <c r="J12" s="479"/>
      <c r="K12" s="479"/>
      <c r="L12" s="479"/>
      <c r="M12" s="479"/>
      <c r="N12" s="479"/>
      <c r="O12" s="479"/>
      <c r="P12" s="479"/>
      <c r="Q12" s="479"/>
    </row>
    <row r="13" spans="1:17" outlineLevel="1" x14ac:dyDescent="0.35">
      <c r="A13" s="8" t="s">
        <v>9</v>
      </c>
      <c r="B13" s="232" cm="1">
        <f t="array" ref="B13">INDEX(C13:Q13,Selected)</f>
        <v>143500</v>
      </c>
      <c r="C13" s="447">
        <f>SUM(C10:C12)</f>
        <v>143500</v>
      </c>
      <c r="D13" s="447">
        <f t="shared" ref="D13:F13" si="3">SUM(D10:D12)</f>
        <v>143500</v>
      </c>
      <c r="E13" s="447">
        <f t="shared" si="3"/>
        <v>143500</v>
      </c>
      <c r="F13" s="447">
        <f t="shared" si="3"/>
        <v>143500</v>
      </c>
      <c r="G13" s="447">
        <f>SUM(G10:G12)</f>
        <v>143500</v>
      </c>
      <c r="H13" s="479"/>
      <c r="I13" s="479"/>
      <c r="J13" s="479"/>
      <c r="K13" s="479"/>
      <c r="L13" s="479"/>
      <c r="M13" s="479"/>
      <c r="N13" s="479"/>
      <c r="O13" s="479"/>
      <c r="P13" s="479"/>
      <c r="Q13" s="479"/>
    </row>
    <row r="14" spans="1:17" x14ac:dyDescent="0.35">
      <c r="A14" s="8" t="s">
        <v>10</v>
      </c>
      <c r="B14" s="224"/>
      <c r="C14" s="370"/>
      <c r="D14" s="370"/>
      <c r="E14" s="370"/>
      <c r="F14" s="370"/>
      <c r="G14" s="370"/>
      <c r="H14" s="479"/>
      <c r="I14" s="479"/>
      <c r="J14" s="479"/>
      <c r="K14" s="479"/>
      <c r="L14" s="479"/>
      <c r="M14" s="479"/>
      <c r="N14" s="479"/>
      <c r="O14" s="479"/>
      <c r="P14" s="479"/>
      <c r="Q14" s="479"/>
    </row>
    <row r="15" spans="1:17" x14ac:dyDescent="0.35">
      <c r="A15" s="8"/>
      <c r="D15" s="13"/>
      <c r="E15" s="13"/>
      <c r="F15" s="13"/>
      <c r="H15" s="13"/>
      <c r="N15" s="13"/>
      <c r="O15" s="13"/>
      <c r="P15" s="13"/>
      <c r="Q15" s="13"/>
    </row>
    <row r="16" spans="1:17" ht="18.5" x14ac:dyDescent="0.45">
      <c r="A16" s="225" t="s">
        <v>11</v>
      </c>
      <c r="D16" s="13"/>
      <c r="E16" s="13"/>
      <c r="F16" s="13"/>
      <c r="H16" s="13"/>
      <c r="N16" s="13"/>
      <c r="O16" s="13"/>
      <c r="P16" s="13"/>
      <c r="Q16" s="13"/>
    </row>
    <row r="17" spans="1:19" ht="43.5" outlineLevel="1" x14ac:dyDescent="0.35">
      <c r="A17" s="280" t="s">
        <v>12</v>
      </c>
      <c r="B17" s="223" cm="1">
        <f t="array" ref="B17">INDEX(C17:Q17,Selected)</f>
        <v>0.1</v>
      </c>
      <c r="C17" s="128">
        <v>0.1</v>
      </c>
      <c r="D17" s="128">
        <v>0.1</v>
      </c>
      <c r="E17" s="128">
        <v>0.1</v>
      </c>
      <c r="F17" s="128">
        <v>0.1</v>
      </c>
      <c r="G17" s="128">
        <v>0.1</v>
      </c>
      <c r="H17" s="478"/>
      <c r="I17" s="478"/>
      <c r="J17" s="478"/>
      <c r="K17" s="478"/>
      <c r="L17" s="478"/>
      <c r="M17" s="478"/>
      <c r="N17" s="478"/>
      <c r="O17" s="478"/>
      <c r="P17" s="478"/>
      <c r="Q17" s="478"/>
    </row>
    <row r="18" spans="1:19" outlineLevel="1" x14ac:dyDescent="0.35">
      <c r="A18" s="8" t="s">
        <v>13</v>
      </c>
      <c r="B18" s="223" cm="1">
        <f t="array" ref="B18">INDEX(C18:Q18,Selected)</f>
        <v>0.04</v>
      </c>
      <c r="C18" s="128">
        <f t="shared" ref="C18:G18" si="4">1/25</f>
        <v>0.04</v>
      </c>
      <c r="D18" s="128">
        <f t="shared" si="4"/>
        <v>0.04</v>
      </c>
      <c r="E18" s="128">
        <f t="shared" si="4"/>
        <v>0.04</v>
      </c>
      <c r="F18" s="128">
        <f t="shared" si="4"/>
        <v>0.04</v>
      </c>
      <c r="G18" s="128">
        <f t="shared" si="4"/>
        <v>0.04</v>
      </c>
      <c r="H18" s="478"/>
      <c r="I18" s="478"/>
      <c r="J18" s="478"/>
      <c r="K18" s="478"/>
      <c r="L18" s="478"/>
      <c r="M18" s="478"/>
      <c r="N18" s="478"/>
      <c r="O18" s="478"/>
      <c r="P18" s="478"/>
      <c r="Q18" s="478"/>
    </row>
    <row r="19" spans="1:19" outlineLevel="1" x14ac:dyDescent="0.35">
      <c r="A19" s="8" t="s">
        <v>14</v>
      </c>
      <c r="B19" s="223" cm="1">
        <f t="array" ref="B19">INDEX(C19:Q19,Selected)</f>
        <v>1.4800000000000001E-2</v>
      </c>
      <c r="C19" s="371">
        <v>1.4800000000000001E-2</v>
      </c>
      <c r="D19" s="371">
        <v>1.4800000000000001E-2</v>
      </c>
      <c r="E19" s="371">
        <v>1.4800000000000001E-2</v>
      </c>
      <c r="F19" s="371">
        <v>1.4800000000000001E-2</v>
      </c>
      <c r="G19" s="371">
        <v>1.4800000000000001E-2</v>
      </c>
      <c r="H19" s="486"/>
      <c r="I19" s="486"/>
      <c r="J19" s="486"/>
      <c r="K19" s="486"/>
      <c r="L19" s="486"/>
      <c r="M19" s="486"/>
      <c r="N19" s="486"/>
      <c r="O19" s="486"/>
      <c r="P19" s="486"/>
      <c r="Q19" s="486"/>
    </row>
    <row r="20" spans="1:19" s="148" customFormat="1" outlineLevel="1" x14ac:dyDescent="0.35">
      <c r="A20" s="365"/>
      <c r="B20" s="147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S20"/>
    </row>
    <row r="21" spans="1:19" outlineLevel="1" x14ac:dyDescent="0.35">
      <c r="A21" s="8" t="s">
        <v>15</v>
      </c>
      <c r="B21" s="194" t="str" cm="1">
        <f t="array" ref="B21">INDEX(C21:Q21,Selected)</f>
        <v>yes</v>
      </c>
      <c r="C21" s="152" t="s">
        <v>16</v>
      </c>
      <c r="D21" s="152" t="s">
        <v>16</v>
      </c>
      <c r="E21" s="152" t="s">
        <v>16</v>
      </c>
      <c r="F21" s="152" t="s">
        <v>16</v>
      </c>
      <c r="G21" s="152" t="s">
        <v>16</v>
      </c>
      <c r="H21" s="487"/>
      <c r="I21" s="487"/>
      <c r="J21" s="487"/>
      <c r="K21" s="487"/>
      <c r="L21" s="487"/>
      <c r="M21" s="487"/>
      <c r="N21" s="487"/>
      <c r="O21" s="487"/>
      <c r="P21" s="487"/>
      <c r="Q21" s="487"/>
    </row>
    <row r="22" spans="1:19" outlineLevel="1" x14ac:dyDescent="0.35">
      <c r="A22" s="8" t="s">
        <v>17</v>
      </c>
      <c r="B22" s="194" cm="1">
        <f t="array" ref="B22">INDEX(C22:Q22,Selected)</f>
        <v>10</v>
      </c>
      <c r="C22" s="253">
        <v>10</v>
      </c>
      <c r="D22" s="253">
        <v>10</v>
      </c>
      <c r="E22" s="253">
        <v>10</v>
      </c>
      <c r="F22" s="253">
        <v>10</v>
      </c>
      <c r="G22" s="253">
        <v>10</v>
      </c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9" outlineLevel="1" x14ac:dyDescent="0.35">
      <c r="A23" s="8"/>
      <c r="B23" s="224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9" outlineLevel="1" x14ac:dyDescent="0.35">
      <c r="A24" s="8" t="s">
        <v>18</v>
      </c>
      <c r="B24" s="222" cm="1">
        <f t="array" ref="B24">INDEX(C24:Q24,Selected)</f>
        <v>1</v>
      </c>
      <c r="C24" s="256">
        <v>1</v>
      </c>
      <c r="D24" s="256">
        <v>1</v>
      </c>
      <c r="E24" s="256">
        <v>1</v>
      </c>
      <c r="F24" s="256">
        <v>1</v>
      </c>
      <c r="G24" s="256">
        <v>1</v>
      </c>
      <c r="H24" s="473"/>
      <c r="I24" s="473"/>
      <c r="J24" s="473"/>
      <c r="K24" s="473"/>
      <c r="L24" s="473"/>
      <c r="M24" s="473"/>
      <c r="N24" s="473"/>
      <c r="O24" s="473"/>
      <c r="P24" s="473"/>
      <c r="Q24" s="473"/>
    </row>
    <row r="25" spans="1:19" outlineLevel="1" x14ac:dyDescent="0.35">
      <c r="A25" s="8" t="s">
        <v>19</v>
      </c>
      <c r="B25" s="374" cm="1">
        <f t="array" ref="B25">INDEX(C25:Q25,Selected)</f>
        <v>10.503139931740614</v>
      </c>
      <c r="C25" s="254">
        <f>'LOS Schedule'!$O$71</f>
        <v>10.503139931740614</v>
      </c>
      <c r="D25" s="254">
        <f>'LOS Schedule'!$O$71</f>
        <v>10.503139931740614</v>
      </c>
      <c r="E25" s="254">
        <f>'LOS Schedule'!$O$71</f>
        <v>10.503139931740614</v>
      </c>
      <c r="F25" s="254">
        <f>'LOS Schedule'!$O$71</f>
        <v>10.503139931740614</v>
      </c>
      <c r="G25" s="254">
        <f>'LOS Schedule'!$O$71</f>
        <v>10.503139931740614</v>
      </c>
      <c r="H25" s="488"/>
      <c r="I25" s="488"/>
      <c r="J25" s="488"/>
      <c r="K25" s="488"/>
      <c r="L25" s="488"/>
      <c r="M25" s="488"/>
      <c r="N25" s="488"/>
      <c r="O25" s="488"/>
      <c r="P25" s="488"/>
      <c r="Q25" s="488"/>
    </row>
    <row r="26" spans="1:19" outlineLevel="1" x14ac:dyDescent="0.35">
      <c r="A26" s="8" t="s">
        <v>20</v>
      </c>
      <c r="B26" s="374" cm="1">
        <f t="array" ref="B26">INDEX(C26:Q26,Selected)</f>
        <v>10</v>
      </c>
      <c r="C26" s="254">
        <v>10</v>
      </c>
      <c r="D26" s="254">
        <v>10</v>
      </c>
      <c r="E26" s="254">
        <v>10</v>
      </c>
      <c r="F26" s="254">
        <v>10</v>
      </c>
      <c r="G26" s="254">
        <v>10</v>
      </c>
      <c r="H26" s="488"/>
      <c r="I26" s="488"/>
      <c r="J26" s="488"/>
      <c r="K26" s="488"/>
      <c r="L26" s="488"/>
      <c r="M26" s="488"/>
      <c r="N26" s="488"/>
      <c r="O26" s="488"/>
      <c r="P26" s="488"/>
      <c r="Q26" s="488"/>
    </row>
    <row r="27" spans="1:19" outlineLevel="1" x14ac:dyDescent="0.35">
      <c r="A27" s="8"/>
      <c r="B27" s="230"/>
      <c r="C27" s="231"/>
      <c r="D27" s="231"/>
      <c r="E27" s="231"/>
      <c r="F27" s="231"/>
      <c r="G27" s="231"/>
      <c r="H27" s="488"/>
      <c r="I27" s="488"/>
      <c r="J27" s="488"/>
      <c r="K27" s="488"/>
      <c r="L27" s="488"/>
      <c r="M27" s="488"/>
      <c r="N27" s="488"/>
      <c r="O27" s="488"/>
      <c r="P27" s="488"/>
      <c r="Q27" s="488"/>
    </row>
    <row r="28" spans="1:19" outlineLevel="1" x14ac:dyDescent="0.35">
      <c r="A28" s="8" t="s">
        <v>21</v>
      </c>
      <c r="B28" s="223" cm="1">
        <f t="array" ref="B28">INDEX(C28:Q28,Selected)</f>
        <v>2.8545476330126728E-2</v>
      </c>
      <c r="C28" s="142">
        <f>'Data-CPIAll'!$N$38</f>
        <v>2.8545476330126728E-2</v>
      </c>
      <c r="D28" s="142">
        <f>'Data-CPIAll'!$N$38</f>
        <v>2.8545476330126728E-2</v>
      </c>
      <c r="E28" s="142">
        <f>'Data-CPIAll'!$N$38</f>
        <v>2.8545476330126728E-2</v>
      </c>
      <c r="F28" s="142">
        <f>'Data-CPIAll'!$N$38</f>
        <v>2.8545476330126728E-2</v>
      </c>
      <c r="G28" s="142">
        <f>'Data-CPIAll'!$N$38</f>
        <v>2.8545476330126728E-2</v>
      </c>
      <c r="H28" s="489"/>
      <c r="I28" s="489"/>
      <c r="J28" s="489"/>
      <c r="K28" s="489"/>
      <c r="L28" s="489"/>
      <c r="M28" s="489"/>
      <c r="N28" s="489"/>
      <c r="O28" s="489"/>
      <c r="P28" s="489"/>
      <c r="Q28" s="489"/>
    </row>
    <row r="29" spans="1:19" outlineLevel="1" x14ac:dyDescent="0.35">
      <c r="A29" s="8"/>
      <c r="B29" s="281"/>
      <c r="C29" s="282"/>
      <c r="D29" s="282"/>
      <c r="E29" s="282"/>
      <c r="F29" s="282"/>
      <c r="G29" s="282"/>
      <c r="H29" s="489"/>
      <c r="I29" s="489"/>
      <c r="J29" s="489"/>
      <c r="K29" s="489"/>
      <c r="L29" s="489"/>
      <c r="M29" s="489"/>
      <c r="N29" s="489"/>
      <c r="O29" s="489"/>
      <c r="P29" s="489"/>
      <c r="Q29" s="489"/>
    </row>
    <row r="30" spans="1:19" outlineLevel="1" x14ac:dyDescent="0.35">
      <c r="A30" s="8" t="s">
        <v>531</v>
      </c>
      <c r="B30" s="223" cm="1">
        <f t="array" ref="B30">INDEX(C30:Q30,Selected)</f>
        <v>0.5</v>
      </c>
      <c r="C30" s="284">
        <v>1</v>
      </c>
      <c r="D30" s="284">
        <v>0</v>
      </c>
      <c r="E30" s="284">
        <v>0</v>
      </c>
      <c r="F30" s="284">
        <v>0</v>
      </c>
      <c r="G30" s="284">
        <v>0.5</v>
      </c>
      <c r="H30" s="490"/>
      <c r="I30" s="490"/>
      <c r="J30" s="490"/>
      <c r="K30" s="490"/>
      <c r="L30" s="490"/>
      <c r="M30" s="490"/>
      <c r="N30" s="490"/>
      <c r="O30" s="490"/>
      <c r="P30" s="490"/>
      <c r="Q30" s="490"/>
    </row>
    <row r="31" spans="1:19" outlineLevel="1" x14ac:dyDescent="0.35">
      <c r="A31" s="8" t="s">
        <v>22</v>
      </c>
      <c r="B31" s="223" cm="1">
        <f t="array" ref="B31">INDEX(C31:Q31,Selected)</f>
        <v>0.5</v>
      </c>
      <c r="C31" s="405">
        <f t="shared" ref="C31" si="5">1-C30</f>
        <v>0</v>
      </c>
      <c r="D31" s="405">
        <f>1-D30</f>
        <v>1</v>
      </c>
      <c r="E31" s="405">
        <f t="shared" ref="E31" si="6">1-E30</f>
        <v>1</v>
      </c>
      <c r="F31" s="405">
        <f>1-F30</f>
        <v>1</v>
      </c>
      <c r="G31" s="405">
        <f t="shared" ref="G31" si="7">1-G30</f>
        <v>0.5</v>
      </c>
      <c r="H31" s="491"/>
      <c r="I31" s="491"/>
      <c r="J31" s="491"/>
      <c r="K31" s="491"/>
      <c r="L31" s="491"/>
      <c r="M31" s="491"/>
      <c r="N31" s="491"/>
      <c r="O31" s="491"/>
      <c r="P31" s="491"/>
      <c r="Q31" s="491"/>
    </row>
    <row r="32" spans="1:19" outlineLevel="1" x14ac:dyDescent="0.35">
      <c r="A32" s="8" t="s">
        <v>23</v>
      </c>
      <c r="B32" s="222" t="str" cm="1">
        <f t="array" ref="B32">INDEX(C32:Q32,Selected)</f>
        <v>0.5-0.5</v>
      </c>
      <c r="C32" s="406" t="str">
        <f t="shared" ref="C32" si="8">C30&amp;"-"&amp;C31</f>
        <v>1-0</v>
      </c>
      <c r="D32" s="406" t="str">
        <f>D30&amp;"-"&amp;D31</f>
        <v>0-1</v>
      </c>
      <c r="E32" s="406" t="str">
        <f t="shared" ref="E32" si="9">E30&amp;"-"&amp;E31</f>
        <v>0-1</v>
      </c>
      <c r="F32" s="406" t="str">
        <f>F30&amp;"-"&amp;F31</f>
        <v>0-1</v>
      </c>
      <c r="G32" s="406" t="str">
        <f t="shared" ref="G32" si="10">G30&amp;"-"&amp;G31</f>
        <v>0.5-0.5</v>
      </c>
      <c r="H32" s="415"/>
      <c r="I32" s="415"/>
      <c r="J32" s="415"/>
      <c r="K32" s="415"/>
      <c r="L32" s="415"/>
      <c r="M32" s="415"/>
      <c r="N32" s="415"/>
      <c r="O32" s="415"/>
      <c r="P32" s="415"/>
      <c r="Q32" s="415"/>
    </row>
    <row r="33" spans="1:19" outlineLevel="1" x14ac:dyDescent="0.35">
      <c r="A33" s="8" t="s">
        <v>24</v>
      </c>
      <c r="B33" s="234" cm="1">
        <f t="array" ref="B33">INDEX(C33:Q33,Selected)</f>
        <v>0</v>
      </c>
      <c r="C33" s="247"/>
      <c r="D33" s="247"/>
      <c r="E33" s="247"/>
      <c r="F33" s="247">
        <f t="shared" ref="F33" si="11">0.45</f>
        <v>0.45</v>
      </c>
      <c r="G33" s="247"/>
      <c r="H33" s="475"/>
      <c r="I33" s="475"/>
      <c r="J33" s="475"/>
      <c r="K33" s="475"/>
      <c r="L33" s="475"/>
      <c r="M33" s="475"/>
      <c r="N33" s="474"/>
      <c r="O33" s="474"/>
      <c r="P33" s="474"/>
      <c r="Q33" s="474"/>
    </row>
    <row r="34" spans="1:19" outlineLevel="1" x14ac:dyDescent="0.35">
      <c r="A34" s="8" t="s">
        <v>25</v>
      </c>
      <c r="B34" s="234" cm="1">
        <f t="array" ref="B34">INDEX(C34:Q34,Selected)</f>
        <v>0</v>
      </c>
      <c r="C34" s="247"/>
      <c r="D34" s="247"/>
      <c r="E34" s="247"/>
      <c r="F34" s="247"/>
      <c r="G34" s="247"/>
      <c r="H34" s="475"/>
      <c r="I34" s="475"/>
      <c r="J34" s="475"/>
      <c r="K34" s="475"/>
      <c r="L34" s="475"/>
      <c r="M34" s="475"/>
      <c r="N34" s="474"/>
      <c r="O34" s="474"/>
      <c r="P34" s="474"/>
      <c r="Q34" s="474"/>
    </row>
    <row r="35" spans="1:19" outlineLevel="1" x14ac:dyDescent="0.35">
      <c r="A35" s="8"/>
      <c r="B35" s="395"/>
      <c r="C35" s="133"/>
      <c r="D35" s="133"/>
      <c r="E35" s="133"/>
      <c r="F35" s="133"/>
      <c r="G35" s="133"/>
      <c r="H35" s="475"/>
      <c r="I35" s="475"/>
      <c r="J35" s="475"/>
      <c r="K35" s="475"/>
      <c r="L35" s="475"/>
      <c r="M35" s="475"/>
      <c r="N35" s="474"/>
      <c r="O35" s="474"/>
      <c r="P35" s="474"/>
      <c r="Q35" s="474"/>
    </row>
    <row r="36" spans="1:19" outlineLevel="1" x14ac:dyDescent="0.35">
      <c r="A36" s="8" t="s">
        <v>26</v>
      </c>
      <c r="B36" s="234" cm="1">
        <f t="array" ref="B36">INDEX(C36:Q36,Selected)</f>
        <v>139.72999999999999</v>
      </c>
      <c r="C36" s="247">
        <v>139.72999999999999</v>
      </c>
      <c r="D36" s="247">
        <v>139.72999999999999</v>
      </c>
      <c r="E36" s="247">
        <v>139.72999999999999</v>
      </c>
      <c r="F36" s="247">
        <v>139.72999999999999</v>
      </c>
      <c r="G36" s="247">
        <v>139.72999999999999</v>
      </c>
      <c r="H36" s="475"/>
      <c r="I36" s="475"/>
      <c r="J36" s="475"/>
      <c r="K36" s="475"/>
      <c r="L36" s="475"/>
      <c r="M36" s="475"/>
      <c r="N36" s="474"/>
      <c r="O36" s="474"/>
      <c r="P36" s="474"/>
      <c r="Q36" s="474"/>
    </row>
    <row r="37" spans="1:19" outlineLevel="1" x14ac:dyDescent="0.35">
      <c r="A37" s="8" t="s">
        <v>27</v>
      </c>
      <c r="B37" s="234" cm="1">
        <f t="array" ref="B37">INDEX(C37:Q37,Selected)</f>
        <v>171.12</v>
      </c>
      <c r="C37" s="247">
        <v>171.12</v>
      </c>
      <c r="D37" s="247">
        <v>171.12</v>
      </c>
      <c r="E37" s="247">
        <v>206.91</v>
      </c>
      <c r="F37" s="247">
        <v>171.12</v>
      </c>
      <c r="G37" s="247">
        <v>171.12</v>
      </c>
      <c r="H37" s="475"/>
      <c r="I37" s="475"/>
      <c r="J37" s="475"/>
      <c r="K37" s="475"/>
      <c r="L37" s="475"/>
      <c r="M37" s="475"/>
      <c r="N37" s="474"/>
      <c r="O37" s="474"/>
      <c r="P37" s="474"/>
      <c r="Q37" s="474"/>
    </row>
    <row r="38" spans="1:19" outlineLevel="1" x14ac:dyDescent="0.35">
      <c r="A38" s="8"/>
      <c r="B38" s="395"/>
      <c r="C38" s="133"/>
      <c r="D38" s="133"/>
      <c r="E38" s="133"/>
      <c r="F38" s="133"/>
      <c r="G38" s="133"/>
      <c r="H38" s="475"/>
      <c r="I38" s="475"/>
      <c r="J38" s="475"/>
      <c r="K38" s="475"/>
      <c r="L38" s="475"/>
      <c r="M38" s="475"/>
      <c r="N38" s="474"/>
      <c r="O38" s="474"/>
      <c r="P38" s="474"/>
      <c r="Q38" s="474"/>
    </row>
    <row r="39" spans="1:19" outlineLevel="1" x14ac:dyDescent="0.35">
      <c r="A39" s="8" t="s">
        <v>28</v>
      </c>
      <c r="B39" s="234" cm="1">
        <f t="array" ref="B39">INDEX(C39:Q39,Selected)</f>
        <v>131.66999999999999</v>
      </c>
      <c r="C39" s="247">
        <v>131.66999999999999</v>
      </c>
      <c r="D39" s="247">
        <v>131.66999999999999</v>
      </c>
      <c r="E39" s="247">
        <v>131.66999999999999</v>
      </c>
      <c r="F39" s="247">
        <v>131.66999999999999</v>
      </c>
      <c r="G39" s="247">
        <v>131.66999999999999</v>
      </c>
      <c r="H39" s="475"/>
      <c r="I39" s="475"/>
      <c r="J39" s="475"/>
      <c r="K39" s="475"/>
      <c r="L39" s="475"/>
      <c r="M39" s="475"/>
      <c r="N39" s="474"/>
      <c r="O39" s="474"/>
      <c r="P39" s="474"/>
      <c r="Q39" s="474"/>
    </row>
    <row r="40" spans="1:19" outlineLevel="1" x14ac:dyDescent="0.35">
      <c r="A40" s="8" t="s">
        <v>29</v>
      </c>
      <c r="B40" s="234" cm="1">
        <f t="array" ref="B40">INDEX(C40:Q40,Selected)</f>
        <v>67.319999999999993</v>
      </c>
      <c r="C40" s="247">
        <v>67.319999999999993</v>
      </c>
      <c r="D40" s="247">
        <v>67.319999999999993</v>
      </c>
      <c r="E40" s="247">
        <v>67.319999999999993</v>
      </c>
      <c r="F40" s="247">
        <v>67.319999999999993</v>
      </c>
      <c r="G40" s="247">
        <v>67.319999999999993</v>
      </c>
      <c r="H40" s="475"/>
      <c r="I40" s="475"/>
      <c r="J40" s="475"/>
      <c r="K40" s="475"/>
      <c r="L40" s="475"/>
      <c r="M40" s="475"/>
      <c r="N40" s="474"/>
      <c r="O40" s="474"/>
      <c r="P40" s="474"/>
      <c r="Q40" s="474"/>
    </row>
    <row r="41" spans="1:19" outlineLevel="1" x14ac:dyDescent="0.35">
      <c r="A41" s="8"/>
      <c r="B41" s="395"/>
      <c r="C41" s="133"/>
      <c r="D41" s="133"/>
      <c r="E41" s="133"/>
      <c r="F41" s="133"/>
      <c r="G41" s="133"/>
      <c r="H41" s="475"/>
      <c r="I41" s="475"/>
      <c r="J41" s="475"/>
      <c r="K41" s="475"/>
      <c r="L41" s="475"/>
      <c r="M41" s="475"/>
      <c r="N41" s="474"/>
      <c r="O41" s="474"/>
      <c r="P41" s="474"/>
      <c r="Q41" s="474"/>
    </row>
    <row r="42" spans="1:19" outlineLevel="1" x14ac:dyDescent="0.35">
      <c r="A42" s="8" t="s">
        <v>30</v>
      </c>
      <c r="B42" s="234" cm="1">
        <f t="array" ref="B42">INDEX(C42:Q42,Selected)</f>
        <v>58</v>
      </c>
      <c r="C42" s="247">
        <v>58</v>
      </c>
      <c r="D42" s="247">
        <v>58</v>
      </c>
      <c r="E42" s="247">
        <v>58</v>
      </c>
      <c r="F42" s="247">
        <v>58</v>
      </c>
      <c r="G42" s="247">
        <v>58</v>
      </c>
      <c r="H42" s="475"/>
      <c r="I42" s="475"/>
      <c r="J42" s="475"/>
      <c r="K42" s="475"/>
      <c r="L42" s="475"/>
      <c r="M42" s="475"/>
      <c r="N42" s="475"/>
      <c r="O42" s="475"/>
      <c r="P42" s="475"/>
      <c r="Q42" s="475"/>
    </row>
    <row r="43" spans="1:19" outlineLevel="1" x14ac:dyDescent="0.35">
      <c r="A43" s="8" t="s">
        <v>31</v>
      </c>
      <c r="B43" s="194" t="str" cm="1">
        <f t="array" ref="B43">INDEX(C43:Q43,Selected)</f>
        <v>Contractor</v>
      </c>
      <c r="C43" s="127" t="s">
        <v>32</v>
      </c>
      <c r="D43" s="127" t="s">
        <v>32</v>
      </c>
      <c r="E43" s="127" t="s">
        <v>32</v>
      </c>
      <c r="F43" s="127" t="s">
        <v>32</v>
      </c>
      <c r="G43" s="127" t="s">
        <v>32</v>
      </c>
      <c r="H43" s="126"/>
      <c r="I43" s="126"/>
      <c r="J43" s="126"/>
      <c r="K43" s="126"/>
      <c r="L43" s="126"/>
      <c r="M43" s="126"/>
      <c r="N43" s="126"/>
      <c r="O43" s="126"/>
      <c r="P43" s="126"/>
      <c r="Q43" s="126"/>
    </row>
    <row r="44" spans="1:19" outlineLevel="1" x14ac:dyDescent="0.35">
      <c r="A44" s="8"/>
      <c r="B44" s="395"/>
      <c r="C44" s="133"/>
      <c r="D44" s="133"/>
      <c r="E44" s="133"/>
      <c r="F44" s="133"/>
      <c r="G44" s="133"/>
      <c r="H44" s="475"/>
      <c r="I44" s="475"/>
      <c r="J44" s="475"/>
      <c r="K44" s="475"/>
      <c r="L44" s="475"/>
      <c r="M44" s="475"/>
      <c r="N44" s="475"/>
      <c r="O44" s="475"/>
      <c r="P44" s="475"/>
      <c r="Q44" s="475"/>
    </row>
    <row r="45" spans="1:19" s="101" customFormat="1" outlineLevel="1" x14ac:dyDescent="0.35">
      <c r="A45" s="8" t="s">
        <v>33</v>
      </c>
      <c r="B45" s="194" cm="1">
        <f t="array" ref="B45">INDEX(C45:Q45,Selected)</f>
        <v>2</v>
      </c>
      <c r="C45" s="127">
        <v>2</v>
      </c>
      <c r="D45" s="127">
        <v>2</v>
      </c>
      <c r="E45" s="127">
        <v>2</v>
      </c>
      <c r="F45" s="127">
        <v>2</v>
      </c>
      <c r="G45" s="127">
        <v>2</v>
      </c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S45"/>
    </row>
    <row r="46" spans="1:19" s="101" customFormat="1" outlineLevel="1" x14ac:dyDescent="0.35">
      <c r="A46" s="8" t="s">
        <v>1106</v>
      </c>
      <c r="B46" s="222" cm="1">
        <f t="array" ref="B46">INDEX(C46:Q46,Selected)</f>
        <v>0.33878180066463731</v>
      </c>
      <c r="C46" s="128">
        <f>'LOS Schedule'!$E$75</f>
        <v>0.33878180066463731</v>
      </c>
      <c r="D46" s="128">
        <f>'LOS Schedule'!$E$75</f>
        <v>0.33878180066463731</v>
      </c>
      <c r="E46" s="128">
        <f>'LOS Schedule'!$E$75</f>
        <v>0.33878180066463731</v>
      </c>
      <c r="F46" s="128">
        <f>'LOS Schedule'!$E$75</f>
        <v>0.33878180066463731</v>
      </c>
      <c r="G46" s="128">
        <f>'LOS Schedule'!$E$75</f>
        <v>0.33878180066463731</v>
      </c>
      <c r="H46" s="478"/>
      <c r="I46" s="478"/>
      <c r="J46" s="478"/>
      <c r="K46" s="478"/>
      <c r="L46" s="478"/>
      <c r="M46" s="478"/>
      <c r="N46" s="201"/>
      <c r="O46" s="201"/>
      <c r="P46" s="201"/>
      <c r="Q46" s="201"/>
      <c r="S46"/>
    </row>
    <row r="47" spans="1:19" s="101" customFormat="1" outlineLevel="1" x14ac:dyDescent="0.35">
      <c r="A47" s="8" t="s">
        <v>34</v>
      </c>
      <c r="B47" s="194" cm="1">
        <f t="array" ref="B47">INDEX(C47:Q47,Selected)</f>
        <v>10</v>
      </c>
      <c r="C47" s="127">
        <v>10</v>
      </c>
      <c r="D47" s="127">
        <v>10</v>
      </c>
      <c r="E47" s="127">
        <v>10</v>
      </c>
      <c r="F47" s="127">
        <v>10</v>
      </c>
      <c r="G47" s="127">
        <v>10</v>
      </c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S47"/>
    </row>
    <row r="48" spans="1:19" s="101" customFormat="1" outlineLevel="1" x14ac:dyDescent="0.35">
      <c r="A48" s="8" t="s">
        <v>35</v>
      </c>
      <c r="B48" s="222" cm="1">
        <f t="array" ref="B48">INDEX(C48:Q48,Selected)</f>
        <v>1</v>
      </c>
      <c r="C48" s="132">
        <v>1</v>
      </c>
      <c r="D48" s="132">
        <v>1</v>
      </c>
      <c r="E48" s="132">
        <v>1</v>
      </c>
      <c r="F48" s="132">
        <v>1</v>
      </c>
      <c r="G48" s="132">
        <v>1</v>
      </c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S48"/>
    </row>
    <row r="49" spans="1:17" outlineLevel="1" x14ac:dyDescent="0.35">
      <c r="A49" s="8"/>
      <c r="B49" s="283"/>
      <c r="C49" s="130"/>
      <c r="D49" s="130"/>
      <c r="E49" s="130"/>
      <c r="F49" s="130"/>
      <c r="G49" s="130"/>
      <c r="H49" s="201"/>
      <c r="I49" s="201"/>
      <c r="J49" s="201"/>
      <c r="K49" s="201"/>
      <c r="L49" s="201"/>
      <c r="M49" s="201"/>
      <c r="N49" s="201"/>
      <c r="O49" s="201"/>
      <c r="P49" s="201"/>
      <c r="Q49" s="201"/>
    </row>
    <row r="50" spans="1:17" outlineLevel="1" x14ac:dyDescent="0.35">
      <c r="A50" s="8" t="s">
        <v>36</v>
      </c>
      <c r="B50" s="368" cm="1">
        <f t="array" ref="B50">INDEX(C50:Q50,Selected)</f>
        <v>53383617</v>
      </c>
      <c r="C50" s="300">
        <v>53383617</v>
      </c>
      <c r="D50" s="300">
        <v>53383617</v>
      </c>
      <c r="E50" s="300">
        <v>53383617</v>
      </c>
      <c r="F50" s="300">
        <v>53383617</v>
      </c>
      <c r="G50" s="300">
        <v>53383617</v>
      </c>
      <c r="H50" s="474"/>
      <c r="I50" s="474"/>
      <c r="J50" s="474"/>
      <c r="K50" s="474"/>
      <c r="L50" s="474"/>
      <c r="M50" s="474"/>
      <c r="N50" s="474"/>
      <c r="O50" s="474"/>
      <c r="P50" s="474"/>
      <c r="Q50" s="474"/>
    </row>
    <row r="51" spans="1:17" outlineLevel="1" x14ac:dyDescent="0.35">
      <c r="A51" s="8" t="s">
        <v>37</v>
      </c>
      <c r="B51" s="368" cm="1">
        <f t="array" ref="B51">INDEX(C51:Q51,Selected)</f>
        <v>13259821</v>
      </c>
      <c r="C51" s="300">
        <v>13259821</v>
      </c>
      <c r="D51" s="300">
        <v>13259821</v>
      </c>
      <c r="E51" s="300">
        <v>13259821</v>
      </c>
      <c r="F51" s="300">
        <v>13259821</v>
      </c>
      <c r="G51" s="300">
        <v>13259821</v>
      </c>
      <c r="H51" s="474"/>
      <c r="I51" s="474"/>
      <c r="J51" s="474"/>
      <c r="K51" s="474"/>
      <c r="L51" s="474"/>
      <c r="M51" s="474"/>
      <c r="N51" s="474"/>
      <c r="O51" s="474"/>
      <c r="P51" s="474"/>
      <c r="Q51" s="474"/>
    </row>
    <row r="52" spans="1:17" outlineLevel="1" x14ac:dyDescent="0.35">
      <c r="A52" s="8"/>
      <c r="B52" s="396"/>
      <c r="C52" s="397"/>
      <c r="D52" s="397"/>
      <c r="E52" s="397"/>
      <c r="F52" s="397"/>
      <c r="G52" s="397"/>
      <c r="H52" s="474"/>
      <c r="I52" s="474"/>
      <c r="J52" s="474"/>
      <c r="K52" s="474"/>
      <c r="L52" s="474"/>
      <c r="M52" s="474"/>
      <c r="N52" s="474"/>
      <c r="O52" s="474"/>
      <c r="P52" s="474"/>
      <c r="Q52" s="474"/>
    </row>
    <row r="53" spans="1:17" x14ac:dyDescent="0.35">
      <c r="A53" s="8" t="s">
        <v>10</v>
      </c>
      <c r="B53" s="165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</row>
    <row r="54" spans="1:17" x14ac:dyDescent="0.35">
      <c r="A54" s="8"/>
      <c r="B54" s="16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</row>
    <row r="55" spans="1:17" ht="18.5" x14ac:dyDescent="0.45">
      <c r="A55" s="225" t="s">
        <v>38</v>
      </c>
      <c r="B55" s="198"/>
    </row>
    <row r="56" spans="1:17" ht="29" outlineLevel="1" x14ac:dyDescent="0.35">
      <c r="A56" s="17" t="s">
        <v>39</v>
      </c>
      <c r="B56" s="194" t="str" cm="1">
        <f t="array" ref="B56">INDEX(C56:Q56,Selected)</f>
        <v>meter and endpoint</v>
      </c>
      <c r="C56" s="257" t="s">
        <v>40</v>
      </c>
      <c r="D56" s="257" t="s">
        <v>40</v>
      </c>
      <c r="E56" s="257" t="s">
        <v>40</v>
      </c>
      <c r="F56" s="257" t="s">
        <v>40</v>
      </c>
      <c r="G56" s="257" t="s">
        <v>40</v>
      </c>
      <c r="H56" s="492"/>
      <c r="I56" s="492"/>
      <c r="J56" s="492"/>
      <c r="K56" s="492"/>
      <c r="L56" s="492"/>
      <c r="M56" s="492"/>
      <c r="N56" s="492"/>
      <c r="O56" s="492"/>
      <c r="P56" s="492"/>
      <c r="Q56" s="492"/>
    </row>
    <row r="57" spans="1:17" outlineLevel="1" x14ac:dyDescent="0.35">
      <c r="A57" s="55"/>
      <c r="B57" s="198"/>
    </row>
    <row r="58" spans="1:17" outlineLevel="1" x14ac:dyDescent="0.35">
      <c r="A58" s="8" t="s">
        <v>41</v>
      </c>
      <c r="B58" s="232" cm="1">
        <f t="array" ref="B58">INDEX(C58:Q58,Selected)</f>
        <v>0</v>
      </c>
      <c r="C58" s="258"/>
      <c r="D58" s="258"/>
      <c r="E58" s="258"/>
      <c r="F58" s="258"/>
      <c r="G58" s="258"/>
      <c r="H58" s="207"/>
      <c r="I58" s="207"/>
      <c r="J58" s="207"/>
      <c r="K58" s="207"/>
      <c r="L58" s="207"/>
      <c r="M58" s="207"/>
      <c r="N58" s="207"/>
      <c r="O58" s="207"/>
      <c r="P58" s="207"/>
      <c r="Q58" s="207"/>
    </row>
    <row r="59" spans="1:17" outlineLevel="1" x14ac:dyDescent="0.35">
      <c r="A59" s="8" t="s">
        <v>42</v>
      </c>
      <c r="B59" s="232" cm="1">
        <f t="array" ref="B59">INDEX(C59:Q59,Selected)</f>
        <v>13000</v>
      </c>
      <c r="C59" s="258">
        <f>'LOS Schedule'!$E$53</f>
        <v>13000</v>
      </c>
      <c r="D59" s="258">
        <f>'LOS Schedule'!$E$53</f>
        <v>13000</v>
      </c>
      <c r="E59" s="258">
        <f>'LOS Schedule'!$E$53</f>
        <v>13000</v>
      </c>
      <c r="F59" s="258">
        <f>'LOS Schedule'!$E$53</f>
        <v>13000</v>
      </c>
      <c r="G59" s="258">
        <f>'LOS Schedule'!$E$53</f>
        <v>13000</v>
      </c>
      <c r="H59" s="207"/>
      <c r="I59" s="207"/>
      <c r="J59" s="207"/>
      <c r="K59" s="207"/>
      <c r="L59" s="207"/>
      <c r="M59" s="207"/>
      <c r="N59" s="207"/>
      <c r="O59" s="207"/>
      <c r="P59" s="207"/>
      <c r="Q59" s="207"/>
    </row>
    <row r="60" spans="1:17" outlineLevel="1" x14ac:dyDescent="0.35">
      <c r="A60" s="8" t="s">
        <v>43</v>
      </c>
      <c r="B60" s="232" cm="1">
        <f t="array" ref="B60">INDEX(C60:Q60,Selected)</f>
        <v>0</v>
      </c>
      <c r="C60" s="258"/>
      <c r="D60" s="258"/>
      <c r="E60" s="258"/>
      <c r="F60" s="258"/>
      <c r="G60" s="258"/>
      <c r="H60" s="207"/>
      <c r="I60" s="207"/>
      <c r="J60" s="207"/>
      <c r="K60" s="207"/>
      <c r="L60" s="207"/>
      <c r="M60" s="207"/>
      <c r="N60" s="207"/>
      <c r="O60" s="207"/>
      <c r="P60" s="207"/>
      <c r="Q60" s="207"/>
    </row>
    <row r="61" spans="1:17" outlineLevel="1" x14ac:dyDescent="0.35">
      <c r="B61" s="200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</row>
    <row r="62" spans="1:17" outlineLevel="1" x14ac:dyDescent="0.35">
      <c r="A62" s="8" t="s">
        <v>44</v>
      </c>
      <c r="B62" s="232" cm="1">
        <f t="array" ref="B62">INDEX(C62:Q62,Selected)</f>
        <v>0</v>
      </c>
      <c r="C62" s="258"/>
      <c r="D62" s="258"/>
      <c r="E62" s="258"/>
      <c r="F62" s="258"/>
      <c r="G62" s="258"/>
      <c r="H62" s="207"/>
      <c r="I62" s="207"/>
      <c r="J62" s="207"/>
      <c r="K62" s="207"/>
      <c r="L62" s="207"/>
      <c r="M62" s="207"/>
      <c r="N62" s="207"/>
      <c r="O62" s="207"/>
      <c r="P62" s="207"/>
      <c r="Q62" s="207"/>
    </row>
    <row r="63" spans="1:17" outlineLevel="1" x14ac:dyDescent="0.35">
      <c r="A63" s="8" t="s">
        <v>45</v>
      </c>
      <c r="B63" s="232" cm="1">
        <f t="array" ref="B63">INDEX(C63:Q63,Selected)</f>
        <v>10625</v>
      </c>
      <c r="C63" s="258">
        <f>'LOS Schedule'!$F$53</f>
        <v>10625</v>
      </c>
      <c r="D63" s="258">
        <f>'LOS Schedule'!$F$53</f>
        <v>10625</v>
      </c>
      <c r="E63" s="258">
        <f>'LOS Schedule'!$F$53</f>
        <v>10625</v>
      </c>
      <c r="F63" s="258">
        <f>'LOS Schedule'!$F$53</f>
        <v>10625</v>
      </c>
      <c r="G63" s="258">
        <f>'LOS Schedule'!$F$53</f>
        <v>10625</v>
      </c>
      <c r="H63" s="207"/>
      <c r="I63" s="207"/>
      <c r="J63" s="207"/>
      <c r="K63" s="207"/>
      <c r="L63" s="207"/>
      <c r="M63" s="207"/>
      <c r="N63" s="207"/>
      <c r="O63" s="207"/>
      <c r="P63" s="207"/>
      <c r="Q63" s="207"/>
    </row>
    <row r="64" spans="1:17" outlineLevel="1" x14ac:dyDescent="0.35">
      <c r="A64" s="8" t="s">
        <v>46</v>
      </c>
      <c r="B64" s="232" cm="1">
        <f t="array" ref="B64">INDEX(C64:Q64,Selected)</f>
        <v>0</v>
      </c>
      <c r="C64" s="258"/>
      <c r="D64" s="258"/>
      <c r="E64" s="258"/>
      <c r="F64" s="258"/>
      <c r="G64" s="258"/>
      <c r="H64" s="207"/>
      <c r="I64" s="207"/>
      <c r="J64" s="207"/>
      <c r="K64" s="207"/>
      <c r="L64" s="207"/>
      <c r="M64" s="207"/>
      <c r="N64" s="207"/>
      <c r="O64" s="207"/>
      <c r="P64" s="207"/>
      <c r="Q64" s="207"/>
    </row>
    <row r="65" spans="1:17" outlineLevel="1" x14ac:dyDescent="0.35">
      <c r="A65" s="8"/>
      <c r="B65" s="200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</row>
    <row r="66" spans="1:17" outlineLevel="1" x14ac:dyDescent="0.35">
      <c r="A66" s="8" t="s">
        <v>47</v>
      </c>
      <c r="B66" s="232" cm="1">
        <f t="array" ref="B66">INDEX(C66:Q66,Selected)</f>
        <v>0</v>
      </c>
      <c r="C66" s="258"/>
      <c r="D66" s="258"/>
      <c r="E66" s="258"/>
      <c r="F66" s="258"/>
      <c r="G66" s="258"/>
      <c r="H66" s="207"/>
      <c r="I66" s="207"/>
      <c r="J66" s="207"/>
      <c r="K66" s="207"/>
      <c r="L66" s="207"/>
      <c r="M66" s="207"/>
      <c r="N66" s="207"/>
      <c r="O66" s="207"/>
      <c r="P66" s="207"/>
      <c r="Q66" s="207"/>
    </row>
    <row r="67" spans="1:17" outlineLevel="1" x14ac:dyDescent="0.35">
      <c r="A67" s="8" t="s">
        <v>48</v>
      </c>
      <c r="B67" s="232" cm="1">
        <f t="array" ref="B67">INDEX(C67:Q67,Selected)</f>
        <v>0</v>
      </c>
      <c r="C67" s="258">
        <f>'LOS Schedule'!$G$53</f>
        <v>0</v>
      </c>
      <c r="D67" s="258">
        <f>'LOS Schedule'!$G$53</f>
        <v>0</v>
      </c>
      <c r="E67" s="258">
        <f>'LOS Schedule'!$G$53</f>
        <v>0</v>
      </c>
      <c r="F67" s="258">
        <f>'LOS Schedule'!$G$53</f>
        <v>0</v>
      </c>
      <c r="G67" s="258">
        <f>'LOS Schedule'!$G$53</f>
        <v>0</v>
      </c>
      <c r="J67" s="207"/>
      <c r="K67" s="207"/>
      <c r="L67" s="207"/>
      <c r="M67" s="207"/>
      <c r="N67" s="207"/>
      <c r="O67" s="207"/>
      <c r="P67" s="207"/>
      <c r="Q67" s="207"/>
    </row>
    <row r="68" spans="1:17" outlineLevel="1" x14ac:dyDescent="0.35">
      <c r="A68" s="8" t="s">
        <v>49</v>
      </c>
      <c r="B68" s="232" cm="1">
        <f t="array" ref="B68">INDEX(C68:Q68,Selected)</f>
        <v>0</v>
      </c>
      <c r="C68" s="258"/>
      <c r="D68" s="258"/>
      <c r="E68" s="258"/>
      <c r="F68" s="258"/>
      <c r="G68" s="258"/>
      <c r="H68" s="207"/>
      <c r="I68" s="207"/>
      <c r="J68" s="207"/>
      <c r="K68" s="207"/>
      <c r="L68" s="207"/>
      <c r="M68" s="207"/>
      <c r="N68" s="207"/>
      <c r="O68" s="207"/>
      <c r="P68" s="207"/>
      <c r="Q68" s="207"/>
    </row>
    <row r="69" spans="1:17" outlineLevel="1" x14ac:dyDescent="0.35">
      <c r="A69" s="8"/>
      <c r="B69" s="200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1:17" outlineLevel="1" x14ac:dyDescent="0.35">
      <c r="A70" s="8" t="s">
        <v>50</v>
      </c>
      <c r="B70" s="232" cm="1">
        <f t="array" ref="B70">INDEX(C70:Q70,Selected)</f>
        <v>0</v>
      </c>
      <c r="C70" s="258"/>
      <c r="D70" s="258"/>
      <c r="E70" s="258"/>
      <c r="F70" s="258"/>
      <c r="G70" s="258"/>
      <c r="H70" s="207"/>
      <c r="I70" s="207"/>
      <c r="J70" s="207"/>
      <c r="K70" s="207"/>
      <c r="L70" s="207"/>
      <c r="M70" s="207"/>
      <c r="N70" s="207"/>
      <c r="O70" s="207"/>
      <c r="P70" s="207"/>
      <c r="Q70" s="207"/>
    </row>
    <row r="71" spans="1:17" outlineLevel="1" x14ac:dyDescent="0.35">
      <c r="A71" s="8" t="s">
        <v>51</v>
      </c>
      <c r="B71" s="232" cm="1">
        <f t="array" ref="B71">INDEX(C71:Q71,Selected)</f>
        <v>0</v>
      </c>
      <c r="C71" s="258">
        <f>'LOS Schedule'!$H$53</f>
        <v>0</v>
      </c>
      <c r="D71" s="258"/>
      <c r="E71" s="258"/>
      <c r="F71" s="258"/>
      <c r="G71" s="258">
        <f>'LOS Schedule'!$H$53</f>
        <v>0</v>
      </c>
      <c r="H71" s="207"/>
      <c r="I71" s="207"/>
      <c r="J71" s="207"/>
      <c r="K71" s="207"/>
      <c r="L71" s="207"/>
      <c r="M71" s="207"/>
      <c r="N71" s="207"/>
      <c r="O71" s="207"/>
      <c r="P71" s="207"/>
      <c r="Q71" s="207"/>
    </row>
    <row r="72" spans="1:17" outlineLevel="1" x14ac:dyDescent="0.35">
      <c r="A72" s="8" t="s">
        <v>52</v>
      </c>
      <c r="B72" s="232" cm="1">
        <f t="array" ref="B72">INDEX(C72:Q72,Selected)</f>
        <v>0</v>
      </c>
      <c r="C72" s="258"/>
      <c r="D72" s="258"/>
      <c r="E72" s="258"/>
      <c r="F72" s="258"/>
      <c r="G72" s="258"/>
      <c r="H72" s="207"/>
      <c r="I72" s="207"/>
      <c r="J72" s="207"/>
      <c r="K72" s="207"/>
      <c r="L72" s="207"/>
      <c r="M72" s="207"/>
      <c r="N72" s="207"/>
      <c r="O72" s="207"/>
      <c r="P72" s="207"/>
      <c r="Q72" s="207"/>
    </row>
    <row r="73" spans="1:17" outlineLevel="1" x14ac:dyDescent="0.35">
      <c r="B73" s="200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</row>
    <row r="74" spans="1:17" outlineLevel="1" x14ac:dyDescent="0.35">
      <c r="A74" s="8" t="s">
        <v>53</v>
      </c>
      <c r="B74" s="232" cm="1">
        <f t="array" ref="B74">INDEX(C74:Q74,Selected)</f>
        <v>0</v>
      </c>
      <c r="C74" s="258"/>
      <c r="D74" s="258"/>
      <c r="E74" s="258"/>
      <c r="F74" s="258"/>
      <c r="G74" s="258"/>
      <c r="H74" s="207"/>
      <c r="I74" s="207"/>
      <c r="J74" s="207"/>
      <c r="K74" s="207"/>
      <c r="L74" s="207"/>
      <c r="M74" s="207"/>
      <c r="N74" s="207"/>
      <c r="O74" s="207"/>
      <c r="P74" s="207"/>
      <c r="Q74" s="207"/>
    </row>
    <row r="75" spans="1:17" outlineLevel="1" x14ac:dyDescent="0.35">
      <c r="A75" s="8" t="s">
        <v>54</v>
      </c>
      <c r="B75" s="232" cm="1">
        <f t="array" ref="B75">INDEX(C75:Q75,Selected)</f>
        <v>0</v>
      </c>
      <c r="C75" s="258">
        <f>'LOS Schedule'!$I$53</f>
        <v>0</v>
      </c>
      <c r="D75" s="258"/>
      <c r="E75" s="258"/>
      <c r="F75" s="258"/>
      <c r="G75" s="258">
        <f>'LOS Schedule'!$I$53</f>
        <v>0</v>
      </c>
      <c r="H75" s="207"/>
      <c r="I75" s="207"/>
      <c r="J75" s="207"/>
      <c r="K75" s="207"/>
      <c r="L75" s="207"/>
      <c r="M75" s="207"/>
      <c r="N75" s="207"/>
      <c r="O75" s="207"/>
      <c r="P75" s="207"/>
      <c r="Q75" s="207"/>
    </row>
    <row r="76" spans="1:17" outlineLevel="1" x14ac:dyDescent="0.35">
      <c r="A76" s="8" t="s">
        <v>55</v>
      </c>
      <c r="B76" s="232" cm="1">
        <f t="array" ref="B76">INDEX(C76:Q76,Selected)</f>
        <v>0</v>
      </c>
      <c r="C76" s="258"/>
      <c r="D76" s="258"/>
      <c r="E76" s="258"/>
      <c r="F76" s="258"/>
      <c r="G76" s="258"/>
      <c r="H76" s="207"/>
      <c r="I76" s="207"/>
      <c r="J76" s="207"/>
      <c r="K76" s="207"/>
      <c r="L76" s="207"/>
      <c r="M76" s="207"/>
      <c r="N76" s="207"/>
      <c r="O76" s="207"/>
      <c r="P76" s="207"/>
      <c r="Q76" s="207"/>
    </row>
    <row r="77" spans="1:17" outlineLevel="1" x14ac:dyDescent="0.35">
      <c r="A77" s="8"/>
      <c r="B77" s="200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207"/>
      <c r="O77" s="207"/>
      <c r="P77" s="207"/>
      <c r="Q77" s="207"/>
    </row>
    <row r="78" spans="1:17" outlineLevel="1" x14ac:dyDescent="0.35">
      <c r="A78" s="8" t="s">
        <v>56</v>
      </c>
      <c r="B78" s="232" cm="1">
        <f t="array" ref="B78">INDEX(C78:Q78,Selected)</f>
        <v>0</v>
      </c>
      <c r="C78" s="258"/>
      <c r="D78" s="258"/>
      <c r="E78" s="258"/>
      <c r="F78" s="258"/>
      <c r="G78" s="258"/>
      <c r="H78" s="207"/>
      <c r="I78" s="207"/>
      <c r="J78" s="207"/>
      <c r="K78" s="207"/>
      <c r="L78" s="207"/>
      <c r="M78" s="207"/>
      <c r="N78" s="207"/>
      <c r="O78" s="207"/>
      <c r="P78" s="207"/>
      <c r="Q78" s="207"/>
    </row>
    <row r="79" spans="1:17" outlineLevel="1" x14ac:dyDescent="0.35">
      <c r="A79" s="8" t="s">
        <v>57</v>
      </c>
      <c r="B79" s="232" cm="1">
        <f t="array" ref="B79">INDEX(C79:Q79,Selected)</f>
        <v>0</v>
      </c>
      <c r="C79" s="258">
        <f>'LOS Schedule'!$J$53</f>
        <v>0</v>
      </c>
      <c r="D79" s="258"/>
      <c r="E79" s="258"/>
      <c r="F79" s="258"/>
      <c r="G79" s="258">
        <f>'LOS Schedule'!$J$53</f>
        <v>0</v>
      </c>
      <c r="H79" s="207"/>
      <c r="I79" s="207"/>
      <c r="J79" s="207"/>
      <c r="K79" s="207"/>
      <c r="L79" s="207"/>
      <c r="M79" s="207"/>
      <c r="N79" s="207"/>
      <c r="O79" s="207"/>
      <c r="P79" s="207"/>
      <c r="Q79" s="207"/>
    </row>
    <row r="80" spans="1:17" outlineLevel="1" x14ac:dyDescent="0.35">
      <c r="A80" s="8" t="s">
        <v>58</v>
      </c>
      <c r="B80" s="232" cm="1">
        <f t="array" ref="B80">INDEX(C80:Q80,Selected)</f>
        <v>0</v>
      </c>
      <c r="C80" s="258"/>
      <c r="D80" s="258"/>
      <c r="E80" s="258"/>
      <c r="F80" s="258"/>
      <c r="G80" s="258"/>
      <c r="H80" s="207"/>
      <c r="I80" s="207"/>
      <c r="J80" s="207"/>
      <c r="K80" s="207"/>
      <c r="L80" s="207"/>
      <c r="M80" s="207"/>
      <c r="N80" s="207"/>
      <c r="O80" s="207"/>
      <c r="P80" s="207"/>
      <c r="Q80" s="207"/>
    </row>
    <row r="81" spans="1:17" outlineLevel="1" x14ac:dyDescent="0.35">
      <c r="A81" s="8"/>
      <c r="B81" s="200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195"/>
      <c r="O81" s="195"/>
      <c r="P81" s="195"/>
      <c r="Q81" s="195"/>
    </row>
    <row r="82" spans="1:17" outlineLevel="1" x14ac:dyDescent="0.35">
      <c r="A82" s="8" t="s">
        <v>59</v>
      </c>
      <c r="B82" s="232" cm="1">
        <f t="array" ref="B82">INDEX(C82:Q82,Selected)</f>
        <v>0</v>
      </c>
      <c r="C82" s="258"/>
      <c r="D82" s="258"/>
      <c r="E82" s="258"/>
      <c r="F82" s="258"/>
      <c r="G82" s="258"/>
      <c r="H82" s="207"/>
      <c r="I82" s="207"/>
      <c r="J82" s="207"/>
      <c r="K82" s="207"/>
      <c r="L82" s="207"/>
      <c r="M82" s="207"/>
      <c r="N82" s="207"/>
      <c r="O82" s="207"/>
      <c r="P82" s="207"/>
      <c r="Q82" s="207"/>
    </row>
    <row r="83" spans="1:17" outlineLevel="1" x14ac:dyDescent="0.35">
      <c r="A83" s="8" t="s">
        <v>60</v>
      </c>
      <c r="B83" s="232" cm="1">
        <f t="array" ref="B83">INDEX(C83:Q83,Selected)</f>
        <v>0</v>
      </c>
      <c r="C83" s="258">
        <f>'LOS Schedule'!$K$53</f>
        <v>0</v>
      </c>
      <c r="D83" s="258"/>
      <c r="E83" s="258"/>
      <c r="F83" s="258"/>
      <c r="G83" s="258">
        <f>'LOS Schedule'!$K$53</f>
        <v>0</v>
      </c>
      <c r="H83" s="207"/>
      <c r="I83" s="207"/>
      <c r="J83" s="207"/>
      <c r="K83" s="207"/>
      <c r="L83" s="207"/>
      <c r="M83" s="207"/>
      <c r="N83" s="207"/>
      <c r="O83" s="207"/>
      <c r="P83" s="207"/>
      <c r="Q83" s="207"/>
    </row>
    <row r="84" spans="1:17" outlineLevel="1" x14ac:dyDescent="0.35">
      <c r="A84" s="8" t="s">
        <v>61</v>
      </c>
      <c r="B84" s="232" cm="1">
        <f t="array" ref="B84">INDEX(C84:Q84,Selected)</f>
        <v>0</v>
      </c>
      <c r="C84" s="258"/>
      <c r="D84" s="258"/>
      <c r="E84" s="258"/>
      <c r="F84" s="258"/>
      <c r="G84" s="258"/>
      <c r="H84" s="207"/>
      <c r="I84" s="207"/>
      <c r="J84" s="207"/>
      <c r="K84" s="207"/>
      <c r="L84" s="207"/>
      <c r="M84" s="207"/>
      <c r="N84" s="207"/>
      <c r="O84" s="207"/>
      <c r="P84" s="207"/>
      <c r="Q84" s="207"/>
    </row>
    <row r="85" spans="1:17" outlineLevel="1" x14ac:dyDescent="0.35">
      <c r="A85" s="8"/>
      <c r="B85" s="200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1:17" outlineLevel="1" x14ac:dyDescent="0.35">
      <c r="A86" s="8" t="s">
        <v>62</v>
      </c>
      <c r="B86" s="232" cm="1">
        <f t="array" ref="B86">INDEX(C86:Q86,Selected)</f>
        <v>0</v>
      </c>
      <c r="C86" s="258"/>
      <c r="D86" s="258"/>
      <c r="E86" s="258"/>
      <c r="F86" s="258"/>
      <c r="G86" s="258"/>
      <c r="H86" s="207"/>
      <c r="I86" s="207"/>
      <c r="J86" s="207"/>
      <c r="K86" s="207"/>
      <c r="L86" s="207"/>
      <c r="M86" s="207"/>
      <c r="N86" s="207"/>
      <c r="O86" s="207"/>
      <c r="P86" s="207"/>
      <c r="Q86" s="207"/>
    </row>
    <row r="87" spans="1:17" outlineLevel="1" x14ac:dyDescent="0.35">
      <c r="A87" s="8" t="s">
        <v>63</v>
      </c>
      <c r="B87" s="232" cm="1">
        <f t="array" ref="B87">INDEX(C87:Q87,Selected)</f>
        <v>0</v>
      </c>
      <c r="C87" s="258">
        <f>'LOS Schedule'!$L$53</f>
        <v>0</v>
      </c>
      <c r="D87" s="258"/>
      <c r="E87" s="258"/>
      <c r="F87" s="258"/>
      <c r="G87" s="258">
        <f>'LOS Schedule'!$L$53</f>
        <v>0</v>
      </c>
      <c r="H87" s="207"/>
      <c r="I87" s="207"/>
      <c r="J87" s="207"/>
      <c r="K87" s="207"/>
      <c r="L87" s="207"/>
      <c r="M87" s="207"/>
      <c r="N87" s="207"/>
      <c r="O87" s="207"/>
      <c r="P87" s="207"/>
      <c r="Q87" s="207"/>
    </row>
    <row r="88" spans="1:17" outlineLevel="1" x14ac:dyDescent="0.35">
      <c r="A88" s="8" t="s">
        <v>64</v>
      </c>
      <c r="B88" s="232" cm="1">
        <f t="array" ref="B88">INDEX(C88:Q88,Selected)</f>
        <v>0</v>
      </c>
      <c r="C88" s="258"/>
      <c r="D88" s="258"/>
      <c r="E88" s="258"/>
      <c r="F88" s="258"/>
      <c r="G88" s="258"/>
      <c r="H88" s="207"/>
      <c r="I88" s="207"/>
      <c r="J88" s="207"/>
      <c r="K88" s="207"/>
      <c r="L88" s="207"/>
      <c r="M88" s="207"/>
      <c r="N88" s="207"/>
      <c r="O88" s="207"/>
      <c r="P88" s="207"/>
      <c r="Q88" s="207"/>
    </row>
    <row r="89" spans="1:17" outlineLevel="1" x14ac:dyDescent="0.35">
      <c r="B89" s="200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</row>
    <row r="90" spans="1:17" outlineLevel="1" x14ac:dyDescent="0.35">
      <c r="A90" s="8" t="s">
        <v>65</v>
      </c>
      <c r="B90" s="232" cm="1">
        <f t="array" ref="B90">INDEX(C90:Q90,Selected)</f>
        <v>0</v>
      </c>
      <c r="C90" s="258"/>
      <c r="D90" s="258"/>
      <c r="E90" s="258"/>
      <c r="F90" s="258"/>
      <c r="G90" s="258"/>
      <c r="H90" s="207"/>
      <c r="I90" s="207"/>
      <c r="J90" s="207"/>
      <c r="K90" s="207"/>
      <c r="L90" s="207"/>
      <c r="M90" s="207"/>
      <c r="N90" s="207"/>
      <c r="O90" s="207"/>
      <c r="P90" s="207"/>
      <c r="Q90" s="207"/>
    </row>
    <row r="91" spans="1:17" outlineLevel="1" x14ac:dyDescent="0.35">
      <c r="A91" s="8" t="s">
        <v>66</v>
      </c>
      <c r="B91" s="232" cm="1">
        <f t="array" ref="B91">INDEX(C91:Q91,Selected)</f>
        <v>0</v>
      </c>
      <c r="C91" s="258">
        <f>'LOS Schedule'!$M$53</f>
        <v>0</v>
      </c>
      <c r="D91" s="258"/>
      <c r="E91" s="258"/>
      <c r="F91" s="258"/>
      <c r="G91" s="258">
        <f>'LOS Schedule'!$M$53</f>
        <v>0</v>
      </c>
      <c r="H91" s="207"/>
      <c r="I91" s="207"/>
      <c r="J91" s="207"/>
      <c r="K91" s="207"/>
      <c r="L91" s="207"/>
      <c r="M91" s="207"/>
      <c r="N91" s="207"/>
      <c r="O91" s="207"/>
      <c r="P91" s="207"/>
      <c r="Q91" s="207"/>
    </row>
    <row r="92" spans="1:17" outlineLevel="1" x14ac:dyDescent="0.35">
      <c r="A92" s="8" t="s">
        <v>67</v>
      </c>
      <c r="B92" s="232" cm="1">
        <f t="array" ref="B92">INDEX(C92:Q92,Selected)</f>
        <v>0</v>
      </c>
      <c r="C92" s="258"/>
      <c r="D92" s="258"/>
      <c r="E92" s="258"/>
      <c r="F92" s="258"/>
      <c r="G92" s="258"/>
      <c r="H92" s="207"/>
      <c r="I92" s="207"/>
      <c r="J92" s="207"/>
      <c r="K92" s="207"/>
      <c r="L92" s="207"/>
      <c r="M92" s="207"/>
      <c r="N92" s="207"/>
      <c r="O92" s="207"/>
      <c r="P92" s="207"/>
      <c r="Q92" s="207"/>
    </row>
    <row r="93" spans="1:17" outlineLevel="1" x14ac:dyDescent="0.35">
      <c r="A93" s="8"/>
      <c r="B93" s="200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207"/>
      <c r="O93" s="207"/>
      <c r="P93" s="207"/>
      <c r="Q93" s="207"/>
    </row>
    <row r="94" spans="1:17" outlineLevel="1" x14ac:dyDescent="0.35">
      <c r="A94" s="8" t="s">
        <v>68</v>
      </c>
      <c r="B94" s="232" cm="1">
        <f t="array" ref="B94">INDEX(C94:Q94,Selected)</f>
        <v>0</v>
      </c>
      <c r="C94" s="258"/>
      <c r="D94" s="258"/>
      <c r="E94" s="258"/>
      <c r="F94" s="258"/>
      <c r="G94" s="258"/>
      <c r="H94" s="207"/>
      <c r="I94" s="207"/>
      <c r="J94" s="207"/>
      <c r="K94" s="207"/>
      <c r="L94" s="207"/>
      <c r="M94" s="207"/>
      <c r="N94" s="207"/>
      <c r="O94" s="207"/>
      <c r="P94" s="207"/>
      <c r="Q94" s="207"/>
    </row>
    <row r="95" spans="1:17" outlineLevel="1" x14ac:dyDescent="0.35">
      <c r="A95" s="8" t="s">
        <v>69</v>
      </c>
      <c r="B95" s="232" cm="1">
        <f t="array" ref="B95">INDEX(C95:Q95,Selected)</f>
        <v>16000</v>
      </c>
      <c r="C95" s="258">
        <f>'LOS Schedule'!$N$53-SUM(C71:C92)</f>
        <v>16000</v>
      </c>
      <c r="D95" s="258">
        <f>'LOS Schedule'!$N$53-SUM(D71:D92)</f>
        <v>16000</v>
      </c>
      <c r="E95" s="258">
        <f>'LOS Schedule'!$N$53-SUM(E71:E92)</f>
        <v>16000</v>
      </c>
      <c r="F95" s="258">
        <f>'LOS Schedule'!$N$53-SUM(F71:F92)</f>
        <v>16000</v>
      </c>
      <c r="G95" s="258">
        <f>'LOS Schedule'!$N$53-SUM(G71:G92)</f>
        <v>16000</v>
      </c>
      <c r="H95" s="207"/>
      <c r="I95" s="207"/>
      <c r="J95" s="207"/>
      <c r="K95" s="207"/>
      <c r="L95" s="207"/>
      <c r="M95" s="207"/>
      <c r="N95" s="207"/>
      <c r="O95" s="207"/>
      <c r="P95" s="207"/>
      <c r="Q95" s="207"/>
    </row>
    <row r="96" spans="1:17" outlineLevel="1" x14ac:dyDescent="0.35">
      <c r="A96" s="8" t="s">
        <v>70</v>
      </c>
      <c r="B96" s="232" cm="1">
        <f t="array" ref="B96">INDEX(C96:Q96,Selected)</f>
        <v>0</v>
      </c>
      <c r="C96" s="258"/>
      <c r="D96" s="258"/>
      <c r="E96" s="258"/>
      <c r="F96" s="258"/>
      <c r="G96" s="258"/>
      <c r="H96" s="207"/>
      <c r="I96" s="207"/>
      <c r="J96" s="207"/>
      <c r="K96" s="207"/>
      <c r="L96" s="207"/>
      <c r="M96" s="207"/>
      <c r="N96" s="207"/>
      <c r="O96" s="207"/>
      <c r="P96" s="207"/>
      <c r="Q96" s="207"/>
    </row>
    <row r="97" spans="1:17" outlineLevel="1" x14ac:dyDescent="0.35">
      <c r="A97" s="8"/>
      <c r="B97" s="233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</row>
    <row r="98" spans="1:17" outlineLevel="1" x14ac:dyDescent="0.35">
      <c r="A98" s="8" t="s">
        <v>71</v>
      </c>
      <c r="B98" s="232" cm="1">
        <f t="array" ref="B98">INDEX(C98:Q98,Selected)</f>
        <v>0</v>
      </c>
      <c r="C98" s="258"/>
      <c r="D98" s="258"/>
      <c r="E98" s="258"/>
      <c r="F98" s="258"/>
      <c r="G98" s="258"/>
      <c r="H98" s="207"/>
      <c r="I98" s="207"/>
      <c r="J98" s="207"/>
      <c r="K98" s="207"/>
      <c r="L98" s="207"/>
      <c r="M98" s="207"/>
      <c r="N98" s="207"/>
      <c r="O98" s="207"/>
      <c r="P98" s="207"/>
      <c r="Q98" s="207"/>
    </row>
    <row r="99" spans="1:17" outlineLevel="1" x14ac:dyDescent="0.35">
      <c r="A99" s="8" t="s">
        <v>72</v>
      </c>
      <c r="B99" s="232" cm="1">
        <f t="array" ref="B99">INDEX(C99:Q99,Selected)</f>
        <v>0</v>
      </c>
      <c r="C99" s="258">
        <f>'LOS Schedule'!$O$53</f>
        <v>0</v>
      </c>
      <c r="D99" s="258">
        <f>'LOS Schedule'!$O$53</f>
        <v>0</v>
      </c>
      <c r="E99" s="258">
        <f>'LOS Schedule'!$O$53</f>
        <v>0</v>
      </c>
      <c r="F99" s="258">
        <f>'LOS Schedule'!$O$53</f>
        <v>0</v>
      </c>
      <c r="G99" s="258">
        <f>'LOS Schedule'!$O$53</f>
        <v>0</v>
      </c>
      <c r="H99" s="207"/>
      <c r="I99" s="207"/>
      <c r="J99" s="207"/>
      <c r="K99" s="207"/>
      <c r="L99" s="207"/>
      <c r="M99" s="207"/>
      <c r="N99" s="207"/>
      <c r="O99" s="207"/>
      <c r="P99" s="207"/>
      <c r="Q99" s="207"/>
    </row>
    <row r="100" spans="1:17" outlineLevel="1" x14ac:dyDescent="0.35">
      <c r="A100" s="8" t="s">
        <v>73</v>
      </c>
      <c r="B100" s="232" cm="1">
        <f t="array" ref="B100">INDEX(C100:Q100,Selected)</f>
        <v>0</v>
      </c>
      <c r="C100" s="258"/>
      <c r="D100" s="258"/>
      <c r="E100" s="258"/>
      <c r="F100" s="258"/>
      <c r="G100" s="258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</row>
    <row r="101" spans="1:17" outlineLevel="1" x14ac:dyDescent="0.35">
      <c r="A101" s="8"/>
      <c r="B101" s="233"/>
      <c r="N101" s="207"/>
      <c r="O101" s="207"/>
      <c r="P101" s="207"/>
      <c r="Q101" s="207"/>
    </row>
    <row r="102" spans="1:17" outlineLevel="1" x14ac:dyDescent="0.35">
      <c r="A102" s="8"/>
      <c r="B102" s="232" cm="1">
        <f t="array" ref="B102">INDEX(C102:Q102,Selected)</f>
        <v>0</v>
      </c>
      <c r="C102" s="258"/>
      <c r="D102" s="258"/>
      <c r="E102" s="258"/>
      <c r="F102" s="258"/>
      <c r="G102" s="258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</row>
    <row r="103" spans="1:17" outlineLevel="1" x14ac:dyDescent="0.35">
      <c r="A103" s="8" t="s">
        <v>74</v>
      </c>
      <c r="B103" s="232" cm="1">
        <f t="array" ref="B103">INDEX(C103:Q103,Selected)</f>
        <v>0</v>
      </c>
      <c r="C103" s="258">
        <f>'LOS Schedule'!$P$53</f>
        <v>0</v>
      </c>
      <c r="D103" s="258">
        <f>'LOS Schedule'!$P$53</f>
        <v>0</v>
      </c>
      <c r="E103" s="258">
        <f>'LOS Schedule'!$P$53</f>
        <v>0</v>
      </c>
      <c r="F103" s="258">
        <f>'LOS Schedule'!$P$53</f>
        <v>0</v>
      </c>
      <c r="G103" s="258">
        <f>'LOS Schedule'!$P$53</f>
        <v>0</v>
      </c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</row>
    <row r="104" spans="1:17" outlineLevel="1" x14ac:dyDescent="0.35">
      <c r="A104" s="8" t="s">
        <v>75</v>
      </c>
      <c r="B104" s="232" cm="1">
        <f t="array" ref="B104">INDEX(C104:Q104,Selected)</f>
        <v>0</v>
      </c>
      <c r="C104" s="258"/>
      <c r="D104" s="258"/>
      <c r="E104" s="258"/>
      <c r="F104" s="258"/>
      <c r="G104" s="258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</row>
    <row r="105" spans="1:17" outlineLevel="1" x14ac:dyDescent="0.35">
      <c r="A105" s="8"/>
      <c r="B105" s="233"/>
      <c r="N105" s="207"/>
      <c r="O105" s="207"/>
      <c r="P105" s="207"/>
      <c r="Q105" s="207"/>
    </row>
    <row r="106" spans="1:17" outlineLevel="1" x14ac:dyDescent="0.35">
      <c r="A106" s="8" t="s">
        <v>76</v>
      </c>
      <c r="B106" s="232" cm="1">
        <f t="array" ref="B106">INDEX(C106:Q106,Selected)</f>
        <v>0</v>
      </c>
      <c r="C106" s="258"/>
      <c r="D106" s="258"/>
      <c r="E106" s="258"/>
      <c r="F106" s="258"/>
      <c r="G106" s="258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</row>
    <row r="107" spans="1:17" outlineLevel="1" x14ac:dyDescent="0.35">
      <c r="A107" s="8" t="s">
        <v>77</v>
      </c>
      <c r="B107" s="232" cm="1">
        <f t="array" ref="B107">INDEX(C107:Q107,Selected)</f>
        <v>0</v>
      </c>
      <c r="C107" s="258">
        <f>'LOS Schedule'!$Q$53</f>
        <v>0</v>
      </c>
      <c r="D107" s="258">
        <f>'LOS Schedule'!$Q$53</f>
        <v>0</v>
      </c>
      <c r="E107" s="258">
        <f>'LOS Schedule'!$Q$53</f>
        <v>0</v>
      </c>
      <c r="F107" s="258">
        <f>'LOS Schedule'!$Q$53</f>
        <v>0</v>
      </c>
      <c r="G107" s="258">
        <f>'LOS Schedule'!$Q$53</f>
        <v>0</v>
      </c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</row>
    <row r="108" spans="1:17" outlineLevel="1" x14ac:dyDescent="0.35">
      <c r="A108" s="8" t="s">
        <v>78</v>
      </c>
      <c r="B108" s="232" cm="1">
        <f t="array" ref="B108">INDEX(C108:Q108,Selected)</f>
        <v>0</v>
      </c>
      <c r="C108" s="258"/>
      <c r="D108" s="258"/>
      <c r="E108" s="258"/>
      <c r="F108" s="258"/>
      <c r="G108" s="258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</row>
    <row r="109" spans="1:17" outlineLevel="1" x14ac:dyDescent="0.35">
      <c r="A109" s="8"/>
      <c r="B109" s="233"/>
      <c r="N109" s="207"/>
      <c r="O109" s="207"/>
      <c r="P109" s="207"/>
      <c r="Q109" s="207"/>
    </row>
    <row r="110" spans="1:17" outlineLevel="1" x14ac:dyDescent="0.35">
      <c r="A110" s="8" t="s">
        <v>79</v>
      </c>
      <c r="B110" s="232" cm="1">
        <f t="array" ref="B110">INDEX(C110:Q110,Selected)</f>
        <v>0</v>
      </c>
      <c r="C110" s="258"/>
      <c r="D110" s="258"/>
      <c r="E110" s="258"/>
      <c r="F110" s="258"/>
      <c r="G110" s="258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</row>
    <row r="111" spans="1:17" outlineLevel="1" x14ac:dyDescent="0.35">
      <c r="A111" s="8" t="s">
        <v>80</v>
      </c>
      <c r="B111" s="232" cm="1">
        <f t="array" ref="B111">INDEX(C111:Q111,Selected)</f>
        <v>0</v>
      </c>
      <c r="C111" s="258">
        <f>'LOS Schedule'!$R$53</f>
        <v>0</v>
      </c>
      <c r="D111" s="258">
        <f>'LOS Schedule'!$R$53</f>
        <v>0</v>
      </c>
      <c r="E111" s="258">
        <f>'LOS Schedule'!$R$53</f>
        <v>0</v>
      </c>
      <c r="F111" s="258">
        <f>'LOS Schedule'!$R$53</f>
        <v>0</v>
      </c>
      <c r="G111" s="258">
        <f>'LOS Schedule'!$R$53</f>
        <v>0</v>
      </c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</row>
    <row r="112" spans="1:17" outlineLevel="1" x14ac:dyDescent="0.35">
      <c r="A112" s="8" t="s">
        <v>81</v>
      </c>
      <c r="B112" s="232" cm="1">
        <f t="array" ref="B112">INDEX(C112:Q112,Selected)</f>
        <v>0</v>
      </c>
      <c r="C112" s="258"/>
      <c r="D112" s="258"/>
      <c r="E112" s="258"/>
      <c r="F112" s="258"/>
      <c r="G112" s="258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</row>
    <row r="113" spans="1:17" outlineLevel="1" x14ac:dyDescent="0.35">
      <c r="A113" s="8"/>
      <c r="B113" s="233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</row>
    <row r="114" spans="1:17" outlineLevel="1" x14ac:dyDescent="0.35">
      <c r="A114" s="8" t="s">
        <v>82</v>
      </c>
      <c r="B114" s="232" cm="1">
        <f t="array" ref="B114">INDEX(C114:Q114,Selected)</f>
        <v>0</v>
      </c>
      <c r="C114" s="258"/>
      <c r="D114" s="258"/>
      <c r="E114" s="258"/>
      <c r="F114" s="258"/>
      <c r="G114" s="258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</row>
    <row r="115" spans="1:17" outlineLevel="1" x14ac:dyDescent="0.35">
      <c r="A115" s="8" t="s">
        <v>83</v>
      </c>
      <c r="B115" s="232" cm="1">
        <f t="array" ref="B115">INDEX(C115:Q115,Selected)</f>
        <v>0</v>
      </c>
      <c r="C115" s="258"/>
      <c r="D115" s="258"/>
      <c r="E115" s="258"/>
      <c r="F115" s="258"/>
      <c r="G115" s="258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</row>
    <row r="116" spans="1:17" outlineLevel="1" x14ac:dyDescent="0.35">
      <c r="A116" s="8" t="s">
        <v>84</v>
      </c>
      <c r="B116" s="232" cm="1">
        <f t="array" ref="B116">INDEX(C116:Q116,Selected)</f>
        <v>0</v>
      </c>
      <c r="C116" s="258"/>
      <c r="D116" s="258"/>
      <c r="E116" s="258"/>
      <c r="F116" s="258"/>
      <c r="G116" s="258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</row>
    <row r="117" spans="1:17" outlineLevel="1" x14ac:dyDescent="0.35">
      <c r="A117" s="8"/>
      <c r="B117" s="224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</row>
    <row r="118" spans="1:17" x14ac:dyDescent="0.35">
      <c r="A118" s="8" t="s">
        <v>85</v>
      </c>
      <c r="B118" s="198"/>
      <c r="C118" s="195"/>
      <c r="D118" s="195"/>
      <c r="E118" s="195"/>
      <c r="F118" s="195"/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1:17" x14ac:dyDescent="0.35">
      <c r="A119" s="8"/>
      <c r="B119" s="16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1:17" ht="18.5" x14ac:dyDescent="0.45">
      <c r="A120" s="225" t="s">
        <v>86</v>
      </c>
      <c r="B120" s="136"/>
      <c r="C120" s="131"/>
      <c r="D120" s="131"/>
      <c r="E120" s="131"/>
      <c r="F120" s="131"/>
      <c r="G120" s="131"/>
      <c r="H120" s="478"/>
      <c r="I120" s="478"/>
      <c r="J120" s="478"/>
      <c r="K120" s="478"/>
      <c r="L120" s="478"/>
      <c r="M120" s="478"/>
      <c r="N120" s="478"/>
      <c r="O120" s="478"/>
      <c r="P120" s="478"/>
      <c r="Q120" s="478"/>
    </row>
    <row r="121" spans="1:17" outlineLevel="1" x14ac:dyDescent="0.35">
      <c r="A121" s="8" t="s">
        <v>87</v>
      </c>
      <c r="B121" s="368" cm="1">
        <f t="array" ref="B121">INDEX(C121:Q121,Selected)</f>
        <v>0</v>
      </c>
      <c r="C121" s="208"/>
      <c r="D121" s="208"/>
      <c r="E121" s="208"/>
      <c r="F121" s="208"/>
      <c r="G121" s="208"/>
      <c r="H121" s="474"/>
      <c r="I121" s="474"/>
      <c r="J121" s="474"/>
      <c r="K121" s="474"/>
      <c r="L121" s="474"/>
      <c r="M121" s="474"/>
      <c r="N121" s="474"/>
      <c r="O121" s="474"/>
      <c r="P121" s="474"/>
      <c r="Q121" s="474"/>
    </row>
    <row r="122" spans="1:17" outlineLevel="1" x14ac:dyDescent="0.35">
      <c r="A122" s="8" t="s">
        <v>88</v>
      </c>
      <c r="B122" s="368" cm="1">
        <f t="array" ref="B122">INDEX(C122:Q122,Selected)</f>
        <v>0</v>
      </c>
      <c r="C122" s="208"/>
      <c r="D122" s="208"/>
      <c r="E122" s="208"/>
      <c r="F122" s="208"/>
      <c r="G122" s="208"/>
      <c r="H122" s="474"/>
      <c r="I122" s="474"/>
      <c r="J122" s="474"/>
      <c r="K122" s="474"/>
      <c r="L122" s="474"/>
      <c r="M122" s="474"/>
      <c r="N122" s="474"/>
      <c r="O122" s="474"/>
      <c r="P122" s="474"/>
      <c r="Q122" s="474"/>
    </row>
    <row r="123" spans="1:17" outlineLevel="1" x14ac:dyDescent="0.35">
      <c r="A123" s="8" t="s">
        <v>89</v>
      </c>
      <c r="B123" s="368" cm="1">
        <f t="array" ref="B123">INDEX(C123:Q123,Selected)</f>
        <v>0</v>
      </c>
      <c r="C123" s="208"/>
      <c r="D123" s="208"/>
      <c r="E123" s="208"/>
      <c r="F123" s="208"/>
      <c r="G123" s="208"/>
      <c r="H123" s="474"/>
      <c r="I123" s="474"/>
      <c r="J123" s="474"/>
      <c r="K123" s="474"/>
      <c r="L123" s="474"/>
      <c r="M123" s="474"/>
      <c r="N123" s="474"/>
      <c r="O123" s="474"/>
      <c r="P123" s="474"/>
      <c r="Q123" s="474"/>
    </row>
    <row r="124" spans="1:17" outlineLevel="1" x14ac:dyDescent="0.35">
      <c r="A124" s="8" t="s">
        <v>90</v>
      </c>
      <c r="B124" s="234" cm="1">
        <f t="array" ref="B124">INDEX(C124:Q124,Selected)</f>
        <v>0</v>
      </c>
      <c r="C124" s="209"/>
      <c r="D124" s="209"/>
      <c r="E124" s="209"/>
      <c r="F124" s="209"/>
      <c r="G124" s="209"/>
      <c r="H124" s="475"/>
      <c r="I124" s="475"/>
      <c r="J124" s="475"/>
      <c r="K124" s="475"/>
      <c r="L124" s="475"/>
      <c r="M124" s="475"/>
      <c r="N124" s="475"/>
      <c r="O124" s="475"/>
      <c r="P124" s="475"/>
      <c r="Q124" s="475"/>
    </row>
    <row r="125" spans="1:17" outlineLevel="1" x14ac:dyDescent="0.35">
      <c r="A125" s="8" t="s">
        <v>91</v>
      </c>
      <c r="B125" s="234" cm="1">
        <f t="array" ref="B125">INDEX(C125:Q125,Selected)</f>
        <v>0</v>
      </c>
      <c r="C125" s="209"/>
      <c r="D125" s="209"/>
      <c r="E125" s="209"/>
      <c r="F125" s="209"/>
      <c r="G125" s="209"/>
      <c r="H125" s="475"/>
      <c r="I125" s="475"/>
      <c r="J125" s="475"/>
      <c r="K125" s="475"/>
      <c r="L125" s="475"/>
      <c r="M125" s="475"/>
      <c r="N125" s="475"/>
      <c r="O125" s="475"/>
      <c r="P125" s="475"/>
      <c r="Q125" s="475"/>
    </row>
    <row r="126" spans="1:17" outlineLevel="1" x14ac:dyDescent="0.35">
      <c r="A126" s="8" t="s">
        <v>92</v>
      </c>
      <c r="B126" s="194" cm="1">
        <f t="array" ref="B126">INDEX(C126:Q126,Selected)</f>
        <v>0</v>
      </c>
      <c r="C126" s="210"/>
      <c r="D126" s="210"/>
      <c r="E126" s="210"/>
      <c r="F126" s="210"/>
      <c r="G126" s="210"/>
      <c r="H126" s="476"/>
      <c r="I126" s="476"/>
      <c r="J126" s="476"/>
      <c r="K126" s="476"/>
      <c r="L126" s="476"/>
      <c r="M126" s="476"/>
      <c r="N126" s="476"/>
      <c r="O126" s="476"/>
      <c r="P126" s="476"/>
      <c r="Q126" s="476"/>
    </row>
    <row r="127" spans="1:17" outlineLevel="1" x14ac:dyDescent="0.35">
      <c r="A127" s="8"/>
      <c r="B127" s="171"/>
      <c r="C127" s="133"/>
      <c r="D127" s="133"/>
      <c r="E127" s="133"/>
      <c r="F127" s="133"/>
      <c r="G127" s="133"/>
      <c r="H127" s="475"/>
      <c r="I127" s="475"/>
      <c r="J127" s="475"/>
      <c r="K127" s="475"/>
      <c r="L127" s="475"/>
      <c r="M127" s="475"/>
      <c r="N127" s="475"/>
      <c r="O127" s="475"/>
      <c r="P127" s="475"/>
      <c r="Q127" s="475"/>
    </row>
    <row r="128" spans="1:17" outlineLevel="1" x14ac:dyDescent="0.35">
      <c r="A128" s="8" t="s">
        <v>93</v>
      </c>
      <c r="B128" s="194" cm="1">
        <f t="array" ref="B128">INDEX(C128:Q128,Selected)</f>
        <v>0</v>
      </c>
      <c r="C128" s="211"/>
      <c r="D128" s="211"/>
      <c r="E128" s="211"/>
      <c r="F128" s="211"/>
      <c r="G128" s="211"/>
      <c r="H128" s="477"/>
      <c r="I128" s="477"/>
      <c r="J128" s="477"/>
      <c r="K128" s="477"/>
      <c r="L128" s="477"/>
      <c r="M128" s="477"/>
      <c r="N128" s="477"/>
      <c r="O128" s="477"/>
      <c r="P128" s="477"/>
      <c r="Q128" s="477"/>
    </row>
    <row r="129" spans="1:17" outlineLevel="1" x14ac:dyDescent="0.35">
      <c r="A129" s="8" t="s">
        <v>94</v>
      </c>
      <c r="B129" s="222" cm="1">
        <f t="array" ref="B129">INDEX(C129:Q129,Selected)</f>
        <v>0</v>
      </c>
      <c r="C129" s="212"/>
      <c r="D129" s="212"/>
      <c r="E129" s="212"/>
      <c r="F129" s="212"/>
      <c r="G129" s="212"/>
      <c r="H129" s="478"/>
      <c r="I129" s="478"/>
      <c r="J129" s="478"/>
      <c r="K129" s="478"/>
      <c r="L129" s="478"/>
      <c r="M129" s="478"/>
      <c r="N129" s="478"/>
      <c r="O129" s="478"/>
      <c r="P129" s="478"/>
      <c r="Q129" s="478"/>
    </row>
    <row r="130" spans="1:17" outlineLevel="1" x14ac:dyDescent="0.35">
      <c r="A130" s="8"/>
      <c r="B130" s="136"/>
      <c r="C130" s="130"/>
      <c r="D130" s="130"/>
      <c r="E130" s="130"/>
      <c r="F130" s="130"/>
      <c r="G130" s="130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</row>
    <row r="131" spans="1:17" outlineLevel="1" x14ac:dyDescent="0.35">
      <c r="A131" s="100" t="s">
        <v>95</v>
      </c>
      <c r="B131" s="136"/>
      <c r="C131" s="131"/>
      <c r="D131" s="131"/>
      <c r="E131" s="131"/>
      <c r="F131" s="131"/>
      <c r="G131" s="131"/>
      <c r="H131" s="478"/>
      <c r="I131" s="478"/>
      <c r="J131" s="478"/>
      <c r="K131" s="478"/>
      <c r="L131" s="478"/>
      <c r="M131" s="478"/>
      <c r="N131" s="478"/>
      <c r="O131" s="478"/>
      <c r="P131" s="478"/>
      <c r="Q131" s="478"/>
    </row>
    <row r="132" spans="1:17" outlineLevel="1" x14ac:dyDescent="0.35">
      <c r="A132" s="8" t="s">
        <v>96</v>
      </c>
      <c r="B132" s="194" cm="1">
        <f t="array" ref="B132">INDEX(C132:Q132,Selected)</f>
        <v>0</v>
      </c>
      <c r="C132" s="259"/>
      <c r="D132" s="259"/>
      <c r="E132" s="259"/>
      <c r="F132" s="259"/>
      <c r="G132" s="259"/>
      <c r="H132" s="479"/>
      <c r="I132" s="479"/>
      <c r="J132" s="479"/>
      <c r="K132" s="479"/>
      <c r="L132" s="479"/>
      <c r="M132" s="479"/>
      <c r="N132" s="479"/>
      <c r="O132" s="479"/>
      <c r="P132" s="479"/>
      <c r="Q132" s="479"/>
    </row>
    <row r="133" spans="1:17" outlineLevel="1" x14ac:dyDescent="0.35">
      <c r="A133" s="8" t="s">
        <v>97</v>
      </c>
      <c r="B133" s="194" cm="1">
        <f t="array" ref="B133">INDEX(C133:Q133,Selected)</f>
        <v>0</v>
      </c>
      <c r="C133" s="259"/>
      <c r="D133" s="259"/>
      <c r="E133" s="259"/>
      <c r="F133" s="259"/>
      <c r="G133" s="259"/>
      <c r="H133" s="479"/>
      <c r="I133" s="479"/>
      <c r="J133" s="479"/>
      <c r="K133" s="479"/>
      <c r="L133" s="479"/>
      <c r="M133" s="479"/>
      <c r="N133" s="479"/>
      <c r="O133" s="479"/>
      <c r="P133" s="479"/>
      <c r="Q133" s="479"/>
    </row>
    <row r="134" spans="1:17" ht="18.75" customHeight="1" outlineLevel="1" x14ac:dyDescent="0.35">
      <c r="A134" s="8" t="s">
        <v>98</v>
      </c>
      <c r="B134" s="194" cm="1">
        <f t="array" ref="B134">INDEX(C134:Q134,Selected)</f>
        <v>0</v>
      </c>
      <c r="C134" s="259"/>
      <c r="D134" s="259"/>
      <c r="E134" s="259"/>
      <c r="F134" s="259"/>
      <c r="G134" s="259"/>
      <c r="H134" s="479"/>
      <c r="I134" s="479"/>
      <c r="J134" s="479"/>
      <c r="K134" s="479"/>
      <c r="L134" s="479"/>
      <c r="M134" s="479"/>
      <c r="N134" s="479"/>
      <c r="O134" s="479"/>
      <c r="P134" s="479"/>
      <c r="Q134" s="479"/>
    </row>
    <row r="135" spans="1:17" outlineLevel="1" x14ac:dyDescent="0.35">
      <c r="A135" s="8" t="s">
        <v>99</v>
      </c>
      <c r="B135" s="194" cm="1">
        <f t="array" ref="B135">INDEX(C135:Q135,Selected)</f>
        <v>0</v>
      </c>
      <c r="C135" s="259"/>
      <c r="D135" s="259"/>
      <c r="E135" s="259"/>
      <c r="F135" s="259"/>
      <c r="G135" s="259"/>
      <c r="H135" s="479"/>
      <c r="I135" s="479"/>
      <c r="J135" s="479"/>
      <c r="K135" s="479"/>
      <c r="L135" s="479"/>
      <c r="M135" s="479"/>
      <c r="N135" s="479"/>
      <c r="O135" s="479"/>
      <c r="P135" s="479"/>
      <c r="Q135" s="479"/>
    </row>
    <row r="136" spans="1:17" outlineLevel="1" x14ac:dyDescent="0.35">
      <c r="A136" s="8" t="s">
        <v>100</v>
      </c>
      <c r="B136" s="194" cm="1">
        <f t="array" ref="B136">INDEX(C136:Q136,Selected)</f>
        <v>0</v>
      </c>
      <c r="C136" s="259"/>
      <c r="D136" s="259"/>
      <c r="E136" s="259"/>
      <c r="F136" s="259"/>
      <c r="G136" s="259"/>
      <c r="H136" s="479"/>
      <c r="I136" s="479"/>
      <c r="J136" s="479"/>
      <c r="K136" s="479"/>
      <c r="L136" s="479"/>
      <c r="M136" s="479"/>
      <c r="N136" s="479"/>
      <c r="O136" s="479"/>
      <c r="P136" s="479"/>
      <c r="Q136" s="479"/>
    </row>
    <row r="137" spans="1:17" outlineLevel="1" x14ac:dyDescent="0.35">
      <c r="A137" s="8" t="s">
        <v>101</v>
      </c>
      <c r="B137" s="194" cm="1">
        <f t="array" ref="B137">INDEX(C137:Q137,Selected)</f>
        <v>0</v>
      </c>
      <c r="C137" s="259"/>
      <c r="D137" s="259"/>
      <c r="E137" s="259"/>
      <c r="F137" s="259"/>
      <c r="G137" s="259"/>
      <c r="H137" s="479"/>
      <c r="I137" s="479"/>
      <c r="J137" s="479"/>
      <c r="K137" s="479"/>
      <c r="L137" s="479"/>
      <c r="M137" s="479"/>
      <c r="N137" s="479"/>
      <c r="O137" s="479"/>
      <c r="P137" s="479"/>
      <c r="Q137" s="479"/>
    </row>
    <row r="138" spans="1:17" outlineLevel="1" x14ac:dyDescent="0.35">
      <c r="A138" s="8" t="s">
        <v>102</v>
      </c>
      <c r="B138" s="194" cm="1">
        <f t="array" ref="B138">INDEX(C138:Q138,Selected)</f>
        <v>0</v>
      </c>
      <c r="C138" s="259"/>
      <c r="D138" s="259"/>
      <c r="E138" s="259"/>
      <c r="F138" s="259"/>
      <c r="G138" s="259"/>
      <c r="H138" s="479"/>
      <c r="I138" s="479"/>
      <c r="J138" s="479"/>
      <c r="K138" s="479"/>
      <c r="L138" s="479"/>
      <c r="M138" s="479"/>
      <c r="N138" s="479"/>
      <c r="O138" s="479"/>
      <c r="P138" s="479"/>
      <c r="Q138" s="479"/>
    </row>
    <row r="139" spans="1:17" outlineLevel="1" x14ac:dyDescent="0.35">
      <c r="A139" s="8" t="s">
        <v>103</v>
      </c>
      <c r="B139" s="194" cm="1">
        <f t="array" ref="B139">INDEX(C139:Q139,Selected)</f>
        <v>0</v>
      </c>
      <c r="C139" s="259"/>
      <c r="D139" s="259"/>
      <c r="E139" s="259"/>
      <c r="F139" s="259"/>
      <c r="G139" s="259"/>
      <c r="H139" s="479"/>
      <c r="I139" s="479"/>
      <c r="J139" s="479"/>
      <c r="K139" s="479"/>
      <c r="L139" s="479"/>
      <c r="M139" s="479"/>
      <c r="N139" s="479"/>
      <c r="O139" s="479"/>
      <c r="P139" s="479"/>
      <c r="Q139" s="479"/>
    </row>
    <row r="140" spans="1:17" outlineLevel="1" x14ac:dyDescent="0.35">
      <c r="A140" s="8" t="s">
        <v>104</v>
      </c>
      <c r="B140" s="194" cm="1">
        <f t="array" ref="B140">INDEX(C140:Q140,Selected)</f>
        <v>0</v>
      </c>
      <c r="C140" s="259"/>
      <c r="D140" s="259"/>
      <c r="E140" s="259"/>
      <c r="F140" s="259"/>
      <c r="G140" s="259"/>
      <c r="H140" s="479"/>
      <c r="I140" s="479"/>
      <c r="J140" s="479"/>
      <c r="K140" s="479"/>
      <c r="L140" s="479"/>
      <c r="M140" s="479"/>
      <c r="N140" s="479"/>
      <c r="O140" s="479"/>
      <c r="P140" s="479"/>
      <c r="Q140" s="479"/>
    </row>
    <row r="141" spans="1:17" outlineLevel="1" x14ac:dyDescent="0.35">
      <c r="A141" s="8" t="s">
        <v>105</v>
      </c>
      <c r="B141" s="194" cm="1">
        <f t="array" ref="B141">INDEX(C141:Q141,Selected)</f>
        <v>0</v>
      </c>
      <c r="C141" s="259"/>
      <c r="D141" s="259"/>
      <c r="E141" s="259"/>
      <c r="F141" s="259"/>
      <c r="G141" s="259"/>
      <c r="H141" s="479"/>
      <c r="I141" s="479"/>
      <c r="J141" s="479"/>
      <c r="K141" s="479"/>
      <c r="L141" s="479"/>
      <c r="M141" s="479"/>
      <c r="N141" s="479"/>
      <c r="O141" s="479"/>
      <c r="P141" s="479"/>
      <c r="Q141" s="479"/>
    </row>
    <row r="142" spans="1:17" outlineLevel="1" x14ac:dyDescent="0.35">
      <c r="A142" s="100" t="s">
        <v>106</v>
      </c>
      <c r="B142" s="165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</row>
    <row r="143" spans="1:17" outlineLevel="1" x14ac:dyDescent="0.35">
      <c r="A143" s="8" t="s">
        <v>107</v>
      </c>
      <c r="B143" s="222" cm="1">
        <f t="array" ref="B143">INDEX(C143:Q143,Selected)</f>
        <v>0</v>
      </c>
      <c r="C143" s="256"/>
      <c r="D143" s="256"/>
      <c r="E143" s="256"/>
      <c r="F143" s="256"/>
      <c r="G143" s="256"/>
      <c r="H143" s="473"/>
      <c r="I143" s="473"/>
      <c r="J143" s="473"/>
      <c r="K143" s="473"/>
      <c r="L143" s="473"/>
      <c r="M143" s="473"/>
      <c r="N143" s="473"/>
      <c r="O143" s="473"/>
      <c r="P143" s="473"/>
      <c r="Q143" s="473"/>
    </row>
    <row r="144" spans="1:17" outlineLevel="1" x14ac:dyDescent="0.35">
      <c r="A144" s="8" t="s">
        <v>108</v>
      </c>
      <c r="B144" s="222" cm="1">
        <f t="array" ref="B144">INDEX(C144:Q144,Selected)</f>
        <v>0</v>
      </c>
      <c r="C144" s="256"/>
      <c r="D144" s="256"/>
      <c r="E144" s="256"/>
      <c r="F144" s="256"/>
      <c r="G144" s="256"/>
      <c r="H144" s="473"/>
      <c r="I144" s="473"/>
      <c r="J144" s="473"/>
      <c r="K144" s="473"/>
      <c r="L144" s="473"/>
      <c r="M144" s="473"/>
      <c r="N144" s="473"/>
      <c r="O144" s="473"/>
      <c r="P144" s="473"/>
      <c r="Q144" s="473"/>
    </row>
    <row r="145" spans="1:17" outlineLevel="1" x14ac:dyDescent="0.35">
      <c r="A145" s="8" t="s">
        <v>109</v>
      </c>
      <c r="B145" s="222" cm="1">
        <f t="array" ref="B145">INDEX(C145:Q145,Selected)</f>
        <v>0</v>
      </c>
      <c r="C145" s="256"/>
      <c r="D145" s="256"/>
      <c r="E145" s="256"/>
      <c r="F145" s="256"/>
      <c r="G145" s="256"/>
      <c r="H145" s="473"/>
      <c r="I145" s="473"/>
      <c r="J145" s="473"/>
      <c r="K145" s="473"/>
      <c r="L145" s="473"/>
      <c r="M145" s="473"/>
      <c r="N145" s="473"/>
      <c r="O145" s="473"/>
      <c r="P145" s="473"/>
      <c r="Q145" s="473"/>
    </row>
    <row r="146" spans="1:17" outlineLevel="1" x14ac:dyDescent="0.35">
      <c r="A146" s="8" t="s">
        <v>110</v>
      </c>
      <c r="B146" s="222" cm="1">
        <f t="array" ref="B146">INDEX(C146:Q146,Selected)</f>
        <v>0</v>
      </c>
      <c r="C146" s="256"/>
      <c r="D146" s="256"/>
      <c r="E146" s="256"/>
      <c r="F146" s="256"/>
      <c r="G146" s="256"/>
      <c r="H146" s="473"/>
      <c r="I146" s="473"/>
      <c r="J146" s="473"/>
      <c r="K146" s="473"/>
      <c r="L146" s="473"/>
      <c r="M146" s="473"/>
      <c r="N146" s="473"/>
      <c r="O146" s="473"/>
      <c r="P146" s="473"/>
      <c r="Q146" s="473"/>
    </row>
    <row r="147" spans="1:17" outlineLevel="1" x14ac:dyDescent="0.35">
      <c r="A147" s="8" t="s">
        <v>111</v>
      </c>
      <c r="B147" s="222" cm="1">
        <f t="array" ref="B147">INDEX(C147:Q147,Selected)</f>
        <v>0</v>
      </c>
      <c r="C147" s="256"/>
      <c r="D147" s="256"/>
      <c r="E147" s="256"/>
      <c r="F147" s="256"/>
      <c r="G147" s="256"/>
      <c r="H147" s="473"/>
      <c r="I147" s="473"/>
      <c r="J147" s="473"/>
      <c r="K147" s="473"/>
      <c r="L147" s="473"/>
      <c r="M147" s="473"/>
      <c r="N147" s="473"/>
      <c r="O147" s="473"/>
      <c r="P147" s="473"/>
      <c r="Q147" s="473"/>
    </row>
    <row r="148" spans="1:17" outlineLevel="1" x14ac:dyDescent="0.35">
      <c r="A148" s="8" t="s">
        <v>112</v>
      </c>
      <c r="B148" s="222" cm="1">
        <f t="array" ref="B148">INDEX(C148:Q148,Selected)</f>
        <v>0</v>
      </c>
      <c r="C148" s="256"/>
      <c r="D148" s="256"/>
      <c r="E148" s="256"/>
      <c r="F148" s="256"/>
      <c r="G148" s="256"/>
      <c r="H148" s="473"/>
      <c r="I148" s="473"/>
      <c r="J148" s="473"/>
      <c r="K148" s="473"/>
      <c r="L148" s="473"/>
      <c r="M148" s="473"/>
      <c r="N148" s="473"/>
      <c r="O148" s="473"/>
      <c r="P148" s="473"/>
      <c r="Q148" s="473"/>
    </row>
    <row r="149" spans="1:17" outlineLevel="1" x14ac:dyDescent="0.35">
      <c r="A149" s="8" t="s">
        <v>113</v>
      </c>
      <c r="B149" s="222" cm="1">
        <f t="array" ref="B149">INDEX(C149:Q149,Selected)</f>
        <v>0</v>
      </c>
      <c r="C149" s="256"/>
      <c r="D149" s="256"/>
      <c r="E149" s="256"/>
      <c r="F149" s="256"/>
      <c r="G149" s="256"/>
      <c r="H149" s="473"/>
      <c r="I149" s="473"/>
      <c r="J149" s="473"/>
      <c r="K149" s="473"/>
      <c r="L149" s="473"/>
      <c r="M149" s="473"/>
      <c r="N149" s="473"/>
      <c r="O149" s="473"/>
      <c r="P149" s="473"/>
      <c r="Q149" s="473"/>
    </row>
    <row r="150" spans="1:17" outlineLevel="1" x14ac:dyDescent="0.35">
      <c r="A150" s="8" t="s">
        <v>114</v>
      </c>
      <c r="B150" s="222" cm="1">
        <f t="array" ref="B150">INDEX(C150:Q150,Selected)</f>
        <v>0</v>
      </c>
      <c r="C150" s="256"/>
      <c r="D150" s="256"/>
      <c r="E150" s="256"/>
      <c r="F150" s="256"/>
      <c r="G150" s="256"/>
      <c r="H150" s="473"/>
      <c r="I150" s="473"/>
      <c r="J150" s="473"/>
      <c r="K150" s="473"/>
      <c r="L150" s="473"/>
      <c r="M150" s="473"/>
      <c r="N150" s="473"/>
      <c r="O150" s="473"/>
      <c r="P150" s="473"/>
      <c r="Q150" s="473"/>
    </row>
    <row r="151" spans="1:17" outlineLevel="1" x14ac:dyDescent="0.35">
      <c r="A151" s="8" t="s">
        <v>115</v>
      </c>
      <c r="B151" s="222" cm="1">
        <f t="array" ref="B151">INDEX(C151:Q151,Selected)</f>
        <v>0</v>
      </c>
      <c r="C151" s="256"/>
      <c r="D151" s="256"/>
      <c r="E151" s="256"/>
      <c r="F151" s="256"/>
      <c r="G151" s="256"/>
      <c r="H151" s="473"/>
      <c r="I151" s="473"/>
      <c r="J151" s="473"/>
      <c r="K151" s="473"/>
      <c r="L151" s="473"/>
      <c r="M151" s="473"/>
      <c r="N151" s="473"/>
      <c r="O151" s="473"/>
      <c r="P151" s="473"/>
      <c r="Q151" s="473"/>
    </row>
    <row r="152" spans="1:17" outlineLevel="1" x14ac:dyDescent="0.35">
      <c r="A152" s="8" t="s">
        <v>116</v>
      </c>
      <c r="B152" s="222" cm="1">
        <f t="array" ref="B152">INDEX(C152:Q152,Selected)</f>
        <v>0</v>
      </c>
      <c r="C152" s="256"/>
      <c r="D152" s="256"/>
      <c r="E152" s="256"/>
      <c r="F152" s="256"/>
      <c r="G152" s="256"/>
      <c r="H152" s="473"/>
      <c r="I152" s="473"/>
      <c r="J152" s="473"/>
      <c r="K152" s="473"/>
      <c r="L152" s="473"/>
      <c r="M152" s="473"/>
      <c r="N152" s="473"/>
      <c r="O152" s="473"/>
      <c r="P152" s="473"/>
      <c r="Q152" s="473"/>
    </row>
    <row r="153" spans="1:17" outlineLevel="1" x14ac:dyDescent="0.35">
      <c r="A153" s="8"/>
      <c r="B153" s="136"/>
      <c r="C153" s="130"/>
      <c r="D153" s="130"/>
      <c r="E153" s="130"/>
      <c r="F153" s="130"/>
      <c r="G153" s="130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</row>
    <row r="154" spans="1:17" outlineLevel="1" x14ac:dyDescent="0.35">
      <c r="A154" s="100" t="s">
        <v>117</v>
      </c>
      <c r="B154" s="136"/>
      <c r="C154" s="130"/>
      <c r="D154" s="130"/>
      <c r="E154" s="130"/>
      <c r="F154" s="130"/>
      <c r="G154" s="130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</row>
    <row r="155" spans="1:17" outlineLevel="1" x14ac:dyDescent="0.35">
      <c r="A155" s="8" t="s">
        <v>118</v>
      </c>
      <c r="B155" s="194" cm="1">
        <f t="array" ref="B155">INDEX(C155:Q155,Selected)</f>
        <v>0</v>
      </c>
      <c r="C155" s="256"/>
      <c r="D155" s="256"/>
      <c r="E155" s="256"/>
      <c r="F155" s="256"/>
      <c r="G155" s="256"/>
      <c r="H155" s="473"/>
      <c r="I155" s="473"/>
      <c r="J155" s="473"/>
      <c r="K155" s="473"/>
      <c r="L155" s="473"/>
      <c r="M155" s="473"/>
      <c r="N155" s="473"/>
      <c r="O155" s="473"/>
      <c r="P155" s="473"/>
      <c r="Q155" s="473"/>
    </row>
    <row r="156" spans="1:17" outlineLevel="1" x14ac:dyDescent="0.35">
      <c r="A156" s="8" t="s">
        <v>119</v>
      </c>
      <c r="B156" s="194" cm="1">
        <f t="array" ref="B156">INDEX(C156:Q156,Selected)</f>
        <v>0</v>
      </c>
      <c r="C156" s="256"/>
      <c r="D156" s="256"/>
      <c r="E156" s="256"/>
      <c r="F156" s="256"/>
      <c r="G156" s="256"/>
      <c r="H156" s="473"/>
      <c r="I156" s="473"/>
      <c r="J156" s="473"/>
      <c r="K156" s="473"/>
      <c r="L156" s="473"/>
      <c r="M156" s="473"/>
      <c r="N156" s="473"/>
      <c r="O156" s="473"/>
      <c r="P156" s="473"/>
      <c r="Q156" s="473"/>
    </row>
    <row r="157" spans="1:17" outlineLevel="1" x14ac:dyDescent="0.35">
      <c r="A157" s="8" t="s">
        <v>120</v>
      </c>
      <c r="B157" s="194" cm="1">
        <f t="array" ref="B157">INDEX(C157:Q157,Selected)</f>
        <v>0</v>
      </c>
      <c r="C157" s="256"/>
      <c r="D157" s="256"/>
      <c r="E157" s="256"/>
      <c r="F157" s="256"/>
      <c r="G157" s="256"/>
      <c r="H157" s="473"/>
      <c r="I157" s="473"/>
      <c r="J157" s="473"/>
      <c r="K157" s="473"/>
      <c r="L157" s="473"/>
      <c r="M157" s="473"/>
      <c r="N157" s="473"/>
      <c r="O157" s="473"/>
      <c r="P157" s="473"/>
      <c r="Q157" s="473"/>
    </row>
    <row r="158" spans="1:17" outlineLevel="1" x14ac:dyDescent="0.35">
      <c r="A158" s="100" t="s">
        <v>121</v>
      </c>
      <c r="B158" s="136"/>
      <c r="C158" s="130"/>
      <c r="D158" s="130"/>
      <c r="E158" s="130"/>
      <c r="F158" s="130"/>
      <c r="G158" s="130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</row>
    <row r="159" spans="1:17" outlineLevel="1" x14ac:dyDescent="0.35">
      <c r="A159" s="8" t="s">
        <v>122</v>
      </c>
      <c r="B159" s="194" cm="1">
        <f t="array" ref="B159">INDEX(C159:Q159,Selected)</f>
        <v>0</v>
      </c>
      <c r="C159" s="256"/>
      <c r="D159" s="256"/>
      <c r="E159" s="256"/>
      <c r="F159" s="256"/>
      <c r="G159" s="256"/>
      <c r="H159" s="473"/>
      <c r="I159" s="473"/>
      <c r="J159" s="473"/>
      <c r="K159" s="473"/>
      <c r="L159" s="473"/>
      <c r="M159" s="473"/>
      <c r="N159" s="473"/>
      <c r="O159" s="473"/>
      <c r="P159" s="473"/>
      <c r="Q159" s="473"/>
    </row>
    <row r="160" spans="1:17" outlineLevel="1" x14ac:dyDescent="0.35">
      <c r="A160" s="8" t="s">
        <v>123</v>
      </c>
      <c r="B160" s="194" cm="1">
        <f t="array" ref="B160">INDEX(C160:Q160,Selected)</f>
        <v>0</v>
      </c>
      <c r="C160" s="256"/>
      <c r="D160" s="256"/>
      <c r="E160" s="256"/>
      <c r="F160" s="256"/>
      <c r="G160" s="256"/>
      <c r="H160" s="473"/>
      <c r="I160" s="473"/>
      <c r="J160" s="473"/>
      <c r="K160" s="473"/>
      <c r="L160" s="473"/>
      <c r="M160" s="473"/>
      <c r="N160" s="473"/>
      <c r="O160" s="473"/>
      <c r="P160" s="473"/>
      <c r="Q160" s="473"/>
    </row>
    <row r="161" spans="1:17" outlineLevel="1" x14ac:dyDescent="0.35">
      <c r="A161" s="8" t="s">
        <v>124</v>
      </c>
      <c r="B161" s="194" cm="1">
        <f t="array" ref="B161">INDEX(C161:Q161,Selected)</f>
        <v>0</v>
      </c>
      <c r="C161" s="256"/>
      <c r="D161" s="256"/>
      <c r="E161" s="256"/>
      <c r="F161" s="256"/>
      <c r="G161" s="256"/>
      <c r="H161" s="473"/>
      <c r="I161" s="473"/>
      <c r="J161" s="473"/>
      <c r="K161" s="473"/>
      <c r="L161" s="473"/>
      <c r="M161" s="473"/>
      <c r="N161" s="473"/>
      <c r="O161" s="473"/>
      <c r="P161" s="473"/>
      <c r="Q161" s="473"/>
    </row>
    <row r="162" spans="1:17" x14ac:dyDescent="0.35">
      <c r="A162" s="8" t="s">
        <v>10</v>
      </c>
    </row>
    <row r="164" spans="1:17" ht="18.5" x14ac:dyDescent="0.45">
      <c r="A164" s="225" t="s">
        <v>125</v>
      </c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</row>
    <row r="165" spans="1:17" outlineLevel="1" x14ac:dyDescent="0.35">
      <c r="A165" s="8" t="s">
        <v>126</v>
      </c>
      <c r="B165" s="226" cm="1">
        <f t="array" ref="B165">INDEX(C165:Q165,Selected)</f>
        <v>9.7000000000000003E-2</v>
      </c>
      <c r="C165" s="261">
        <v>9.7000000000000003E-2</v>
      </c>
      <c r="D165" s="261">
        <v>9.7000000000000003E-2</v>
      </c>
      <c r="E165" s="261">
        <v>9.7000000000000003E-2</v>
      </c>
      <c r="F165" s="261">
        <v>9.7000000000000003E-2</v>
      </c>
      <c r="G165" s="261">
        <v>9.7000000000000003E-2</v>
      </c>
      <c r="H165" s="480"/>
      <c r="I165" s="480"/>
      <c r="J165" s="480"/>
      <c r="K165" s="480"/>
      <c r="L165" s="480"/>
      <c r="M165" s="480"/>
      <c r="N165" s="480"/>
      <c r="O165" s="480"/>
      <c r="P165" s="480"/>
      <c r="Q165" s="480"/>
    </row>
    <row r="166" spans="1:17" outlineLevel="1" x14ac:dyDescent="0.35">
      <c r="A166" s="8" t="s">
        <v>127</v>
      </c>
      <c r="B166" s="226" cm="1">
        <f t="array" ref="B166">INDEX(C166:Q166,Selected)</f>
        <v>3.2247168554297156E-2</v>
      </c>
      <c r="C166" s="299">
        <f>C165/(1-C172)-C165</f>
        <v>3.2247168554297156E-2</v>
      </c>
      <c r="D166" s="299">
        <f t="shared" ref="D166" si="12">D165/(1-D172)-D165</f>
        <v>3.2247168554297156E-2</v>
      </c>
      <c r="E166" s="299">
        <f t="shared" ref="E166:F166" si="13">E165/(1-E172)-E165</f>
        <v>3.2247168554297156E-2</v>
      </c>
      <c r="F166" s="299">
        <f t="shared" si="13"/>
        <v>3.2247168554297156E-2</v>
      </c>
      <c r="G166" s="299">
        <f>G165/(1-G172)-G165</f>
        <v>3.2247168554297156E-2</v>
      </c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</row>
    <row r="167" spans="1:17" outlineLevel="1" x14ac:dyDescent="0.35">
      <c r="A167" s="8"/>
      <c r="B167" s="227"/>
      <c r="C167" s="131"/>
      <c r="D167" s="131"/>
      <c r="E167" s="131"/>
      <c r="F167" s="131"/>
      <c r="G167" s="131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</row>
    <row r="168" spans="1:17" outlineLevel="1" x14ac:dyDescent="0.35">
      <c r="A168" s="8" t="s">
        <v>128</v>
      </c>
      <c r="B168" s="226" cm="1">
        <f t="array" ref="B168">INDEX(C168:Q168,Selected)</f>
        <v>0.4778</v>
      </c>
      <c r="C168" s="404">
        <f>1-C169</f>
        <v>0.4778</v>
      </c>
      <c r="D168" s="404">
        <f>1-D169</f>
        <v>0.4778</v>
      </c>
      <c r="E168" s="404">
        <f>1-E169</f>
        <v>0.4778</v>
      </c>
      <c r="F168" s="404">
        <f>1-F169</f>
        <v>0.4778</v>
      </c>
      <c r="G168" s="404">
        <f>1-G169</f>
        <v>0.4778</v>
      </c>
      <c r="H168" s="481"/>
      <c r="I168" s="481"/>
      <c r="J168" s="481"/>
      <c r="K168" s="481"/>
      <c r="L168" s="481"/>
      <c r="M168" s="481"/>
      <c r="N168" s="480"/>
      <c r="O168" s="480"/>
      <c r="P168" s="480"/>
      <c r="Q168" s="480"/>
    </row>
    <row r="169" spans="1:17" outlineLevel="1" x14ac:dyDescent="0.35">
      <c r="A169" s="8" t="s">
        <v>129</v>
      </c>
      <c r="B169" s="226" cm="1">
        <f t="array" ref="B169">INDEX(C169:Q169,Selected)</f>
        <v>0.5222</v>
      </c>
      <c r="C169" s="403">
        <v>0.5222</v>
      </c>
      <c r="D169" s="403">
        <v>0.5222</v>
      </c>
      <c r="E169" s="403">
        <v>0.5222</v>
      </c>
      <c r="F169" s="403">
        <v>0.5222</v>
      </c>
      <c r="G169" s="403">
        <v>0.5222</v>
      </c>
      <c r="H169" s="494"/>
      <c r="I169" s="494"/>
      <c r="J169" s="494"/>
      <c r="K169" s="494"/>
      <c r="L169" s="494"/>
      <c r="M169" s="494"/>
      <c r="N169" s="481"/>
      <c r="O169" s="481"/>
      <c r="P169" s="481"/>
      <c r="Q169" s="481"/>
    </row>
    <row r="170" spans="1:17" outlineLevel="1" x14ac:dyDescent="0.35">
      <c r="A170" s="8"/>
      <c r="B170" s="227"/>
      <c r="C170" s="130"/>
      <c r="D170" s="130"/>
      <c r="E170" s="130"/>
      <c r="F170" s="130"/>
      <c r="G170" s="130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</row>
    <row r="171" spans="1:17" outlineLevel="1" x14ac:dyDescent="0.35">
      <c r="A171" s="8"/>
      <c r="B171" s="227"/>
      <c r="C171" s="310"/>
      <c r="D171" s="126"/>
      <c r="E171" s="126"/>
      <c r="F171" s="126"/>
      <c r="G171" s="310"/>
      <c r="H171" s="126"/>
      <c r="I171" s="310"/>
      <c r="J171" s="310"/>
      <c r="K171" s="310"/>
      <c r="L171" s="310"/>
      <c r="M171" s="310"/>
      <c r="N171" s="126"/>
      <c r="O171" s="126"/>
      <c r="P171" s="126"/>
      <c r="Q171" s="126"/>
    </row>
    <row r="172" spans="1:17" outlineLevel="1" x14ac:dyDescent="0.35">
      <c r="A172" s="8" t="s">
        <v>130</v>
      </c>
      <c r="B172" s="226" cm="1">
        <f t="array" ref="B172">INDEX(C172:Q172,Selected)</f>
        <v>0.2495</v>
      </c>
      <c r="C172" s="261">
        <f>0.05+(0.21*(1-0.05))</f>
        <v>0.2495</v>
      </c>
      <c r="D172" s="261">
        <f t="shared" ref="D172:F172" si="14">0.05+(0.21*(1-0.05))</f>
        <v>0.2495</v>
      </c>
      <c r="E172" s="261">
        <f t="shared" si="14"/>
        <v>0.2495</v>
      </c>
      <c r="F172" s="261">
        <f t="shared" si="14"/>
        <v>0.2495</v>
      </c>
      <c r="G172" s="261">
        <f>0.05+(0.21*(1-0.05))</f>
        <v>0.2495</v>
      </c>
      <c r="H172" s="480"/>
      <c r="I172" s="480"/>
      <c r="J172" s="480"/>
      <c r="K172" s="480"/>
      <c r="L172" s="480"/>
      <c r="M172" s="480"/>
      <c r="N172" s="480"/>
      <c r="O172" s="480"/>
      <c r="P172" s="480"/>
      <c r="Q172" s="480"/>
    </row>
    <row r="173" spans="1:17" outlineLevel="1" x14ac:dyDescent="0.35">
      <c r="A173" s="8" t="s">
        <v>131</v>
      </c>
      <c r="B173" s="226" cm="1">
        <f t="array" ref="B173">INDEX(C173:Q173,Selected)</f>
        <v>6.2199999999999998E-3</v>
      </c>
      <c r="C173" s="372">
        <v>6.2199999999999998E-3</v>
      </c>
      <c r="D173" s="372">
        <v>6.2199999999999998E-3</v>
      </c>
      <c r="E173" s="372">
        <v>6.2199999999999998E-3</v>
      </c>
      <c r="F173" s="372">
        <v>6.2199999999999998E-3</v>
      </c>
      <c r="G173" s="372">
        <v>6.2199999999999998E-3</v>
      </c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</row>
    <row r="174" spans="1:17" outlineLevel="1" x14ac:dyDescent="0.35">
      <c r="B174" s="228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</row>
    <row r="175" spans="1:17" outlineLevel="1" x14ac:dyDescent="0.35">
      <c r="A175" s="8" t="s">
        <v>132</v>
      </c>
      <c r="B175" s="226" cm="1">
        <f t="array" ref="B175">INDEX(C175:Q175,Selected)</f>
        <v>4.7E-2</v>
      </c>
      <c r="C175" s="373">
        <v>4.7E-2</v>
      </c>
      <c r="D175" s="373">
        <v>4.7E-2</v>
      </c>
      <c r="E175" s="373">
        <v>4.7E-2</v>
      </c>
      <c r="F175" s="373">
        <v>4.7E-2</v>
      </c>
      <c r="G175" s="373">
        <v>4.7E-2</v>
      </c>
      <c r="H175" s="495"/>
      <c r="I175" s="495"/>
      <c r="J175" s="495"/>
      <c r="K175" s="495"/>
      <c r="L175" s="495"/>
      <c r="M175" s="495"/>
      <c r="N175" s="495"/>
      <c r="O175" s="495"/>
      <c r="P175" s="495"/>
      <c r="Q175" s="495"/>
    </row>
    <row r="176" spans="1:17" outlineLevel="1" x14ac:dyDescent="0.35">
      <c r="A176" s="8" t="s">
        <v>133</v>
      </c>
      <c r="B176" s="226" cm="1">
        <f t="array" ref="B176">INDEX(C176:Q176,Selected)</f>
        <v>4.7E-2</v>
      </c>
      <c r="C176" s="373">
        <v>4.7E-2</v>
      </c>
      <c r="D176" s="373">
        <v>4.7E-2</v>
      </c>
      <c r="E176" s="373">
        <v>4.7E-2</v>
      </c>
      <c r="F176" s="373">
        <v>4.7E-2</v>
      </c>
      <c r="G176" s="373">
        <v>4.7E-2</v>
      </c>
      <c r="H176" s="495"/>
      <c r="I176" s="495"/>
      <c r="J176" s="495"/>
      <c r="K176" s="495"/>
      <c r="L176" s="495"/>
      <c r="M176" s="495"/>
      <c r="N176" s="495"/>
      <c r="O176" s="495"/>
      <c r="P176" s="495"/>
      <c r="Q176" s="495"/>
    </row>
    <row r="177" spans="1:17" outlineLevel="1" x14ac:dyDescent="0.35">
      <c r="A177" s="8" t="s">
        <v>134</v>
      </c>
      <c r="B177" s="226" cm="1">
        <f t="array" ref="B177">INDEX(C177:Q177,Selected)</f>
        <v>4.7E-2</v>
      </c>
      <c r="C177" s="373">
        <v>4.7E-2</v>
      </c>
      <c r="D177" s="373">
        <v>4.7E-2</v>
      </c>
      <c r="E177" s="373">
        <v>4.7E-2</v>
      </c>
      <c r="F177" s="373">
        <v>4.7E-2</v>
      </c>
      <c r="G177" s="373">
        <v>4.7E-2</v>
      </c>
      <c r="H177" s="495"/>
      <c r="I177" s="495"/>
      <c r="J177" s="495"/>
      <c r="K177" s="495"/>
      <c r="L177" s="495"/>
      <c r="M177" s="495"/>
      <c r="N177" s="495"/>
      <c r="O177" s="495"/>
      <c r="P177" s="495"/>
      <c r="Q177" s="495"/>
    </row>
    <row r="178" spans="1:17" outlineLevel="1" x14ac:dyDescent="0.35">
      <c r="A178" s="8" t="s">
        <v>135</v>
      </c>
      <c r="B178" s="226" cm="1">
        <f t="array" ref="B178">INDEX(C178:Q178,Selected)</f>
        <v>4.7E-2</v>
      </c>
      <c r="C178" s="373">
        <v>4.7E-2</v>
      </c>
      <c r="D178" s="373">
        <v>4.7E-2</v>
      </c>
      <c r="E178" s="373">
        <v>4.7E-2</v>
      </c>
      <c r="F178" s="373">
        <v>4.7E-2</v>
      </c>
      <c r="G178" s="373">
        <v>4.7E-2</v>
      </c>
      <c r="H178" s="495"/>
      <c r="I178" s="495"/>
      <c r="J178" s="495"/>
      <c r="K178" s="495"/>
      <c r="L178" s="495"/>
      <c r="M178" s="495"/>
      <c r="N178" s="495"/>
      <c r="O178" s="495"/>
      <c r="P178" s="495"/>
      <c r="Q178" s="495"/>
    </row>
    <row r="179" spans="1:17" outlineLevel="1" x14ac:dyDescent="0.35">
      <c r="A179" s="8" t="s">
        <v>136</v>
      </c>
      <c r="B179" s="226" cm="1">
        <f t="array" ref="B179">INDEX(C179:Q179,Selected)</f>
        <v>4.7E-2</v>
      </c>
      <c r="C179" s="373">
        <v>4.7E-2</v>
      </c>
      <c r="D179" s="373">
        <v>4.7E-2</v>
      </c>
      <c r="E179" s="373">
        <v>4.7E-2</v>
      </c>
      <c r="F179" s="373">
        <v>4.7E-2</v>
      </c>
      <c r="G179" s="373">
        <v>4.7E-2</v>
      </c>
      <c r="H179" s="495"/>
      <c r="I179" s="495"/>
      <c r="J179" s="495"/>
      <c r="K179" s="495"/>
      <c r="L179" s="495"/>
      <c r="M179" s="495"/>
      <c r="N179" s="495"/>
      <c r="O179" s="495"/>
      <c r="P179" s="495"/>
      <c r="Q179" s="495"/>
    </row>
    <row r="180" spans="1:17" outlineLevel="1" x14ac:dyDescent="0.35">
      <c r="A180" s="8" t="s">
        <v>137</v>
      </c>
      <c r="B180" s="226" cm="1">
        <f t="array" ref="B180">INDEX(C180:Q180,Selected)</f>
        <v>4.7E-2</v>
      </c>
      <c r="C180" s="373">
        <v>4.7E-2</v>
      </c>
      <c r="D180" s="373">
        <v>4.7E-2</v>
      </c>
      <c r="E180" s="373">
        <v>4.7E-2</v>
      </c>
      <c r="F180" s="373">
        <v>4.7E-2</v>
      </c>
      <c r="G180" s="373">
        <v>4.7E-2</v>
      </c>
      <c r="H180" s="495"/>
      <c r="I180" s="495"/>
      <c r="J180" s="495"/>
      <c r="K180" s="495"/>
      <c r="L180" s="495"/>
      <c r="M180" s="495"/>
      <c r="N180" s="495"/>
      <c r="O180" s="495"/>
      <c r="P180" s="495"/>
      <c r="Q180" s="495"/>
    </row>
    <row r="181" spans="1:17" outlineLevel="1" x14ac:dyDescent="0.35">
      <c r="A181" s="8" t="s">
        <v>138</v>
      </c>
      <c r="B181" s="226" cm="1">
        <f t="array" ref="B181">INDEX(C181:Q181,Selected)</f>
        <v>4.7E-2</v>
      </c>
      <c r="C181" s="373">
        <v>4.7E-2</v>
      </c>
      <c r="D181" s="373">
        <v>4.7E-2</v>
      </c>
      <c r="E181" s="373">
        <v>4.7E-2</v>
      </c>
      <c r="F181" s="373">
        <v>4.7E-2</v>
      </c>
      <c r="G181" s="373">
        <v>4.7E-2</v>
      </c>
      <c r="H181" s="495"/>
      <c r="I181" s="495"/>
      <c r="J181" s="495"/>
      <c r="K181" s="495"/>
      <c r="L181" s="495"/>
      <c r="M181" s="495"/>
      <c r="N181" s="495"/>
      <c r="O181" s="495"/>
      <c r="P181" s="495"/>
      <c r="Q181" s="495"/>
    </row>
    <row r="182" spans="1:17" outlineLevel="1" x14ac:dyDescent="0.35">
      <c r="A182" s="8" t="s">
        <v>139</v>
      </c>
      <c r="B182" s="226" cm="1">
        <f t="array" ref="B182">INDEX(C182:Q182,Selected)</f>
        <v>4.7E-2</v>
      </c>
      <c r="C182" s="373">
        <v>4.7E-2</v>
      </c>
      <c r="D182" s="373">
        <v>4.7E-2</v>
      </c>
      <c r="E182" s="373">
        <v>4.7E-2</v>
      </c>
      <c r="F182" s="373">
        <v>4.7E-2</v>
      </c>
      <c r="G182" s="373">
        <v>4.7E-2</v>
      </c>
      <c r="H182" s="495"/>
      <c r="I182" s="495"/>
      <c r="J182" s="495"/>
      <c r="K182" s="495"/>
      <c r="L182" s="495"/>
      <c r="M182" s="495"/>
      <c r="N182" s="495"/>
      <c r="O182" s="495"/>
      <c r="P182" s="495"/>
      <c r="Q182" s="495"/>
    </row>
    <row r="183" spans="1:17" outlineLevel="1" x14ac:dyDescent="0.35">
      <c r="A183" s="8" t="s">
        <v>140</v>
      </c>
      <c r="B183" s="226" cm="1">
        <f t="array" ref="B183">INDEX(C183:Q183,Selected)</f>
        <v>4.7E-2</v>
      </c>
      <c r="C183" s="373">
        <v>4.7E-2</v>
      </c>
      <c r="D183" s="373">
        <v>4.7E-2</v>
      </c>
      <c r="E183" s="373">
        <v>4.7E-2</v>
      </c>
      <c r="F183" s="373">
        <v>4.7E-2</v>
      </c>
      <c r="G183" s="373">
        <v>4.7E-2</v>
      </c>
      <c r="H183" s="495"/>
      <c r="I183" s="495"/>
      <c r="J183" s="495"/>
      <c r="K183" s="495"/>
      <c r="L183" s="495"/>
      <c r="M183" s="495"/>
      <c r="N183" s="495"/>
      <c r="O183" s="495"/>
      <c r="P183" s="495"/>
      <c r="Q183" s="495"/>
    </row>
    <row r="184" spans="1:17" outlineLevel="1" x14ac:dyDescent="0.35">
      <c r="A184" s="8" t="s">
        <v>141</v>
      </c>
      <c r="B184" s="226" cm="1">
        <f t="array" ref="B184">INDEX(C184:Q184,Selected)</f>
        <v>4.7E-2</v>
      </c>
      <c r="C184" s="373">
        <v>4.7E-2</v>
      </c>
      <c r="D184" s="373">
        <v>4.7E-2</v>
      </c>
      <c r="E184" s="373">
        <v>4.7E-2</v>
      </c>
      <c r="F184" s="373">
        <v>4.7E-2</v>
      </c>
      <c r="G184" s="373">
        <v>4.7E-2</v>
      </c>
      <c r="H184" s="495"/>
      <c r="I184" s="495"/>
      <c r="J184" s="495"/>
      <c r="K184" s="495"/>
      <c r="L184" s="495"/>
      <c r="M184" s="495"/>
      <c r="N184" s="495"/>
      <c r="O184" s="495"/>
      <c r="P184" s="495"/>
      <c r="Q184" s="495"/>
    </row>
    <row r="185" spans="1:17" outlineLevel="1" x14ac:dyDescent="0.35">
      <c r="A185" s="8"/>
      <c r="C185" s="130"/>
      <c r="D185" s="130"/>
      <c r="E185" s="130"/>
      <c r="F185" s="130"/>
      <c r="G185" s="130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</row>
    <row r="186" spans="1:17" x14ac:dyDescent="0.35">
      <c r="A186" s="8" t="s">
        <v>10</v>
      </c>
      <c r="C186" s="130"/>
      <c r="D186" s="130"/>
      <c r="E186" s="130"/>
      <c r="F186" s="130"/>
      <c r="G186" s="130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</row>
    <row r="187" spans="1:17" x14ac:dyDescent="0.35"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</row>
    <row r="188" spans="1:17" ht="18.5" x14ac:dyDescent="0.45">
      <c r="A188" s="225" t="s">
        <v>142</v>
      </c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</row>
    <row r="189" spans="1:17" outlineLevel="1" x14ac:dyDescent="0.35">
      <c r="A189" s="15" t="s">
        <v>143</v>
      </c>
      <c r="B189" s="45"/>
      <c r="C189" s="131"/>
      <c r="D189" s="131"/>
      <c r="E189" s="131"/>
      <c r="F189" s="131"/>
      <c r="G189" s="131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</row>
    <row r="190" spans="1:17" outlineLevel="1" x14ac:dyDescent="0.35">
      <c r="A190" s="8" t="s">
        <v>144</v>
      </c>
      <c r="B190" s="226" t="e" cm="1">
        <f t="array" ref="B190">INDEX(C190:Q190,Selected)</f>
        <v>#DIV/0!</v>
      </c>
      <c r="C190" s="128" t="e">
        <f>AVERAGE('Conf-Wages FSR MR'!$H$13,'Conf-Wages FSR MR'!$R$13)</f>
        <v>#DIV/0!</v>
      </c>
      <c r="D190" s="128" t="e">
        <f>AVERAGE('Conf-Wages FSR MR'!$H$13,'Conf-Wages FSR MR'!$R$13)</f>
        <v>#DIV/0!</v>
      </c>
      <c r="E190" s="128" t="e">
        <f>AVERAGE('Conf-Wages FSR MR'!$H$13,'Conf-Wages FSR MR'!$R$13)</f>
        <v>#DIV/0!</v>
      </c>
      <c r="F190" s="128" t="e">
        <f>AVERAGE('Conf-Wages FSR MR'!$H$13,'Conf-Wages FSR MR'!$R$13)</f>
        <v>#DIV/0!</v>
      </c>
      <c r="G190" s="128" t="e">
        <f>AVERAGE('Conf-Wages FSR MR'!$H$13,'Conf-Wages FSR MR'!$R$13)</f>
        <v>#DIV/0!</v>
      </c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</row>
    <row r="191" spans="1:17" outlineLevel="1" x14ac:dyDescent="0.35">
      <c r="A191" s="8" t="s">
        <v>145</v>
      </c>
      <c r="B191" s="226" cm="1">
        <f t="array" ref="B191">INDEX(C191:Q191,Selected)</f>
        <v>0.30909741878905822</v>
      </c>
      <c r="C191" s="128">
        <f>'Labor OH'!$N$111</f>
        <v>0.30909741878905822</v>
      </c>
      <c r="D191" s="128">
        <f>'Labor OH'!$N$111</f>
        <v>0.30909741878905822</v>
      </c>
      <c r="E191" s="128">
        <f>'Labor OH'!$N$111</f>
        <v>0.30909741878905822</v>
      </c>
      <c r="F191" s="128">
        <f>'Labor OH'!$N$111</f>
        <v>0.30909741878905822</v>
      </c>
      <c r="G191" s="128">
        <f>'Labor OH'!$N$111</f>
        <v>0.30909741878905822</v>
      </c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</row>
    <row r="192" spans="1:17" outlineLevel="1" x14ac:dyDescent="0.35">
      <c r="A192" s="8"/>
      <c r="B192" s="391"/>
      <c r="C192" s="131"/>
      <c r="D192" s="131"/>
      <c r="E192" s="131"/>
      <c r="F192" s="131"/>
      <c r="G192" s="131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</row>
    <row r="193" spans="1:17" outlineLevel="1" x14ac:dyDescent="0.35">
      <c r="A193" s="8"/>
      <c r="B193" s="136"/>
      <c r="C193" s="131"/>
      <c r="D193" s="131"/>
      <c r="E193" s="131"/>
      <c r="F193" s="131"/>
      <c r="G193" s="131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</row>
    <row r="194" spans="1:17" outlineLevel="1" x14ac:dyDescent="0.35">
      <c r="A194" s="15" t="s">
        <v>146</v>
      </c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</row>
    <row r="195" spans="1:17" outlineLevel="1" x14ac:dyDescent="0.35">
      <c r="A195" s="8" t="s">
        <v>147</v>
      </c>
      <c r="B195" s="234" cm="1">
        <f t="array" ref="B195">INDEX(C195:Q195,Selected)</f>
        <v>0</v>
      </c>
      <c r="C195" s="262">
        <f>'Conf-Wages FSR MR'!$R$20</f>
        <v>0</v>
      </c>
      <c r="D195" s="262">
        <f>'Conf-Wages FSR MR'!$R$20</f>
        <v>0</v>
      </c>
      <c r="E195" s="262">
        <f>'Conf-Wages FSR MR'!$R$20</f>
        <v>0</v>
      </c>
      <c r="F195" s="262">
        <f>'Conf-Wages FSR MR'!$R$20</f>
        <v>0</v>
      </c>
      <c r="G195" s="262">
        <f>'Conf-Wages FSR MR'!$R$20</f>
        <v>0</v>
      </c>
      <c r="H195" s="483"/>
      <c r="I195" s="483"/>
      <c r="J195" s="483"/>
      <c r="K195" s="483"/>
      <c r="L195" s="483"/>
      <c r="M195" s="483"/>
      <c r="N195" s="483"/>
      <c r="O195" s="483"/>
      <c r="P195" s="483"/>
      <c r="Q195" s="483"/>
    </row>
    <row r="196" spans="1:17" outlineLevel="1" x14ac:dyDescent="0.35">
      <c r="A196" s="8" t="s">
        <v>148</v>
      </c>
      <c r="B196" s="194" cm="1">
        <f t="array" ref="B196">INDEX(C196:Q196,Selected)</f>
        <v>7</v>
      </c>
      <c r="C196" s="259">
        <v>7</v>
      </c>
      <c r="D196" s="259">
        <v>7</v>
      </c>
      <c r="E196" s="259">
        <v>7</v>
      </c>
      <c r="F196" s="259">
        <v>7</v>
      </c>
      <c r="G196" s="259">
        <v>7</v>
      </c>
      <c r="H196" s="479"/>
      <c r="I196" s="479"/>
      <c r="J196" s="479"/>
      <c r="K196" s="479"/>
      <c r="L196" s="479"/>
      <c r="M196" s="479"/>
      <c r="N196" s="479"/>
      <c r="O196" s="479"/>
      <c r="P196" s="479"/>
      <c r="Q196" s="479"/>
    </row>
    <row r="197" spans="1:17" outlineLevel="1" x14ac:dyDescent="0.35">
      <c r="A197" s="8"/>
      <c r="B197" s="297"/>
      <c r="C197" s="298"/>
      <c r="D197" s="298"/>
      <c r="E197" s="298"/>
      <c r="F197" s="298"/>
      <c r="G197" s="298"/>
      <c r="H197" s="298"/>
      <c r="I197" s="298"/>
      <c r="J197" s="298"/>
      <c r="K197" s="298"/>
      <c r="L197" s="298"/>
      <c r="M197" s="298"/>
      <c r="N197" s="298"/>
      <c r="O197" s="298"/>
      <c r="P197" s="298"/>
      <c r="Q197" s="298"/>
    </row>
    <row r="198" spans="1:17" outlineLevel="1" x14ac:dyDescent="0.35">
      <c r="A198" s="137" t="s">
        <v>149</v>
      </c>
      <c r="B198" s="134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</row>
    <row r="199" spans="1:17" outlineLevel="1" x14ac:dyDescent="0.35">
      <c r="A199" s="8" t="s">
        <v>150</v>
      </c>
      <c r="B199" s="222" cm="1">
        <f t="array" ref="B199">INDEX(C199:Q199,Selected)</f>
        <v>0.2</v>
      </c>
      <c r="C199" s="256">
        <v>0.2</v>
      </c>
      <c r="D199" s="256">
        <v>0.2</v>
      </c>
      <c r="E199" s="256">
        <v>0.2</v>
      </c>
      <c r="F199" s="256">
        <v>0.2</v>
      </c>
      <c r="G199" s="256">
        <v>0.2</v>
      </c>
      <c r="H199" s="473"/>
      <c r="I199" s="473"/>
      <c r="J199" s="473"/>
      <c r="K199" s="473"/>
      <c r="L199" s="473"/>
      <c r="M199" s="473"/>
      <c r="N199" s="473"/>
      <c r="O199" s="473"/>
      <c r="P199" s="473"/>
      <c r="Q199" s="473"/>
    </row>
    <row r="200" spans="1:17" outlineLevel="1" x14ac:dyDescent="0.35">
      <c r="A200" s="8" t="s">
        <v>151</v>
      </c>
      <c r="B200" s="222" cm="1">
        <f t="array" ref="B200">INDEX(C200:Q200,Selected)</f>
        <v>0.4</v>
      </c>
      <c r="C200" s="256">
        <v>0.4</v>
      </c>
      <c r="D200" s="256">
        <v>0.4</v>
      </c>
      <c r="E200" s="256">
        <v>0.4</v>
      </c>
      <c r="F200" s="256">
        <v>0.4</v>
      </c>
      <c r="G200" s="256">
        <v>0.4</v>
      </c>
      <c r="H200" s="473"/>
      <c r="I200" s="473"/>
      <c r="J200" s="473"/>
      <c r="K200" s="473"/>
      <c r="L200" s="473"/>
      <c r="M200" s="473"/>
      <c r="N200" s="473"/>
      <c r="O200" s="473"/>
      <c r="P200" s="473"/>
      <c r="Q200" s="473"/>
    </row>
    <row r="201" spans="1:17" outlineLevel="1" x14ac:dyDescent="0.35">
      <c r="A201" s="8" t="s">
        <v>152</v>
      </c>
      <c r="B201" s="222" cm="1">
        <f t="array" ref="B201">INDEX(C201:Q201,Selected)</f>
        <v>0.6</v>
      </c>
      <c r="C201" s="256">
        <v>0.6</v>
      </c>
      <c r="D201" s="256">
        <v>0.6</v>
      </c>
      <c r="E201" s="256">
        <v>0.6</v>
      </c>
      <c r="F201" s="256">
        <v>0.6</v>
      </c>
      <c r="G201" s="256">
        <v>0.6</v>
      </c>
      <c r="H201" s="473"/>
      <c r="I201" s="473"/>
      <c r="J201" s="473"/>
      <c r="K201" s="473"/>
      <c r="L201" s="473"/>
      <c r="M201" s="473"/>
      <c r="N201" s="473"/>
      <c r="O201" s="473"/>
      <c r="P201" s="473"/>
      <c r="Q201" s="473"/>
    </row>
    <row r="202" spans="1:17" outlineLevel="1" x14ac:dyDescent="0.35">
      <c r="A202" s="8" t="s">
        <v>153</v>
      </c>
      <c r="B202" s="222" cm="1">
        <f t="array" ref="B202">INDEX(C202:Q202,Selected)</f>
        <v>0.95</v>
      </c>
      <c r="C202" s="256">
        <v>0.95</v>
      </c>
      <c r="D202" s="256">
        <v>0.95</v>
      </c>
      <c r="E202" s="256">
        <v>0.95</v>
      </c>
      <c r="F202" s="256">
        <v>0.95</v>
      </c>
      <c r="G202" s="256">
        <v>0.95</v>
      </c>
      <c r="H202" s="473"/>
      <c r="I202" s="473"/>
      <c r="J202" s="473"/>
      <c r="K202" s="473"/>
      <c r="L202" s="473"/>
      <c r="M202" s="473"/>
      <c r="N202" s="473"/>
      <c r="O202" s="473"/>
      <c r="P202" s="473"/>
      <c r="Q202" s="473"/>
    </row>
    <row r="203" spans="1:17" outlineLevel="1" x14ac:dyDescent="0.35">
      <c r="A203" s="137" t="s">
        <v>154</v>
      </c>
      <c r="B203" s="136"/>
      <c r="C203" s="130"/>
      <c r="D203" s="130"/>
      <c r="E203" s="130"/>
      <c r="F203" s="130"/>
      <c r="G203" s="130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</row>
    <row r="204" spans="1:17" outlineLevel="1" x14ac:dyDescent="0.35">
      <c r="A204" s="8" t="s">
        <v>155</v>
      </c>
      <c r="B204" s="222" cm="1">
        <f t="array" ref="B204">INDEX(C204:Q204,Selected)</f>
        <v>0</v>
      </c>
      <c r="C204" s="313">
        <v>0</v>
      </c>
      <c r="D204" s="313">
        <v>0</v>
      </c>
      <c r="E204" s="313">
        <v>0</v>
      </c>
      <c r="F204" s="313">
        <v>0</v>
      </c>
      <c r="G204" s="313">
        <v>0</v>
      </c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</row>
    <row r="205" spans="1:17" outlineLevel="1" x14ac:dyDescent="0.35">
      <c r="A205" s="8" t="s">
        <v>156</v>
      </c>
      <c r="B205" s="222" cm="1">
        <f t="array" ref="B205">INDEX(C205:Q205,Selected)</f>
        <v>0</v>
      </c>
      <c r="C205" s="313">
        <v>0</v>
      </c>
      <c r="D205" s="313">
        <v>0</v>
      </c>
      <c r="E205" s="313">
        <v>0</v>
      </c>
      <c r="F205" s="313">
        <v>0</v>
      </c>
      <c r="G205" s="313">
        <v>0</v>
      </c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</row>
    <row r="206" spans="1:17" outlineLevel="1" x14ac:dyDescent="0.35">
      <c r="A206" s="8" t="s">
        <v>157</v>
      </c>
      <c r="B206" s="222" cm="1">
        <f t="array" ref="B206">INDEX(C206:Q206,Selected)</f>
        <v>0</v>
      </c>
      <c r="C206" s="313">
        <v>0</v>
      </c>
      <c r="D206" s="313">
        <v>0</v>
      </c>
      <c r="E206" s="313">
        <v>0</v>
      </c>
      <c r="F206" s="313">
        <v>0</v>
      </c>
      <c r="G206" s="313">
        <v>0</v>
      </c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</row>
    <row r="207" spans="1:17" outlineLevel="1" x14ac:dyDescent="0.35">
      <c r="A207" s="8" t="s">
        <v>158</v>
      </c>
      <c r="B207" s="222" cm="1">
        <f t="array" ref="B207">INDEX(C207:Q207,Selected)</f>
        <v>0</v>
      </c>
      <c r="C207" s="313">
        <v>0</v>
      </c>
      <c r="D207" s="313">
        <v>0</v>
      </c>
      <c r="E207" s="313">
        <v>0</v>
      </c>
      <c r="F207" s="313">
        <v>0</v>
      </c>
      <c r="G207" s="313">
        <v>0</v>
      </c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</row>
    <row r="208" spans="1:17" outlineLevel="1" x14ac:dyDescent="0.35">
      <c r="A208" s="8"/>
      <c r="B208" s="136"/>
      <c r="C208" s="130"/>
      <c r="D208" s="135"/>
      <c r="E208" s="135"/>
      <c r="F208" s="135"/>
      <c r="G208" s="130"/>
      <c r="H208" s="135"/>
      <c r="I208" s="201"/>
      <c r="J208" s="201"/>
      <c r="K208" s="201"/>
      <c r="L208" s="201"/>
      <c r="M208" s="201"/>
      <c r="N208" s="135"/>
      <c r="O208" s="135"/>
      <c r="P208" s="135"/>
      <c r="Q208" s="135"/>
    </row>
    <row r="209" spans="1:17" outlineLevel="1" x14ac:dyDescent="0.35">
      <c r="A209" s="15" t="s">
        <v>159</v>
      </c>
      <c r="D209" s="126"/>
      <c r="E209" s="126"/>
      <c r="F209" s="126"/>
      <c r="H209" s="126"/>
      <c r="N209" s="126"/>
      <c r="O209" s="126"/>
      <c r="P209" s="126"/>
      <c r="Q209" s="126"/>
    </row>
    <row r="210" spans="1:17" outlineLevel="1" x14ac:dyDescent="0.35">
      <c r="A210" s="8" t="s">
        <v>160</v>
      </c>
      <c r="B210" s="234" cm="1">
        <f t="array" ref="B210">INDEX(C210:Q210,Selected)</f>
        <v>0</v>
      </c>
      <c r="C210" s="247">
        <f>'Conf-Wages FSR MR'!$H$20</f>
        <v>0</v>
      </c>
      <c r="D210" s="247">
        <f>'Conf-Wages FSR MR'!$H$20</f>
        <v>0</v>
      </c>
      <c r="E210" s="247">
        <f>'Conf-Wages FSR MR'!$H$20</f>
        <v>0</v>
      </c>
      <c r="F210" s="247">
        <f>'Conf-Wages FSR MR'!$H$20</f>
        <v>0</v>
      </c>
      <c r="G210" s="247">
        <f>'Conf-Wages FSR MR'!$H$20</f>
        <v>0</v>
      </c>
      <c r="H210" s="475"/>
      <c r="I210" s="475"/>
      <c r="J210" s="475"/>
      <c r="K210" s="475"/>
      <c r="L210" s="475"/>
      <c r="M210" s="475"/>
      <c r="N210" s="475"/>
      <c r="O210" s="475"/>
      <c r="P210" s="475"/>
      <c r="Q210" s="475"/>
    </row>
    <row r="211" spans="1:17" outlineLevel="1" x14ac:dyDescent="0.35">
      <c r="A211" s="293" t="s">
        <v>161</v>
      </c>
      <c r="B211" s="222" cm="1">
        <f t="array" ref="B211">INDEX(C211:Q211,Selected)</f>
        <v>0.6</v>
      </c>
      <c r="C211" s="260">
        <v>0.6</v>
      </c>
      <c r="D211" s="260">
        <v>0.6</v>
      </c>
      <c r="E211" s="260">
        <v>0.6</v>
      </c>
      <c r="F211" s="260">
        <v>0.6</v>
      </c>
      <c r="G211" s="260">
        <v>0.6</v>
      </c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</row>
    <row r="212" spans="1:17" outlineLevel="1" x14ac:dyDescent="0.35">
      <c r="A212" s="293" t="s">
        <v>162</v>
      </c>
      <c r="B212" s="222" cm="1">
        <f t="array" ref="B212">INDEX(C212:Q212,Selected)</f>
        <v>0.2</v>
      </c>
      <c r="C212" s="260">
        <v>0.2</v>
      </c>
      <c r="D212" s="260">
        <v>0.2</v>
      </c>
      <c r="E212" s="260">
        <v>0.2</v>
      </c>
      <c r="F212" s="260">
        <v>0.2</v>
      </c>
      <c r="G212" s="260">
        <v>0.2</v>
      </c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</row>
    <row r="213" spans="1:17" outlineLevel="1" x14ac:dyDescent="0.35">
      <c r="A213" s="293" t="s">
        <v>163</v>
      </c>
      <c r="B213" s="222" cm="1">
        <f t="array" ref="B213">INDEX(C213:Q213,Selected)</f>
        <v>0.3</v>
      </c>
      <c r="C213" s="260">
        <v>0.3</v>
      </c>
      <c r="D213" s="260">
        <v>0.3</v>
      </c>
      <c r="E213" s="260">
        <v>0.3</v>
      </c>
      <c r="F213" s="260">
        <v>0.3</v>
      </c>
      <c r="G213" s="260">
        <v>0.3</v>
      </c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</row>
    <row r="214" spans="1:17" outlineLevel="1" x14ac:dyDescent="0.35">
      <c r="A214" s="294" t="s">
        <v>164</v>
      </c>
      <c r="B214" s="222" cm="1">
        <f t="array" ref="B214">INDEX(C214:Q214,Selected)</f>
        <v>0.6</v>
      </c>
      <c r="C214" s="260">
        <v>0.6</v>
      </c>
      <c r="D214" s="260">
        <v>0.6</v>
      </c>
      <c r="E214" s="260">
        <v>0.6</v>
      </c>
      <c r="F214" s="260">
        <v>0.6</v>
      </c>
      <c r="G214" s="260">
        <v>0.6</v>
      </c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</row>
    <row r="215" spans="1:17" outlineLevel="1" x14ac:dyDescent="0.35">
      <c r="A215" s="293" t="s">
        <v>165</v>
      </c>
      <c r="B215" s="222" cm="1">
        <f t="array" ref="B215">INDEX(C215:Q215,Selected)</f>
        <v>0.95</v>
      </c>
      <c r="C215" s="260">
        <v>0.95</v>
      </c>
      <c r="D215" s="260">
        <v>0.95</v>
      </c>
      <c r="E215" s="260">
        <v>0.95</v>
      </c>
      <c r="F215" s="260">
        <v>0.95</v>
      </c>
      <c r="G215" s="260">
        <v>0.95</v>
      </c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</row>
    <row r="216" spans="1:17" outlineLevel="1" x14ac:dyDescent="0.35">
      <c r="A216" s="294" t="s">
        <v>166</v>
      </c>
      <c r="B216" s="222" cm="1">
        <f t="array" ref="B216">INDEX(C216:Q216,Selected)</f>
        <v>0.5</v>
      </c>
      <c r="C216" s="260">
        <v>0.5</v>
      </c>
      <c r="D216" s="260">
        <v>0.5</v>
      </c>
      <c r="E216" s="260">
        <v>0.5</v>
      </c>
      <c r="F216" s="260">
        <v>0.5</v>
      </c>
      <c r="G216" s="260">
        <v>0.5</v>
      </c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</row>
    <row r="217" spans="1:17" outlineLevel="1" x14ac:dyDescent="0.35">
      <c r="A217" s="294" t="s">
        <v>167</v>
      </c>
      <c r="B217" s="222" cm="1">
        <f t="array" ref="B217">INDEX(C217:Q217,Selected)</f>
        <v>0.7</v>
      </c>
      <c r="C217" s="260">
        <v>0.7</v>
      </c>
      <c r="D217" s="260">
        <v>0.7</v>
      </c>
      <c r="E217" s="260">
        <v>0.7</v>
      </c>
      <c r="F217" s="260">
        <v>0.7</v>
      </c>
      <c r="G217" s="260">
        <v>0.7</v>
      </c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</row>
    <row r="218" spans="1:17" outlineLevel="1" x14ac:dyDescent="0.35">
      <c r="A218" s="294" t="s">
        <v>168</v>
      </c>
      <c r="B218" s="222" cm="1">
        <f t="array" ref="B218">INDEX(C218:Q218,Selected)</f>
        <v>0.92999999999999994</v>
      </c>
      <c r="C218" s="260">
        <f>0.95-0.02</f>
        <v>0.92999999999999994</v>
      </c>
      <c r="D218" s="260">
        <f t="shared" ref="D218:F218" si="15">0.95-0.02</f>
        <v>0.92999999999999994</v>
      </c>
      <c r="E218" s="260">
        <f t="shared" si="15"/>
        <v>0.92999999999999994</v>
      </c>
      <c r="F218" s="260">
        <f t="shared" si="15"/>
        <v>0.92999999999999994</v>
      </c>
      <c r="G218" s="260">
        <f>0.95-0.02</f>
        <v>0.92999999999999994</v>
      </c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</row>
    <row r="219" spans="1:17" outlineLevel="1" x14ac:dyDescent="0.35">
      <c r="A219" s="293" t="s">
        <v>169</v>
      </c>
      <c r="B219" s="222" cm="1">
        <f t="array" ref="B219">INDEX(C219:Q219,Selected)</f>
        <v>0.95</v>
      </c>
      <c r="C219" s="260">
        <v>0.95</v>
      </c>
      <c r="D219" s="260">
        <v>0.95</v>
      </c>
      <c r="E219" s="260">
        <v>0.95</v>
      </c>
      <c r="F219" s="260">
        <v>0.95</v>
      </c>
      <c r="G219" s="260">
        <v>0.95</v>
      </c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</row>
    <row r="220" spans="1:17" outlineLevel="1" x14ac:dyDescent="0.35">
      <c r="A220" s="293" t="s">
        <v>170</v>
      </c>
      <c r="B220" s="222" cm="1">
        <f t="array" ref="B220">INDEX(C220:Q220,Selected)</f>
        <v>0.95</v>
      </c>
      <c r="C220" s="260">
        <v>0.95</v>
      </c>
      <c r="D220" s="260">
        <v>0.95</v>
      </c>
      <c r="E220" s="260">
        <v>0.95</v>
      </c>
      <c r="F220" s="260">
        <v>0.95</v>
      </c>
      <c r="G220" s="260">
        <v>0.95</v>
      </c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</row>
    <row r="221" spans="1:17" outlineLevel="1" x14ac:dyDescent="0.35">
      <c r="A221" s="293" t="s">
        <v>171</v>
      </c>
      <c r="B221" s="222" cm="1">
        <f t="array" ref="B221">INDEX(C221:Q221,Selected)</f>
        <v>0.25</v>
      </c>
      <c r="C221" s="260">
        <v>0.25</v>
      </c>
      <c r="D221" s="260">
        <v>0.25</v>
      </c>
      <c r="E221" s="260">
        <v>0.25</v>
      </c>
      <c r="F221" s="260">
        <v>0.25</v>
      </c>
      <c r="G221" s="260">
        <v>0.25</v>
      </c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</row>
    <row r="222" spans="1:17" outlineLevel="1" x14ac:dyDescent="0.35">
      <c r="A222" s="293" t="s">
        <v>172</v>
      </c>
      <c r="B222" s="222" cm="1">
        <f t="array" ref="B222">INDEX(C222:Q222,Selected)</f>
        <v>0.25</v>
      </c>
      <c r="C222" s="260">
        <v>0.25</v>
      </c>
      <c r="D222" s="260">
        <v>0.25</v>
      </c>
      <c r="E222" s="260">
        <v>0.25</v>
      </c>
      <c r="F222" s="260">
        <v>0.25</v>
      </c>
      <c r="G222" s="260">
        <v>0.25</v>
      </c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</row>
    <row r="223" spans="1:17" outlineLevel="1" x14ac:dyDescent="0.35">
      <c r="A223" s="311" t="s">
        <v>173</v>
      </c>
      <c r="B223" s="222" cm="1">
        <f t="array" ref="B223">INDEX(C223:Q223,Selected)</f>
        <v>0.25</v>
      </c>
      <c r="C223" s="260">
        <v>0.25</v>
      </c>
      <c r="D223" s="260">
        <v>0.25</v>
      </c>
      <c r="E223" s="260">
        <v>0.25</v>
      </c>
      <c r="F223" s="260">
        <v>0.25</v>
      </c>
      <c r="G223" s="260">
        <v>0.25</v>
      </c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</row>
    <row r="224" spans="1:17" outlineLevel="1" x14ac:dyDescent="0.35">
      <c r="A224" s="293" t="s">
        <v>174</v>
      </c>
      <c r="B224" s="222" cm="1">
        <f t="array" ref="B224">INDEX(C224:Q224,Selected)</f>
        <v>0.2</v>
      </c>
      <c r="C224" s="260">
        <v>0.2</v>
      </c>
      <c r="D224" s="260">
        <v>0.2</v>
      </c>
      <c r="E224" s="260">
        <v>0.2</v>
      </c>
      <c r="F224" s="260">
        <v>0.2</v>
      </c>
      <c r="G224" s="260">
        <v>0.2</v>
      </c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</row>
    <row r="225" spans="1:17" outlineLevel="1" x14ac:dyDescent="0.35">
      <c r="A225" s="293"/>
      <c r="B225" s="222" cm="1">
        <f t="array" ref="B225">INDEX(C225:Q225,Selected)</f>
        <v>0</v>
      </c>
      <c r="C225" s="260"/>
      <c r="D225" s="260"/>
      <c r="E225" s="260"/>
      <c r="F225" s="260"/>
      <c r="G225" s="260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</row>
    <row r="226" spans="1:17" outlineLevel="1" x14ac:dyDescent="0.35">
      <c r="A226" s="293"/>
      <c r="B226" s="222" cm="1">
        <f t="array" ref="B226">INDEX(C226:Q226,Selected)</f>
        <v>0</v>
      </c>
      <c r="C226" s="260"/>
      <c r="D226" s="260"/>
      <c r="E226" s="260"/>
      <c r="F226" s="260"/>
      <c r="G226" s="260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</row>
    <row r="227" spans="1:17" outlineLevel="1" x14ac:dyDescent="0.35">
      <c r="A227" s="8"/>
      <c r="B227" s="204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</row>
    <row r="228" spans="1:17" outlineLevel="1" x14ac:dyDescent="0.35">
      <c r="A228" s="8"/>
      <c r="B228" s="45"/>
      <c r="C228" s="130"/>
      <c r="D228" s="130"/>
      <c r="E228" s="130"/>
      <c r="F228" s="130"/>
      <c r="G228" s="130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</row>
    <row r="229" spans="1:17" outlineLevel="1" x14ac:dyDescent="0.35">
      <c r="A229" s="15" t="s">
        <v>175</v>
      </c>
      <c r="B229" s="263" cm="1">
        <f t="array" ref="B229">INDEX(C229:Q229,Selected)</f>
        <v>7.6266107302274344</v>
      </c>
      <c r="C229" s="161">
        <f>'Transit Time'!$F$8</f>
        <v>7.6266107302274344</v>
      </c>
      <c r="D229" s="161">
        <f>'Transit Time'!$F$8</f>
        <v>7.6266107302274344</v>
      </c>
      <c r="E229" s="161">
        <f>'Transit Time'!$F$8</f>
        <v>7.6266107302274344</v>
      </c>
      <c r="F229" s="161">
        <f>'Transit Time'!$F$8</f>
        <v>7.6266107302274344</v>
      </c>
      <c r="G229" s="161">
        <f>'Transit Time'!$F$8</f>
        <v>7.6266107302274344</v>
      </c>
      <c r="H229" s="496"/>
      <c r="I229" s="496"/>
      <c r="J229" s="496"/>
      <c r="K229" s="496"/>
      <c r="L229" s="496"/>
      <c r="M229" s="496"/>
      <c r="N229" s="496"/>
      <c r="O229" s="496"/>
      <c r="P229" s="496"/>
      <c r="Q229" s="496"/>
    </row>
    <row r="230" spans="1:17" outlineLevel="1" x14ac:dyDescent="0.35">
      <c r="A230" s="15"/>
      <c r="B230" s="308"/>
      <c r="C230" s="309"/>
      <c r="D230" s="309"/>
      <c r="E230" s="309"/>
      <c r="F230" s="309"/>
      <c r="G230" s="309"/>
      <c r="H230" s="496"/>
      <c r="I230" s="496"/>
      <c r="J230" s="496"/>
      <c r="K230" s="496"/>
      <c r="L230" s="496"/>
      <c r="M230" s="496"/>
      <c r="N230" s="496"/>
      <c r="O230" s="496"/>
      <c r="P230" s="496"/>
      <c r="Q230" s="496"/>
    </row>
    <row r="231" spans="1:17" x14ac:dyDescent="0.35">
      <c r="A231" s="8" t="s">
        <v>10</v>
      </c>
      <c r="B231" s="224"/>
      <c r="C231" s="130"/>
      <c r="D231" s="130"/>
      <c r="E231" s="130"/>
      <c r="F231" s="130"/>
      <c r="G231" s="130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</row>
    <row r="232" spans="1:17" x14ac:dyDescent="0.35">
      <c r="A232" s="8"/>
      <c r="B232" s="224"/>
      <c r="C232" s="130"/>
      <c r="D232" s="130"/>
      <c r="E232" s="130"/>
      <c r="F232" s="130"/>
      <c r="G232" s="130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</row>
    <row r="233" spans="1:17" ht="18.5" x14ac:dyDescent="0.45">
      <c r="A233" s="225" t="s">
        <v>176</v>
      </c>
      <c r="B233" s="224"/>
      <c r="C233" s="130"/>
      <c r="D233" s="130"/>
      <c r="E233" s="130"/>
      <c r="F233" s="130"/>
      <c r="G233" s="130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</row>
    <row r="234" spans="1:17" outlineLevel="1" x14ac:dyDescent="0.35">
      <c r="A234" s="8" t="s">
        <v>177</v>
      </c>
      <c r="B234" s="223" cm="1">
        <f t="array" ref="B234">INDEX(C234:Q234,Selected)</f>
        <v>2.8545476330126728E-2</v>
      </c>
      <c r="C234" s="128">
        <f>'Data-CPIAll'!$N$38</f>
        <v>2.8545476330126728E-2</v>
      </c>
      <c r="D234" s="128">
        <f>'Data-CPIAll'!$N$38</f>
        <v>2.8545476330126728E-2</v>
      </c>
      <c r="E234" s="128">
        <f>'Data-CPIAll'!$N$38</f>
        <v>2.8545476330126728E-2</v>
      </c>
      <c r="F234" s="128">
        <f>'Data-CPIAll'!$N$38</f>
        <v>2.8545476330126728E-2</v>
      </c>
      <c r="G234" s="128">
        <f>'Data-CPIAll'!$N$38</f>
        <v>2.8545476330126728E-2</v>
      </c>
      <c r="H234" s="478"/>
      <c r="I234" s="478"/>
      <c r="J234" s="478"/>
      <c r="K234" s="478"/>
      <c r="L234" s="478"/>
      <c r="M234" s="478"/>
      <c r="N234" s="478"/>
      <c r="O234" s="478"/>
      <c r="P234" s="478"/>
      <c r="Q234" s="478"/>
    </row>
    <row r="235" spans="1:17" outlineLevel="1" x14ac:dyDescent="0.35">
      <c r="A235" s="8"/>
      <c r="B235" s="45"/>
      <c r="C235" s="131"/>
      <c r="D235" s="131"/>
      <c r="E235" s="131"/>
      <c r="F235" s="131"/>
      <c r="G235" s="131"/>
      <c r="H235" s="478"/>
      <c r="I235" s="478"/>
      <c r="J235" s="478"/>
      <c r="K235" s="478"/>
      <c r="L235" s="478"/>
      <c r="M235" s="478"/>
      <c r="N235" s="478"/>
      <c r="O235" s="478"/>
      <c r="P235" s="478"/>
      <c r="Q235" s="478"/>
    </row>
    <row r="236" spans="1:17" x14ac:dyDescent="0.35">
      <c r="A236" s="8"/>
    </row>
    <row r="237" spans="1:17" ht="18.5" x14ac:dyDescent="0.45">
      <c r="A237" s="225" t="s">
        <v>178</v>
      </c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</row>
    <row r="238" spans="1:17" outlineLevel="1" x14ac:dyDescent="0.35">
      <c r="A238" s="8" t="s">
        <v>179</v>
      </c>
      <c r="B238" s="194" t="str" cm="1">
        <f t="array" ref="B238">INDEX(C238:Q238,Selected)</f>
        <v>DiscountWater</v>
      </c>
      <c r="C238" s="127" t="s">
        <v>180</v>
      </c>
      <c r="D238" s="127" t="s">
        <v>180</v>
      </c>
      <c r="E238" s="127" t="s">
        <v>180</v>
      </c>
      <c r="F238" s="127" t="s">
        <v>180</v>
      </c>
      <c r="G238" s="127" t="s">
        <v>180</v>
      </c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</row>
    <row r="239" spans="1:17" outlineLevel="1" x14ac:dyDescent="0.35">
      <c r="A239" s="8" t="s">
        <v>181</v>
      </c>
      <c r="B239" s="194" t="str" cm="1">
        <f t="array" ref="B239">INDEX(C239:Q239,Selected)</f>
        <v>yes</v>
      </c>
      <c r="C239" s="127" t="s">
        <v>16</v>
      </c>
      <c r="D239" s="127" t="s">
        <v>16</v>
      </c>
      <c r="E239" s="127" t="s">
        <v>16</v>
      </c>
      <c r="F239" s="127" t="s">
        <v>16</v>
      </c>
      <c r="G239" s="127" t="s">
        <v>16</v>
      </c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</row>
    <row r="240" spans="1:17" outlineLevel="1" x14ac:dyDescent="0.35">
      <c r="A240" s="8" t="s">
        <v>182</v>
      </c>
      <c r="B240" s="226" cm="1">
        <f t="array" ref="B240">INDEX(C240:Q240,Selected)</f>
        <v>7.8700000000000006E-2</v>
      </c>
      <c r="C240" s="129">
        <v>7.8700000000000006E-2</v>
      </c>
      <c r="D240" s="129">
        <v>7.8700000000000006E-2</v>
      </c>
      <c r="E240" s="129">
        <v>7.8700000000000006E-2</v>
      </c>
      <c r="F240" s="129">
        <v>7.8700000000000006E-2</v>
      </c>
      <c r="G240" s="129">
        <v>7.8700000000000006E-2</v>
      </c>
      <c r="H240" s="480"/>
      <c r="I240" s="480"/>
      <c r="J240" s="480"/>
      <c r="K240" s="480"/>
      <c r="L240" s="480"/>
      <c r="M240" s="480"/>
      <c r="N240" s="480"/>
      <c r="O240" s="480"/>
      <c r="P240" s="480"/>
      <c r="Q240" s="480"/>
    </row>
    <row r="241" spans="1:17" outlineLevel="1" x14ac:dyDescent="0.35">
      <c r="A241" s="8"/>
      <c r="B241"/>
    </row>
    <row r="242" spans="1:17" x14ac:dyDescent="0.35">
      <c r="A242" s="8" t="s">
        <v>10</v>
      </c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</row>
    <row r="243" spans="1:17" x14ac:dyDescent="0.35">
      <c r="B243"/>
    </row>
    <row r="244" spans="1:17" x14ac:dyDescent="0.35">
      <c r="B244"/>
    </row>
    <row r="245" spans="1:17" x14ac:dyDescent="0.35">
      <c r="B245"/>
    </row>
    <row r="246" spans="1:17" x14ac:dyDescent="0.35">
      <c r="B246"/>
    </row>
    <row r="247" spans="1:17" x14ac:dyDescent="0.35">
      <c r="B247"/>
    </row>
    <row r="248" spans="1:17" x14ac:dyDescent="0.35">
      <c r="B248"/>
    </row>
    <row r="249" spans="1:17" x14ac:dyDescent="0.35">
      <c r="B249"/>
    </row>
    <row r="250" spans="1:17" x14ac:dyDescent="0.35">
      <c r="B250"/>
    </row>
    <row r="251" spans="1:17" x14ac:dyDescent="0.35">
      <c r="B251"/>
    </row>
    <row r="252" spans="1:17" x14ac:dyDescent="0.35">
      <c r="B252"/>
    </row>
    <row r="253" spans="1:17" x14ac:dyDescent="0.35">
      <c r="B253"/>
    </row>
    <row r="254" spans="1:17" x14ac:dyDescent="0.35">
      <c r="B254"/>
    </row>
    <row r="255" spans="1:17" x14ac:dyDescent="0.35">
      <c r="B255"/>
    </row>
    <row r="256" spans="1:17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17" x14ac:dyDescent="0.35">
      <c r="B273"/>
    </row>
    <row r="274" spans="2:17" x14ac:dyDescent="0.35">
      <c r="B274"/>
    </row>
    <row r="275" spans="2:17" x14ac:dyDescent="0.35">
      <c r="B275"/>
    </row>
    <row r="276" spans="2:17" x14ac:dyDescent="0.35">
      <c r="B276"/>
    </row>
    <row r="277" spans="2:17" x14ac:dyDescent="0.35">
      <c r="B277"/>
      <c r="D277" s="143"/>
      <c r="E277" s="143"/>
      <c r="F277" s="143"/>
      <c r="H277" s="143"/>
      <c r="N277" s="143"/>
      <c r="O277" s="143"/>
      <c r="P277" s="143"/>
      <c r="Q277" s="143"/>
    </row>
    <row r="278" spans="2:17" x14ac:dyDescent="0.35">
      <c r="B278"/>
      <c r="D278" s="143"/>
      <c r="E278" s="143"/>
      <c r="F278" s="143"/>
      <c r="H278" s="143"/>
      <c r="N278" s="143"/>
      <c r="O278" s="143"/>
      <c r="P278" s="143"/>
      <c r="Q278" s="143"/>
    </row>
    <row r="279" spans="2:17" x14ac:dyDescent="0.35">
      <c r="B279"/>
      <c r="D279" s="143"/>
      <c r="E279" s="143"/>
      <c r="F279" s="143"/>
      <c r="H279" s="143"/>
      <c r="N279" s="143"/>
      <c r="O279" s="143"/>
      <c r="P279" s="143"/>
      <c r="Q279" s="143"/>
    </row>
    <row r="280" spans="2:17" x14ac:dyDescent="0.35">
      <c r="B280"/>
      <c r="D280" s="143"/>
      <c r="E280" s="143"/>
      <c r="F280" s="143"/>
      <c r="H280" s="143"/>
      <c r="N280" s="143"/>
      <c r="O280" s="143"/>
      <c r="P280" s="143"/>
      <c r="Q280" s="143"/>
    </row>
    <row r="281" spans="2:17" x14ac:dyDescent="0.35">
      <c r="B281"/>
      <c r="D281" s="143"/>
      <c r="E281" s="143"/>
      <c r="F281" s="143"/>
      <c r="H281" s="143"/>
      <c r="N281" s="143"/>
      <c r="O281" s="143"/>
      <c r="P281" s="143"/>
      <c r="Q281" s="143"/>
    </row>
    <row r="282" spans="2:17" x14ac:dyDescent="0.35">
      <c r="B282"/>
      <c r="D282" s="143"/>
      <c r="E282" s="143"/>
      <c r="F282" s="143"/>
      <c r="H282" s="143"/>
      <c r="N282" s="143"/>
      <c r="O282" s="143"/>
      <c r="P282" s="143"/>
      <c r="Q282" s="143"/>
    </row>
    <row r="283" spans="2:17" x14ac:dyDescent="0.35">
      <c r="B283"/>
      <c r="D283" s="143"/>
      <c r="E283" s="143"/>
      <c r="F283" s="143"/>
      <c r="H283" s="143"/>
      <c r="N283" s="143"/>
      <c r="O283" s="143"/>
      <c r="P283" s="143"/>
      <c r="Q283" s="143"/>
    </row>
    <row r="284" spans="2:17" x14ac:dyDescent="0.35">
      <c r="B284"/>
      <c r="D284" s="143"/>
      <c r="E284" s="143"/>
      <c r="F284" s="143"/>
      <c r="H284" s="143"/>
      <c r="N284" s="143"/>
      <c r="O284" s="143"/>
      <c r="P284" s="143"/>
      <c r="Q284" s="143"/>
    </row>
    <row r="285" spans="2:17" x14ac:dyDescent="0.35">
      <c r="B285"/>
      <c r="D285" s="143"/>
      <c r="E285" s="143"/>
      <c r="F285" s="143"/>
      <c r="H285" s="143"/>
      <c r="N285" s="143"/>
      <c r="O285" s="143"/>
      <c r="P285" s="143"/>
      <c r="Q285" s="143"/>
    </row>
    <row r="286" spans="2:17" x14ac:dyDescent="0.35">
      <c r="B286"/>
      <c r="E286" s="143"/>
      <c r="N286" s="143"/>
      <c r="O286" s="143"/>
      <c r="P286" s="143"/>
      <c r="Q286" s="143"/>
    </row>
    <row r="287" spans="2:17" x14ac:dyDescent="0.35">
      <c r="B287"/>
      <c r="E287" s="143"/>
      <c r="N287" s="143"/>
      <c r="O287" s="143"/>
      <c r="P287" s="143"/>
      <c r="Q287" s="143"/>
    </row>
    <row r="288" spans="2:17" x14ac:dyDescent="0.35">
      <c r="B288"/>
      <c r="E288" s="143"/>
      <c r="N288" s="143"/>
      <c r="O288" s="143"/>
      <c r="P288" s="143"/>
      <c r="Q288" s="143"/>
    </row>
    <row r="289" spans="2:17" x14ac:dyDescent="0.35">
      <c r="B289"/>
      <c r="E289" s="143"/>
      <c r="N289" s="143"/>
      <c r="O289" s="143"/>
      <c r="P289" s="143"/>
      <c r="Q289" s="143"/>
    </row>
    <row r="290" spans="2:17" x14ac:dyDescent="0.35">
      <c r="B290"/>
      <c r="E290" s="143"/>
      <c r="N290" s="143"/>
      <c r="O290" s="143"/>
      <c r="P290" s="143"/>
      <c r="Q290" s="143"/>
    </row>
    <row r="291" spans="2:17" x14ac:dyDescent="0.35">
      <c r="B291"/>
      <c r="E291" s="143"/>
      <c r="N291" s="143"/>
      <c r="O291" s="143"/>
      <c r="P291" s="143"/>
      <c r="Q291" s="143"/>
    </row>
    <row r="292" spans="2:17" x14ac:dyDescent="0.35">
      <c r="B292"/>
      <c r="E292" s="143"/>
      <c r="N292" s="143"/>
      <c r="O292" s="143"/>
      <c r="P292" s="143"/>
      <c r="Q292" s="143"/>
    </row>
    <row r="293" spans="2:17" x14ac:dyDescent="0.35">
      <c r="B293"/>
      <c r="E293" s="143"/>
      <c r="N293" s="143"/>
      <c r="O293" s="143"/>
      <c r="P293" s="143"/>
      <c r="Q293" s="143"/>
    </row>
    <row r="294" spans="2:17" x14ac:dyDescent="0.35">
      <c r="B294"/>
      <c r="E294" s="143"/>
      <c r="N294" s="143"/>
      <c r="O294" s="143"/>
      <c r="P294" s="143"/>
      <c r="Q294" s="143"/>
    </row>
    <row r="295" spans="2:17" x14ac:dyDescent="0.35">
      <c r="B295"/>
      <c r="E295" s="143"/>
      <c r="N295" s="143"/>
      <c r="O295" s="143"/>
      <c r="P295" s="143"/>
      <c r="Q295" s="143"/>
    </row>
    <row r="296" spans="2:17" x14ac:dyDescent="0.35">
      <c r="B296"/>
      <c r="E296" s="143"/>
      <c r="N296" s="143"/>
      <c r="O296" s="143"/>
      <c r="P296" s="143"/>
      <c r="Q296" s="143"/>
    </row>
    <row r="297" spans="2:17" x14ac:dyDescent="0.35">
      <c r="B297"/>
      <c r="E297" s="143"/>
      <c r="M297" s="143"/>
      <c r="N297" s="143"/>
      <c r="O297" s="143"/>
      <c r="P297" s="143"/>
      <c r="Q297" s="143"/>
    </row>
    <row r="298" spans="2:17" x14ac:dyDescent="0.35">
      <c r="B298"/>
      <c r="E298" s="143"/>
      <c r="M298" s="143"/>
      <c r="N298" s="143"/>
      <c r="O298" s="143"/>
      <c r="P298" s="143"/>
      <c r="Q298" s="143"/>
    </row>
    <row r="299" spans="2:17" x14ac:dyDescent="0.35">
      <c r="B299"/>
      <c r="E299" s="143"/>
      <c r="M299" s="143"/>
      <c r="N299" s="143"/>
      <c r="O299" s="143"/>
      <c r="P299" s="143"/>
      <c r="Q299" s="143"/>
    </row>
    <row r="300" spans="2:17" x14ac:dyDescent="0.35">
      <c r="B300"/>
      <c r="E300" s="143"/>
      <c r="M300" s="143"/>
      <c r="N300" s="143"/>
      <c r="O300" s="143"/>
      <c r="P300" s="143"/>
      <c r="Q300" s="143"/>
    </row>
    <row r="301" spans="2:17" x14ac:dyDescent="0.35">
      <c r="B301"/>
      <c r="E301" s="143"/>
      <c r="M301" s="143"/>
      <c r="N301" s="143"/>
      <c r="O301" s="143"/>
      <c r="P301" s="143"/>
      <c r="Q301" s="143"/>
    </row>
    <row r="302" spans="2:17" x14ac:dyDescent="0.35">
      <c r="B302"/>
      <c r="E302" s="143"/>
      <c r="M302" s="143"/>
      <c r="N302" s="143"/>
      <c r="O302" s="143"/>
      <c r="P302" s="143"/>
      <c r="Q302" s="143"/>
    </row>
    <row r="303" spans="2:17" x14ac:dyDescent="0.35">
      <c r="B303"/>
      <c r="E303" s="143"/>
      <c r="M303" s="143"/>
      <c r="N303" s="143"/>
      <c r="O303" s="143"/>
      <c r="P303" s="143"/>
      <c r="Q303" s="143"/>
    </row>
    <row r="304" spans="2:17" x14ac:dyDescent="0.35">
      <c r="B304"/>
      <c r="E304" s="143"/>
      <c r="M304" s="143"/>
      <c r="N304" s="143"/>
      <c r="O304" s="143"/>
      <c r="P304" s="143"/>
      <c r="Q304" s="143"/>
    </row>
    <row r="305" spans="2:17" x14ac:dyDescent="0.35">
      <c r="B305"/>
      <c r="E305" s="143"/>
      <c r="M305" s="143"/>
      <c r="N305" s="143"/>
      <c r="O305" s="143"/>
      <c r="P305" s="143"/>
      <c r="Q305" s="143"/>
    </row>
    <row r="306" spans="2:17" x14ac:dyDescent="0.35">
      <c r="B306"/>
      <c r="E306" s="143"/>
      <c r="M306" s="143"/>
      <c r="N306" s="143"/>
      <c r="O306" s="143"/>
      <c r="P306" s="143"/>
      <c r="Q306" s="143"/>
    </row>
    <row r="307" spans="2:17" x14ac:dyDescent="0.35">
      <c r="B307"/>
      <c r="E307" s="143"/>
      <c r="M307" s="143"/>
      <c r="N307" s="143"/>
      <c r="O307" s="143"/>
      <c r="P307" s="143"/>
      <c r="Q307" s="143"/>
    </row>
    <row r="308" spans="2:17" x14ac:dyDescent="0.35">
      <c r="B308"/>
      <c r="E308" s="143"/>
      <c r="F308" s="143"/>
      <c r="M308" s="143"/>
      <c r="N308" s="143"/>
      <c r="O308" s="143"/>
      <c r="P308" s="143"/>
      <c r="Q308" s="143"/>
    </row>
    <row r="309" spans="2:17" x14ac:dyDescent="0.35">
      <c r="B309"/>
      <c r="E309" s="143"/>
      <c r="F309" s="143"/>
      <c r="M309" s="143"/>
      <c r="N309" s="143"/>
      <c r="O309" s="143"/>
      <c r="P309" s="143"/>
      <c r="Q309" s="143"/>
    </row>
    <row r="310" spans="2:17" x14ac:dyDescent="0.35">
      <c r="B310"/>
      <c r="E310" s="143"/>
      <c r="F310" s="143"/>
      <c r="M310" s="143"/>
      <c r="N310" s="143"/>
      <c r="O310" s="143"/>
      <c r="P310" s="143"/>
      <c r="Q310" s="143"/>
    </row>
    <row r="311" spans="2:17" x14ac:dyDescent="0.35">
      <c r="B311"/>
      <c r="E311" s="143"/>
      <c r="F311" s="143"/>
      <c r="M311" s="143"/>
      <c r="N311" s="143"/>
      <c r="O311" s="143"/>
      <c r="P311" s="143"/>
      <c r="Q311" s="143"/>
    </row>
    <row r="312" spans="2:17" x14ac:dyDescent="0.35">
      <c r="B312"/>
      <c r="E312" s="143"/>
      <c r="F312" s="143"/>
      <c r="L312" s="143"/>
      <c r="M312" s="143"/>
      <c r="N312" s="143"/>
      <c r="O312" s="143"/>
      <c r="P312" s="143"/>
      <c r="Q312" s="143"/>
    </row>
    <row r="313" spans="2:17" x14ac:dyDescent="0.35">
      <c r="B313"/>
      <c r="E313" s="143"/>
      <c r="F313" s="143"/>
      <c r="L313" s="143"/>
      <c r="M313" s="143"/>
      <c r="N313" s="143"/>
      <c r="O313" s="143"/>
      <c r="P313" s="143"/>
      <c r="Q313" s="143"/>
    </row>
    <row r="314" spans="2:17" x14ac:dyDescent="0.35">
      <c r="B314"/>
      <c r="E314" s="143"/>
      <c r="F314" s="143"/>
      <c r="L314" s="143"/>
      <c r="M314" s="143"/>
      <c r="N314" s="143"/>
      <c r="O314" s="143"/>
      <c r="P314" s="143"/>
      <c r="Q314" s="143"/>
    </row>
    <row r="315" spans="2:17" x14ac:dyDescent="0.35">
      <c r="B315"/>
      <c r="E315" s="143"/>
      <c r="F315" s="143"/>
      <c r="L315" s="143"/>
      <c r="M315" s="143"/>
      <c r="N315" s="143"/>
      <c r="O315" s="143"/>
      <c r="P315" s="143"/>
      <c r="Q315" s="143"/>
    </row>
    <row r="316" spans="2:17" x14ac:dyDescent="0.35">
      <c r="B316"/>
      <c r="E316" s="143"/>
      <c r="F316" s="143"/>
      <c r="L316" s="143"/>
      <c r="M316" s="143"/>
      <c r="N316" s="143"/>
      <c r="O316" s="143"/>
      <c r="P316" s="143"/>
      <c r="Q316" s="143"/>
    </row>
    <row r="317" spans="2:17" x14ac:dyDescent="0.35">
      <c r="B317"/>
      <c r="E317" s="143"/>
      <c r="F317" s="143"/>
      <c r="L317" s="143"/>
      <c r="M317" s="143"/>
      <c r="N317" s="143"/>
      <c r="O317" s="143"/>
      <c r="P317" s="143"/>
      <c r="Q317" s="143"/>
    </row>
    <row r="318" spans="2:17" x14ac:dyDescent="0.35">
      <c r="B318"/>
      <c r="E318" s="143"/>
      <c r="F318" s="143"/>
      <c r="L318" s="143"/>
      <c r="M318" s="143"/>
      <c r="N318" s="143"/>
      <c r="O318" s="143"/>
      <c r="P318" s="143"/>
      <c r="Q318" s="143"/>
    </row>
    <row r="319" spans="2:17" x14ac:dyDescent="0.35">
      <c r="B319"/>
      <c r="E319" s="143"/>
      <c r="F319" s="143"/>
      <c r="L319" s="143"/>
      <c r="M319" s="143"/>
      <c r="N319" s="143"/>
      <c r="O319" s="143"/>
      <c r="P319" s="143"/>
      <c r="Q319" s="143"/>
    </row>
    <row r="320" spans="2:17" x14ac:dyDescent="0.35">
      <c r="B320"/>
      <c r="E320" s="143"/>
      <c r="F320" s="143"/>
      <c r="L320" s="143"/>
      <c r="M320" s="143"/>
      <c r="N320" s="143"/>
      <c r="O320" s="143"/>
      <c r="P320" s="143"/>
      <c r="Q320" s="143"/>
    </row>
    <row r="321" spans="2:17" x14ac:dyDescent="0.35">
      <c r="B321"/>
      <c r="E321" s="143"/>
      <c r="F321" s="143"/>
      <c r="L321" s="143"/>
      <c r="M321" s="143"/>
      <c r="N321" s="143"/>
      <c r="O321" s="143"/>
      <c r="P321" s="143"/>
      <c r="Q321" s="143"/>
    </row>
    <row r="322" spans="2:17" x14ac:dyDescent="0.35">
      <c r="B322"/>
      <c r="E322" s="143"/>
      <c r="F322" s="143"/>
      <c r="L322" s="143"/>
      <c r="M322" s="143"/>
      <c r="N322" s="143"/>
      <c r="O322" s="143"/>
      <c r="P322" s="143"/>
      <c r="Q322" s="143"/>
    </row>
    <row r="323" spans="2:17" x14ac:dyDescent="0.35">
      <c r="B323"/>
      <c r="E323" s="143"/>
      <c r="F323" s="143"/>
      <c r="L323" s="143"/>
      <c r="M323" s="143"/>
      <c r="N323" s="143"/>
      <c r="O323" s="143"/>
      <c r="P323" s="143"/>
      <c r="Q323" s="143"/>
    </row>
  </sheetData>
  <phoneticPr fontId="3" type="noConversion"/>
  <conditionalFormatting sqref="C7:G41 C43:G43 C45:G45 C185:E219 G185:G233 F185:F240 C220:C233 D220:E235 C235 G235:G240 C236:E240">
    <cfRule type="expression" dxfId="6" priority="41">
      <formula>C7&lt;&gt;$C7</formula>
    </cfRule>
  </conditionalFormatting>
  <conditionalFormatting sqref="C47:G100">
    <cfRule type="expression" dxfId="5" priority="5">
      <formula>C47&lt;&gt;$C47</formula>
    </cfRule>
  </conditionalFormatting>
  <conditionalFormatting sqref="C102:G104">
    <cfRule type="expression" dxfId="4" priority="4">
      <formula>C102&lt;&gt;$C102</formula>
    </cfRule>
  </conditionalFormatting>
  <conditionalFormatting sqref="C106:G108">
    <cfRule type="expression" dxfId="3" priority="3">
      <formula>C106&lt;&gt;$C106</formula>
    </cfRule>
  </conditionalFormatting>
  <conditionalFormatting sqref="C110:G184">
    <cfRule type="expression" dxfId="2" priority="1">
      <formula>C110&lt;&gt;$C110</formula>
    </cfRule>
  </conditionalFormatting>
  <dataValidations count="10">
    <dataValidation type="list" allowBlank="1" showInputMessage="1" showErrorMessage="1" sqref="C238 I238:M238 G238" xr:uid="{B51371B7-04BD-458F-AD0F-77F86C1FE4D3}">
      <formula1>"DiscountCPI,DiscountUtil,DiscountWater"</formula1>
    </dataValidation>
    <dataValidation type="list" allowBlank="1" showInputMessage="1" showErrorMessage="1" sqref="D238:F238 H238" xr:uid="{BB591042-B102-4B60-ACC6-9906FEB6683E}">
      <formula1>"DiscountCPI,DiscountUtil,DiscountWater,.1"</formula1>
    </dataValidation>
    <dataValidation type="list" allowBlank="1" showInputMessage="1" showErrorMessage="1" sqref="C170:M170" xr:uid="{5C07A402-FE2E-402E-94A1-C6FB32D7851B}">
      <formula1>"External, Intercompany"</formula1>
    </dataValidation>
    <dataValidation type="list" allowBlank="1" showInputMessage="1" showErrorMessage="1" sqref="C239:M239" xr:uid="{CFDB4E55-D977-4591-8469-810F94220888}">
      <formula1>"yes, no"</formula1>
    </dataValidation>
    <dataValidation type="decimal" allowBlank="1" showInputMessage="1" showErrorMessage="1" sqref="C30:Q30 C240:M240" xr:uid="{15908CB5-F78E-4DBC-B5B3-CC1BA6CF4747}">
      <formula1>0</formula1>
      <formula2>1</formula2>
    </dataValidation>
    <dataValidation type="list" allowBlank="1" showInputMessage="1" showErrorMessage="1" sqref="C56:M56" xr:uid="{BF741F90-A4A0-4630-9815-6BE1740CE63E}">
      <formula1>"endpoint, meter and endpoint"</formula1>
    </dataValidation>
    <dataValidation type="list" allowBlank="1" showInputMessage="1" showErrorMessage="1" sqref="C43:M44" xr:uid="{FF6DB002-E209-4182-BD6E-2526854DF5C1}">
      <formula1>"Contractor, Internal"</formula1>
    </dataValidation>
    <dataValidation type="list" allowBlank="1" showInputMessage="1" showErrorMessage="1" sqref="A211:A228" xr:uid="{438E3A7B-7EED-4E0B-899D-B6C1FBBA5A1B}">
      <formula1>ServOrderTypes</formula1>
    </dataValidation>
    <dataValidation type="whole" allowBlank="1" showInputMessage="1" showErrorMessage="1" sqref="C7:Q7" xr:uid="{E0F8E515-35C1-412E-AED8-E4006CD32779}">
      <formula1>2021</formula1>
      <formula2>2028</formula2>
    </dataValidation>
    <dataValidation type="whole" allowBlank="1" showInputMessage="1" showErrorMessage="1" sqref="C31:Q31" xr:uid="{EB145609-3D9C-4F36-B09A-06AC94E91DF4}">
      <formula1>0</formula1>
      <formula2>1</formula2>
    </dataValidation>
  </dataValidations>
  <pageMargins left="0.25" right="0.25" top="0.75" bottom="0.75" header="0.3" footer="0.3"/>
  <pageSetup scale="3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CCD1-44D5-4C72-9F20-2A1CF32F04EA}">
  <sheetPr>
    <tabColor theme="2" tint="-0.749992370372631"/>
  </sheetPr>
  <dimension ref="A1"/>
  <sheetViews>
    <sheetView topLeftCell="A25"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17077-9369-4F77-9DAC-43B992FF61E2}">
  <sheetPr>
    <tabColor theme="1" tint="0.249977111117893"/>
    <pageSetUpPr fitToPage="1"/>
  </sheetPr>
  <dimension ref="A1:AT183"/>
  <sheetViews>
    <sheetView topLeftCell="A116" zoomScale="80" zoomScaleNormal="80" workbookViewId="0">
      <selection activeCell="Y113" sqref="Y113"/>
    </sheetView>
  </sheetViews>
  <sheetFormatPr defaultRowHeight="14.5" outlineLevelRow="1" outlineLevelCol="1" x14ac:dyDescent="0.35"/>
  <cols>
    <col min="2" max="2" width="40.7265625" customWidth="1"/>
    <col min="3" max="3" width="16.26953125" customWidth="1"/>
    <col min="4" max="4" width="14.453125" customWidth="1" outlineLevel="1"/>
    <col min="5" max="5" width="16.7265625" customWidth="1" outlineLevel="1"/>
    <col min="6" max="6" width="17.1796875" customWidth="1" outlineLevel="1"/>
    <col min="7" max="7" width="16.26953125" customWidth="1" outlineLevel="1"/>
    <col min="8" max="8" width="15.81640625" customWidth="1" outlineLevel="1"/>
    <col min="9" max="11" width="16.81640625" customWidth="1" outlineLevel="1"/>
    <col min="12" max="12" width="16.26953125" customWidth="1" outlineLevel="1"/>
    <col min="13" max="23" width="17.1796875" customWidth="1" outlineLevel="1"/>
    <col min="24" max="25" width="16" customWidth="1"/>
    <col min="26" max="26" width="14.81640625" bestFit="1" customWidth="1"/>
    <col min="27" max="27" width="13.453125" bestFit="1" customWidth="1"/>
    <col min="28" max="28" width="15.81640625" customWidth="1"/>
    <col min="29" max="31" width="10.81640625" bestFit="1" customWidth="1"/>
    <col min="32" max="32" width="13.453125" bestFit="1" customWidth="1"/>
    <col min="33" max="33" width="16.7265625" customWidth="1"/>
    <col min="38" max="38" width="17" customWidth="1"/>
  </cols>
  <sheetData>
    <row r="1" spans="1:38" ht="21" x14ac:dyDescent="0.5">
      <c r="A1" s="59" t="s">
        <v>183</v>
      </c>
      <c r="I1" s="296" t="s">
        <v>1107</v>
      </c>
      <c r="O1" s="14"/>
      <c r="P1" s="14"/>
      <c r="Q1" s="14"/>
      <c r="R1" s="14"/>
      <c r="S1" s="14"/>
      <c r="T1" s="14"/>
      <c r="U1" s="14"/>
      <c r="W1" s="14"/>
      <c r="X1" s="14"/>
      <c r="Y1" s="14"/>
    </row>
    <row r="2" spans="1:38" x14ac:dyDescent="0.35">
      <c r="O2" s="14"/>
      <c r="P2" s="14"/>
      <c r="Q2" s="14"/>
      <c r="R2" s="14"/>
      <c r="S2" s="14"/>
      <c r="T2" s="14"/>
      <c r="U2" s="14"/>
      <c r="W2" s="14"/>
      <c r="X2" s="14"/>
      <c r="Y2" s="14"/>
    </row>
    <row r="3" spans="1:38" x14ac:dyDescent="0.35">
      <c r="A3" s="19" t="s">
        <v>184</v>
      </c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  <c r="N3">
        <v>11</v>
      </c>
      <c r="O3">
        <v>12</v>
      </c>
      <c r="P3">
        <v>13</v>
      </c>
      <c r="Q3">
        <v>14</v>
      </c>
      <c r="R3">
        <v>15</v>
      </c>
      <c r="S3">
        <v>16</v>
      </c>
      <c r="T3">
        <v>17</v>
      </c>
      <c r="U3">
        <v>18</v>
      </c>
      <c r="V3">
        <v>19</v>
      </c>
      <c r="W3">
        <v>20</v>
      </c>
    </row>
    <row r="4" spans="1:38" x14ac:dyDescent="0.35">
      <c r="A4" s="25" t="s">
        <v>185</v>
      </c>
      <c r="D4" s="120">
        <f>YearOne</f>
        <v>2026</v>
      </c>
      <c r="E4" s="120">
        <f t="shared" ref="E4:W4" si="0">YearOne+E3-1</f>
        <v>2027</v>
      </c>
      <c r="F4" s="120">
        <f t="shared" si="0"/>
        <v>2028</v>
      </c>
      <c r="G4" s="120">
        <f t="shared" si="0"/>
        <v>2029</v>
      </c>
      <c r="H4" s="120">
        <f t="shared" si="0"/>
        <v>2030</v>
      </c>
      <c r="I4" s="120">
        <f t="shared" si="0"/>
        <v>2031</v>
      </c>
      <c r="J4" s="120">
        <f t="shared" si="0"/>
        <v>2032</v>
      </c>
      <c r="K4" s="120">
        <f t="shared" si="0"/>
        <v>2033</v>
      </c>
      <c r="L4" s="120">
        <f t="shared" si="0"/>
        <v>2034</v>
      </c>
      <c r="M4" s="120">
        <f t="shared" si="0"/>
        <v>2035</v>
      </c>
      <c r="N4" s="120">
        <f t="shared" si="0"/>
        <v>2036</v>
      </c>
      <c r="O4" s="120">
        <f t="shared" si="0"/>
        <v>2037</v>
      </c>
      <c r="P4" s="120">
        <f t="shared" si="0"/>
        <v>2038</v>
      </c>
      <c r="Q4" s="120">
        <f t="shared" si="0"/>
        <v>2039</v>
      </c>
      <c r="R4" s="120">
        <f t="shared" si="0"/>
        <v>2040</v>
      </c>
      <c r="S4" s="120">
        <f t="shared" si="0"/>
        <v>2041</v>
      </c>
      <c r="T4" s="120">
        <f t="shared" si="0"/>
        <v>2042</v>
      </c>
      <c r="U4" s="120">
        <f t="shared" si="0"/>
        <v>2043</v>
      </c>
      <c r="V4" s="120">
        <f t="shared" si="0"/>
        <v>2044</v>
      </c>
      <c r="W4" s="120">
        <f t="shared" si="0"/>
        <v>2045</v>
      </c>
      <c r="X4" s="121" t="s">
        <v>186</v>
      </c>
      <c r="Y4" s="1"/>
      <c r="AB4" s="7"/>
    </row>
    <row r="5" spans="1:38" outlineLevel="1" x14ac:dyDescent="0.35">
      <c r="A5" s="57">
        <v>1</v>
      </c>
      <c r="B5" t="str" cm="1">
        <f t="array" ref="B5">A$3&amp;" - "&amp;INDEX('0-Inputs'!$C$5:$Q$5,$A5)</f>
        <v>AMI - Badger
Veriz or ATT</v>
      </c>
      <c r="D5" s="9">
        <f ca="1">IF(Selected=$A5,'Comp3-CustDetail'!D$18,D5)</f>
        <v>174814.2542557811</v>
      </c>
      <c r="E5" s="9">
        <f ca="1">IF(Selected=$A5,'Comp3-CustDetail'!E$18,E5)</f>
        <v>1252799.4352999642</v>
      </c>
      <c r="F5" s="9">
        <f ca="1">IF(Selected=$A5,'Comp3-CustDetail'!F$18,F5)</f>
        <v>2294622.8334003678</v>
      </c>
      <c r="G5" s="9">
        <f ca="1">IF(Selected=$A5,'Comp3-CustDetail'!G$18,G5)</f>
        <v>2473771.7244915329</v>
      </c>
      <c r="H5" s="9">
        <f ca="1">IF(Selected=$A5,'Comp3-CustDetail'!H$18,H5)</f>
        <v>2288631.1281213779</v>
      </c>
      <c r="I5" s="9">
        <f ca="1">IF(Selected=$A5,'Comp3-CustDetail'!I$18,I5)</f>
        <v>1976507.5483655101</v>
      </c>
      <c r="J5" s="9">
        <f ca="1">IF(Selected=$A5,'Comp3-CustDetail'!J$18,J5)</f>
        <v>1787313.9950934318</v>
      </c>
      <c r="K5" s="9">
        <f ca="1">IF(Selected=$A5,'Comp3-CustDetail'!K$18,K5)</f>
        <v>1888390.8502241704</v>
      </c>
      <c r="L5" s="9">
        <f ca="1">IF(Selected=$A5,'Comp3-CustDetail'!L$18,L5)</f>
        <v>2702587.3415960646</v>
      </c>
      <c r="M5" s="9">
        <f ca="1">IF(Selected=$A5,'Comp3-CustDetail'!M$18,M5)</f>
        <v>3462573.4816189106</v>
      </c>
      <c r="N5" s="9">
        <f ca="1">IF(Selected=$A5,'Comp3-CustDetail'!N$18,N5)</f>
        <v>3212833.5143115735</v>
      </c>
      <c r="O5" s="9">
        <f ca="1">IF(Selected=$A5,'Comp3-CustDetail'!O$18,O5)</f>
        <v>2948324.5195470559</v>
      </c>
      <c r="P5" s="9">
        <f ca="1">IF(Selected=$A5,'Comp3-CustDetail'!P$18,P5)</f>
        <v>3173250.476466869</v>
      </c>
      <c r="Q5" s="9">
        <f ca="1">IF(Selected=$A5,'Comp3-CustDetail'!Q$18,Q5)</f>
        <v>3220039.0627152971</v>
      </c>
      <c r="R5" s="9">
        <f ca="1">IF(Selected=$A5,'Comp3-CustDetail'!R$18,R5)</f>
        <v>2853338.9099600967</v>
      </c>
      <c r="S5" s="9">
        <f ca="1">IF(Selected=$A5,'Comp3-CustDetail'!S$18,S5)</f>
        <v>2340182.461525003</v>
      </c>
      <c r="T5" s="9">
        <f ca="1">IF(Selected=$A5,'Comp3-CustDetail'!T$18,T5)</f>
        <v>1971661.5049373219</v>
      </c>
      <c r="U5" s="9">
        <f ca="1">IF(Selected=$A5,'Comp3-CustDetail'!U$18,U5)</f>
        <v>1942808.9435139634</v>
      </c>
      <c r="V5" s="9">
        <f ca="1">IF(Selected=$A5,'Comp3-CustDetail'!V$18,V5)</f>
        <v>2748798.1313965307</v>
      </c>
      <c r="W5" s="9">
        <f ca="1">IF(Selected=$A5,'Comp3-CustDetail'!W$18,W5)</f>
        <v>3508880.7462341576</v>
      </c>
      <c r="X5" s="9">
        <f ca="1">IF(Selected=$A5,'Comp3-CustDetail'!Z$18,X5)</f>
        <v>48222130.863074988</v>
      </c>
      <c r="Y5" s="34"/>
      <c r="AA5" s="7"/>
      <c r="AB5" s="14"/>
      <c r="AG5" s="14"/>
      <c r="AL5" s="14"/>
    </row>
    <row r="6" spans="1:38" outlineLevel="1" x14ac:dyDescent="0.35">
      <c r="A6" s="57">
        <f>A5+1</f>
        <v>2</v>
      </c>
      <c r="B6" t="str" cm="1">
        <f t="array" ref="B6">A$3&amp;" - "&amp;INDEX('0-Inputs'!$C$5:$Q$5,$A6)</f>
        <v>AMI - Neptune 
FirstNet</v>
      </c>
      <c r="D6" s="9">
        <f ca="1">IF(Selected=$A6,'Comp3-CustDetail'!D$18,D6)</f>
        <v>232348.91905222024</v>
      </c>
      <c r="E6" s="9">
        <f ca="1">IF(Selected=$A6,'Comp3-CustDetail'!E$18,E6)</f>
        <v>1428941.3009200948</v>
      </c>
      <c r="F6" s="9">
        <f ca="1">IF(Selected=$A6,'Comp3-CustDetail'!F$18,F6)</f>
        <v>2582160.2635171348</v>
      </c>
      <c r="G6" s="9">
        <f ca="1">IF(Selected=$A6,'Comp3-CustDetail'!G$18,G6)</f>
        <v>2847324.7098484682</v>
      </c>
      <c r="H6" s="9">
        <f ca="1">IF(Selected=$A6,'Comp3-CustDetail'!H$18,H6)</f>
        <v>2693697.6822040323</v>
      </c>
      <c r="I6" s="9">
        <f ca="1">IF(Selected=$A6,'Comp3-CustDetail'!I$18,I6)</f>
        <v>2393565.0007461421</v>
      </c>
      <c r="J6" s="9">
        <f ca="1">IF(Selected=$A6,'Comp3-CustDetail'!J$18,J6)</f>
        <v>2233979.9925492527</v>
      </c>
      <c r="K6" s="9">
        <f ca="1">IF(Selected=$A6,'Comp3-CustDetail'!K$18,K6)</f>
        <v>2406282.1747105233</v>
      </c>
      <c r="L6" s="9">
        <f ca="1">IF(Selected=$A6,'Comp3-CustDetail'!L$18,L6)</f>
        <v>3394637.2423225511</v>
      </c>
      <c r="M6" s="9">
        <f ca="1">IF(Selected=$A6,'Comp3-CustDetail'!M$18,M6)</f>
        <v>4317828.3687490961</v>
      </c>
      <c r="N6" s="9">
        <f ca="1">IF(Selected=$A6,'Comp3-CustDetail'!N$18,N6)</f>
        <v>4134790.7628749693</v>
      </c>
      <c r="O6" s="9">
        <f ca="1">IF(Selected=$A6,'Comp3-CustDetail'!O$18,O6)</f>
        <v>3913980.010888224</v>
      </c>
      <c r="P6" s="9">
        <f ca="1">IF(Selected=$A6,'Comp3-CustDetail'!P$18,P6)</f>
        <v>4179492.3177470695</v>
      </c>
      <c r="Q6" s="9">
        <f ca="1">IF(Selected=$A6,'Comp3-CustDetail'!Q$18,Q6)</f>
        <v>4249529.8368367963</v>
      </c>
      <c r="R6" s="9">
        <f ca="1">IF(Selected=$A6,'Comp3-CustDetail'!R$18,R6)</f>
        <v>3865580.9180847732</v>
      </c>
      <c r="S6" s="9">
        <f ca="1">IF(Selected=$A6,'Comp3-CustDetail'!S$18,S6)</f>
        <v>3320959.9858816159</v>
      </c>
      <c r="T6" s="9">
        <f ca="1">IF(Selected=$A6,'Comp3-CustDetail'!T$18,T6)</f>
        <v>2935408.6403950807</v>
      </c>
      <c r="U6" s="9">
        <f ca="1">IF(Selected=$A6,'Comp3-CustDetail'!U$18,U6)</f>
        <v>2923101.507279573</v>
      </c>
      <c r="V6" s="9">
        <f ca="1">IF(Selected=$A6,'Comp3-CustDetail'!V$18,V6)</f>
        <v>3828017.7203209945</v>
      </c>
      <c r="W6" s="9">
        <f ca="1">IF(Selected=$A6,'Comp3-CustDetail'!W$18,W6)</f>
        <v>4682687.7971434332</v>
      </c>
      <c r="X6" s="9">
        <f ca="1">IF(Selected=$A6,'Comp3-CustDetail'!Z$18,X6)</f>
        <v>62564315.15207205</v>
      </c>
      <c r="Y6" s="34"/>
      <c r="AA6" s="7"/>
      <c r="AB6" s="14"/>
      <c r="AG6" s="14"/>
      <c r="AL6" s="14"/>
    </row>
    <row r="7" spans="1:38" outlineLevel="1" x14ac:dyDescent="0.35">
      <c r="A7" s="57">
        <f t="shared" ref="A7" si="1">A6+1</f>
        <v>3</v>
      </c>
      <c r="B7" t="str" cm="1">
        <f t="array" ref="B7">A$3&amp;" - "&amp;INDEX('0-Inputs'!$C$5:$Q$5,$A7)</f>
        <v>AMI - Neptune 
ATT</v>
      </c>
      <c r="D7" s="9">
        <f ca="1">IF(Selected=$A7,'Comp3-CustDetail'!D$18,D7)</f>
        <v>294910.43779985979</v>
      </c>
      <c r="E7" s="9">
        <f ca="1">IF(Selected=$A7,'Comp3-CustDetail'!E$18,E7)</f>
        <v>1620472.8352955233</v>
      </c>
      <c r="F7" s="9">
        <f ca="1">IF(Selected=$A7,'Comp3-CustDetail'!F$18,F7)</f>
        <v>2894820.0902241021</v>
      </c>
      <c r="G7" s="9">
        <f ca="1">IF(Selected=$A7,'Comp3-CustDetail'!G$18,G7)</f>
        <v>3253515.3460384784</v>
      </c>
      <c r="H7" s="9">
        <f ca="1">IF(Selected=$A7,'Comp3-CustDetail'!H$18,H7)</f>
        <v>3134155.2551636267</v>
      </c>
      <c r="I7" s="9">
        <f ca="1">IF(Selected=$A7,'Comp3-CustDetail'!I$18,I7)</f>
        <v>2847061.1272685993</v>
      </c>
      <c r="J7" s="9">
        <f ca="1">IF(Selected=$A7,'Comp3-CustDetail'!J$18,J7)</f>
        <v>2719671.5886093443</v>
      </c>
      <c r="K7" s="9">
        <f ca="1">IF(Selected=$A7,'Comp3-CustDetail'!K$18,K7)</f>
        <v>2969422.116878008</v>
      </c>
      <c r="L7" s="9">
        <f ca="1">IF(Selected=$A7,'Comp3-CustDetail'!L$18,L7)</f>
        <v>4147152.1477588573</v>
      </c>
      <c r="M7" s="9">
        <f ca="1">IF(Selected=$A7,'Comp3-CustDetail'!M$18,M7)</f>
        <v>5247807.6228998341</v>
      </c>
      <c r="N7" s="9">
        <f ca="1">IF(Selected=$A7,'Comp3-CustDetail'!N$18,N7)</f>
        <v>5137300.222078261</v>
      </c>
      <c r="O7" s="9">
        <f ca="1">IF(Selected=$A7,'Comp3-CustDetail'!O$18,O7)</f>
        <v>4964005.6665350515</v>
      </c>
      <c r="P7" s="9">
        <f ca="1">IF(Selected=$A7,'Comp3-CustDetail'!P$18,P7)</f>
        <v>5273650.3882014351</v>
      </c>
      <c r="Q7" s="9">
        <f ca="1">IF(Selected=$A7,'Comp3-CustDetail'!Q$18,Q7)</f>
        <v>5368968.1197154354</v>
      </c>
      <c r="R7" s="9">
        <f ca="1">IF(Selected=$A7,'Comp3-CustDetail'!R$18,R7)</f>
        <v>4966263.3952052323</v>
      </c>
      <c r="S7" s="9">
        <f ca="1">IF(Selected=$A7,'Comp3-CustDetail'!S$18,S7)</f>
        <v>4387428.8997857943</v>
      </c>
      <c r="T7" s="9">
        <f ca="1">IF(Selected=$A7,'Comp3-CustDetail'!T$18,T7)</f>
        <v>3983359.2054369692</v>
      </c>
      <c r="U7" s="9">
        <f ca="1">IF(Selected=$A7,'Comp3-CustDetail'!U$18,U7)</f>
        <v>3989043.0891620442</v>
      </c>
      <c r="V7" s="9">
        <f ca="1">IF(Selected=$A7,'Comp3-CustDetail'!V$18,V7)</f>
        <v>5001529.6680172142</v>
      </c>
      <c r="W7" s="9">
        <f ca="1">IF(Selected=$A7,'Comp3-CustDetail'!W$18,W7)</f>
        <v>5959051.3960518595</v>
      </c>
      <c r="X7" s="9">
        <f ca="1">IF(Selected=$A7,'Comp3-CustDetail'!Z$18,X7)</f>
        <v>78159588.618125528</v>
      </c>
      <c r="Y7" s="34"/>
      <c r="AA7" s="7"/>
      <c r="AB7" s="14"/>
      <c r="AG7" s="14"/>
      <c r="AL7" s="14"/>
    </row>
    <row r="8" spans="1:38" outlineLevel="1" x14ac:dyDescent="0.35">
      <c r="A8" s="57">
        <v>4</v>
      </c>
      <c r="B8" t="str" cm="1">
        <f t="array" ref="B8">A$3&amp;" - "&amp;INDEX('0-Inputs'!$C$5:$Q$5,$A8)</f>
        <v>AMI - Neptune 
FirstNet
w/ HE Fee</v>
      </c>
      <c r="D8" s="9">
        <f ca="1">IF(Selected=$A8,'Comp3-CustDetail'!D$18,D8)</f>
        <v>232348.91905222024</v>
      </c>
      <c r="E8" s="9">
        <f ca="1">IF(Selected=$A8,'Comp3-CustDetail'!E$18,E8)</f>
        <v>1428941.3009200948</v>
      </c>
      <c r="F8" s="9">
        <f ca="1">IF(Selected=$A8,'Comp3-CustDetail'!F$18,F8)</f>
        <v>2582160.2635171348</v>
      </c>
      <c r="G8" s="9">
        <f ca="1">IF(Selected=$A8,'Comp3-CustDetail'!G$18,G8)</f>
        <v>2847324.7098484682</v>
      </c>
      <c r="H8" s="9">
        <f ca="1">IF(Selected=$A8,'Comp3-CustDetail'!H$18,H8)</f>
        <v>2693697.6822040323</v>
      </c>
      <c r="I8" s="9">
        <f ca="1">IF(Selected=$A8,'Comp3-CustDetail'!I$18,I8)</f>
        <v>2393565.0007461421</v>
      </c>
      <c r="J8" s="9">
        <f ca="1">IF(Selected=$A8,'Comp3-CustDetail'!J$18,J8)</f>
        <v>2233979.9925492527</v>
      </c>
      <c r="K8" s="9">
        <f ca="1">IF(Selected=$A8,'Comp3-CustDetail'!K$18,K8)</f>
        <v>2406282.1747105233</v>
      </c>
      <c r="L8" s="9">
        <f ca="1">IF(Selected=$A8,'Comp3-CustDetail'!L$18,L8)</f>
        <v>3394637.2423225511</v>
      </c>
      <c r="M8" s="9">
        <f ca="1">IF(Selected=$A8,'Comp3-CustDetail'!M$18,M8)</f>
        <v>4317828.3687490961</v>
      </c>
      <c r="N8" s="9">
        <f ca="1">IF(Selected=$A8,'Comp3-CustDetail'!N$18,N8)</f>
        <v>4134790.7628749693</v>
      </c>
      <c r="O8" s="9">
        <f ca="1">IF(Selected=$A8,'Comp3-CustDetail'!O$18,O8)</f>
        <v>3913980.010888224</v>
      </c>
      <c r="P8" s="9">
        <f ca="1">IF(Selected=$A8,'Comp3-CustDetail'!P$18,P8)</f>
        <v>4179492.3177470695</v>
      </c>
      <c r="Q8" s="9">
        <f ca="1">IF(Selected=$A8,'Comp3-CustDetail'!Q$18,Q8)</f>
        <v>4249529.8368367963</v>
      </c>
      <c r="R8" s="9">
        <f ca="1">IF(Selected=$A8,'Comp3-CustDetail'!R$18,R8)</f>
        <v>3865580.9180847732</v>
      </c>
      <c r="S8" s="9">
        <f ca="1">IF(Selected=$A8,'Comp3-CustDetail'!S$18,S8)</f>
        <v>3320959.9858816159</v>
      </c>
      <c r="T8" s="9">
        <f ca="1">IF(Selected=$A8,'Comp3-CustDetail'!T$18,T8)</f>
        <v>2935408.6403950807</v>
      </c>
      <c r="U8" s="9">
        <f ca="1">IF(Selected=$A8,'Comp3-CustDetail'!U$18,U8)</f>
        <v>2923101.507279573</v>
      </c>
      <c r="V8" s="9">
        <f ca="1">IF(Selected=$A8,'Comp3-CustDetail'!V$18,V8)</f>
        <v>3828017.7203209945</v>
      </c>
      <c r="W8" s="9">
        <f ca="1">IF(Selected=$A8,'Comp3-CustDetail'!W$18,W8)</f>
        <v>4682687.7971434332</v>
      </c>
      <c r="X8" s="9">
        <f ca="1">IF(Selected=$A8,'Comp3-CustDetail'!Z$18,X8)</f>
        <v>62564315.15207205</v>
      </c>
      <c r="Y8" s="34"/>
      <c r="AA8" s="7"/>
      <c r="AB8" s="14"/>
      <c r="AG8" s="14"/>
      <c r="AL8" s="14"/>
    </row>
    <row r="9" spans="1:38" outlineLevel="1" x14ac:dyDescent="0.35">
      <c r="A9" s="57">
        <v>5</v>
      </c>
      <c r="B9" t="str" cm="1">
        <f t="array" ref="B9">A$3&amp;" - "&amp;INDEX('0-Inputs'!$C$5:$Q$5,$A9)</f>
        <v>AMI - Average 
Cost*</v>
      </c>
      <c r="D9" s="9" t="e">
        <f ca="1">IF(Selected=$A9,'Comp3-CustDetail'!D$18,D9)</f>
        <v>#DIV/0!</v>
      </c>
      <c r="E9" s="9" t="e">
        <f ca="1">IF(Selected=$A9,'Comp3-CustDetail'!E$18,E9)</f>
        <v>#DIV/0!</v>
      </c>
      <c r="F9" s="9" t="e">
        <f ca="1">IF(Selected=$A9,'Comp3-CustDetail'!F$18,F9)</f>
        <v>#DIV/0!</v>
      </c>
      <c r="G9" s="9" t="e">
        <f ca="1">IF(Selected=$A9,'Comp3-CustDetail'!G$18,G9)</f>
        <v>#DIV/0!</v>
      </c>
      <c r="H9" s="9" t="e">
        <f ca="1">IF(Selected=$A9,'Comp3-CustDetail'!H$18,H9)</f>
        <v>#DIV/0!</v>
      </c>
      <c r="I9" s="9" t="e">
        <f ca="1">IF(Selected=$A9,'Comp3-CustDetail'!I$18,I9)</f>
        <v>#DIV/0!</v>
      </c>
      <c r="J9" s="9" t="e">
        <f ca="1">IF(Selected=$A9,'Comp3-CustDetail'!J$18,J9)</f>
        <v>#DIV/0!</v>
      </c>
      <c r="K9" s="9" t="e">
        <f ca="1">IF(Selected=$A9,'Comp3-CustDetail'!K$18,K9)</f>
        <v>#DIV/0!</v>
      </c>
      <c r="L9" s="9" t="e">
        <f ca="1">IF(Selected=$A9,'Comp3-CustDetail'!L$18,L9)</f>
        <v>#DIV/0!</v>
      </c>
      <c r="M9" s="9" t="e">
        <f ca="1">IF(Selected=$A9,'Comp3-CustDetail'!M$18,M9)</f>
        <v>#DIV/0!</v>
      </c>
      <c r="N9" s="9" t="e">
        <f ca="1">IF(Selected=$A9,'Comp3-CustDetail'!N$18,N9)</f>
        <v>#DIV/0!</v>
      </c>
      <c r="O9" s="9" t="e">
        <f ca="1">IF(Selected=$A9,'Comp3-CustDetail'!O$18,O9)</f>
        <v>#DIV/0!</v>
      </c>
      <c r="P9" s="9" t="e">
        <f ca="1">IF(Selected=$A9,'Comp3-CustDetail'!P$18,P9)</f>
        <v>#DIV/0!</v>
      </c>
      <c r="Q9" s="9" t="e">
        <f ca="1">IF(Selected=$A9,'Comp3-CustDetail'!Q$18,Q9)</f>
        <v>#DIV/0!</v>
      </c>
      <c r="R9" s="9" t="e">
        <f ca="1">IF(Selected=$A9,'Comp3-CustDetail'!R$18,R9)</f>
        <v>#DIV/0!</v>
      </c>
      <c r="S9" s="9" t="e">
        <f ca="1">IF(Selected=$A9,'Comp3-CustDetail'!S$18,S9)</f>
        <v>#DIV/0!</v>
      </c>
      <c r="T9" s="9" t="e">
        <f ca="1">IF(Selected=$A9,'Comp3-CustDetail'!T$18,T9)</f>
        <v>#DIV/0!</v>
      </c>
      <c r="U9" s="9" t="e">
        <f ca="1">IF(Selected=$A9,'Comp3-CustDetail'!U$18,U9)</f>
        <v>#DIV/0!</v>
      </c>
      <c r="V9" s="9" t="e">
        <f ca="1">IF(Selected=$A9,'Comp3-CustDetail'!V$18,V9)</f>
        <v>#DIV/0!</v>
      </c>
      <c r="W9" s="9" t="e">
        <f ca="1">IF(Selected=$A9,'Comp3-CustDetail'!W$18,W9)</f>
        <v>#DIV/0!</v>
      </c>
      <c r="X9" s="9" t="e">
        <f ca="1">IF(Selected=$A9,'Comp3-CustDetail'!Z$18,X9)</f>
        <v>#DIV/0!</v>
      </c>
      <c r="Y9" s="34"/>
      <c r="AA9" s="7"/>
      <c r="AB9" s="14"/>
      <c r="AG9" s="14"/>
      <c r="AL9" s="14"/>
    </row>
    <row r="10" spans="1:38" x14ac:dyDescent="0.35">
      <c r="A10" s="57">
        <v>5</v>
      </c>
      <c r="B10" t="str" cm="1">
        <f t="array" ref="B10">A$3&amp;" - "&amp;INDEX('0-Inputs'!$C$5:$Q$5,$A10)</f>
        <v>AMI - Average 
Cost*</v>
      </c>
      <c r="D10" s="9" t="e">
        <f ca="1">IF(Selected=$A10,'Comp3-CustDetail'!D$18,D10)</f>
        <v>#DIV/0!</v>
      </c>
      <c r="E10" s="9" t="e">
        <f ca="1">IF(Selected=$A10,'Comp3-CustDetail'!E$18,E10)</f>
        <v>#DIV/0!</v>
      </c>
      <c r="F10" s="9" t="e">
        <f ca="1">IF(Selected=$A10,'Comp3-CustDetail'!F$18,F10)</f>
        <v>#DIV/0!</v>
      </c>
      <c r="G10" s="9" t="e">
        <f ca="1">IF(Selected=$A10,'Comp3-CustDetail'!G$18,G10)</f>
        <v>#DIV/0!</v>
      </c>
      <c r="H10" s="9" t="e">
        <f ca="1">IF(Selected=$A10,'Comp3-CustDetail'!H$18,H10)</f>
        <v>#DIV/0!</v>
      </c>
      <c r="I10" s="9" t="e">
        <f ca="1">IF(Selected=$A10,'Comp3-CustDetail'!I$18,I10)</f>
        <v>#DIV/0!</v>
      </c>
      <c r="J10" s="9" t="e">
        <f ca="1">IF(Selected=$A10,'Comp3-CustDetail'!J$18,J10)</f>
        <v>#DIV/0!</v>
      </c>
      <c r="K10" s="9" t="e">
        <f ca="1">IF(Selected=$A10,'Comp3-CustDetail'!K$18,K10)</f>
        <v>#DIV/0!</v>
      </c>
      <c r="L10" s="9" t="e">
        <f ca="1">IF(Selected=$A10,'Comp3-CustDetail'!L$18,L10)</f>
        <v>#DIV/0!</v>
      </c>
      <c r="M10" s="9" t="e">
        <f ca="1">IF(Selected=$A10,'Comp3-CustDetail'!M$18,M10)</f>
        <v>#DIV/0!</v>
      </c>
      <c r="N10" s="9" t="e">
        <f ca="1">IF(Selected=$A10,'Comp3-CustDetail'!N$18,N10)</f>
        <v>#DIV/0!</v>
      </c>
      <c r="O10" s="9" t="e">
        <f ca="1">IF(Selected=$A10,'Comp3-CustDetail'!O$18,O10)</f>
        <v>#DIV/0!</v>
      </c>
      <c r="P10" s="9" t="e">
        <f ca="1">IF(Selected=$A10,'Comp3-CustDetail'!P$18,P10)</f>
        <v>#DIV/0!</v>
      </c>
      <c r="Q10" s="9" t="e">
        <f ca="1">IF(Selected=$A10,'Comp3-CustDetail'!Q$18,Q10)</f>
        <v>#DIV/0!</v>
      </c>
      <c r="R10" s="9" t="e">
        <f ca="1">IF(Selected=$A10,'Comp3-CustDetail'!R$18,R10)</f>
        <v>#DIV/0!</v>
      </c>
      <c r="S10" s="9" t="e">
        <f ca="1">IF(Selected=$A10,'Comp3-CustDetail'!S$18,S10)</f>
        <v>#DIV/0!</v>
      </c>
      <c r="T10" s="9" t="e">
        <f ca="1">IF(Selected=$A10,'Comp3-CustDetail'!T$18,T10)</f>
        <v>#DIV/0!</v>
      </c>
      <c r="U10" s="9" t="e">
        <f ca="1">IF(Selected=$A10,'Comp3-CustDetail'!U$18,U10)</f>
        <v>#DIV/0!</v>
      </c>
      <c r="V10" s="9" t="e">
        <f ca="1">IF(Selected=$A10,'Comp3-CustDetail'!V$18,V10)</f>
        <v>#DIV/0!</v>
      </c>
      <c r="W10" s="9" t="e">
        <f ca="1">IF(Selected=$A10,'Comp3-CustDetail'!W$18,W10)</f>
        <v>#DIV/0!</v>
      </c>
      <c r="X10" s="9" t="e">
        <f ca="1">IF(Selected=$A10,'Comp3-CustDetail'!Z$18,X10)</f>
        <v>#DIV/0!</v>
      </c>
      <c r="Y10" s="34"/>
    </row>
    <row r="11" spans="1:38" x14ac:dyDescent="0.35">
      <c r="A11" s="57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34"/>
    </row>
    <row r="12" spans="1:38" x14ac:dyDescent="0.35">
      <c r="A12" s="19" t="s">
        <v>229</v>
      </c>
      <c r="D12">
        <v>1</v>
      </c>
      <c r="E12">
        <v>2</v>
      </c>
      <c r="F12">
        <v>3</v>
      </c>
      <c r="G12">
        <v>4</v>
      </c>
      <c r="H12">
        <v>5</v>
      </c>
      <c r="I12">
        <v>6</v>
      </c>
      <c r="J12">
        <v>7</v>
      </c>
      <c r="K12">
        <v>8</v>
      </c>
      <c r="L12">
        <v>9</v>
      </c>
      <c r="M12">
        <v>10</v>
      </c>
      <c r="N12">
        <v>11</v>
      </c>
      <c r="O12">
        <v>12</v>
      </c>
      <c r="P12">
        <v>13</v>
      </c>
      <c r="Q12">
        <v>14</v>
      </c>
      <c r="R12">
        <v>15</v>
      </c>
      <c r="S12">
        <v>16</v>
      </c>
      <c r="T12">
        <v>17</v>
      </c>
      <c r="U12">
        <v>18</v>
      </c>
      <c r="V12">
        <v>19</v>
      </c>
      <c r="W12">
        <v>20</v>
      </c>
    </row>
    <row r="13" spans="1:38" x14ac:dyDescent="0.35">
      <c r="A13" s="25" t="s">
        <v>185</v>
      </c>
      <c r="D13" s="120">
        <f>YearOne</f>
        <v>2026</v>
      </c>
      <c r="E13" s="120">
        <f t="shared" ref="E13:W13" si="2">YearOne+E12-1</f>
        <v>2027</v>
      </c>
      <c r="F13" s="120">
        <f t="shared" si="2"/>
        <v>2028</v>
      </c>
      <c r="G13" s="120">
        <f t="shared" si="2"/>
        <v>2029</v>
      </c>
      <c r="H13" s="120">
        <f t="shared" si="2"/>
        <v>2030</v>
      </c>
      <c r="I13" s="120">
        <f t="shared" si="2"/>
        <v>2031</v>
      </c>
      <c r="J13" s="120">
        <f t="shared" si="2"/>
        <v>2032</v>
      </c>
      <c r="K13" s="120">
        <f t="shared" si="2"/>
        <v>2033</v>
      </c>
      <c r="L13" s="120">
        <f t="shared" si="2"/>
        <v>2034</v>
      </c>
      <c r="M13" s="120">
        <f t="shared" si="2"/>
        <v>2035</v>
      </c>
      <c r="N13" s="120">
        <f t="shared" si="2"/>
        <v>2036</v>
      </c>
      <c r="O13" s="120">
        <f t="shared" si="2"/>
        <v>2037</v>
      </c>
      <c r="P13" s="120">
        <f t="shared" si="2"/>
        <v>2038</v>
      </c>
      <c r="Q13" s="120">
        <f t="shared" si="2"/>
        <v>2039</v>
      </c>
      <c r="R13" s="120">
        <f t="shared" si="2"/>
        <v>2040</v>
      </c>
      <c r="S13" s="120">
        <f t="shared" si="2"/>
        <v>2041</v>
      </c>
      <c r="T13" s="120">
        <f t="shared" si="2"/>
        <v>2042</v>
      </c>
      <c r="U13" s="120">
        <f t="shared" si="2"/>
        <v>2043</v>
      </c>
      <c r="V13" s="120">
        <f t="shared" si="2"/>
        <v>2044</v>
      </c>
      <c r="W13" s="120">
        <f t="shared" si="2"/>
        <v>2045</v>
      </c>
      <c r="X13" s="121" t="s">
        <v>186</v>
      </c>
      <c r="Y13" s="1"/>
    </row>
    <row r="14" spans="1:38" outlineLevel="1" x14ac:dyDescent="0.35">
      <c r="A14" s="41">
        <f>A5</f>
        <v>1</v>
      </c>
      <c r="B14" t="str" cm="1">
        <f t="array" ref="B14">A$12&amp;" - "&amp;INDEX('0-Inputs'!$C$5:$Q$5,$A14)</f>
        <v>AMR - Badger
Veriz or ATT</v>
      </c>
      <c r="D14" s="9">
        <f ca="1">IF(Selected=$A14,'Comp3-CustDetail'!D$37,D14)</f>
        <v>172568.09675889779</v>
      </c>
      <c r="E14" s="9">
        <f ca="1">IF(Selected=$A14,'Comp3-CustDetail'!E$37,E14)</f>
        <v>1253941.6218625158</v>
      </c>
      <c r="F14" s="9">
        <f ca="1">IF(Selected=$A14,'Comp3-CustDetail'!F$37,F14)</f>
        <v>2304171.8566119531</v>
      </c>
      <c r="G14" s="9">
        <f ca="1">IF(Selected=$A14,'Comp3-CustDetail'!G$37,G14)</f>
        <v>2494317.3975337357</v>
      </c>
      <c r="H14" s="9">
        <f ca="1">IF(Selected=$A14,'Comp3-CustDetail'!H$37,H14)</f>
        <v>2329416.0146089834</v>
      </c>
      <c r="I14" s="9">
        <f ca="1">IF(Selected=$A14,'Comp3-CustDetail'!I$37,I14)</f>
        <v>2040571.5288928552</v>
      </c>
      <c r="J14" s="9">
        <f ca="1">IF(Selected=$A14,'Comp3-CustDetail'!J$37,J14)</f>
        <v>1875923.3276027464</v>
      </c>
      <c r="K14" s="9">
        <f ca="1">IF(Selected=$A14,'Comp3-CustDetail'!K$37,K14)</f>
        <v>2000655.4258921877</v>
      </c>
      <c r="L14" s="9">
        <f ca="1">IF(Selected=$A14,'Comp3-CustDetail'!L$37,L14)</f>
        <v>2835749.9971022494</v>
      </c>
      <c r="M14" s="9">
        <f ca="1">IF(Selected=$A14,'Comp3-CustDetail'!M$37,M14)</f>
        <v>3600706.155145647</v>
      </c>
      <c r="N14" s="9">
        <f ca="1">IF(Selected=$A14,'Comp3-CustDetail'!N$37,N14)</f>
        <v>3890292.3477654224</v>
      </c>
      <c r="O14" s="9">
        <f ca="1">IF(Selected=$A14,'Comp3-CustDetail'!O$37,O14)</f>
        <v>4220742.1192353088</v>
      </c>
      <c r="P14" s="9">
        <f ca="1">IF(Selected=$A14,'Comp3-CustDetail'!P$37,P14)</f>
        <v>4520252.9635055475</v>
      </c>
      <c r="Q14" s="9">
        <f ca="1">IF(Selected=$A14,'Comp3-CustDetail'!Q$37,Q14)</f>
        <v>4647830.0013530431</v>
      </c>
      <c r="R14" s="9">
        <f ca="1">IF(Selected=$A14,'Comp3-CustDetail'!R$37,R14)</f>
        <v>4373912.4678340005</v>
      </c>
      <c r="S14" s="9">
        <f ca="1">IF(Selected=$A14,'Comp3-CustDetail'!S$37,S14)</f>
        <v>3959033.7395588984</v>
      </c>
      <c r="T14" s="9">
        <f ca="1">IF(Selected=$A14,'Comp3-CustDetail'!T$37,T14)</f>
        <v>3687349.7610264826</v>
      </c>
      <c r="U14" s="9">
        <f ca="1">IF(Selected=$A14,'Comp3-CustDetail'!U$37,U14)</f>
        <v>3748714.6262986795</v>
      </c>
      <c r="V14" s="9">
        <f ca="1">IF(Selected=$A14,'Comp3-CustDetail'!V$37,V14)</f>
        <v>4627196.3846628414</v>
      </c>
      <c r="W14" s="9">
        <f ca="1">IF(Selected=$A14,'Comp3-CustDetail'!W$37,W14)</f>
        <v>5462702.603319969</v>
      </c>
      <c r="X14" s="9">
        <f ca="1">IF(Selected=$A14,'Comp3-CustDetail'!Z$37,X14)</f>
        <v>64046048.436571971</v>
      </c>
      <c r="Y14" s="34"/>
      <c r="AA14" s="7"/>
      <c r="AB14" s="14"/>
      <c r="AG14" s="14"/>
      <c r="AL14" s="14"/>
    </row>
    <row r="15" spans="1:38" outlineLevel="1" x14ac:dyDescent="0.35">
      <c r="A15" s="41">
        <f>A6</f>
        <v>2</v>
      </c>
      <c r="B15" t="str" cm="1">
        <f t="array" ref="B15">A$12&amp;" - "&amp;INDEX('0-Inputs'!$C$5:$Q$5,$A15)</f>
        <v>AMR - Neptune 
FirstNet</v>
      </c>
      <c r="D15" s="9">
        <f ca="1">IF(Selected=$A15,'Comp3-CustDetail'!D$37,D15)</f>
        <v>62935.356560765526</v>
      </c>
      <c r="E15" s="9">
        <f ca="1">IF(Selected=$A15,'Comp3-CustDetail'!E$37,E15)</f>
        <v>918846.15260341438</v>
      </c>
      <c r="F15" s="9">
        <f ca="1">IF(Selected=$A15,'Comp3-CustDetail'!F$37,F15)</f>
        <v>1757693.2139753113</v>
      </c>
      <c r="G15" s="9">
        <f ca="1">IF(Selected=$A15,'Comp3-CustDetail'!G$37,G15)</f>
        <v>1784145.6473100574</v>
      </c>
      <c r="H15" s="9">
        <f ca="1">IF(Selected=$A15,'Comp3-CustDetail'!H$37,H15)</f>
        <v>1559119.5202123239</v>
      </c>
      <c r="I15" s="9">
        <f ca="1">IF(Selected=$A15,'Comp3-CustDetail'!I$37,I15)</f>
        <v>1247503.3445734659</v>
      </c>
      <c r="J15" s="9">
        <f ca="1">IF(Selected=$A15,'Comp3-CustDetail'!J$37,J15)</f>
        <v>1026607.0503237209</v>
      </c>
      <c r="K15" s="9">
        <f ca="1">IF(Selected=$A15,'Comp3-CustDetail'!K$37,K15)</f>
        <v>1015986.1480008032</v>
      </c>
      <c r="L15" s="9">
        <f ca="1">IF(Selected=$A15,'Comp3-CustDetail'!L$37,L15)</f>
        <v>1519268.4155713823</v>
      </c>
      <c r="M15" s="9">
        <f ca="1">IF(Selected=$A15,'Comp3-CustDetail'!M$37,M15)</f>
        <v>1972778.104339374</v>
      </c>
      <c r="N15" s="9">
        <f ca="1">IF(Selected=$A15,'Comp3-CustDetail'!N$37,N15)</f>
        <v>2134926.6063009207</v>
      </c>
      <c r="O15" s="9">
        <f ca="1">IF(Selected=$A15,'Comp3-CustDetail'!O$37,O15)</f>
        <v>2382432.8450642298</v>
      </c>
      <c r="P15" s="9">
        <f ca="1">IF(Selected=$A15,'Comp3-CustDetail'!P$37,P15)</f>
        <v>2605204.9921008991</v>
      </c>
      <c r="Q15" s="9">
        <f ca="1">IF(Selected=$A15,'Comp3-CustDetail'!Q$37,Q15)</f>
        <v>2688574.1044060108</v>
      </c>
      <c r="R15" s="9">
        <f ca="1">IF(Selected=$A15,'Comp3-CustDetail'!R$37,R15)</f>
        <v>2447400.0057357107</v>
      </c>
      <c r="S15" s="9">
        <f ca="1">IF(Selected=$A15,'Comp3-CustDetail'!S$37,S15)</f>
        <v>2092472.0182716234</v>
      </c>
      <c r="T15" s="9">
        <f ca="1">IF(Selected=$A15,'Comp3-CustDetail'!T$37,T15)</f>
        <v>1853311.2880575396</v>
      </c>
      <c r="U15" s="9">
        <f ca="1">IF(Selected=$A15,'Comp3-CustDetail'!U$37,U15)</f>
        <v>1883379.0085348838</v>
      </c>
      <c r="V15" s="9">
        <f ca="1">IF(Selected=$A15,'Comp3-CustDetail'!V$37,V15)</f>
        <v>2573345.2111679036</v>
      </c>
      <c r="W15" s="9">
        <f ca="1">IF(Selected=$A15,'Comp3-CustDetail'!W$37,W15)</f>
        <v>3228212.9606189001</v>
      </c>
      <c r="X15" s="9">
        <f ca="1">IF(Selected=$A15,'Comp3-CustDetail'!Z$37,X15)</f>
        <v>36754141.993729241</v>
      </c>
      <c r="Y15" s="34"/>
      <c r="AA15" s="7"/>
      <c r="AB15" s="14"/>
      <c r="AG15" s="14"/>
      <c r="AL15" s="14"/>
    </row>
    <row r="16" spans="1:38" outlineLevel="1" x14ac:dyDescent="0.35">
      <c r="A16" s="41">
        <f>A7</f>
        <v>3</v>
      </c>
      <c r="B16" t="str" cm="1">
        <f t="array" ref="B16">A$12&amp;" - "&amp;INDEX('0-Inputs'!$C$5:$Q$5,$A16)</f>
        <v>AMR - Neptune 
ATT</v>
      </c>
      <c r="D16" s="9">
        <f ca="1">IF(Selected=$A16,'Comp3-CustDetail'!D$37,D16)</f>
        <v>63000.653286814864</v>
      </c>
      <c r="E16" s="9">
        <f ca="1">IF(Selected=$A16,'Comp3-CustDetail'!E$37,E16)</f>
        <v>919249.8734428793</v>
      </c>
      <c r="F16" s="9">
        <f ca="1">IF(Selected=$A16,'Comp3-CustDetail'!F$37,F16)</f>
        <v>1758527.1888266508</v>
      </c>
      <c r="G16" s="9">
        <f ca="1">IF(Selected=$A16,'Comp3-CustDetail'!G$37,G16)</f>
        <v>1785121.2005238188</v>
      </c>
      <c r="H16" s="9">
        <f ca="1">IF(Selected=$A16,'Comp3-CustDetail'!H$37,H16)</f>
        <v>1560088.2015314244</v>
      </c>
      <c r="I16" s="9">
        <f ca="1">IF(Selected=$A16,'Comp3-CustDetail'!I$37,I16)</f>
        <v>1248501.3520254211</v>
      </c>
      <c r="J16" s="9">
        <f ca="1">IF(Selected=$A16,'Comp3-CustDetail'!J$37,J16)</f>
        <v>1027679.9336844732</v>
      </c>
      <c r="K16" s="9">
        <f ca="1">IF(Selected=$A16,'Comp3-CustDetail'!K$37,K16)</f>
        <v>1017267.6960410423</v>
      </c>
      <c r="L16" s="9">
        <f ca="1">IF(Selected=$A16,'Comp3-CustDetail'!L$37,L16)</f>
        <v>1520773.8903843025</v>
      </c>
      <c r="M16" s="9">
        <f ca="1">IF(Selected=$A16,'Comp3-CustDetail'!M$37,M16)</f>
        <v>1974308.5349491837</v>
      </c>
      <c r="N16" s="9">
        <f ca="1">IF(Selected=$A16,'Comp3-CustDetail'!N$37,N16)</f>
        <v>2136418.9724348253</v>
      </c>
      <c r="O16" s="9">
        <f ca="1">IF(Selected=$A16,'Comp3-CustDetail'!O$37,O16)</f>
        <v>2384101.8322633784</v>
      </c>
      <c r="P16" s="9">
        <f ca="1">IF(Selected=$A16,'Comp3-CustDetail'!P$37,P16)</f>
        <v>2607129.4235631074</v>
      </c>
      <c r="Q16" s="9">
        <f ca="1">IF(Selected=$A16,'Comp3-CustDetail'!Q$37,Q16)</f>
        <v>2690537.8403295451</v>
      </c>
      <c r="R16" s="9">
        <f ca="1">IF(Selected=$A16,'Comp3-CustDetail'!R$37,R16)</f>
        <v>2449290.8532038569</v>
      </c>
      <c r="S16" s="9">
        <f ca="1">IF(Selected=$A16,'Comp3-CustDetail'!S$37,S16)</f>
        <v>2094319.0894736189</v>
      </c>
      <c r="T16" s="9">
        <f ca="1">IF(Selected=$A16,'Comp3-CustDetail'!T$37,T16)</f>
        <v>1855151.7903833424</v>
      </c>
      <c r="U16" s="9">
        <f ca="1">IF(Selected=$A16,'Comp3-CustDetail'!U$37,U16)</f>
        <v>1885320.0904590557</v>
      </c>
      <c r="V16" s="9">
        <f ca="1">IF(Selected=$A16,'Comp3-CustDetail'!V$37,V16)</f>
        <v>2575404.3480365365</v>
      </c>
      <c r="W16" s="9">
        <f ca="1">IF(Selected=$A16,'Comp3-CustDetail'!W$37,W16)</f>
        <v>3230240.870389963</v>
      </c>
      <c r="X16" s="9">
        <f ca="1">IF(Selected=$A16,'Comp3-CustDetail'!Z$37,X16)</f>
        <v>36782433.635233238</v>
      </c>
      <c r="Y16" s="9"/>
      <c r="AA16" s="7"/>
      <c r="AB16" s="14"/>
      <c r="AG16" s="14"/>
      <c r="AL16" s="14"/>
    </row>
    <row r="17" spans="1:38" outlineLevel="1" x14ac:dyDescent="0.35">
      <c r="A17" s="41">
        <f>A8</f>
        <v>4</v>
      </c>
      <c r="B17" t="str" cm="1">
        <f t="array" ref="B17">A$12&amp;" - "&amp;INDEX('0-Inputs'!$C$5:$Q$5,$A17)</f>
        <v>AMR - Neptune 
FirstNet
w/ HE Fee</v>
      </c>
      <c r="D17" s="9">
        <f ca="1">IF(Selected=$A17,'Comp3-CustDetail'!D$37,D17)</f>
        <v>70957.924440160132</v>
      </c>
      <c r="E17" s="9">
        <f ca="1">IF(Selected=$A17,'Comp3-CustDetail'!E$37,E17)</f>
        <v>935953.34696942719</v>
      </c>
      <c r="F17" s="9">
        <f ca="1">IF(Selected=$A17,'Comp3-CustDetail'!F$37,F17)</f>
        <v>1783057.5167485243</v>
      </c>
      <c r="G17" s="9">
        <f ca="1">IF(Selected=$A17,'Comp3-CustDetail'!G$37,G17)</f>
        <v>1816340.4037684859</v>
      </c>
      <c r="H17" s="9">
        <f ca="1">IF(Selected=$A17,'Comp3-CustDetail'!H$37,H17)</f>
        <v>1593050.0466036256</v>
      </c>
      <c r="I17" s="9">
        <f ca="1">IF(Selected=$A17,'Comp3-CustDetail'!I$37,I17)</f>
        <v>1286095.0962656175</v>
      </c>
      <c r="J17" s="9">
        <f ca="1">IF(Selected=$A17,'Comp3-CustDetail'!J$37,J17)</f>
        <v>1069774.2674376236</v>
      </c>
      <c r="K17" s="9">
        <f ca="1">IF(Selected=$A17,'Comp3-CustDetail'!K$37,K17)</f>
        <v>1070199.4560310929</v>
      </c>
      <c r="L17" s="9">
        <f ca="1">IF(Selected=$A17,'Comp3-CustDetail'!L$37,L17)</f>
        <v>1593478.3580542405</v>
      </c>
      <c r="M17" s="9">
        <f ca="1">IF(Selected=$A17,'Comp3-CustDetail'!M$37,M17)</f>
        <v>2058696.5663363684</v>
      </c>
      <c r="N17" s="9">
        <f ca="1">IF(Selected=$A17,'Comp3-CustDetail'!N$37,N17)</f>
        <v>2223297.6517211716</v>
      </c>
      <c r="O17" s="9">
        <f ca="1">IF(Selected=$A17,'Comp3-CustDetail'!O$37,O17)</f>
        <v>2473326.4840697926</v>
      </c>
      <c r="P17" s="9">
        <f ca="1">IF(Selected=$A17,'Comp3-CustDetail'!P$37,P17)</f>
        <v>2698693.2333272542</v>
      </c>
      <c r="Q17" s="9">
        <f ca="1">IF(Selected=$A17,'Comp3-CustDetail'!Q$37,Q17)</f>
        <v>2784731.0120094381</v>
      </c>
      <c r="R17" s="9">
        <f ca="1">IF(Selected=$A17,'Comp3-CustDetail'!R$37,R17)</f>
        <v>2546301.7580691096</v>
      </c>
      <c r="S17" s="9">
        <f ca="1">IF(Selected=$A17,'Comp3-CustDetail'!S$37,S17)</f>
        <v>2194196.9682352641</v>
      </c>
      <c r="T17" s="9">
        <f ca="1">IF(Selected=$A17,'Comp3-CustDetail'!T$37,T17)</f>
        <v>1957940.0251725505</v>
      </c>
      <c r="U17" s="9">
        <f ca="1">IF(Selected=$A17,'Comp3-CustDetail'!U$37,U17)</f>
        <v>1990994.4227886624</v>
      </c>
      <c r="V17" s="9">
        <f ca="1">IF(Selected=$A17,'Comp3-CustDetail'!V$37,V17)</f>
        <v>2684032.5586820198</v>
      </c>
      <c r="W17" s="9">
        <f ca="1">IF(Selected=$A17,'Comp3-CustDetail'!W$37,W17)</f>
        <v>3342059.9311915254</v>
      </c>
      <c r="X17" s="9">
        <f ca="1">IF(Selected=$A17,'Comp3-CustDetail'!Z$37,X17)</f>
        <v>38173177.02792196</v>
      </c>
      <c r="Y17" s="9"/>
      <c r="AA17" s="7"/>
      <c r="AB17" s="14"/>
      <c r="AG17" s="14"/>
      <c r="AL17" s="14"/>
    </row>
    <row r="18" spans="1:38" outlineLevel="1" x14ac:dyDescent="0.35">
      <c r="A18" s="41">
        <f t="shared" ref="A18:A19" si="3">A9</f>
        <v>5</v>
      </c>
      <c r="B18" t="str" cm="1">
        <f t="array" ref="B18">A$12&amp;" - "&amp;INDEX('0-Inputs'!$C$5:$Q$5,$A18)</f>
        <v>AMR - Average 
Cost*</v>
      </c>
      <c r="D18" s="9" t="e">
        <f ca="1">IF(Selected=$A18,'Comp3-CustDetail'!D$37,D18)</f>
        <v>#DIV/0!</v>
      </c>
      <c r="E18" s="9" t="e">
        <f ca="1">IF(Selected=$A18,'Comp3-CustDetail'!E$37,E18)</f>
        <v>#DIV/0!</v>
      </c>
      <c r="F18" s="9" t="e">
        <f ca="1">IF(Selected=$A18,'Comp3-CustDetail'!F$37,F18)</f>
        <v>#DIV/0!</v>
      </c>
      <c r="G18" s="9" t="e">
        <f ca="1">IF(Selected=$A18,'Comp3-CustDetail'!G$37,G18)</f>
        <v>#DIV/0!</v>
      </c>
      <c r="H18" s="9" t="e">
        <f ca="1">IF(Selected=$A18,'Comp3-CustDetail'!H$37,H18)</f>
        <v>#DIV/0!</v>
      </c>
      <c r="I18" s="9" t="e">
        <f ca="1">IF(Selected=$A18,'Comp3-CustDetail'!I$37,I18)</f>
        <v>#DIV/0!</v>
      </c>
      <c r="J18" s="9" t="e">
        <f ca="1">IF(Selected=$A18,'Comp3-CustDetail'!J$37,J18)</f>
        <v>#DIV/0!</v>
      </c>
      <c r="K18" s="9" t="e">
        <f ca="1">IF(Selected=$A18,'Comp3-CustDetail'!K$37,K18)</f>
        <v>#DIV/0!</v>
      </c>
      <c r="L18" s="9" t="e">
        <f ca="1">IF(Selected=$A18,'Comp3-CustDetail'!L$37,L18)</f>
        <v>#DIV/0!</v>
      </c>
      <c r="M18" s="9" t="e">
        <f ca="1">IF(Selected=$A18,'Comp3-CustDetail'!M$37,M18)</f>
        <v>#DIV/0!</v>
      </c>
      <c r="N18" s="9" t="e">
        <f ca="1">IF(Selected=$A18,'Comp3-CustDetail'!N$37,N18)</f>
        <v>#DIV/0!</v>
      </c>
      <c r="O18" s="9" t="e">
        <f ca="1">IF(Selected=$A18,'Comp3-CustDetail'!O$37,O18)</f>
        <v>#DIV/0!</v>
      </c>
      <c r="P18" s="9" t="e">
        <f ca="1">IF(Selected=$A18,'Comp3-CustDetail'!P$37,P18)</f>
        <v>#DIV/0!</v>
      </c>
      <c r="Q18" s="9" t="e">
        <f ca="1">IF(Selected=$A18,'Comp3-CustDetail'!Q$37,Q18)</f>
        <v>#DIV/0!</v>
      </c>
      <c r="R18" s="9" t="e">
        <f ca="1">IF(Selected=$A18,'Comp3-CustDetail'!R$37,R18)</f>
        <v>#DIV/0!</v>
      </c>
      <c r="S18" s="9" t="e">
        <f ca="1">IF(Selected=$A18,'Comp3-CustDetail'!S$37,S18)</f>
        <v>#DIV/0!</v>
      </c>
      <c r="T18" s="9" t="e">
        <f ca="1">IF(Selected=$A18,'Comp3-CustDetail'!T$37,T18)</f>
        <v>#DIV/0!</v>
      </c>
      <c r="U18" s="9" t="e">
        <f ca="1">IF(Selected=$A18,'Comp3-CustDetail'!U$37,U18)</f>
        <v>#DIV/0!</v>
      </c>
      <c r="V18" s="9" t="e">
        <f ca="1">IF(Selected=$A18,'Comp3-CustDetail'!V$37,V18)</f>
        <v>#DIV/0!</v>
      </c>
      <c r="W18" s="9" t="e">
        <f ca="1">IF(Selected=$A18,'Comp3-CustDetail'!W$37,W18)</f>
        <v>#DIV/0!</v>
      </c>
      <c r="X18" s="9" t="e">
        <f ca="1">IF(Selected=$A18,'Comp3-CustDetail'!Z$37,X18)</f>
        <v>#DIV/0!</v>
      </c>
      <c r="Y18" s="9"/>
      <c r="AA18" s="7"/>
      <c r="AB18" s="14"/>
      <c r="AG18" s="14"/>
      <c r="AL18" s="14"/>
    </row>
    <row r="19" spans="1:38" outlineLevel="1" x14ac:dyDescent="0.35">
      <c r="A19" s="41">
        <f t="shared" si="3"/>
        <v>5</v>
      </c>
      <c r="B19" t="str" cm="1">
        <f t="array" ref="B19">A$12&amp;" - "&amp;INDEX('0-Inputs'!$C$5:$Q$5,$A19)</f>
        <v>AMR - Average 
Cost*</v>
      </c>
      <c r="D19" s="9" t="e">
        <f ca="1">IF(Selected=$A19,'Comp3-CustDetail'!D$37,D19)</f>
        <v>#DIV/0!</v>
      </c>
      <c r="E19" s="9" t="e">
        <f ca="1">IF(Selected=$A19,'Comp3-CustDetail'!E$37,E19)</f>
        <v>#DIV/0!</v>
      </c>
      <c r="F19" s="9" t="e">
        <f ca="1">IF(Selected=$A19,'Comp3-CustDetail'!F$37,F19)</f>
        <v>#DIV/0!</v>
      </c>
      <c r="G19" s="9" t="e">
        <f ca="1">IF(Selected=$A19,'Comp3-CustDetail'!G$37,G19)</f>
        <v>#DIV/0!</v>
      </c>
      <c r="H19" s="9" t="e">
        <f ca="1">IF(Selected=$A19,'Comp3-CustDetail'!H$37,H19)</f>
        <v>#DIV/0!</v>
      </c>
      <c r="I19" s="9" t="e">
        <f ca="1">IF(Selected=$A19,'Comp3-CustDetail'!I$37,I19)</f>
        <v>#DIV/0!</v>
      </c>
      <c r="J19" s="9" t="e">
        <f ca="1">IF(Selected=$A19,'Comp3-CustDetail'!J$37,J19)</f>
        <v>#DIV/0!</v>
      </c>
      <c r="K19" s="9" t="e">
        <f ca="1">IF(Selected=$A19,'Comp3-CustDetail'!K$37,K19)</f>
        <v>#DIV/0!</v>
      </c>
      <c r="L19" s="9" t="e">
        <f ca="1">IF(Selected=$A19,'Comp3-CustDetail'!L$37,L19)</f>
        <v>#DIV/0!</v>
      </c>
      <c r="M19" s="9" t="e">
        <f ca="1">IF(Selected=$A19,'Comp3-CustDetail'!M$37,M19)</f>
        <v>#DIV/0!</v>
      </c>
      <c r="N19" s="9" t="e">
        <f ca="1">IF(Selected=$A19,'Comp3-CustDetail'!N$37,N19)</f>
        <v>#DIV/0!</v>
      </c>
      <c r="O19" s="9" t="e">
        <f ca="1">IF(Selected=$A19,'Comp3-CustDetail'!O$37,O19)</f>
        <v>#DIV/0!</v>
      </c>
      <c r="P19" s="9" t="e">
        <f ca="1">IF(Selected=$A19,'Comp3-CustDetail'!P$37,P19)</f>
        <v>#DIV/0!</v>
      </c>
      <c r="Q19" s="9" t="e">
        <f ca="1">IF(Selected=$A19,'Comp3-CustDetail'!Q$37,Q19)</f>
        <v>#DIV/0!</v>
      </c>
      <c r="R19" s="9" t="e">
        <f ca="1">IF(Selected=$A19,'Comp3-CustDetail'!R$37,R19)</f>
        <v>#DIV/0!</v>
      </c>
      <c r="S19" s="9" t="e">
        <f ca="1">IF(Selected=$A19,'Comp3-CustDetail'!S$37,S19)</f>
        <v>#DIV/0!</v>
      </c>
      <c r="T19" s="9" t="e">
        <f ca="1">IF(Selected=$A19,'Comp3-CustDetail'!T$37,T19)</f>
        <v>#DIV/0!</v>
      </c>
      <c r="U19" s="9" t="e">
        <f ca="1">IF(Selected=$A19,'Comp3-CustDetail'!U$37,U19)</f>
        <v>#DIV/0!</v>
      </c>
      <c r="V19" s="9" t="e">
        <f ca="1">IF(Selected=$A19,'Comp3-CustDetail'!V$37,V19)</f>
        <v>#DIV/0!</v>
      </c>
      <c r="W19" s="9" t="e">
        <f ca="1">IF(Selected=$A19,'Comp3-CustDetail'!W$37,W19)</f>
        <v>#DIV/0!</v>
      </c>
      <c r="X19" s="9" t="e">
        <f ca="1">IF(Selected=$A19,'Comp3-CustDetail'!Z$37,X19)</f>
        <v>#DIV/0!</v>
      </c>
      <c r="Y19" s="9"/>
      <c r="AA19" s="7"/>
      <c r="AB19" s="14"/>
      <c r="AG19" s="14"/>
      <c r="AL19" s="14"/>
    </row>
    <row r="20" spans="1:38" x14ac:dyDescent="0.35">
      <c r="A20" t="s">
        <v>188</v>
      </c>
      <c r="B20" t="s">
        <v>189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38" x14ac:dyDescent="0.35">
      <c r="D21">
        <v>1</v>
      </c>
      <c r="E21">
        <v>2</v>
      </c>
      <c r="F21">
        <v>3</v>
      </c>
      <c r="G21">
        <v>4</v>
      </c>
      <c r="H21">
        <v>5</v>
      </c>
      <c r="I21">
        <v>6</v>
      </c>
      <c r="J21">
        <v>7</v>
      </c>
      <c r="K21">
        <v>8</v>
      </c>
      <c r="L21">
        <v>9</v>
      </c>
      <c r="M21">
        <v>10</v>
      </c>
      <c r="N21">
        <v>11</v>
      </c>
      <c r="O21">
        <v>12</v>
      </c>
      <c r="P21">
        <v>13</v>
      </c>
      <c r="Q21">
        <v>14</v>
      </c>
      <c r="R21">
        <v>15</v>
      </c>
      <c r="S21">
        <v>16</v>
      </c>
      <c r="T21">
        <v>17</v>
      </c>
      <c r="U21">
        <v>18</v>
      </c>
      <c r="V21">
        <v>19</v>
      </c>
      <c r="W21">
        <v>20</v>
      </c>
    </row>
    <row r="22" spans="1:38" x14ac:dyDescent="0.35">
      <c r="A22" s="24" t="s">
        <v>1101</v>
      </c>
      <c r="B22" s="24"/>
      <c r="C22" t="s">
        <v>1100</v>
      </c>
      <c r="D22" s="120">
        <f>YearOne</f>
        <v>2026</v>
      </c>
      <c r="E22" s="120">
        <f t="shared" ref="E22:W22" si="4">YearOne+E21-1</f>
        <v>2027</v>
      </c>
      <c r="F22" s="120">
        <f t="shared" si="4"/>
        <v>2028</v>
      </c>
      <c r="G22" s="120">
        <f t="shared" si="4"/>
        <v>2029</v>
      </c>
      <c r="H22" s="120">
        <f t="shared" si="4"/>
        <v>2030</v>
      </c>
      <c r="I22" s="120">
        <f t="shared" si="4"/>
        <v>2031</v>
      </c>
      <c r="J22" s="120">
        <f t="shared" si="4"/>
        <v>2032</v>
      </c>
      <c r="K22" s="120">
        <f t="shared" si="4"/>
        <v>2033</v>
      </c>
      <c r="L22" s="120">
        <f t="shared" si="4"/>
        <v>2034</v>
      </c>
      <c r="M22" s="120">
        <f t="shared" si="4"/>
        <v>2035</v>
      </c>
      <c r="N22" s="120">
        <f t="shared" si="4"/>
        <v>2036</v>
      </c>
      <c r="O22" s="120">
        <f t="shared" si="4"/>
        <v>2037</v>
      </c>
      <c r="P22" s="120">
        <f t="shared" si="4"/>
        <v>2038</v>
      </c>
      <c r="Q22" s="120">
        <f t="shared" si="4"/>
        <v>2039</v>
      </c>
      <c r="R22" s="120">
        <f t="shared" si="4"/>
        <v>2040</v>
      </c>
      <c r="S22" s="120">
        <f t="shared" si="4"/>
        <v>2041</v>
      </c>
      <c r="T22" s="120">
        <f t="shared" si="4"/>
        <v>2042</v>
      </c>
      <c r="U22" s="120">
        <f t="shared" si="4"/>
        <v>2043</v>
      </c>
      <c r="V22" s="120">
        <f t="shared" si="4"/>
        <v>2044</v>
      </c>
      <c r="W22" s="120">
        <f t="shared" si="4"/>
        <v>2045</v>
      </c>
      <c r="X22" s="121" t="s">
        <v>186</v>
      </c>
    </row>
    <row r="23" spans="1:38" x14ac:dyDescent="0.35">
      <c r="A23" s="41">
        <f t="shared" ref="A23:B28" si="5">A5</f>
        <v>1</v>
      </c>
      <c r="B23" t="str">
        <f t="shared" si="5"/>
        <v>AMI - Badger
Veriz or ATT</v>
      </c>
      <c r="C23" s="41">
        <v>139500</v>
      </c>
      <c r="D23" s="6">
        <f t="shared" ref="D23:X23" ca="1" si="6">D5/$C$23/12</f>
        <v>0.10442906466892539</v>
      </c>
      <c r="E23" s="6">
        <f t="shared" ca="1" si="6"/>
        <v>0.74838675943844934</v>
      </c>
      <c r="F23" s="6">
        <f t="shared" ca="1" si="6"/>
        <v>1.3707424333335529</v>
      </c>
      <c r="G23" s="6">
        <f t="shared" ca="1" si="6"/>
        <v>1.4777608867930303</v>
      </c>
      <c r="H23" s="6">
        <f t="shared" ca="1" si="6"/>
        <v>1.3671631589733442</v>
      </c>
      <c r="I23" s="6">
        <f t="shared" ca="1" si="6"/>
        <v>1.1807094076257527</v>
      </c>
      <c r="J23" s="6">
        <f t="shared" ca="1" si="6"/>
        <v>1.0676905585982268</v>
      </c>
      <c r="K23" s="6">
        <f t="shared" ca="1" si="6"/>
        <v>1.1280709977444268</v>
      </c>
      <c r="L23" s="6">
        <f t="shared" ca="1" si="6"/>
        <v>1.614448830105176</v>
      </c>
      <c r="M23" s="6">
        <f t="shared" ca="1" si="6"/>
        <v>2.0684429400351916</v>
      </c>
      <c r="N23" s="6">
        <f t="shared" ca="1" si="6"/>
        <v>1.9192553848934131</v>
      </c>
      <c r="O23" s="6">
        <f t="shared" ca="1" si="6"/>
        <v>1.7612452327043346</v>
      </c>
      <c r="P23" s="6">
        <f t="shared" ca="1" si="6"/>
        <v>1.895609603624175</v>
      </c>
      <c r="Q23" s="6">
        <f t="shared" ca="1" si="6"/>
        <v>1.9235597746208466</v>
      </c>
      <c r="R23" s="6">
        <f t="shared" ca="1" si="6"/>
        <v>1.7045035304421126</v>
      </c>
      <c r="S23" s="6">
        <f t="shared" ca="1" si="6"/>
        <v>1.3979584596923553</v>
      </c>
      <c r="T23" s="6">
        <f t="shared" ca="1" si="6"/>
        <v>1.1778145190784479</v>
      </c>
      <c r="U23" s="6">
        <f t="shared" ca="1" si="6"/>
        <v>1.1605788193034428</v>
      </c>
      <c r="V23" s="6">
        <f t="shared" ca="1" si="6"/>
        <v>1.6420538419334114</v>
      </c>
      <c r="W23" s="6">
        <f t="shared" ca="1" si="6"/>
        <v>2.0961055831745266</v>
      </c>
      <c r="X23" s="6">
        <f t="shared" ca="1" si="6"/>
        <v>28.806529786783145</v>
      </c>
    </row>
    <row r="24" spans="1:38" x14ac:dyDescent="0.35">
      <c r="A24" s="41">
        <f t="shared" si="5"/>
        <v>2</v>
      </c>
      <c r="B24" t="str">
        <f t="shared" si="5"/>
        <v>AMI - Neptune 
FirstNet</v>
      </c>
      <c r="D24" s="6">
        <f t="shared" ref="D24:X24" ca="1" si="7">D6/$C$23/12</f>
        <v>0.13879863742665485</v>
      </c>
      <c r="E24" s="6">
        <f t="shared" ca="1" si="7"/>
        <v>0.85360890138595868</v>
      </c>
      <c r="F24" s="6">
        <f t="shared" ca="1" si="7"/>
        <v>1.5425091179911199</v>
      </c>
      <c r="G24" s="6">
        <f t="shared" ca="1" si="7"/>
        <v>1.7009108183085235</v>
      </c>
      <c r="H24" s="6">
        <f t="shared" ca="1" si="7"/>
        <v>1.6091384003608316</v>
      </c>
      <c r="I24" s="6">
        <f t="shared" ca="1" si="7"/>
        <v>1.4298476706966203</v>
      </c>
      <c r="J24" s="6">
        <f t="shared" ca="1" si="7"/>
        <v>1.3345161245813937</v>
      </c>
      <c r="K24" s="6">
        <f t="shared" ca="1" si="7"/>
        <v>1.4374445488115433</v>
      </c>
      <c r="L24" s="6">
        <f t="shared" ca="1" si="7"/>
        <v>2.0278597624388</v>
      </c>
      <c r="M24" s="6">
        <f t="shared" ca="1" si="7"/>
        <v>2.5793478905311207</v>
      </c>
      <c r="N24" s="6">
        <f t="shared" ca="1" si="7"/>
        <v>2.4700064294354656</v>
      </c>
      <c r="O24" s="6">
        <f t="shared" ca="1" si="7"/>
        <v>2.3381003649272545</v>
      </c>
      <c r="P24" s="6">
        <f t="shared" ca="1" si="7"/>
        <v>2.4967098672324188</v>
      </c>
      <c r="Q24" s="6">
        <f t="shared" ca="1" si="7"/>
        <v>2.5385482896277156</v>
      </c>
      <c r="R24" s="6">
        <f t="shared" ca="1" si="7"/>
        <v>2.3091881231091835</v>
      </c>
      <c r="S24" s="6">
        <f t="shared" ca="1" si="7"/>
        <v>1.9838470644454098</v>
      </c>
      <c r="T24" s="6">
        <f t="shared" ca="1" si="7"/>
        <v>1.7535296537605021</v>
      </c>
      <c r="U24" s="6">
        <f t="shared" ca="1" si="7"/>
        <v>1.7461777223892312</v>
      </c>
      <c r="V24" s="6">
        <f t="shared" ca="1" si="7"/>
        <v>2.2867489368703668</v>
      </c>
      <c r="W24" s="6">
        <f t="shared" ca="1" si="7"/>
        <v>2.7973045383174635</v>
      </c>
      <c r="X24" s="6">
        <f t="shared" ca="1" si="7"/>
        <v>37.374142862647581</v>
      </c>
    </row>
    <row r="25" spans="1:38" x14ac:dyDescent="0.35">
      <c r="A25" s="41">
        <f t="shared" si="5"/>
        <v>3</v>
      </c>
      <c r="B25" t="str">
        <f t="shared" si="5"/>
        <v>AMI - Neptune 
ATT</v>
      </c>
      <c r="D25" s="6">
        <f t="shared" ref="D25:X25" ca="1" si="8">D7/$C$23/12</f>
        <v>0.17617110979680992</v>
      </c>
      <c r="E25" s="6">
        <f t="shared" ca="1" si="8"/>
        <v>0.96802439384439865</v>
      </c>
      <c r="F25" s="6">
        <f t="shared" ca="1" si="8"/>
        <v>1.7292832080191769</v>
      </c>
      <c r="G25" s="6">
        <f t="shared" ca="1" si="8"/>
        <v>1.9435575543837984</v>
      </c>
      <c r="H25" s="6">
        <f t="shared" ca="1" si="8"/>
        <v>1.8722552300857984</v>
      </c>
      <c r="I25" s="6">
        <f t="shared" ca="1" si="8"/>
        <v>1.7007533615702506</v>
      </c>
      <c r="J25" s="6">
        <f t="shared" ca="1" si="8"/>
        <v>1.6246544734822848</v>
      </c>
      <c r="K25" s="6">
        <f t="shared" ca="1" si="8"/>
        <v>1.7738483374420599</v>
      </c>
      <c r="L25" s="6">
        <f t="shared" ca="1" si="8"/>
        <v>2.4773907692705239</v>
      </c>
      <c r="M25" s="6">
        <f t="shared" ca="1" si="8"/>
        <v>3.1348910531062333</v>
      </c>
      <c r="N25" s="6">
        <f t="shared" ca="1" si="8"/>
        <v>3.0688770741208251</v>
      </c>
      <c r="O25" s="6">
        <f t="shared" ca="1" si="8"/>
        <v>2.9653558342503294</v>
      </c>
      <c r="P25" s="6">
        <f t="shared" ca="1" si="8"/>
        <v>3.1503287862613116</v>
      </c>
      <c r="Q25" s="6">
        <f t="shared" ca="1" si="8"/>
        <v>3.207268888718898</v>
      </c>
      <c r="R25" s="6">
        <f t="shared" ca="1" si="8"/>
        <v>2.9667045371596372</v>
      </c>
      <c r="S25" s="6">
        <f t="shared" ca="1" si="8"/>
        <v>2.6209252686892439</v>
      </c>
      <c r="T25" s="6">
        <f t="shared" ca="1" si="8"/>
        <v>2.3795455229611524</v>
      </c>
      <c r="U25" s="6">
        <f t="shared" ca="1" si="8"/>
        <v>2.3829409134779236</v>
      </c>
      <c r="V25" s="6">
        <f t="shared" ca="1" si="8"/>
        <v>2.9877716057450505</v>
      </c>
      <c r="W25" s="6">
        <f t="shared" ca="1" si="8"/>
        <v>3.55976785905129</v>
      </c>
      <c r="X25" s="6">
        <f t="shared" ca="1" si="8"/>
        <v>46.690315781436993</v>
      </c>
    </row>
    <row r="26" spans="1:38" x14ac:dyDescent="0.35">
      <c r="A26" s="41">
        <f t="shared" si="5"/>
        <v>4</v>
      </c>
      <c r="B26" t="str">
        <f t="shared" si="5"/>
        <v>AMI - Neptune 
FirstNet
w/ HE Fee</v>
      </c>
      <c r="D26" s="6">
        <f t="shared" ref="D26:X26" ca="1" si="9">D8/$C$23/12</f>
        <v>0.13879863742665485</v>
      </c>
      <c r="E26" s="6">
        <f t="shared" ca="1" si="9"/>
        <v>0.85360890138595868</v>
      </c>
      <c r="F26" s="6">
        <f t="shared" ca="1" si="9"/>
        <v>1.5425091179911199</v>
      </c>
      <c r="G26" s="6">
        <f t="shared" ca="1" si="9"/>
        <v>1.7009108183085235</v>
      </c>
      <c r="H26" s="6">
        <f t="shared" ca="1" si="9"/>
        <v>1.6091384003608316</v>
      </c>
      <c r="I26" s="6">
        <f t="shared" ca="1" si="9"/>
        <v>1.4298476706966203</v>
      </c>
      <c r="J26" s="6">
        <f t="shared" ca="1" si="9"/>
        <v>1.3345161245813937</v>
      </c>
      <c r="K26" s="6">
        <f t="shared" ca="1" si="9"/>
        <v>1.4374445488115433</v>
      </c>
      <c r="L26" s="6">
        <f t="shared" ca="1" si="9"/>
        <v>2.0278597624388</v>
      </c>
      <c r="M26" s="6">
        <f t="shared" ca="1" si="9"/>
        <v>2.5793478905311207</v>
      </c>
      <c r="N26" s="6">
        <f t="shared" ca="1" si="9"/>
        <v>2.4700064294354656</v>
      </c>
      <c r="O26" s="6">
        <f t="shared" ca="1" si="9"/>
        <v>2.3381003649272545</v>
      </c>
      <c r="P26" s="6">
        <f t="shared" ca="1" si="9"/>
        <v>2.4967098672324188</v>
      </c>
      <c r="Q26" s="6">
        <f t="shared" ca="1" si="9"/>
        <v>2.5385482896277156</v>
      </c>
      <c r="R26" s="6">
        <f t="shared" ca="1" si="9"/>
        <v>2.3091881231091835</v>
      </c>
      <c r="S26" s="6">
        <f t="shared" ca="1" si="9"/>
        <v>1.9838470644454098</v>
      </c>
      <c r="T26" s="6">
        <f t="shared" ca="1" si="9"/>
        <v>1.7535296537605021</v>
      </c>
      <c r="U26" s="6">
        <f t="shared" ca="1" si="9"/>
        <v>1.7461777223892312</v>
      </c>
      <c r="V26" s="6">
        <f t="shared" ca="1" si="9"/>
        <v>2.2867489368703668</v>
      </c>
      <c r="W26" s="6">
        <f t="shared" ca="1" si="9"/>
        <v>2.7973045383174635</v>
      </c>
      <c r="X26" s="6">
        <f t="shared" ca="1" si="9"/>
        <v>37.374142862647581</v>
      </c>
    </row>
    <row r="27" spans="1:38" x14ac:dyDescent="0.35">
      <c r="A27" s="41">
        <f t="shared" si="5"/>
        <v>5</v>
      </c>
      <c r="B27" t="str">
        <f t="shared" si="5"/>
        <v>AMI - Average 
Cost*</v>
      </c>
      <c r="D27" s="6" t="e">
        <f t="shared" ref="D27:X27" ca="1" si="10">D9/$C$23/12</f>
        <v>#DIV/0!</v>
      </c>
      <c r="E27" s="6" t="e">
        <f t="shared" ca="1" si="10"/>
        <v>#DIV/0!</v>
      </c>
      <c r="F27" s="6" t="e">
        <f t="shared" ca="1" si="10"/>
        <v>#DIV/0!</v>
      </c>
      <c r="G27" s="6" t="e">
        <f t="shared" ca="1" si="10"/>
        <v>#DIV/0!</v>
      </c>
      <c r="H27" s="6" t="e">
        <f t="shared" ca="1" si="10"/>
        <v>#DIV/0!</v>
      </c>
      <c r="I27" s="6" t="e">
        <f t="shared" ca="1" si="10"/>
        <v>#DIV/0!</v>
      </c>
      <c r="J27" s="6" t="e">
        <f t="shared" ca="1" si="10"/>
        <v>#DIV/0!</v>
      </c>
      <c r="K27" s="6" t="e">
        <f t="shared" ca="1" si="10"/>
        <v>#DIV/0!</v>
      </c>
      <c r="L27" s="6" t="e">
        <f t="shared" ca="1" si="10"/>
        <v>#DIV/0!</v>
      </c>
      <c r="M27" s="6" t="e">
        <f t="shared" ca="1" si="10"/>
        <v>#DIV/0!</v>
      </c>
      <c r="N27" s="6" t="e">
        <f t="shared" ca="1" si="10"/>
        <v>#DIV/0!</v>
      </c>
      <c r="O27" s="6" t="e">
        <f t="shared" ca="1" si="10"/>
        <v>#DIV/0!</v>
      </c>
      <c r="P27" s="6" t="e">
        <f t="shared" ca="1" si="10"/>
        <v>#DIV/0!</v>
      </c>
      <c r="Q27" s="6" t="e">
        <f t="shared" ca="1" si="10"/>
        <v>#DIV/0!</v>
      </c>
      <c r="R27" s="6" t="e">
        <f t="shared" ca="1" si="10"/>
        <v>#DIV/0!</v>
      </c>
      <c r="S27" s="6" t="e">
        <f t="shared" ca="1" si="10"/>
        <v>#DIV/0!</v>
      </c>
      <c r="T27" s="6" t="e">
        <f t="shared" ca="1" si="10"/>
        <v>#DIV/0!</v>
      </c>
      <c r="U27" s="6" t="e">
        <f t="shared" ca="1" si="10"/>
        <v>#DIV/0!</v>
      </c>
      <c r="V27" s="6" t="e">
        <f t="shared" ca="1" si="10"/>
        <v>#DIV/0!</v>
      </c>
      <c r="W27" s="6" t="e">
        <f t="shared" ca="1" si="10"/>
        <v>#DIV/0!</v>
      </c>
      <c r="X27" s="6" t="e">
        <f t="shared" ca="1" si="10"/>
        <v>#DIV/0!</v>
      </c>
    </row>
    <row r="28" spans="1:38" x14ac:dyDescent="0.35">
      <c r="A28" s="41">
        <f t="shared" si="5"/>
        <v>5</v>
      </c>
      <c r="B28" t="str">
        <f t="shared" si="5"/>
        <v>AMI - Average 
Cost*</v>
      </c>
      <c r="D28" s="6" t="e">
        <f t="shared" ref="D28:X28" ca="1" si="11">D10/$C$23/12</f>
        <v>#DIV/0!</v>
      </c>
      <c r="E28" s="6" t="e">
        <f t="shared" ca="1" si="11"/>
        <v>#DIV/0!</v>
      </c>
      <c r="F28" s="6" t="e">
        <f t="shared" ca="1" si="11"/>
        <v>#DIV/0!</v>
      </c>
      <c r="G28" s="6" t="e">
        <f t="shared" ca="1" si="11"/>
        <v>#DIV/0!</v>
      </c>
      <c r="H28" s="6" t="e">
        <f t="shared" ca="1" si="11"/>
        <v>#DIV/0!</v>
      </c>
      <c r="I28" s="6" t="e">
        <f t="shared" ca="1" si="11"/>
        <v>#DIV/0!</v>
      </c>
      <c r="J28" s="6" t="e">
        <f t="shared" ca="1" si="11"/>
        <v>#DIV/0!</v>
      </c>
      <c r="K28" s="6" t="e">
        <f t="shared" ca="1" si="11"/>
        <v>#DIV/0!</v>
      </c>
      <c r="L28" s="6" t="e">
        <f t="shared" ca="1" si="11"/>
        <v>#DIV/0!</v>
      </c>
      <c r="M28" s="6" t="e">
        <f t="shared" ca="1" si="11"/>
        <v>#DIV/0!</v>
      </c>
      <c r="N28" s="6" t="e">
        <f t="shared" ca="1" si="11"/>
        <v>#DIV/0!</v>
      </c>
      <c r="O28" s="6" t="e">
        <f t="shared" ca="1" si="11"/>
        <v>#DIV/0!</v>
      </c>
      <c r="P28" s="6" t="e">
        <f t="shared" ca="1" si="11"/>
        <v>#DIV/0!</v>
      </c>
      <c r="Q28" s="6" t="e">
        <f t="shared" ca="1" si="11"/>
        <v>#DIV/0!</v>
      </c>
      <c r="R28" s="6" t="e">
        <f t="shared" ca="1" si="11"/>
        <v>#DIV/0!</v>
      </c>
      <c r="S28" s="6" t="e">
        <f t="shared" ca="1" si="11"/>
        <v>#DIV/0!</v>
      </c>
      <c r="T28" s="6" t="e">
        <f t="shared" ca="1" si="11"/>
        <v>#DIV/0!</v>
      </c>
      <c r="U28" s="6" t="e">
        <f t="shared" ca="1" si="11"/>
        <v>#DIV/0!</v>
      </c>
      <c r="V28" s="6" t="e">
        <f t="shared" ca="1" si="11"/>
        <v>#DIV/0!</v>
      </c>
      <c r="W28" s="6" t="e">
        <f t="shared" ca="1" si="11"/>
        <v>#DIV/0!</v>
      </c>
      <c r="X28" s="6" t="e">
        <f t="shared" ca="1" si="11"/>
        <v>#DIV/0!</v>
      </c>
    </row>
    <row r="29" spans="1:38" x14ac:dyDescent="0.35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38" x14ac:dyDescent="0.35">
      <c r="A30" s="24" t="s">
        <v>1102</v>
      </c>
      <c r="B30" s="24"/>
      <c r="D30" s="120">
        <v>2026</v>
      </c>
      <c r="E30" s="120">
        <v>2027</v>
      </c>
      <c r="F30" s="120">
        <v>2028</v>
      </c>
      <c r="G30" s="120">
        <v>2029</v>
      </c>
      <c r="H30" s="120">
        <v>2030</v>
      </c>
      <c r="I30" s="120">
        <v>2031</v>
      </c>
      <c r="J30" s="120">
        <v>2032</v>
      </c>
      <c r="K30" s="120">
        <v>2033</v>
      </c>
      <c r="L30" s="120">
        <v>2034</v>
      </c>
      <c r="M30" s="120">
        <v>2035</v>
      </c>
      <c r="N30" s="120">
        <v>2036</v>
      </c>
      <c r="O30" s="120">
        <v>2037</v>
      </c>
      <c r="P30" s="120">
        <v>2038</v>
      </c>
      <c r="Q30" s="120">
        <v>2039</v>
      </c>
      <c r="R30" s="120">
        <v>2040</v>
      </c>
      <c r="S30" s="120">
        <v>2041</v>
      </c>
      <c r="T30" s="120">
        <v>2042</v>
      </c>
      <c r="U30" s="120">
        <v>2043</v>
      </c>
      <c r="V30" s="120">
        <v>2044</v>
      </c>
      <c r="W30" s="120">
        <v>2045</v>
      </c>
      <c r="X30" s="121" t="s">
        <v>186</v>
      </c>
    </row>
    <row r="31" spans="1:38" x14ac:dyDescent="0.35">
      <c r="A31" s="41">
        <f t="shared" ref="A31:B36" si="12">A14</f>
        <v>1</v>
      </c>
      <c r="B31" s="41" t="str">
        <f t="shared" si="12"/>
        <v>AMR - Badger
Veriz or ATT</v>
      </c>
      <c r="D31" s="6">
        <f t="shared" ref="D31:X31" ca="1" si="13">D14/$C$23/12</f>
        <v>0.10308727404952078</v>
      </c>
      <c r="E31" s="6">
        <f t="shared" ca="1" si="13"/>
        <v>0.74906906921297234</v>
      </c>
      <c r="F31" s="6">
        <f t="shared" ca="1" si="13"/>
        <v>1.3764467482747629</v>
      </c>
      <c r="G31" s="6">
        <f t="shared" ca="1" si="13"/>
        <v>1.4900342876545614</v>
      </c>
      <c r="H31" s="6">
        <f t="shared" ca="1" si="13"/>
        <v>1.3915268904474214</v>
      </c>
      <c r="I31" s="6">
        <f t="shared" ca="1" si="13"/>
        <v>1.2189794079407736</v>
      </c>
      <c r="J31" s="6">
        <f t="shared" ca="1" si="13"/>
        <v>1.1206232542429788</v>
      </c>
      <c r="K31" s="6">
        <f t="shared" ca="1" si="13"/>
        <v>1.1951346630180333</v>
      </c>
      <c r="L31" s="6">
        <f t="shared" ca="1" si="13"/>
        <v>1.6939964140395756</v>
      </c>
      <c r="M31" s="6">
        <f t="shared" ca="1" si="13"/>
        <v>2.1509594714131701</v>
      </c>
      <c r="N31" s="6">
        <f t="shared" ca="1" si="13"/>
        <v>2.3239500285337051</v>
      </c>
      <c r="O31" s="6">
        <f t="shared" ca="1" si="13"/>
        <v>2.52135132570807</v>
      </c>
      <c r="P31" s="6">
        <f t="shared" ca="1" si="13"/>
        <v>2.7002705875182484</v>
      </c>
      <c r="Q31" s="6">
        <f t="shared" ca="1" si="13"/>
        <v>2.7764814822897512</v>
      </c>
      <c r="R31" s="6">
        <f t="shared" ca="1" si="13"/>
        <v>2.6128509365794508</v>
      </c>
      <c r="S31" s="6">
        <f t="shared" ca="1" si="13"/>
        <v>2.3650141813374543</v>
      </c>
      <c r="T31" s="6">
        <f t="shared" ca="1" si="13"/>
        <v>2.2027178978652824</v>
      </c>
      <c r="U31" s="6">
        <f t="shared" ca="1" si="13"/>
        <v>2.2393755234759136</v>
      </c>
      <c r="V31" s="6">
        <f t="shared" ca="1" si="13"/>
        <v>2.7641555463935732</v>
      </c>
      <c r="W31" s="6">
        <f t="shared" ca="1" si="13"/>
        <v>3.2632632038948444</v>
      </c>
      <c r="X31" s="6">
        <f t="shared" ca="1" si="13"/>
        <v>38.259288193890065</v>
      </c>
    </row>
    <row r="32" spans="1:38" x14ac:dyDescent="0.35">
      <c r="A32" s="41">
        <f t="shared" si="12"/>
        <v>2</v>
      </c>
      <c r="B32" s="41" t="str">
        <f t="shared" si="12"/>
        <v>AMR - Neptune 
FirstNet</v>
      </c>
      <c r="D32" s="6">
        <f t="shared" ref="D32:X32" ca="1" si="14">D15/$C$23/12</f>
        <v>3.7595792449680719E-2</v>
      </c>
      <c r="E32" s="6">
        <f t="shared" ca="1" si="14"/>
        <v>0.54889256427922006</v>
      </c>
      <c r="F32" s="6">
        <f t="shared" ca="1" si="14"/>
        <v>1.0499959462218109</v>
      </c>
      <c r="G32" s="6">
        <f t="shared" ca="1" si="14"/>
        <v>1.0657978777240487</v>
      </c>
      <c r="H32" s="6">
        <f t="shared" ca="1" si="14"/>
        <v>0.93137366798824595</v>
      </c>
      <c r="I32" s="6">
        <f t="shared" ca="1" si="14"/>
        <v>0.74522302543217789</v>
      </c>
      <c r="J32" s="6">
        <f t="shared" ca="1" si="14"/>
        <v>0.61326586040843545</v>
      </c>
      <c r="K32" s="6">
        <f t="shared" ca="1" si="14"/>
        <v>0.60692123536487641</v>
      </c>
      <c r="L32" s="6">
        <f t="shared" ca="1" si="14"/>
        <v>0.90756775123738487</v>
      </c>
      <c r="M32" s="6">
        <f t="shared" ca="1" si="14"/>
        <v>1.1784815438108567</v>
      </c>
      <c r="N32" s="6">
        <f t="shared" ca="1" si="14"/>
        <v>1.2753444482084353</v>
      </c>
      <c r="O32" s="6">
        <f t="shared" ca="1" si="14"/>
        <v>1.4231976374338291</v>
      </c>
      <c r="P32" s="6">
        <f t="shared" ca="1" si="14"/>
        <v>1.5562753835728191</v>
      </c>
      <c r="Q32" s="6">
        <f t="shared" ca="1" si="14"/>
        <v>1.6060777206726469</v>
      </c>
      <c r="R32" s="6">
        <f t="shared" ca="1" si="14"/>
        <v>1.4620071718851317</v>
      </c>
      <c r="S32" s="6">
        <f t="shared" ca="1" si="14"/>
        <v>1.2499832845111252</v>
      </c>
      <c r="T32" s="6">
        <f t="shared" ca="1" si="14"/>
        <v>1.1071154647894501</v>
      </c>
      <c r="U32" s="6">
        <f t="shared" ca="1" si="14"/>
        <v>1.1250770660303966</v>
      </c>
      <c r="V32" s="6">
        <f t="shared" ca="1" si="14"/>
        <v>1.5372432563727021</v>
      </c>
      <c r="W32" s="6">
        <f t="shared" ca="1" si="14"/>
        <v>1.9284426288045999</v>
      </c>
      <c r="X32" s="6">
        <f t="shared" ca="1" si="14"/>
        <v>21.955879327197874</v>
      </c>
    </row>
    <row r="33" spans="1:32" x14ac:dyDescent="0.35">
      <c r="A33" s="41">
        <f t="shared" si="12"/>
        <v>3</v>
      </c>
      <c r="B33" s="41" t="str">
        <f t="shared" si="12"/>
        <v>AMR - Neptune 
ATT</v>
      </c>
      <c r="D33" s="6">
        <f t="shared" ref="D33:X33" ca="1" si="15">D16/$C$23/12</f>
        <v>3.7634798857117603E-2</v>
      </c>
      <c r="E33" s="6">
        <f t="shared" ca="1" si="15"/>
        <v>0.54913373562896017</v>
      </c>
      <c r="F33" s="6">
        <f t="shared" ca="1" si="15"/>
        <v>1.0504941390840208</v>
      </c>
      <c r="G33" s="6">
        <f t="shared" ca="1" si="15"/>
        <v>1.0663806454742049</v>
      </c>
      <c r="H33" s="6">
        <f t="shared" ca="1" si="15"/>
        <v>0.93195233066393335</v>
      </c>
      <c r="I33" s="6">
        <f t="shared" ca="1" si="15"/>
        <v>0.74581920670574731</v>
      </c>
      <c r="J33" s="6">
        <f t="shared" ca="1" si="15"/>
        <v>0.61390677042083219</v>
      </c>
      <c r="K33" s="6">
        <f t="shared" ca="1" si="15"/>
        <v>0.60768679572344231</v>
      </c>
      <c r="L33" s="6">
        <f t="shared" ca="1" si="15"/>
        <v>0.90846707908261803</v>
      </c>
      <c r="M33" s="6">
        <f t="shared" ca="1" si="15"/>
        <v>1.1793957795395362</v>
      </c>
      <c r="N33" s="6">
        <f t="shared" ca="1" si="15"/>
        <v>1.2762359453015681</v>
      </c>
      <c r="O33" s="6">
        <f t="shared" ca="1" si="15"/>
        <v>1.424194642929139</v>
      </c>
      <c r="P33" s="6">
        <f t="shared" ca="1" si="15"/>
        <v>1.5574249842073522</v>
      </c>
      <c r="Q33" s="6">
        <f t="shared" ca="1" si="15"/>
        <v>1.6072508006747581</v>
      </c>
      <c r="R33" s="6">
        <f t="shared" ca="1" si="15"/>
        <v>1.4631367103965693</v>
      </c>
      <c r="S33" s="6">
        <f t="shared" ca="1" si="15"/>
        <v>1.2510866723259373</v>
      </c>
      <c r="T33" s="6">
        <f t="shared" ca="1" si="15"/>
        <v>1.1082149285444101</v>
      </c>
      <c r="U33" s="6">
        <f t="shared" ca="1" si="15"/>
        <v>1.1262366131774526</v>
      </c>
      <c r="V33" s="6">
        <f t="shared" ca="1" si="15"/>
        <v>1.5384733261867005</v>
      </c>
      <c r="W33" s="6">
        <f t="shared" ca="1" si="15"/>
        <v>1.9296540444384487</v>
      </c>
      <c r="X33" s="6">
        <f t="shared" ca="1" si="15"/>
        <v>21.972779949362746</v>
      </c>
    </row>
    <row r="34" spans="1:32" x14ac:dyDescent="0.35">
      <c r="A34" s="41">
        <f t="shared" si="12"/>
        <v>4</v>
      </c>
      <c r="B34" s="41" t="str">
        <f t="shared" si="12"/>
        <v>AMR - Neptune 
FirstNet
w/ HE Fee</v>
      </c>
      <c r="D34" s="6">
        <f t="shared" ref="D34:X34" ca="1" si="16">D17/$C$23/12</f>
        <v>4.2388246380023975E-2</v>
      </c>
      <c r="E34" s="6">
        <f t="shared" ca="1" si="16"/>
        <v>0.55911191575234598</v>
      </c>
      <c r="F34" s="6">
        <f t="shared" ca="1" si="16"/>
        <v>1.0651478594674577</v>
      </c>
      <c r="G34" s="6">
        <f t="shared" ca="1" si="16"/>
        <v>1.0850301097780679</v>
      </c>
      <c r="H34" s="6">
        <f t="shared" ca="1" si="16"/>
        <v>0.95164279964374288</v>
      </c>
      <c r="I34" s="6">
        <f t="shared" ca="1" si="16"/>
        <v>0.76827664054099021</v>
      </c>
      <c r="J34" s="6">
        <f t="shared" ca="1" si="16"/>
        <v>0.63905272845736183</v>
      </c>
      <c r="K34" s="6">
        <f t="shared" ca="1" si="16"/>
        <v>0.639306724032911</v>
      </c>
      <c r="L34" s="6">
        <f t="shared" ca="1" si="16"/>
        <v>0.95189866072535267</v>
      </c>
      <c r="M34" s="6">
        <f t="shared" ca="1" si="16"/>
        <v>1.229806789926146</v>
      </c>
      <c r="N34" s="6">
        <f t="shared" ca="1" si="16"/>
        <v>1.3281347979218467</v>
      </c>
      <c r="O34" s="6">
        <f t="shared" ca="1" si="16"/>
        <v>1.4774949128254435</v>
      </c>
      <c r="P34" s="6">
        <f t="shared" ca="1" si="16"/>
        <v>1.6121226005539153</v>
      </c>
      <c r="Q34" s="6">
        <f t="shared" ca="1" si="16"/>
        <v>1.6635191230641804</v>
      </c>
      <c r="R34" s="6">
        <f t="shared" ca="1" si="16"/>
        <v>1.5210882664690022</v>
      </c>
      <c r="S34" s="6">
        <f t="shared" ca="1" si="16"/>
        <v>1.3107508770819976</v>
      </c>
      <c r="T34" s="6">
        <f t="shared" ca="1" si="16"/>
        <v>1.1696176972356931</v>
      </c>
      <c r="U34" s="6">
        <f t="shared" ca="1" si="16"/>
        <v>1.1893634544735139</v>
      </c>
      <c r="V34" s="6">
        <f t="shared" ca="1" si="16"/>
        <v>1.6033647303954719</v>
      </c>
      <c r="W34" s="6">
        <f t="shared" ca="1" si="16"/>
        <v>1.9964515717989997</v>
      </c>
      <c r="X34" s="6">
        <f t="shared" ca="1" si="16"/>
        <v>22.803570506524469</v>
      </c>
    </row>
    <row r="35" spans="1:32" x14ac:dyDescent="0.35">
      <c r="A35" s="41">
        <f t="shared" si="12"/>
        <v>5</v>
      </c>
      <c r="B35" s="41" t="str">
        <f t="shared" si="12"/>
        <v>AMR - Average 
Cost*</v>
      </c>
      <c r="D35" s="6" t="e">
        <f t="shared" ref="D35:X35" ca="1" si="17">D18/$C$23/12</f>
        <v>#DIV/0!</v>
      </c>
      <c r="E35" s="6" t="e">
        <f t="shared" ca="1" si="17"/>
        <v>#DIV/0!</v>
      </c>
      <c r="F35" s="6" t="e">
        <f t="shared" ca="1" si="17"/>
        <v>#DIV/0!</v>
      </c>
      <c r="G35" s="6" t="e">
        <f t="shared" ca="1" si="17"/>
        <v>#DIV/0!</v>
      </c>
      <c r="H35" s="6" t="e">
        <f t="shared" ca="1" si="17"/>
        <v>#DIV/0!</v>
      </c>
      <c r="I35" s="6" t="e">
        <f t="shared" ca="1" si="17"/>
        <v>#DIV/0!</v>
      </c>
      <c r="J35" s="6" t="e">
        <f t="shared" ca="1" si="17"/>
        <v>#DIV/0!</v>
      </c>
      <c r="K35" s="6" t="e">
        <f t="shared" ca="1" si="17"/>
        <v>#DIV/0!</v>
      </c>
      <c r="L35" s="6" t="e">
        <f t="shared" ca="1" si="17"/>
        <v>#DIV/0!</v>
      </c>
      <c r="M35" s="6" t="e">
        <f t="shared" ca="1" si="17"/>
        <v>#DIV/0!</v>
      </c>
      <c r="N35" s="6" t="e">
        <f t="shared" ca="1" si="17"/>
        <v>#DIV/0!</v>
      </c>
      <c r="O35" s="6" t="e">
        <f t="shared" ca="1" si="17"/>
        <v>#DIV/0!</v>
      </c>
      <c r="P35" s="6" t="e">
        <f t="shared" ca="1" si="17"/>
        <v>#DIV/0!</v>
      </c>
      <c r="Q35" s="6" t="e">
        <f t="shared" ca="1" si="17"/>
        <v>#DIV/0!</v>
      </c>
      <c r="R35" s="6" t="e">
        <f t="shared" ca="1" si="17"/>
        <v>#DIV/0!</v>
      </c>
      <c r="S35" s="6" t="e">
        <f t="shared" ca="1" si="17"/>
        <v>#DIV/0!</v>
      </c>
      <c r="T35" s="6" t="e">
        <f t="shared" ca="1" si="17"/>
        <v>#DIV/0!</v>
      </c>
      <c r="U35" s="6" t="e">
        <f t="shared" ca="1" si="17"/>
        <v>#DIV/0!</v>
      </c>
      <c r="V35" s="6" t="e">
        <f t="shared" ca="1" si="17"/>
        <v>#DIV/0!</v>
      </c>
      <c r="W35" s="6" t="e">
        <f t="shared" ca="1" si="17"/>
        <v>#DIV/0!</v>
      </c>
      <c r="X35" s="6" t="e">
        <f t="shared" ca="1" si="17"/>
        <v>#DIV/0!</v>
      </c>
    </row>
    <row r="36" spans="1:32" x14ac:dyDescent="0.35">
      <c r="A36" s="41">
        <f t="shared" si="12"/>
        <v>5</v>
      </c>
      <c r="B36" s="41" t="str">
        <f t="shared" si="12"/>
        <v>AMR - Average 
Cost*</v>
      </c>
      <c r="D36" s="6" t="e">
        <f t="shared" ref="D36:X36" ca="1" si="18">D19/$C$23/12</f>
        <v>#DIV/0!</v>
      </c>
      <c r="E36" s="6" t="e">
        <f t="shared" ca="1" si="18"/>
        <v>#DIV/0!</v>
      </c>
      <c r="F36" s="6" t="e">
        <f t="shared" ca="1" si="18"/>
        <v>#DIV/0!</v>
      </c>
      <c r="G36" s="6" t="e">
        <f t="shared" ca="1" si="18"/>
        <v>#DIV/0!</v>
      </c>
      <c r="H36" s="6" t="e">
        <f t="shared" ca="1" si="18"/>
        <v>#DIV/0!</v>
      </c>
      <c r="I36" s="6" t="e">
        <f t="shared" ca="1" si="18"/>
        <v>#DIV/0!</v>
      </c>
      <c r="J36" s="6" t="e">
        <f t="shared" ca="1" si="18"/>
        <v>#DIV/0!</v>
      </c>
      <c r="K36" s="6" t="e">
        <f t="shared" ca="1" si="18"/>
        <v>#DIV/0!</v>
      </c>
      <c r="L36" s="6" t="e">
        <f t="shared" ca="1" si="18"/>
        <v>#DIV/0!</v>
      </c>
      <c r="M36" s="6" t="e">
        <f t="shared" ca="1" si="18"/>
        <v>#DIV/0!</v>
      </c>
      <c r="N36" s="6" t="e">
        <f t="shared" ca="1" si="18"/>
        <v>#DIV/0!</v>
      </c>
      <c r="O36" s="6" t="e">
        <f t="shared" ca="1" si="18"/>
        <v>#DIV/0!</v>
      </c>
      <c r="P36" s="6" t="e">
        <f t="shared" ca="1" si="18"/>
        <v>#DIV/0!</v>
      </c>
      <c r="Q36" s="6" t="e">
        <f t="shared" ca="1" si="18"/>
        <v>#DIV/0!</v>
      </c>
      <c r="R36" s="6" t="e">
        <f t="shared" ca="1" si="18"/>
        <v>#DIV/0!</v>
      </c>
      <c r="S36" s="6" t="e">
        <f t="shared" ca="1" si="18"/>
        <v>#DIV/0!</v>
      </c>
      <c r="T36" s="6" t="e">
        <f t="shared" ca="1" si="18"/>
        <v>#DIV/0!</v>
      </c>
      <c r="U36" s="6" t="e">
        <f t="shared" ca="1" si="18"/>
        <v>#DIV/0!</v>
      </c>
      <c r="V36" s="6" t="e">
        <f t="shared" ca="1" si="18"/>
        <v>#DIV/0!</v>
      </c>
      <c r="W36" s="6" t="e">
        <f t="shared" ca="1" si="18"/>
        <v>#DIV/0!</v>
      </c>
      <c r="X36" s="6" t="e">
        <f t="shared" ca="1" si="18"/>
        <v>#DIV/0!</v>
      </c>
    </row>
    <row r="37" spans="1:32" x14ac:dyDescent="0.35">
      <c r="A37" s="41"/>
      <c r="B37" s="41"/>
      <c r="D37" s="6">
        <f t="shared" ref="D37:X37" si="19">D20/$C$23/12</f>
        <v>0</v>
      </c>
      <c r="E37" s="6">
        <f t="shared" si="19"/>
        <v>0</v>
      </c>
      <c r="F37" s="6">
        <f t="shared" si="19"/>
        <v>0</v>
      </c>
      <c r="G37" s="6">
        <f t="shared" si="19"/>
        <v>0</v>
      </c>
      <c r="H37" s="6">
        <f t="shared" si="19"/>
        <v>0</v>
      </c>
      <c r="I37" s="6">
        <f t="shared" si="19"/>
        <v>0</v>
      </c>
      <c r="J37" s="6">
        <f t="shared" si="19"/>
        <v>0</v>
      </c>
      <c r="K37" s="6">
        <f t="shared" si="19"/>
        <v>0</v>
      </c>
      <c r="L37" s="6">
        <f t="shared" si="19"/>
        <v>0</v>
      </c>
      <c r="M37" s="6">
        <f t="shared" si="19"/>
        <v>0</v>
      </c>
      <c r="N37" s="6">
        <f t="shared" si="19"/>
        <v>0</v>
      </c>
      <c r="O37" s="6">
        <f t="shared" si="19"/>
        <v>0</v>
      </c>
      <c r="P37" s="6">
        <f t="shared" si="19"/>
        <v>0</v>
      </c>
      <c r="Q37" s="6">
        <f t="shared" si="19"/>
        <v>0</v>
      </c>
      <c r="R37" s="6">
        <f t="shared" si="19"/>
        <v>0</v>
      </c>
      <c r="S37" s="6">
        <f t="shared" si="19"/>
        <v>0</v>
      </c>
      <c r="T37" s="6">
        <f t="shared" si="19"/>
        <v>0</v>
      </c>
      <c r="U37" s="6">
        <f t="shared" si="19"/>
        <v>0</v>
      </c>
      <c r="V37" s="6">
        <f t="shared" si="19"/>
        <v>0</v>
      </c>
      <c r="W37" s="6">
        <f t="shared" si="19"/>
        <v>0</v>
      </c>
      <c r="X37" s="6">
        <f t="shared" si="19"/>
        <v>0</v>
      </c>
    </row>
    <row r="39" spans="1:32" x14ac:dyDescent="0.35"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32" x14ac:dyDescent="0.35">
      <c r="A40" t="s">
        <v>190</v>
      </c>
      <c r="D40" s="120">
        <v>2026</v>
      </c>
      <c r="E40" s="120">
        <v>2027</v>
      </c>
      <c r="F40" s="120">
        <v>2028</v>
      </c>
      <c r="G40" s="120">
        <v>2029</v>
      </c>
      <c r="H40" s="120">
        <v>2030</v>
      </c>
      <c r="I40" s="120">
        <v>2031</v>
      </c>
      <c r="J40" s="120">
        <v>2032</v>
      </c>
      <c r="K40" s="120">
        <v>2033</v>
      </c>
      <c r="L40" s="120">
        <v>2034</v>
      </c>
      <c r="M40" s="120">
        <v>2035</v>
      </c>
      <c r="N40" s="120">
        <v>2036</v>
      </c>
      <c r="O40" s="120">
        <v>2037</v>
      </c>
      <c r="P40" s="120">
        <v>2038</v>
      </c>
      <c r="Q40" s="120">
        <v>2039</v>
      </c>
      <c r="R40" s="120">
        <v>2040</v>
      </c>
      <c r="S40" s="120">
        <v>2041</v>
      </c>
      <c r="T40" s="120">
        <v>2042</v>
      </c>
      <c r="U40" s="120">
        <v>2043</v>
      </c>
      <c r="V40" s="120">
        <v>2044</v>
      </c>
      <c r="W40" s="120">
        <v>2045</v>
      </c>
      <c r="X40" s="121" t="s">
        <v>186</v>
      </c>
      <c r="Y40" s="9"/>
    </row>
    <row r="41" spans="1:32" x14ac:dyDescent="0.35">
      <c r="B41" t="s">
        <v>191</v>
      </c>
      <c r="D41" s="9">
        <f t="shared" ref="D41:X41" ca="1" si="20">D5-D14</f>
        <v>2246.1574968833011</v>
      </c>
      <c r="E41" s="9">
        <f t="shared" ca="1" si="20"/>
        <v>-1142.1865625516511</v>
      </c>
      <c r="F41" s="9">
        <f t="shared" ca="1" si="20"/>
        <v>-9549.0232115853578</v>
      </c>
      <c r="G41" s="9">
        <f t="shared" ca="1" si="20"/>
        <v>-20545.673042202834</v>
      </c>
      <c r="H41" s="9">
        <f t="shared" ca="1" si="20"/>
        <v>-40784.886487605516</v>
      </c>
      <c r="I41" s="9">
        <f t="shared" ca="1" si="20"/>
        <v>-64063.980527345091</v>
      </c>
      <c r="J41" s="9">
        <f t="shared" ca="1" si="20"/>
        <v>-88609.332509314641</v>
      </c>
      <c r="K41" s="9">
        <f t="shared" ca="1" si="20"/>
        <v>-112264.57566801738</v>
      </c>
      <c r="L41" s="9">
        <f t="shared" ca="1" si="20"/>
        <v>-133162.65550618479</v>
      </c>
      <c r="M41" s="9">
        <f t="shared" ca="1" si="20"/>
        <v>-138132.67352673644</v>
      </c>
      <c r="N41" s="9">
        <f t="shared" ca="1" si="20"/>
        <v>-677458.83345384896</v>
      </c>
      <c r="O41" s="9">
        <f t="shared" ca="1" si="20"/>
        <v>-1272417.5996882529</v>
      </c>
      <c r="P41" s="9">
        <f t="shared" ca="1" si="20"/>
        <v>-1347002.4870386785</v>
      </c>
      <c r="Q41" s="9">
        <f t="shared" ca="1" si="20"/>
        <v>-1427790.938637746</v>
      </c>
      <c r="R41" s="9">
        <f t="shared" ca="1" si="20"/>
        <v>-1520573.5578739038</v>
      </c>
      <c r="S41" s="9">
        <f t="shared" ca="1" si="20"/>
        <v>-1618851.2780338954</v>
      </c>
      <c r="T41" s="9">
        <f t="shared" ca="1" si="20"/>
        <v>-1715688.2560891607</v>
      </c>
      <c r="U41" s="9">
        <f t="shared" ca="1" si="20"/>
        <v>-1805905.6827847161</v>
      </c>
      <c r="V41" s="9">
        <f t="shared" ca="1" si="20"/>
        <v>-1878398.2532663108</v>
      </c>
      <c r="W41" s="9">
        <f t="shared" ca="1" si="20"/>
        <v>-1953821.8570858114</v>
      </c>
      <c r="X41" s="9">
        <f t="shared" ca="1" si="20"/>
        <v>-15823917.573496982</v>
      </c>
      <c r="Y41" s="9"/>
      <c r="AA41" s="7"/>
    </row>
    <row r="42" spans="1:32" x14ac:dyDescent="0.35">
      <c r="B42" t="s">
        <v>192</v>
      </c>
      <c r="D42" s="9">
        <f t="shared" ref="D42:X42" ca="1" si="21">D5-D15</f>
        <v>111878.89769501556</v>
      </c>
      <c r="E42" s="9">
        <f t="shared" ca="1" si="21"/>
        <v>333953.28269654978</v>
      </c>
      <c r="F42" s="9">
        <f t="shared" ca="1" si="21"/>
        <v>536929.6194250565</v>
      </c>
      <c r="G42" s="9">
        <f t="shared" ca="1" si="21"/>
        <v>689626.07718147547</v>
      </c>
      <c r="H42" s="9">
        <f t="shared" ca="1" si="21"/>
        <v>729511.60790905403</v>
      </c>
      <c r="I42" s="9">
        <f t="shared" ca="1" si="21"/>
        <v>729004.20379204419</v>
      </c>
      <c r="J42" s="9">
        <f t="shared" ca="1" si="21"/>
        <v>760706.94476971088</v>
      </c>
      <c r="K42" s="9">
        <f t="shared" ca="1" si="21"/>
        <v>872404.70222336717</v>
      </c>
      <c r="L42" s="9">
        <f t="shared" ca="1" si="21"/>
        <v>1183318.9260246824</v>
      </c>
      <c r="M42" s="9">
        <f t="shared" ca="1" si="21"/>
        <v>1489795.3772795366</v>
      </c>
      <c r="N42" s="9">
        <f t="shared" ca="1" si="21"/>
        <v>1077906.9080106528</v>
      </c>
      <c r="O42" s="9">
        <f t="shared" ca="1" si="21"/>
        <v>565891.67448282614</v>
      </c>
      <c r="P42" s="9">
        <f t="shared" ca="1" si="21"/>
        <v>568045.4843659699</v>
      </c>
      <c r="Q42" s="9">
        <f t="shared" ca="1" si="21"/>
        <v>531464.95830928627</v>
      </c>
      <c r="R42" s="9">
        <f t="shared" ca="1" si="21"/>
        <v>405938.90422438597</v>
      </c>
      <c r="S42" s="9">
        <f t="shared" ca="1" si="21"/>
        <v>247710.44325337955</v>
      </c>
      <c r="T42" s="9">
        <f t="shared" ca="1" si="21"/>
        <v>118350.21687978227</v>
      </c>
      <c r="U42" s="9">
        <f t="shared" ca="1" si="21"/>
        <v>59429.934979079524</v>
      </c>
      <c r="V42" s="9">
        <f t="shared" ca="1" si="21"/>
        <v>175452.92022862704</v>
      </c>
      <c r="W42" s="9">
        <f t="shared" ca="1" si="21"/>
        <v>280667.78561525745</v>
      </c>
      <c r="X42" s="9">
        <f t="shared" ca="1" si="21"/>
        <v>11467988.869345747</v>
      </c>
      <c r="Y42" s="9"/>
      <c r="AA42" s="7"/>
    </row>
    <row r="43" spans="1:32" x14ac:dyDescent="0.35">
      <c r="B43" t="s">
        <v>193</v>
      </c>
      <c r="D43" s="9">
        <f t="shared" ref="D43:X43" ca="1" si="22">D5-D6</f>
        <v>-57534.664796439145</v>
      </c>
      <c r="E43" s="9">
        <f t="shared" ca="1" si="22"/>
        <v>-176141.86562013067</v>
      </c>
      <c r="F43" s="9">
        <f t="shared" ca="1" si="22"/>
        <v>-287537.43011676706</v>
      </c>
      <c r="G43" s="9">
        <f t="shared" ca="1" si="22"/>
        <v>-373552.9853569353</v>
      </c>
      <c r="H43" s="9">
        <f t="shared" ca="1" si="22"/>
        <v>-405066.55408265442</v>
      </c>
      <c r="I43" s="9">
        <f t="shared" ca="1" si="22"/>
        <v>-417057.45238063205</v>
      </c>
      <c r="J43" s="9">
        <f t="shared" ca="1" si="22"/>
        <v>-446665.99745582091</v>
      </c>
      <c r="K43" s="9">
        <f t="shared" ca="1" si="22"/>
        <v>-517891.32448635297</v>
      </c>
      <c r="L43" s="9">
        <f t="shared" ca="1" si="22"/>
        <v>-692049.90072648646</v>
      </c>
      <c r="M43" s="9">
        <f t="shared" ca="1" si="22"/>
        <v>-855254.8871301855</v>
      </c>
      <c r="N43" s="9">
        <f t="shared" ca="1" si="22"/>
        <v>-921957.24856339581</v>
      </c>
      <c r="O43" s="9">
        <f t="shared" ca="1" si="22"/>
        <v>-965655.49134116806</v>
      </c>
      <c r="P43" s="9">
        <f t="shared" ca="1" si="22"/>
        <v>-1006241.8412802005</v>
      </c>
      <c r="Q43" s="9">
        <f t="shared" ca="1" si="22"/>
        <v>-1029490.7741214992</v>
      </c>
      <c r="R43" s="9">
        <f t="shared" ca="1" si="22"/>
        <v>-1012242.0081246765</v>
      </c>
      <c r="S43" s="9">
        <f t="shared" ca="1" si="22"/>
        <v>-980777.52435661294</v>
      </c>
      <c r="T43" s="9">
        <f t="shared" ca="1" si="22"/>
        <v>-963747.13545775879</v>
      </c>
      <c r="U43" s="9">
        <f t="shared" ca="1" si="22"/>
        <v>-980292.56376560964</v>
      </c>
      <c r="V43" s="9">
        <f t="shared" ca="1" si="22"/>
        <v>-1079219.5889244638</v>
      </c>
      <c r="W43" s="9">
        <f t="shared" ca="1" si="22"/>
        <v>-1173807.0509092757</v>
      </c>
      <c r="X43" s="9">
        <f t="shared" ca="1" si="22"/>
        <v>-14342184.288997062</v>
      </c>
      <c r="Y43" s="9"/>
      <c r="AA43" s="7"/>
    </row>
    <row r="46" spans="1:32" x14ac:dyDescent="0.35">
      <c r="A46" s="19" t="s">
        <v>194</v>
      </c>
    </row>
    <row r="47" spans="1:32" x14ac:dyDescent="0.35">
      <c r="A47" s="19" t="s">
        <v>184</v>
      </c>
      <c r="D47">
        <v>1</v>
      </c>
      <c r="E47">
        <v>2</v>
      </c>
      <c r="F47">
        <v>3</v>
      </c>
      <c r="G47">
        <v>4</v>
      </c>
      <c r="H47">
        <v>5</v>
      </c>
      <c r="I47">
        <v>6</v>
      </c>
      <c r="J47">
        <v>7</v>
      </c>
      <c r="K47">
        <v>8</v>
      </c>
      <c r="L47">
        <v>9</v>
      </c>
      <c r="M47">
        <v>10</v>
      </c>
      <c r="N47">
        <v>11</v>
      </c>
      <c r="O47">
        <v>12</v>
      </c>
      <c r="P47">
        <v>13</v>
      </c>
      <c r="Q47">
        <v>14</v>
      </c>
      <c r="R47">
        <v>15</v>
      </c>
      <c r="S47">
        <v>16</v>
      </c>
      <c r="T47">
        <v>17</v>
      </c>
      <c r="U47">
        <v>18</v>
      </c>
      <c r="V47">
        <v>19</v>
      </c>
      <c r="W47">
        <v>20</v>
      </c>
    </row>
    <row r="48" spans="1:32" x14ac:dyDescent="0.35">
      <c r="A48" s="25" t="s">
        <v>185</v>
      </c>
      <c r="D48" s="120">
        <f>YearOne</f>
        <v>2026</v>
      </c>
      <c r="E48" s="120">
        <f t="shared" ref="E48:W48" si="23">YearOne+E47-1</f>
        <v>2027</v>
      </c>
      <c r="F48" s="120">
        <f t="shared" si="23"/>
        <v>2028</v>
      </c>
      <c r="G48" s="120">
        <f t="shared" si="23"/>
        <v>2029</v>
      </c>
      <c r="H48" s="120">
        <f t="shared" si="23"/>
        <v>2030</v>
      </c>
      <c r="I48" s="120">
        <f t="shared" si="23"/>
        <v>2031</v>
      </c>
      <c r="J48" s="120">
        <f t="shared" si="23"/>
        <v>2032</v>
      </c>
      <c r="K48" s="120">
        <f t="shared" si="23"/>
        <v>2033</v>
      </c>
      <c r="L48" s="120">
        <f t="shared" si="23"/>
        <v>2034</v>
      </c>
      <c r="M48" s="120">
        <f t="shared" si="23"/>
        <v>2035</v>
      </c>
      <c r="N48" s="120">
        <f t="shared" si="23"/>
        <v>2036</v>
      </c>
      <c r="O48" s="120">
        <f t="shared" si="23"/>
        <v>2037</v>
      </c>
      <c r="P48" s="120">
        <f t="shared" si="23"/>
        <v>2038</v>
      </c>
      <c r="Q48" s="120">
        <f t="shared" si="23"/>
        <v>2039</v>
      </c>
      <c r="R48" s="120">
        <f t="shared" si="23"/>
        <v>2040</v>
      </c>
      <c r="S48" s="120">
        <f t="shared" si="23"/>
        <v>2041</v>
      </c>
      <c r="T48" s="120">
        <f t="shared" si="23"/>
        <v>2042</v>
      </c>
      <c r="U48" s="120">
        <f t="shared" si="23"/>
        <v>2043</v>
      </c>
      <c r="V48" s="120">
        <f t="shared" si="23"/>
        <v>2044</v>
      </c>
      <c r="W48" s="120">
        <f t="shared" si="23"/>
        <v>2045</v>
      </c>
      <c r="X48" s="121" t="s">
        <v>186</v>
      </c>
      <c r="Y48" s="153" t="s">
        <v>1085</v>
      </c>
      <c r="Z48" s="109" t="s">
        <v>1086</v>
      </c>
      <c r="AA48" s="153" t="s">
        <v>195</v>
      </c>
      <c r="AB48" s="153" t="s">
        <v>196</v>
      </c>
      <c r="AC48" s="237" t="s">
        <v>197</v>
      </c>
      <c r="AD48" t="s">
        <v>198</v>
      </c>
      <c r="AF48" s="1"/>
    </row>
    <row r="49" spans="1:46" x14ac:dyDescent="0.35">
      <c r="A49" s="57">
        <v>1</v>
      </c>
      <c r="B49" s="465" t="str" cm="1">
        <f t="array" ref="B49">A$47&amp;" - "&amp;INDEX('0-Inputs'!$C$5:$Q$5,$A49)</f>
        <v>AMI - Badger
Veriz or ATT</v>
      </c>
      <c r="D49" s="319">
        <f ca="1">IF(Selected=$A49,'Comp3-CustDetail'!D$19,D49)</f>
        <v>174814.2542557811</v>
      </c>
      <c r="E49" s="319">
        <f ca="1">IF(Selected=$A49,'Comp3-CustDetail'!E$19,E49)</f>
        <v>1161397.455548312</v>
      </c>
      <c r="F49" s="319">
        <f ca="1">IF(Selected=$A49,'Comp3-CustDetail'!F$19,F49)</f>
        <v>1972013.8164382516</v>
      </c>
      <c r="G49" s="319">
        <f ca="1">IF(Selected=$A49,'Comp3-CustDetail'!G$19,G49)</f>
        <v>1970868.2125754321</v>
      </c>
      <c r="H49" s="319">
        <f ca="1">IF(Selected=$A49,'Comp3-CustDetail'!H$19,H49)</f>
        <v>1690336.1738539711</v>
      </c>
      <c r="I49" s="319">
        <f ca="1">IF(Selected=$A49,'Comp3-CustDetail'!I$19,I49)</f>
        <v>1353303.1216707616</v>
      </c>
      <c r="J49" s="319">
        <f ca="1">IF(Selected=$A49,'Comp3-CustDetail'!J$19,J49)</f>
        <v>1134479.8422121357</v>
      </c>
      <c r="K49" s="319">
        <f ca="1">IF(Selected=$A49,'Comp3-CustDetail'!K$19,K49)</f>
        <v>1111186.9603361927</v>
      </c>
      <c r="L49" s="319">
        <f ca="1">IF(Selected=$A49,'Comp3-CustDetail'!L$19,L49)</f>
        <v>1474260.7675647382</v>
      </c>
      <c r="M49" s="319">
        <f ca="1">IF(Selected=$A49,'Comp3-CustDetail'!M$19,M49)</f>
        <v>1751027.1906488375</v>
      </c>
      <c r="N49" s="319">
        <f ca="1">IF(Selected=$A49,'Comp3-CustDetail'!N$19,N49)</f>
        <v>1506195.8065034654</v>
      </c>
      <c r="O49" s="319">
        <f ca="1">IF(Selected=$A49,'Comp3-CustDetail'!O$19,O49)</f>
        <v>1281350.1326132535</v>
      </c>
      <c r="P49" s="319">
        <f ca="1">IF(Selected=$A49,'Comp3-CustDetail'!P$19,P49)</f>
        <v>1278486.6843603409</v>
      </c>
      <c r="Q49" s="319">
        <f ca="1">IF(Selected=$A49,'Comp3-CustDetail'!Q$19,Q49)</f>
        <v>1202686.1693135314</v>
      </c>
      <c r="R49" s="319">
        <f ca="1">IF(Selected=$A49,'Comp3-CustDetail'!R$19,R49)</f>
        <v>987970.22563972441</v>
      </c>
      <c r="S49" s="319">
        <f ca="1">IF(Selected=$A49,'Comp3-CustDetail'!S$19,S49)</f>
        <v>751172.25602191663</v>
      </c>
      <c r="T49" s="319">
        <f ca="1">IF(Selected=$A49,'Comp3-CustDetail'!T$19,T49)</f>
        <v>586707.3076690936</v>
      </c>
      <c r="U49" s="319">
        <f ca="1">IF(Selected=$A49,'Comp3-CustDetail'!U$19,U49)</f>
        <v>535942.94155867537</v>
      </c>
      <c r="V49" s="319">
        <f ca="1">IF(Selected=$A49,'Comp3-CustDetail'!V$19,V49)</f>
        <v>702960.02645019116</v>
      </c>
      <c r="W49" s="319">
        <f ca="1">IF(Selected=$A49,'Comp3-CustDetail'!W$19,W49)</f>
        <v>831870.47890178266</v>
      </c>
      <c r="X49" s="319">
        <f ca="1">IF(Selected=$A49,'Comp3-CustDetail'!Z$19,X49)</f>
        <v>23459029.82413638</v>
      </c>
      <c r="Y49" s="319">
        <f ca="1">SUM(D49:M49)</f>
        <v>13793687.795104412</v>
      </c>
      <c r="Z49" s="319">
        <f ca="1">SUM(N49:W49)</f>
        <v>9665342.0290319752</v>
      </c>
      <c r="AA49">
        <f ca="1">SUM(D5:H5)/SUM(D49:H49)</f>
        <v>1.2174079489833647</v>
      </c>
      <c r="AB49">
        <f ca="1">SUM(I5:M5)/SUM(I49:M49)</f>
        <v>1.7316715488315499</v>
      </c>
      <c r="AC49">
        <f ca="1">SUM(N5:R5)/SUM(N49:R49)</f>
        <v>2.4626102460285639</v>
      </c>
      <c r="AD49">
        <f ca="1">SUM(S5:W5)/SUM(S49:W49)</f>
        <v>3.6707555003958685</v>
      </c>
      <c r="AF49" s="333"/>
      <c r="AL49" s="14"/>
    </row>
    <row r="50" spans="1:46" x14ac:dyDescent="0.35">
      <c r="A50" s="57">
        <f>A49+1</f>
        <v>2</v>
      </c>
      <c r="B50" s="466" t="str" cm="1">
        <f t="array" ref="B50">A$47&amp;" - "
&amp;INDEX('0-Inputs'!$C$5:$Q$5,$A50)</f>
        <v>AMI - Neptune 
FirstNet</v>
      </c>
      <c r="D50" s="319">
        <f ca="1">IF(Selected=$A50,'Comp3-CustDetail'!D$19,D50)</f>
        <v>232348.91905222024</v>
      </c>
      <c r="E50" s="319">
        <f ca="1">IF(Selected=$A50,'Comp3-CustDetail'!E$19,E50)</f>
        <v>1324688.3293965836</v>
      </c>
      <c r="F50" s="319">
        <f ca="1">IF(Selected=$A50,'Comp3-CustDetail'!F$19,F50)</f>
        <v>2219125.357681456</v>
      </c>
      <c r="G50" s="319">
        <f ca="1">IF(Selected=$A50,'Comp3-CustDetail'!G$19,G50)</f>
        <v>2268480.0323175974</v>
      </c>
      <c r="H50" s="319">
        <f ca="1">IF(Selected=$A50,'Comp3-CustDetail'!H$19,H50)</f>
        <v>1989510.0515361826</v>
      </c>
      <c r="I50" s="319">
        <f ca="1">IF(Selected=$A50,'Comp3-CustDetail'!I$19,I50)</f>
        <v>1638859.9123288617</v>
      </c>
      <c r="J50" s="319">
        <f ca="1">IF(Selected=$A50,'Comp3-CustDetail'!J$19,J50)</f>
        <v>1417996.6566646048</v>
      </c>
      <c r="K50" s="319">
        <f ca="1">IF(Selected=$A50,'Comp3-CustDetail'!K$19,K50)</f>
        <v>1415930.0629476891</v>
      </c>
      <c r="L50" s="319">
        <f ca="1">IF(Selected=$A50,'Comp3-CustDetail'!L$19,L50)</f>
        <v>1851773.8277848735</v>
      </c>
      <c r="M50" s="319">
        <f ca="1">IF(Selected=$A50,'Comp3-CustDetail'!M$19,M50)</f>
        <v>2183530.5209752955</v>
      </c>
      <c r="N50" s="319">
        <f ca="1">IF(Selected=$A50,'Comp3-CustDetail'!N$19,N50)</f>
        <v>1938414.9474505214</v>
      </c>
      <c r="O50" s="319">
        <f ca="1">IF(Selected=$A50,'Comp3-CustDetail'!O$19,O50)</f>
        <v>1701026.7264499497</v>
      </c>
      <c r="P50" s="319">
        <f ca="1">IF(Selected=$A50,'Comp3-CustDetail'!P$19,P50)</f>
        <v>1683896.4699614241</v>
      </c>
      <c r="Q50" s="319">
        <f ca="1">IF(Selected=$A50,'Comp3-CustDetail'!Q$19,Q50)</f>
        <v>1587201.4784004139</v>
      </c>
      <c r="R50" s="319">
        <f ca="1">IF(Selected=$A50,'Comp3-CustDetail'!R$19,R50)</f>
        <v>1338459.5985207502</v>
      </c>
      <c r="S50" s="319">
        <f ca="1">IF(Selected=$A50,'Comp3-CustDetail'!S$19,S50)</f>
        <v>1065990.8130101815</v>
      </c>
      <c r="T50" s="319">
        <f ca="1">IF(Selected=$A50,'Comp3-CustDetail'!T$19,T50)</f>
        <v>873489.53966088663</v>
      </c>
      <c r="U50" s="319">
        <f ca="1">IF(Selected=$A50,'Comp3-CustDetail'!U$19,U50)</f>
        <v>806366.27987334167</v>
      </c>
      <c r="V50" s="319">
        <f ca="1">IF(Selected=$A50,'Comp3-CustDetail'!V$19,V50)</f>
        <v>978952.73108378798</v>
      </c>
      <c r="W50" s="319">
        <f ca="1">IF(Selected=$A50,'Comp3-CustDetail'!W$19,W50)</f>
        <v>1110151.6472276517</v>
      </c>
      <c r="X50" s="319">
        <f ca="1">IF(Selected=$A50,'Comp3-CustDetail'!Z$19,X50)</f>
        <v>29626193.90232427</v>
      </c>
      <c r="Y50" s="319">
        <f t="shared" ref="Y50:Y54" ca="1" si="24">SUM(D50:M50)</f>
        <v>16542243.670685364</v>
      </c>
      <c r="Z50" s="319">
        <f t="shared" ref="Z50:Z54" ca="1" si="25">SUM(N50:W50)</f>
        <v>13083950.231638908</v>
      </c>
      <c r="AA50">
        <f ca="1">SUM(D6:H6)/SUM(D50:H50)</f>
        <v>1.2178599602345108</v>
      </c>
      <c r="AB50">
        <f ca="1">SUM(I6:M6)/SUM(I50:M50)</f>
        <v>1.733208167675474</v>
      </c>
      <c r="AC50">
        <f ca="1">SUM(N6:R6)/SUM(N50:R50)</f>
        <v>2.4661626582746461</v>
      </c>
      <c r="AD50">
        <f ca="1">SUM(S6:W6)/SUM(S50:W50)</f>
        <v>3.658811766924047</v>
      </c>
      <c r="AF50" s="333"/>
      <c r="AL50" s="14"/>
    </row>
    <row r="51" spans="1:46" x14ac:dyDescent="0.35">
      <c r="A51" s="57">
        <f t="shared" ref="A51" si="26">A50+1</f>
        <v>3</v>
      </c>
      <c r="B51" t="str" cm="1">
        <f t="array" ref="B51">A$47&amp;" - "&amp;INDEX('0-Inputs'!$C$5:$Q$5,$A51)</f>
        <v>AMI - Neptune 
ATT</v>
      </c>
      <c r="D51" s="9">
        <f ca="1">IF(Selected=$A51,'Comp3-CustDetail'!D$19,D51)</f>
        <v>294910.43779985979</v>
      </c>
      <c r="E51" s="9">
        <f ca="1">IF(Selected=$A51,'Comp3-CustDetail'!E$19,E51)</f>
        <v>1502246.0696166898</v>
      </c>
      <c r="F51" s="9">
        <f ca="1">IF(Selected=$A51,'Comp3-CustDetail'!F$19,F51)</f>
        <v>2487827.2502698964</v>
      </c>
      <c r="G51" s="9">
        <f ca="1">IF(Selected=$A51,'Comp3-CustDetail'!G$19,G51)</f>
        <v>2592094.4568770141</v>
      </c>
      <c r="H51" s="9">
        <f ca="1">IF(Selected=$A51,'Comp3-CustDetail'!H$19,H51)</f>
        <v>2314823.0124031734</v>
      </c>
      <c r="I51" s="9">
        <f ca="1">IF(Selected=$A51,'Comp3-CustDetail'!I$19,I51)</f>
        <v>1949366.0493764835</v>
      </c>
      <c r="J51" s="9">
        <f ca="1">IF(Selected=$A51,'Comp3-CustDetail'!J$19,J51)</f>
        <v>1726284.5830024774</v>
      </c>
      <c r="K51" s="9">
        <f ca="1">IF(Selected=$A51,'Comp3-CustDetail'!K$19,K51)</f>
        <v>1747298.8367937938</v>
      </c>
      <c r="L51" s="9">
        <f ca="1">IF(Selected=$A51,'Comp3-CustDetail'!L$19,L51)</f>
        <v>2262270.5340401675</v>
      </c>
      <c r="M51" s="9">
        <f ca="1">IF(Selected=$A51,'Comp3-CustDetail'!M$19,M51)</f>
        <v>2653822.0453001186</v>
      </c>
      <c r="N51" s="9">
        <f ca="1">IF(Selected=$A51,'Comp3-CustDetail'!N$19,N51)</f>
        <v>2408397.4525214708</v>
      </c>
      <c r="O51" s="9">
        <f ca="1">IF(Selected=$A51,'Comp3-CustDetail'!O$19,O51)</f>
        <v>2157370.8311067461</v>
      </c>
      <c r="P51" s="9">
        <f ca="1">IF(Selected=$A51,'Comp3-CustDetail'!P$19,P51)</f>
        <v>2124727.262877218</v>
      </c>
      <c r="Q51" s="9">
        <f ca="1">IF(Selected=$A51,'Comp3-CustDetail'!Q$19,Q51)</f>
        <v>2005312.2261262296</v>
      </c>
      <c r="R51" s="9">
        <f ca="1">IF(Selected=$A51,'Comp3-CustDetail'!R$19,R51)</f>
        <v>1719571.5342541744</v>
      </c>
      <c r="S51" s="9">
        <f ca="1">IF(Selected=$A51,'Comp3-CustDetail'!S$19,S51)</f>
        <v>1408315.3424883655</v>
      </c>
      <c r="T51" s="9">
        <f ca="1">IF(Selected=$A51,'Comp3-CustDetail'!T$19,T51)</f>
        <v>1185328.1859226227</v>
      </c>
      <c r="U51" s="9">
        <f ca="1">IF(Selected=$A51,'Comp3-CustDetail'!U$19,U51)</f>
        <v>1100416.7416189606</v>
      </c>
      <c r="V51" s="9">
        <f ca="1">IF(Selected=$A51,'Comp3-CustDetail'!V$19,V51)</f>
        <v>1279059.1595515059</v>
      </c>
      <c r="W51" s="9">
        <f ca="1">IF(Selected=$A51,'Comp3-CustDetail'!W$19,W51)</f>
        <v>1412746.4844606582</v>
      </c>
      <c r="X51" s="319">
        <f ca="1">IF(Selected=$A51,'Comp3-CustDetail'!Z$19,X51)</f>
        <v>36332188.496407628</v>
      </c>
      <c r="Y51" s="319">
        <f t="shared" ca="1" si="24"/>
        <v>19530943.275479674</v>
      </c>
      <c r="Z51" s="319">
        <f t="shared" ca="1" si="25"/>
        <v>16801245.220927954</v>
      </c>
      <c r="AA51">
        <f ca="1">SUM(D7:H7)/SUM(D51:H51)</f>
        <v>1.2182326254409652</v>
      </c>
      <c r="AB51">
        <f ca="1">SUM(I7:M7)/SUM(I51:M51)</f>
        <v>1.7343110241043551</v>
      </c>
      <c r="AC51">
        <f ca="1">SUM(N7:R7)/SUM(N51:R51)</f>
        <v>2.4684830992893212</v>
      </c>
      <c r="AD51">
        <f ca="1">SUM(S7:W7)/SUM(S51:W51)</f>
        <v>3.6518794118701714</v>
      </c>
      <c r="AF51" s="333"/>
      <c r="AL51" s="14"/>
    </row>
    <row r="52" spans="1:46" x14ac:dyDescent="0.35">
      <c r="A52" s="57">
        <v>4</v>
      </c>
      <c r="B52" t="str" cm="1">
        <f t="array" ref="B52">A$47&amp;" - "&amp;INDEX('0-Inputs'!$C$5:$Q$5,$A52)</f>
        <v>AMI - Neptune 
FirstNet
w/ HE Fee</v>
      </c>
      <c r="D52" s="9">
        <f ca="1">IF(Selected=$A52,'Comp3-CustDetail'!D$19,D52)</f>
        <v>232348.91905222024</v>
      </c>
      <c r="E52" s="9">
        <f ca="1">IF(Selected=$A52,'Comp3-CustDetail'!E$19,E52)</f>
        <v>1324688.3293965836</v>
      </c>
      <c r="F52" s="9">
        <f ca="1">IF(Selected=$A52,'Comp3-CustDetail'!F$19,F52)</f>
        <v>2219125.357681456</v>
      </c>
      <c r="G52" s="9">
        <f ca="1">IF(Selected=$A52,'Comp3-CustDetail'!G$19,G52)</f>
        <v>2268480.0323175974</v>
      </c>
      <c r="H52" s="9">
        <f ca="1">IF(Selected=$A52,'Comp3-CustDetail'!H$19,H52)</f>
        <v>1989510.0515361826</v>
      </c>
      <c r="I52" s="9">
        <f ca="1">IF(Selected=$A52,'Comp3-CustDetail'!I$19,I52)</f>
        <v>1638859.9123288617</v>
      </c>
      <c r="J52" s="9">
        <f ca="1">IF(Selected=$A52,'Comp3-CustDetail'!J$19,J52)</f>
        <v>1417996.6566646048</v>
      </c>
      <c r="K52" s="9">
        <f ca="1">IF(Selected=$A52,'Comp3-CustDetail'!K$19,K52)</f>
        <v>1415930.0629476891</v>
      </c>
      <c r="L52" s="9">
        <f ca="1">IF(Selected=$A52,'Comp3-CustDetail'!L$19,L52)</f>
        <v>1851773.8277848735</v>
      </c>
      <c r="M52" s="9">
        <f ca="1">IF(Selected=$A52,'Comp3-CustDetail'!M$19,M52)</f>
        <v>2183530.5209752955</v>
      </c>
      <c r="N52" s="9">
        <f ca="1">IF(Selected=$A52,'Comp3-CustDetail'!N$19,N52)</f>
        <v>1938414.9474505214</v>
      </c>
      <c r="O52" s="9">
        <f ca="1">IF(Selected=$A52,'Comp3-CustDetail'!O$19,O52)</f>
        <v>1701026.7264499497</v>
      </c>
      <c r="P52" s="9">
        <f ca="1">IF(Selected=$A52,'Comp3-CustDetail'!P$19,P52)</f>
        <v>1683896.4699614241</v>
      </c>
      <c r="Q52" s="9">
        <f ca="1">IF(Selected=$A52,'Comp3-CustDetail'!Q$19,Q52)</f>
        <v>1587201.4784004139</v>
      </c>
      <c r="R52" s="9">
        <f ca="1">IF(Selected=$A52,'Comp3-CustDetail'!R$19,R52)</f>
        <v>1338459.5985207502</v>
      </c>
      <c r="S52" s="9">
        <f ca="1">IF(Selected=$A52,'Comp3-CustDetail'!S$19,S52)</f>
        <v>1065990.8130101815</v>
      </c>
      <c r="T52" s="9">
        <f ca="1">IF(Selected=$A52,'Comp3-CustDetail'!T$19,T52)</f>
        <v>873489.53966088663</v>
      </c>
      <c r="U52" s="9">
        <f ca="1">IF(Selected=$A52,'Comp3-CustDetail'!U$19,U52)</f>
        <v>806366.27987334167</v>
      </c>
      <c r="V52" s="9">
        <f ca="1">IF(Selected=$A52,'Comp3-CustDetail'!V$19,V52)</f>
        <v>978952.73108378798</v>
      </c>
      <c r="W52" s="9">
        <f ca="1">IF(Selected=$A52,'Comp3-CustDetail'!W$19,W52)</f>
        <v>1110151.6472276517</v>
      </c>
      <c r="X52" s="319">
        <f ca="1">IF(Selected=$A52,'Comp3-CustDetail'!Z$19,X52)</f>
        <v>29626193.90232427</v>
      </c>
      <c r="Y52" s="319">
        <f t="shared" ca="1" si="24"/>
        <v>16542243.670685364</v>
      </c>
      <c r="Z52" s="319">
        <f t="shared" ca="1" si="25"/>
        <v>13083950.231638908</v>
      </c>
      <c r="AF52" s="333"/>
      <c r="AL52" s="14"/>
    </row>
    <row r="53" spans="1:46" x14ac:dyDescent="0.35">
      <c r="A53" s="57">
        <v>5</v>
      </c>
      <c r="B53" t="str" cm="1">
        <f t="array" ref="B53">A$47&amp;" - "&amp;INDEX('0-Inputs'!$C$5:$Q$5,$A53)</f>
        <v>AMI - Average 
Cost*</v>
      </c>
      <c r="D53" s="9" t="e">
        <f ca="1">IF(Selected=$A53,'Comp3-CustDetail'!D$19,D53)</f>
        <v>#DIV/0!</v>
      </c>
      <c r="E53" s="9" t="e">
        <f ca="1">IF(Selected=$A53,'Comp3-CustDetail'!E$19,E53)</f>
        <v>#DIV/0!</v>
      </c>
      <c r="F53" s="9" t="e">
        <f ca="1">IF(Selected=$A53,'Comp3-CustDetail'!F$19,F53)</f>
        <v>#DIV/0!</v>
      </c>
      <c r="G53" s="9" t="e">
        <f ca="1">IF(Selected=$A53,'Comp3-CustDetail'!G$19,G53)</f>
        <v>#DIV/0!</v>
      </c>
      <c r="H53" s="9" t="e">
        <f ca="1">IF(Selected=$A53,'Comp3-CustDetail'!H$19,H53)</f>
        <v>#DIV/0!</v>
      </c>
      <c r="I53" s="9" t="e">
        <f ca="1">IF(Selected=$A53,'Comp3-CustDetail'!I$19,I53)</f>
        <v>#DIV/0!</v>
      </c>
      <c r="J53" s="9" t="e">
        <f ca="1">IF(Selected=$A53,'Comp3-CustDetail'!J$19,J53)</f>
        <v>#DIV/0!</v>
      </c>
      <c r="K53" s="9" t="e">
        <f ca="1">IF(Selected=$A53,'Comp3-CustDetail'!K$19,K53)</f>
        <v>#DIV/0!</v>
      </c>
      <c r="L53" s="9" t="e">
        <f ca="1">IF(Selected=$A53,'Comp3-CustDetail'!L$19,L53)</f>
        <v>#DIV/0!</v>
      </c>
      <c r="M53" s="9" t="e">
        <f ca="1">IF(Selected=$A53,'Comp3-CustDetail'!M$19,M53)</f>
        <v>#DIV/0!</v>
      </c>
      <c r="N53" s="9" t="e">
        <f ca="1">IF(Selected=$A53,'Comp3-CustDetail'!N$19,N53)</f>
        <v>#DIV/0!</v>
      </c>
      <c r="O53" s="9" t="e">
        <f ca="1">IF(Selected=$A53,'Comp3-CustDetail'!O$19,O53)</f>
        <v>#DIV/0!</v>
      </c>
      <c r="P53" s="9" t="e">
        <f ca="1">IF(Selected=$A53,'Comp3-CustDetail'!P$19,P53)</f>
        <v>#DIV/0!</v>
      </c>
      <c r="Q53" s="9" t="e">
        <f ca="1">IF(Selected=$A53,'Comp3-CustDetail'!Q$19,Q53)</f>
        <v>#DIV/0!</v>
      </c>
      <c r="R53" s="9" t="e">
        <f ca="1">IF(Selected=$A53,'Comp3-CustDetail'!R$19,R53)</f>
        <v>#DIV/0!</v>
      </c>
      <c r="S53" s="9" t="e">
        <f ca="1">IF(Selected=$A53,'Comp3-CustDetail'!S$19,S53)</f>
        <v>#DIV/0!</v>
      </c>
      <c r="T53" s="9" t="e">
        <f ca="1">IF(Selected=$A53,'Comp3-CustDetail'!T$19,T53)</f>
        <v>#DIV/0!</v>
      </c>
      <c r="U53" s="9" t="e">
        <f ca="1">IF(Selected=$A53,'Comp3-CustDetail'!U$19,U53)</f>
        <v>#DIV/0!</v>
      </c>
      <c r="V53" s="9" t="e">
        <f ca="1">IF(Selected=$A53,'Comp3-CustDetail'!V$19,V53)</f>
        <v>#DIV/0!</v>
      </c>
      <c r="W53" s="9" t="e">
        <f ca="1">IF(Selected=$A53,'Comp3-CustDetail'!W$19,W53)</f>
        <v>#DIV/0!</v>
      </c>
      <c r="X53" s="319" t="e">
        <f ca="1">IF(Selected=$A53,'Comp3-CustDetail'!Z$19,X53)</f>
        <v>#DIV/0!</v>
      </c>
      <c r="Y53" s="319" t="e">
        <f t="shared" ca="1" si="24"/>
        <v>#DIV/0!</v>
      </c>
      <c r="Z53" s="319" t="e">
        <f t="shared" ca="1" si="25"/>
        <v>#DIV/0!</v>
      </c>
      <c r="AF53" s="333"/>
      <c r="AL53" s="14"/>
    </row>
    <row r="54" spans="1:46" x14ac:dyDescent="0.35">
      <c r="A54" s="57">
        <v>5</v>
      </c>
      <c r="B54" t="str" cm="1">
        <f t="array" ref="B54">A$47&amp;" - "&amp;INDEX('0-Inputs'!$C$5:$Q$5,$A54)</f>
        <v>AMI - Average 
Cost*</v>
      </c>
      <c r="D54" s="9" t="e">
        <f ca="1">IF(Selected=$A54,'Comp3-CustDetail'!D$19,D54)</f>
        <v>#DIV/0!</v>
      </c>
      <c r="E54" s="9" t="e">
        <f ca="1">IF(Selected=$A54,'Comp3-CustDetail'!E$19,E54)</f>
        <v>#DIV/0!</v>
      </c>
      <c r="F54" s="9" t="e">
        <f ca="1">IF(Selected=$A54,'Comp3-CustDetail'!F$19,F54)</f>
        <v>#DIV/0!</v>
      </c>
      <c r="G54" s="9" t="e">
        <f ca="1">IF(Selected=$A54,'Comp3-CustDetail'!G$19,G54)</f>
        <v>#DIV/0!</v>
      </c>
      <c r="H54" s="9" t="e">
        <f ca="1">IF(Selected=$A54,'Comp3-CustDetail'!H$19,H54)</f>
        <v>#DIV/0!</v>
      </c>
      <c r="I54" s="9" t="e">
        <f ca="1">IF(Selected=$A54,'Comp3-CustDetail'!I$19,I54)</f>
        <v>#DIV/0!</v>
      </c>
      <c r="J54" s="9" t="e">
        <f ca="1">IF(Selected=$A54,'Comp3-CustDetail'!J$19,J54)</f>
        <v>#DIV/0!</v>
      </c>
      <c r="K54" s="9" t="e">
        <f ca="1">IF(Selected=$A54,'Comp3-CustDetail'!K$19,K54)</f>
        <v>#DIV/0!</v>
      </c>
      <c r="L54" s="9" t="e">
        <f ca="1">IF(Selected=$A54,'Comp3-CustDetail'!L$19,L54)</f>
        <v>#DIV/0!</v>
      </c>
      <c r="M54" s="9" t="e">
        <f ca="1">IF(Selected=$A54,'Comp3-CustDetail'!M$19,M54)</f>
        <v>#DIV/0!</v>
      </c>
      <c r="N54" s="9" t="e">
        <f ca="1">IF(Selected=$A54,'Comp3-CustDetail'!N$19,N54)</f>
        <v>#DIV/0!</v>
      </c>
      <c r="O54" s="9" t="e">
        <f ca="1">IF(Selected=$A54,'Comp3-CustDetail'!O$19,O54)</f>
        <v>#DIV/0!</v>
      </c>
      <c r="P54" s="9" t="e">
        <f ca="1">IF(Selected=$A54,'Comp3-CustDetail'!P$19,P54)</f>
        <v>#DIV/0!</v>
      </c>
      <c r="Q54" s="9" t="e">
        <f ca="1">IF(Selected=$A54,'Comp3-CustDetail'!Q$19,Q54)</f>
        <v>#DIV/0!</v>
      </c>
      <c r="R54" s="9" t="e">
        <f ca="1">IF(Selected=$A54,'Comp3-CustDetail'!R$19,R54)</f>
        <v>#DIV/0!</v>
      </c>
      <c r="S54" s="9" t="e">
        <f ca="1">IF(Selected=$A54,'Comp3-CustDetail'!S$19,S54)</f>
        <v>#DIV/0!</v>
      </c>
      <c r="T54" s="9" t="e">
        <f ca="1">IF(Selected=$A54,'Comp3-CustDetail'!T$19,T54)</f>
        <v>#DIV/0!</v>
      </c>
      <c r="U54" s="9" t="e">
        <f ca="1">IF(Selected=$A54,'Comp3-CustDetail'!U$19,U54)</f>
        <v>#DIV/0!</v>
      </c>
      <c r="V54" s="9" t="e">
        <f ca="1">IF(Selected=$A54,'Comp3-CustDetail'!V$19,V54)</f>
        <v>#DIV/0!</v>
      </c>
      <c r="W54" s="9" t="e">
        <f ca="1">IF(Selected=$A54,'Comp3-CustDetail'!W$19,W54)</f>
        <v>#DIV/0!</v>
      </c>
      <c r="X54" s="319" t="e">
        <f ca="1">IF(Selected=$A54,'Comp3-CustDetail'!Z$19,X54)</f>
        <v>#DIV/0!</v>
      </c>
      <c r="Y54" s="319" t="e">
        <f t="shared" ca="1" si="24"/>
        <v>#DIV/0!</v>
      </c>
      <c r="Z54" s="319" t="e">
        <f t="shared" ca="1" si="25"/>
        <v>#DIV/0!</v>
      </c>
      <c r="AF54" s="333"/>
      <c r="AL54" s="14"/>
    </row>
    <row r="55" spans="1:46" x14ac:dyDescent="0.35"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AF55" s="333"/>
    </row>
    <row r="56" spans="1:46" ht="13.5" customHeight="1" x14ac:dyDescent="0.35">
      <c r="A56" s="19" t="s">
        <v>199</v>
      </c>
    </row>
    <row r="57" spans="1:46" ht="13.5" customHeight="1" x14ac:dyDescent="0.35">
      <c r="A57" s="19" t="s">
        <v>229</v>
      </c>
      <c r="D57">
        <v>1</v>
      </c>
      <c r="E57">
        <v>2</v>
      </c>
      <c r="F57">
        <v>3</v>
      </c>
      <c r="G57">
        <v>4</v>
      </c>
      <c r="H57">
        <v>5</v>
      </c>
      <c r="I57">
        <v>6</v>
      </c>
      <c r="J57">
        <v>7</v>
      </c>
      <c r="K57">
        <v>8</v>
      </c>
      <c r="L57">
        <v>9</v>
      </c>
      <c r="M57">
        <v>10</v>
      </c>
      <c r="N57">
        <v>11</v>
      </c>
      <c r="O57">
        <v>12</v>
      </c>
      <c r="P57">
        <v>13</v>
      </c>
      <c r="Q57">
        <v>14</v>
      </c>
      <c r="R57">
        <v>15</v>
      </c>
      <c r="S57">
        <v>16</v>
      </c>
      <c r="T57">
        <v>17</v>
      </c>
      <c r="U57">
        <v>18</v>
      </c>
      <c r="V57">
        <v>19</v>
      </c>
      <c r="W57">
        <v>20</v>
      </c>
      <c r="AN57">
        <v>15.2</v>
      </c>
      <c r="AO57">
        <v>18.2</v>
      </c>
      <c r="AQ57">
        <v>16</v>
      </c>
      <c r="AS57">
        <v>10.4</v>
      </c>
      <c r="AT57">
        <v>10.7</v>
      </c>
    </row>
    <row r="58" spans="1:46" ht="13.5" customHeight="1" x14ac:dyDescent="0.35">
      <c r="A58" s="25" t="s">
        <v>185</v>
      </c>
      <c r="D58" s="120">
        <f>YearOne</f>
        <v>2026</v>
      </c>
      <c r="E58" s="120">
        <f t="shared" ref="E58:W58" si="27">YearOne+E57-1</f>
        <v>2027</v>
      </c>
      <c r="F58" s="120">
        <f t="shared" si="27"/>
        <v>2028</v>
      </c>
      <c r="G58" s="120">
        <f t="shared" si="27"/>
        <v>2029</v>
      </c>
      <c r="H58" s="120">
        <f t="shared" si="27"/>
        <v>2030</v>
      </c>
      <c r="I58" s="120">
        <f t="shared" si="27"/>
        <v>2031</v>
      </c>
      <c r="J58" s="120">
        <f t="shared" si="27"/>
        <v>2032</v>
      </c>
      <c r="K58" s="120">
        <f t="shared" si="27"/>
        <v>2033</v>
      </c>
      <c r="L58" s="120">
        <f t="shared" si="27"/>
        <v>2034</v>
      </c>
      <c r="M58" s="120">
        <f t="shared" si="27"/>
        <v>2035</v>
      </c>
      <c r="N58" s="120">
        <f t="shared" si="27"/>
        <v>2036</v>
      </c>
      <c r="O58" s="120">
        <f t="shared" si="27"/>
        <v>2037</v>
      </c>
      <c r="P58" s="120">
        <f t="shared" si="27"/>
        <v>2038</v>
      </c>
      <c r="Q58" s="120">
        <f t="shared" si="27"/>
        <v>2039</v>
      </c>
      <c r="R58" s="120">
        <f t="shared" si="27"/>
        <v>2040</v>
      </c>
      <c r="S58" s="120">
        <f t="shared" si="27"/>
        <v>2041</v>
      </c>
      <c r="T58" s="120">
        <f t="shared" si="27"/>
        <v>2042</v>
      </c>
      <c r="U58" s="120">
        <f t="shared" si="27"/>
        <v>2043</v>
      </c>
      <c r="V58" s="120">
        <f t="shared" si="27"/>
        <v>2044</v>
      </c>
      <c r="W58" s="120">
        <f t="shared" si="27"/>
        <v>2045</v>
      </c>
      <c r="X58" s="121" t="s">
        <v>186</v>
      </c>
      <c r="Y58" s="153" t="s">
        <v>1085</v>
      </c>
      <c r="Z58" s="109" t="s">
        <v>1086</v>
      </c>
      <c r="AF58" s="1"/>
      <c r="AN58">
        <v>9.5</v>
      </c>
      <c r="AO58">
        <v>12.9</v>
      </c>
      <c r="AQ58">
        <v>15</v>
      </c>
      <c r="AS58">
        <v>8.5</v>
      </c>
      <c r="AT58">
        <v>8.8000000000000007</v>
      </c>
    </row>
    <row r="59" spans="1:46" ht="13.5" customHeight="1" x14ac:dyDescent="0.35">
      <c r="A59" s="41">
        <f t="shared" ref="A59:A64" si="28">A49</f>
        <v>1</v>
      </c>
      <c r="B59" s="235" t="str" cm="1">
        <f t="array" ref="B59">A$57&amp;" - "&amp;INDEX('0-Inputs'!$C$5:$Q$5,$A59)</f>
        <v>AMR - Badger
Veriz or ATT</v>
      </c>
      <c r="D59" s="319">
        <f ca="1">IF(Selected=$A59,'Comp3-CustDetail'!D$38,D59)</f>
        <v>172568.09675889779</v>
      </c>
      <c r="E59" s="319">
        <f ca="1">IF(Selected=$A59,'Comp3-CustDetail'!E$38,E59)</f>
        <v>1162456.3102461442</v>
      </c>
      <c r="F59" s="319">
        <f ca="1">IF(Selected=$A59,'Comp3-CustDetail'!F$38,F59)</f>
        <v>1980220.3092145964</v>
      </c>
      <c r="G59" s="319">
        <f ca="1">IF(Selected=$A59,'Comp3-CustDetail'!G$38,G59)</f>
        <v>1987237.0688866056</v>
      </c>
      <c r="H59" s="319">
        <f ca="1">IF(Selected=$A59,'Comp3-CustDetail'!H$38,H59)</f>
        <v>1720459.0574106222</v>
      </c>
      <c r="I59" s="319">
        <f ca="1">IF(Selected=$A59,'Comp3-CustDetail'!I$38,I59)</f>
        <v>1397167.3532574342</v>
      </c>
      <c r="J59" s="319">
        <f ca="1">IF(Selected=$A59,'Comp3-CustDetail'!J$38,J59)</f>
        <v>1190723.7377109984</v>
      </c>
      <c r="K59" s="319">
        <f ca="1">IF(Selected=$A59,'Comp3-CustDetail'!K$38,K59)</f>
        <v>1177246.8719139087</v>
      </c>
      <c r="L59" s="319">
        <f ca="1">IF(Selected=$A59,'Comp3-CustDetail'!L$38,L59)</f>
        <v>1546900.9652360438</v>
      </c>
      <c r="M59" s="319">
        <f ca="1">IF(Selected=$A59,'Comp3-CustDetail'!M$38,M59)</f>
        <v>1820881.0344867585</v>
      </c>
      <c r="N59" s="319">
        <f ca="1">IF(Selected=$A59,'Comp3-CustDetail'!N$38,N59)</f>
        <v>1823792.6099113005</v>
      </c>
      <c r="O59" s="319">
        <f ca="1">IF(Selected=$A59,'Comp3-CustDetail'!O$38,O59)</f>
        <v>1834346.4019487801</v>
      </c>
      <c r="P59" s="319">
        <f ca="1">IF(Selected=$A59,'Comp3-CustDetail'!P$38,P59)</f>
        <v>1821187.223208647</v>
      </c>
      <c r="Q59" s="319">
        <f ca="1">IF(Selected=$A59,'Comp3-CustDetail'!Q$38,Q59)</f>
        <v>1735966.7852085407</v>
      </c>
      <c r="R59" s="319">
        <f ca="1">IF(Selected=$A59,'Comp3-CustDetail'!R$38,R59)</f>
        <v>1514469.6876666478</v>
      </c>
      <c r="S59" s="319">
        <f ca="1">IF(Selected=$A59,'Comp3-CustDetail'!S$38,S59)</f>
        <v>1270805.3131350114</v>
      </c>
      <c r="T59" s="319">
        <f ca="1">IF(Selected=$A59,'Comp3-CustDetail'!T$38,T59)</f>
        <v>1097244.6565034988</v>
      </c>
      <c r="U59" s="319">
        <f ca="1">IF(Selected=$A59,'Comp3-CustDetail'!U$38,U59)</f>
        <v>1034119.7731201944</v>
      </c>
      <c r="V59" s="319">
        <f ca="1">IF(Selected=$A59,'Comp3-CustDetail'!V$38,V59)</f>
        <v>1183329.5634919046</v>
      </c>
      <c r="W59" s="319">
        <f ca="1">IF(Selected=$A59,'Comp3-CustDetail'!W$38,W59)</f>
        <v>1295074.2300372685</v>
      </c>
      <c r="X59" s="319">
        <f ca="1">IF(Selected=$A59,'Comp3-CustDetail'!Z$38,X59)</f>
        <v>28766197.049353804</v>
      </c>
      <c r="Y59" s="319">
        <f ca="1">SUM(D59:M59)</f>
        <v>14155860.80512201</v>
      </c>
      <c r="Z59" s="319">
        <f ca="1">SUM(N59:W59)</f>
        <v>14610336.244231794</v>
      </c>
      <c r="AF59" s="333"/>
      <c r="AL59" s="14"/>
    </row>
    <row r="60" spans="1:46" ht="13.5" customHeight="1" x14ac:dyDescent="0.35">
      <c r="A60" s="41">
        <f t="shared" si="28"/>
        <v>2</v>
      </c>
      <c r="B60" s="467" t="str" cm="1">
        <f t="array" ref="B60">A$57&amp;" - "&amp;INDEX('0-Inputs'!$C$5:$Q$5,$A60)</f>
        <v>AMR - Neptune 
FirstNet</v>
      </c>
      <c r="D60" s="319">
        <f ca="1">IF(Selected=$A60,'Comp3-CustDetail'!D$38,D60)</f>
        <v>62935.356560765526</v>
      </c>
      <c r="E60" s="319">
        <f ca="1">IF(Selected=$A60,'Comp3-CustDetail'!E$38,E60)</f>
        <v>851808.80004024692</v>
      </c>
      <c r="F60" s="319">
        <f ca="1">IF(Selected=$A60,'Comp3-CustDetail'!F$38,F60)</f>
        <v>1510573.0024844939</v>
      </c>
      <c r="G60" s="319">
        <f ca="1">IF(Selected=$A60,'Comp3-CustDetail'!G$38,G60)</f>
        <v>1421439.1360669972</v>
      </c>
      <c r="H60" s="319">
        <f ca="1">IF(Selected=$A60,'Comp3-CustDetail'!H$38,H60)</f>
        <v>1151533.8107543944</v>
      </c>
      <c r="I60" s="319">
        <f ca="1">IF(Selected=$A60,'Comp3-CustDetail'!I$38,I60)</f>
        <v>854158.22059576761</v>
      </c>
      <c r="J60" s="319">
        <f ca="1">IF(Selected=$A60,'Comp3-CustDetail'!J$38,J60)</f>
        <v>651628.64928176091</v>
      </c>
      <c r="K60" s="319">
        <f ca="1">IF(Selected=$A60,'Comp3-CustDetail'!K$38,K60)</f>
        <v>597837.33828548912</v>
      </c>
      <c r="L60" s="319">
        <f ca="1">IF(Selected=$A60,'Comp3-CustDetail'!L$38,L60)</f>
        <v>828760.568068958</v>
      </c>
      <c r="M60" s="319">
        <f ca="1">IF(Selected=$A60,'Comp3-CustDetail'!M$38,M60)</f>
        <v>997636.04156057641</v>
      </c>
      <c r="N60" s="319">
        <f ca="1">IF(Selected=$A60,'Comp3-CustDetail'!N$38,N60)</f>
        <v>1000866.5208698636</v>
      </c>
      <c r="O60" s="319">
        <f ca="1">IF(Selected=$A60,'Comp3-CustDetail'!O$38,O60)</f>
        <v>1035412.018495917</v>
      </c>
      <c r="P60" s="319">
        <f ca="1">IF(Selected=$A60,'Comp3-CustDetail'!P$38,P60)</f>
        <v>1049624.0108151014</v>
      </c>
      <c r="Q60" s="319">
        <f ca="1">IF(Selected=$A60,'Comp3-CustDetail'!Q$38,Q60)</f>
        <v>1004183.7467080186</v>
      </c>
      <c r="R60" s="319">
        <f ca="1">IF(Selected=$A60,'Comp3-CustDetail'!R$38,R60)</f>
        <v>847413.64843028318</v>
      </c>
      <c r="S60" s="319">
        <f ca="1">IF(Selected=$A60,'Comp3-CustDetail'!S$38,S60)</f>
        <v>671659.98911193665</v>
      </c>
      <c r="T60" s="319">
        <f ca="1">IF(Selected=$A60,'Comp3-CustDetail'!T$38,T60)</f>
        <v>551489.83401364589</v>
      </c>
      <c r="U60" s="319">
        <f ca="1">IF(Selected=$A60,'Comp3-CustDetail'!U$38,U60)</f>
        <v>519548.60990004108</v>
      </c>
      <c r="V60" s="319">
        <f ca="1">IF(Selected=$A60,'Comp3-CustDetail'!V$38,V60)</f>
        <v>658090.82051035087</v>
      </c>
      <c r="W60" s="319">
        <f ca="1">IF(Selected=$A60,'Comp3-CustDetail'!W$38,W60)</f>
        <v>765330.95757930842</v>
      </c>
      <c r="X60" s="319">
        <f ca="1">IF(Selected=$A60,'Comp3-CustDetail'!Z$38,X60)</f>
        <v>17031931.080133915</v>
      </c>
      <c r="Y60" s="319">
        <f t="shared" ref="Y60:Y64" ca="1" si="29">SUM(D60:M60)</f>
        <v>8928310.9236994497</v>
      </c>
      <c r="Z60" s="319">
        <f t="shared" ref="Z60:Z64" ca="1" si="30">SUM(N60:W60)</f>
        <v>8103620.1564344671</v>
      </c>
      <c r="AF60" s="333"/>
      <c r="AL60" s="14"/>
      <c r="AN60" s="12">
        <f>AN57/AN58</f>
        <v>1.5999999999999999</v>
      </c>
      <c r="AO60" s="12">
        <f>AO57/AO58</f>
        <v>1.4108527131782944</v>
      </c>
      <c r="AQ60" s="12">
        <f>AQ57/AQ58</f>
        <v>1.0666666666666667</v>
      </c>
      <c r="AS60" s="12">
        <f t="shared" ref="AS60:AT60" si="31">AS57/AS58</f>
        <v>1.223529411764706</v>
      </c>
      <c r="AT60" s="12">
        <f t="shared" si="31"/>
        <v>1.2159090909090908</v>
      </c>
    </row>
    <row r="61" spans="1:46" ht="13.5" customHeight="1" x14ac:dyDescent="0.35">
      <c r="A61" s="41">
        <f t="shared" si="28"/>
        <v>3</v>
      </c>
      <c r="B61" t="str" cm="1">
        <f t="array" ref="B61">A$57&amp;" - "&amp;INDEX('0-Inputs'!$C$5:$Q$5,$A61)</f>
        <v>AMR - Neptune 
ATT</v>
      </c>
      <c r="D61" s="9">
        <f ca="1">IF(Selected=$A61,'Comp3-CustDetail'!D$38,D61)</f>
        <v>63000.653286814864</v>
      </c>
      <c r="E61" s="9">
        <f ca="1">IF(Selected=$A61,'Comp3-CustDetail'!E$38,E61)</f>
        <v>852183.06613783189</v>
      </c>
      <c r="F61" s="9">
        <f ca="1">IF(Selected=$A61,'Comp3-CustDetail'!F$38,F61)</f>
        <v>1511289.7259065155</v>
      </c>
      <c r="G61" s="9">
        <f ca="1">IF(Selected=$A61,'Comp3-CustDetail'!G$38,G61)</f>
        <v>1422216.3649437132</v>
      </c>
      <c r="H61" s="9">
        <f ca="1">IF(Selected=$A61,'Comp3-CustDetail'!H$38,H61)</f>
        <v>1152249.2589777855</v>
      </c>
      <c r="I61" s="9">
        <f ca="1">IF(Selected=$A61,'Comp3-CustDetail'!I$38,I61)</f>
        <v>854841.55044254637</v>
      </c>
      <c r="J61" s="9">
        <f ca="1">IF(Selected=$A61,'Comp3-CustDetail'!J$38,J61)</f>
        <v>652309.65136038815</v>
      </c>
      <c r="K61" s="9">
        <f ca="1">IF(Selected=$A61,'Comp3-CustDetail'!K$38,K61)</f>
        <v>598591.44036726363</v>
      </c>
      <c r="L61" s="9">
        <f ca="1">IF(Selected=$A61,'Comp3-CustDetail'!L$38,L61)</f>
        <v>829581.8042299822</v>
      </c>
      <c r="M61" s="9">
        <f ca="1">IF(Selected=$A61,'Comp3-CustDetail'!M$38,M61)</f>
        <v>998409.98199112725</v>
      </c>
      <c r="N61" s="9">
        <f ca="1">IF(Selected=$A61,'Comp3-CustDetail'!N$38,N61)</f>
        <v>1001566.1511503129</v>
      </c>
      <c r="O61" s="9">
        <f ca="1">IF(Selected=$A61,'Comp3-CustDetail'!O$38,O61)</f>
        <v>1036137.3650291023</v>
      </c>
      <c r="P61" s="9">
        <f ca="1">IF(Selected=$A61,'Comp3-CustDetail'!P$38,P61)</f>
        <v>1050399.3545888262</v>
      </c>
      <c r="Q61" s="9">
        <f ca="1">IF(Selected=$A61,'Comp3-CustDetail'!Q$38,Q61)</f>
        <v>1004917.2030386468</v>
      </c>
      <c r="R61" s="9">
        <f ca="1">IF(Selected=$A61,'Comp3-CustDetail'!R$38,R61)</f>
        <v>848068.35544501373</v>
      </c>
      <c r="S61" s="9">
        <f ca="1">IF(Selected=$A61,'Comp3-CustDetail'!S$38,S61)</f>
        <v>672252.87819842773</v>
      </c>
      <c r="T61" s="9">
        <f ca="1">IF(Selected=$A61,'Comp3-CustDetail'!T$38,T61)</f>
        <v>552037.51228480274</v>
      </c>
      <c r="U61" s="9">
        <f ca="1">IF(Selected=$A61,'Comp3-CustDetail'!U$38,U61)</f>
        <v>520084.07642634062</v>
      </c>
      <c r="V61" s="9">
        <f ca="1">IF(Selected=$A61,'Comp3-CustDetail'!V$38,V61)</f>
        <v>658617.41098314908</v>
      </c>
      <c r="W61" s="9">
        <f ca="1">IF(Selected=$A61,'Comp3-CustDetail'!W$38,W61)</f>
        <v>765811.72577704047</v>
      </c>
      <c r="X61" s="9">
        <f ca="1">IF(Selected=$A61,'Comp3-CustDetail'!Z$38,X61)</f>
        <v>17044565.530565634</v>
      </c>
      <c r="Y61" s="319">
        <f t="shared" ca="1" si="29"/>
        <v>8934673.49764397</v>
      </c>
      <c r="Z61" s="319">
        <f t="shared" ca="1" si="30"/>
        <v>8109892.0329216616</v>
      </c>
      <c r="AA61" s="14"/>
      <c r="AF61" s="98"/>
      <c r="AL61" s="14"/>
    </row>
    <row r="62" spans="1:46" ht="13.5" customHeight="1" x14ac:dyDescent="0.35">
      <c r="A62" s="41">
        <f t="shared" si="28"/>
        <v>4</v>
      </c>
      <c r="B62" s="468" t="str" cm="1">
        <f t="array" ref="B62">A$57&amp;" - "&amp;INDEX('0-Inputs'!$C$5:$Q$5,$A62)</f>
        <v>AMR - Neptune 
FirstNet
w/ HE Fee</v>
      </c>
      <c r="D62" s="9">
        <f ca="1">IF(Selected=$A62,'Comp3-CustDetail'!D$38,D62)</f>
        <v>70957.924440160132</v>
      </c>
      <c r="E62" s="9">
        <f ca="1">IF(Selected=$A62,'Comp3-CustDetail'!E$38,E62)</f>
        <v>867667.8844622483</v>
      </c>
      <c r="F62" s="9">
        <f ca="1">IF(Selected=$A62,'Comp3-CustDetail'!F$38,F62)</f>
        <v>1532371.2495798464</v>
      </c>
      <c r="G62" s="9">
        <f ca="1">IF(Selected=$A62,'Comp3-CustDetail'!G$38,G62)</f>
        <v>1447088.8843793911</v>
      </c>
      <c r="H62" s="9">
        <f ca="1">IF(Selected=$A62,'Comp3-CustDetail'!H$38,H62)</f>
        <v>1176594.2040403159</v>
      </c>
      <c r="I62" s="9">
        <f ca="1">IF(Selected=$A62,'Comp3-CustDetail'!I$38,I62)</f>
        <v>880581.76655131974</v>
      </c>
      <c r="J62" s="9">
        <f ca="1">IF(Selected=$A62,'Comp3-CustDetail'!J$38,J62)</f>
        <v>679028.61246369593</v>
      </c>
      <c r="K62" s="9">
        <f ca="1">IF(Selected=$A62,'Comp3-CustDetail'!K$38,K62)</f>
        <v>629738.10763776384</v>
      </c>
      <c r="L62" s="9">
        <f ca="1">IF(Selected=$A62,'Comp3-CustDetail'!L$38,L62)</f>
        <v>869242.07446908136</v>
      </c>
      <c r="M62" s="9">
        <f ca="1">IF(Selected=$A62,'Comp3-CustDetail'!M$38,M62)</f>
        <v>1041085.1016120402</v>
      </c>
      <c r="N62" s="9">
        <f ca="1">IF(Selected=$A62,'Comp3-CustDetail'!N$38,N62)</f>
        <v>1042295.4020849643</v>
      </c>
      <c r="O62" s="9">
        <f ca="1">IF(Selected=$A62,'Comp3-CustDetail'!O$38,O62)</f>
        <v>1074914.6497772834</v>
      </c>
      <c r="P62" s="9">
        <f ca="1">IF(Selected=$A62,'Comp3-CustDetail'!P$38,P62)</f>
        <v>1087289.953809063</v>
      </c>
      <c r="Q62" s="9">
        <f ca="1">IF(Selected=$A62,'Comp3-CustDetail'!Q$38,Q62)</f>
        <v>1040098.3988616737</v>
      </c>
      <c r="R62" s="9">
        <f ca="1">IF(Selected=$A62,'Comp3-CustDetail'!R$38,R62)</f>
        <v>881658.43660735909</v>
      </c>
      <c r="S62" s="9">
        <f ca="1">IF(Selected=$A62,'Comp3-CustDetail'!S$38,S62)</f>
        <v>704312.55420641624</v>
      </c>
      <c r="T62" s="9">
        <f ca="1">IF(Selected=$A62,'Comp3-CustDetail'!T$38,T62)</f>
        <v>582624.20697971794</v>
      </c>
      <c r="U62" s="9">
        <f ca="1">IF(Selected=$A62,'Comp3-CustDetail'!U$38,U62)</f>
        <v>549235.37959748099</v>
      </c>
      <c r="V62" s="9">
        <f ca="1">IF(Selected=$A62,'Comp3-CustDetail'!V$38,V62)</f>
        <v>686397.2937458714</v>
      </c>
      <c r="W62" s="9">
        <f ca="1">IF(Selected=$A62,'Comp3-CustDetail'!W$38,W62)</f>
        <v>792321.31170673447</v>
      </c>
      <c r="X62" s="9">
        <f ca="1">IF(Selected=$A62,'Comp3-CustDetail'!Z$38,X62)</f>
        <v>17635503.397012424</v>
      </c>
      <c r="Y62" s="319">
        <f t="shared" ca="1" si="29"/>
        <v>9194355.8096358627</v>
      </c>
      <c r="Z62" s="319">
        <f t="shared" ca="1" si="30"/>
        <v>8441147.5873765647</v>
      </c>
      <c r="AF62" s="98"/>
      <c r="AL62" s="14"/>
    </row>
    <row r="63" spans="1:46" ht="13.5" customHeight="1" x14ac:dyDescent="0.35">
      <c r="A63" s="41">
        <f t="shared" si="28"/>
        <v>5</v>
      </c>
      <c r="B63" t="str" cm="1">
        <f t="array" ref="B63">A$57&amp;" - "&amp;INDEX('0-Inputs'!$C$5:$Q$5,$A63)</f>
        <v>AMR - Average 
Cost*</v>
      </c>
      <c r="D63" s="9" t="e">
        <f ca="1">IF(Selected=$A63,'Comp3-CustDetail'!D$38,D63)</f>
        <v>#DIV/0!</v>
      </c>
      <c r="E63" s="9" t="e">
        <f ca="1">IF(Selected=$A63,'Comp3-CustDetail'!E$38,E63)</f>
        <v>#DIV/0!</v>
      </c>
      <c r="F63" s="9" t="e">
        <f ca="1">IF(Selected=$A63,'Comp3-CustDetail'!F$38,F63)</f>
        <v>#DIV/0!</v>
      </c>
      <c r="G63" s="9" t="e">
        <f ca="1">IF(Selected=$A63,'Comp3-CustDetail'!G$38,G63)</f>
        <v>#DIV/0!</v>
      </c>
      <c r="H63" s="9" t="e">
        <f ca="1">IF(Selected=$A63,'Comp3-CustDetail'!H$38,H63)</f>
        <v>#DIV/0!</v>
      </c>
      <c r="I63" s="9" t="e">
        <f ca="1">IF(Selected=$A63,'Comp3-CustDetail'!I$38,I63)</f>
        <v>#DIV/0!</v>
      </c>
      <c r="J63" s="9" t="e">
        <f ca="1">IF(Selected=$A63,'Comp3-CustDetail'!J$38,J63)</f>
        <v>#DIV/0!</v>
      </c>
      <c r="K63" s="9" t="e">
        <f ca="1">IF(Selected=$A63,'Comp3-CustDetail'!K$38,K63)</f>
        <v>#DIV/0!</v>
      </c>
      <c r="L63" s="9" t="e">
        <f ca="1">IF(Selected=$A63,'Comp3-CustDetail'!L$38,L63)</f>
        <v>#DIV/0!</v>
      </c>
      <c r="M63" s="9" t="e">
        <f ca="1">IF(Selected=$A63,'Comp3-CustDetail'!M$38,M63)</f>
        <v>#DIV/0!</v>
      </c>
      <c r="N63" s="9" t="e">
        <f ca="1">IF(Selected=$A63,'Comp3-CustDetail'!N$38,N63)</f>
        <v>#DIV/0!</v>
      </c>
      <c r="O63" s="9" t="e">
        <f ca="1">IF(Selected=$A63,'Comp3-CustDetail'!O$38,O63)</f>
        <v>#DIV/0!</v>
      </c>
      <c r="P63" s="9" t="e">
        <f ca="1">IF(Selected=$A63,'Comp3-CustDetail'!P$38,P63)</f>
        <v>#DIV/0!</v>
      </c>
      <c r="Q63" s="9" t="e">
        <f ca="1">IF(Selected=$A63,'Comp3-CustDetail'!Q$38,Q63)</f>
        <v>#DIV/0!</v>
      </c>
      <c r="R63" s="9" t="e">
        <f ca="1">IF(Selected=$A63,'Comp3-CustDetail'!R$38,R63)</f>
        <v>#DIV/0!</v>
      </c>
      <c r="S63" s="9" t="e">
        <f ca="1">IF(Selected=$A63,'Comp3-CustDetail'!S$38,S63)</f>
        <v>#DIV/0!</v>
      </c>
      <c r="T63" s="9" t="e">
        <f ca="1">IF(Selected=$A63,'Comp3-CustDetail'!T$38,T63)</f>
        <v>#DIV/0!</v>
      </c>
      <c r="U63" s="9" t="e">
        <f ca="1">IF(Selected=$A63,'Comp3-CustDetail'!U$38,U63)</f>
        <v>#DIV/0!</v>
      </c>
      <c r="V63" s="9" t="e">
        <f ca="1">IF(Selected=$A63,'Comp3-CustDetail'!V$38,V63)</f>
        <v>#DIV/0!</v>
      </c>
      <c r="W63" s="9" t="e">
        <f ca="1">IF(Selected=$A63,'Comp3-CustDetail'!W$38,W63)</f>
        <v>#DIV/0!</v>
      </c>
      <c r="X63" s="9" t="e">
        <f ca="1">IF(Selected=$A63,'Comp3-CustDetail'!Z$38,X63)</f>
        <v>#DIV/0!</v>
      </c>
      <c r="Y63" s="319" t="e">
        <f t="shared" ca="1" si="29"/>
        <v>#DIV/0!</v>
      </c>
      <c r="Z63" s="319" t="e">
        <f t="shared" ca="1" si="30"/>
        <v>#DIV/0!</v>
      </c>
      <c r="AF63" s="98"/>
      <c r="AL63" s="14"/>
    </row>
    <row r="64" spans="1:46" ht="13.5" customHeight="1" x14ac:dyDescent="0.35">
      <c r="A64" s="41">
        <f t="shared" si="28"/>
        <v>5</v>
      </c>
      <c r="B64" t="str" cm="1">
        <f t="array" ref="B64">A$57&amp;" - "&amp;INDEX('0-Inputs'!$C$5:$Q$5,$A64)</f>
        <v>AMR - Average 
Cost*</v>
      </c>
      <c r="D64" s="9" t="e">
        <f ca="1">IF(Selected=$A64,'Comp3-CustDetail'!D$38,D64)</f>
        <v>#DIV/0!</v>
      </c>
      <c r="E64" s="9" t="e">
        <f ca="1">IF(Selected=$A64,'Comp3-CustDetail'!E$38,E64)</f>
        <v>#DIV/0!</v>
      </c>
      <c r="F64" s="9" t="e">
        <f ca="1">IF(Selected=$A64,'Comp3-CustDetail'!F$38,F64)</f>
        <v>#DIV/0!</v>
      </c>
      <c r="G64" s="9" t="e">
        <f ca="1">IF(Selected=$A64,'Comp3-CustDetail'!G$38,G64)</f>
        <v>#DIV/0!</v>
      </c>
      <c r="H64" s="9" t="e">
        <f ca="1">IF(Selected=$A64,'Comp3-CustDetail'!H$38,H64)</f>
        <v>#DIV/0!</v>
      </c>
      <c r="I64" s="9" t="e">
        <f ca="1">IF(Selected=$A64,'Comp3-CustDetail'!I$38,I64)</f>
        <v>#DIV/0!</v>
      </c>
      <c r="J64" s="9" t="e">
        <f ca="1">IF(Selected=$A64,'Comp3-CustDetail'!J$38,J64)</f>
        <v>#DIV/0!</v>
      </c>
      <c r="K64" s="9" t="e">
        <f ca="1">IF(Selected=$A64,'Comp3-CustDetail'!K$38,K64)</f>
        <v>#DIV/0!</v>
      </c>
      <c r="L64" s="9" t="e">
        <f ca="1">IF(Selected=$A64,'Comp3-CustDetail'!L$38,L64)</f>
        <v>#DIV/0!</v>
      </c>
      <c r="M64" s="9" t="e">
        <f ca="1">IF(Selected=$A64,'Comp3-CustDetail'!M$38,M64)</f>
        <v>#DIV/0!</v>
      </c>
      <c r="N64" s="9" t="e">
        <f ca="1">IF(Selected=$A64,'Comp3-CustDetail'!N$38,N64)</f>
        <v>#DIV/0!</v>
      </c>
      <c r="O64" s="9" t="e">
        <f ca="1">IF(Selected=$A64,'Comp3-CustDetail'!O$38,O64)</f>
        <v>#DIV/0!</v>
      </c>
      <c r="P64" s="9" t="e">
        <f ca="1">IF(Selected=$A64,'Comp3-CustDetail'!P$38,P64)</f>
        <v>#DIV/0!</v>
      </c>
      <c r="Q64" s="9" t="e">
        <f ca="1">IF(Selected=$A64,'Comp3-CustDetail'!Q$38,Q64)</f>
        <v>#DIV/0!</v>
      </c>
      <c r="R64" s="9" t="e">
        <f ca="1">IF(Selected=$A64,'Comp3-CustDetail'!R$38,R64)</f>
        <v>#DIV/0!</v>
      </c>
      <c r="S64" s="9" t="e">
        <f ca="1">IF(Selected=$A64,'Comp3-CustDetail'!S$38,S64)</f>
        <v>#DIV/0!</v>
      </c>
      <c r="T64" s="9" t="e">
        <f ca="1">IF(Selected=$A64,'Comp3-CustDetail'!T$38,T64)</f>
        <v>#DIV/0!</v>
      </c>
      <c r="U64" s="9" t="e">
        <f ca="1">IF(Selected=$A64,'Comp3-CustDetail'!U$38,U64)</f>
        <v>#DIV/0!</v>
      </c>
      <c r="V64" s="9" t="e">
        <f ca="1">IF(Selected=$A64,'Comp3-CustDetail'!V$38,V64)</f>
        <v>#DIV/0!</v>
      </c>
      <c r="W64" s="9" t="e">
        <f ca="1">IF(Selected=$A64,'Comp3-CustDetail'!W$38,W64)</f>
        <v>#DIV/0!</v>
      </c>
      <c r="X64" s="9" t="e">
        <f ca="1">IF(Selected=$A64,'Comp3-CustDetail'!Z$38,X64)</f>
        <v>#DIV/0!</v>
      </c>
      <c r="Y64" s="319" t="e">
        <f t="shared" ca="1" si="29"/>
        <v>#DIV/0!</v>
      </c>
      <c r="Z64" s="319" t="e">
        <f t="shared" ca="1" si="30"/>
        <v>#DIV/0!</v>
      </c>
      <c r="AF64" s="98"/>
      <c r="AL64" s="14"/>
    </row>
    <row r="65" spans="1:38" ht="13.5" customHeight="1" x14ac:dyDescent="0.35"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319"/>
      <c r="Z65" s="319"/>
      <c r="AF65" s="98"/>
      <c r="AL65" s="14"/>
    </row>
    <row r="66" spans="1:38" ht="13.5" customHeight="1" x14ac:dyDescent="0.35">
      <c r="A66" s="19" t="s">
        <v>194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319"/>
      <c r="Z66" s="319"/>
      <c r="AF66" s="98"/>
      <c r="AL66" s="14"/>
    </row>
    <row r="67" spans="1:38" ht="13.5" customHeight="1" x14ac:dyDescent="0.35">
      <c r="A67" s="19" t="s">
        <v>184</v>
      </c>
      <c r="C67" t="s">
        <v>1100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319"/>
      <c r="Z67" s="319"/>
      <c r="AF67" s="98"/>
      <c r="AL67" s="14"/>
    </row>
    <row r="68" spans="1:38" ht="13.5" customHeight="1" x14ac:dyDescent="0.35">
      <c r="A68" s="25" t="s">
        <v>185</v>
      </c>
      <c r="C68" s="41">
        <v>139500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319"/>
      <c r="Z68" s="319"/>
      <c r="AF68" s="98"/>
      <c r="AL68" s="14"/>
    </row>
    <row r="69" spans="1:38" ht="13.5" customHeight="1" x14ac:dyDescent="0.35">
      <c r="A69" s="57">
        <v>1</v>
      </c>
      <c r="B69" s="465" t="str" cm="1">
        <f t="array" ref="B69">A$47&amp;" - "&amp;INDEX('0-Inputs'!$C$5:$Q$5,$A69)</f>
        <v>AMI - Badger
Veriz or ATT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6">
        <f ca="1">X49/$C$68/240</f>
        <v>0.70068786810443184</v>
      </c>
      <c r="Y69" s="319"/>
      <c r="Z69" s="319"/>
      <c r="AF69" s="98"/>
      <c r="AL69" s="14"/>
    </row>
    <row r="70" spans="1:38" ht="13.5" customHeight="1" x14ac:dyDescent="0.35">
      <c r="A70" s="57">
        <f>A69+1</f>
        <v>2</v>
      </c>
      <c r="B70" s="466" t="str" cm="1">
        <f t="array" ref="B70">A$47&amp;" - "
&amp;INDEX('0-Inputs'!$C$5:$Q$5,$A70)</f>
        <v>AMI - Neptune 
FirstNet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6">
        <f t="shared" ref="X70:X74" ca="1" si="32">X50/$C$68/240</f>
        <v>0.88489229098937494</v>
      </c>
      <c r="Y70" s="319"/>
      <c r="Z70" s="319"/>
      <c r="AF70" s="98"/>
      <c r="AL70" s="14"/>
    </row>
    <row r="71" spans="1:38" ht="13.5" customHeight="1" x14ac:dyDescent="0.35">
      <c r="A71" s="57">
        <f t="shared" ref="A71" si="33">A70+1</f>
        <v>3</v>
      </c>
      <c r="B71" t="str" cm="1">
        <f t="array" ref="B71">A$47&amp;" - "&amp;INDEX('0-Inputs'!$C$5:$Q$5,$A71)</f>
        <v>AMI - Neptune 
ATT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6">
        <f t="shared" ca="1" si="32"/>
        <v>1.0851908153048873</v>
      </c>
      <c r="Y71" s="319"/>
      <c r="Z71" s="319"/>
      <c r="AF71" s="98"/>
      <c r="AL71" s="14"/>
    </row>
    <row r="72" spans="1:38" ht="13.5" customHeight="1" x14ac:dyDescent="0.35">
      <c r="A72" s="57">
        <v>4</v>
      </c>
      <c r="B72" t="str" cm="1">
        <f t="array" ref="B72">A$47&amp;" - "&amp;INDEX('0-Inputs'!$C$5:$Q$5,$A72)</f>
        <v>AMI - Neptune 
FirstNet
w/ HE Fee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6">
        <f t="shared" ca="1" si="32"/>
        <v>0.88489229098937494</v>
      </c>
      <c r="Y72" s="319"/>
      <c r="Z72" s="319"/>
      <c r="AF72" s="98"/>
      <c r="AL72" s="14"/>
    </row>
    <row r="73" spans="1:38" ht="13.5" customHeight="1" x14ac:dyDescent="0.35">
      <c r="A73" s="57">
        <v>5</v>
      </c>
      <c r="B73" t="str" cm="1">
        <f t="array" ref="B73">A$47&amp;" - "&amp;INDEX('0-Inputs'!$C$5:$Q$5,$A73)</f>
        <v>AMI - Average 
Cost*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6" t="e">
        <f t="shared" ca="1" si="32"/>
        <v>#DIV/0!</v>
      </c>
      <c r="Y73" s="319"/>
      <c r="Z73" s="319"/>
      <c r="AF73" s="98"/>
      <c r="AL73" s="14"/>
    </row>
    <row r="74" spans="1:38" ht="13.5" customHeight="1" x14ac:dyDescent="0.35">
      <c r="A74" s="57">
        <v>5</v>
      </c>
      <c r="B74" t="str" cm="1">
        <f t="array" ref="B74">A$47&amp;" - "&amp;INDEX('0-Inputs'!$C$5:$Q$5,$A74)</f>
        <v>AMI - Average 
Cost*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6" t="e">
        <f t="shared" ca="1" si="32"/>
        <v>#DIV/0!</v>
      </c>
      <c r="Y74" s="319"/>
      <c r="Z74" s="319"/>
      <c r="AF74" s="98"/>
      <c r="AL74" s="14"/>
    </row>
    <row r="75" spans="1:38" ht="13.5" customHeight="1" x14ac:dyDescent="0.35"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319"/>
      <c r="Z75" s="319"/>
      <c r="AF75" s="98"/>
      <c r="AL75" s="14"/>
    </row>
    <row r="76" spans="1:38" ht="13.5" customHeight="1" x14ac:dyDescent="0.35">
      <c r="A76" s="19" t="s">
        <v>199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319"/>
      <c r="Z76" s="319"/>
      <c r="AF76" s="98"/>
      <c r="AL76" s="14"/>
    </row>
    <row r="77" spans="1:38" ht="13.5" customHeight="1" x14ac:dyDescent="0.35">
      <c r="A77" s="19" t="s">
        <v>229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319"/>
      <c r="Z77" s="319"/>
      <c r="AF77" s="98"/>
      <c r="AL77" s="14"/>
    </row>
    <row r="78" spans="1:38" ht="13.5" customHeight="1" x14ac:dyDescent="0.35">
      <c r="A78" s="25" t="s">
        <v>185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319"/>
      <c r="Z78" s="319"/>
      <c r="AF78" s="98"/>
      <c r="AL78" s="14"/>
    </row>
    <row r="79" spans="1:38" ht="13.5" customHeight="1" x14ac:dyDescent="0.35">
      <c r="A79" s="41">
        <f t="shared" ref="A79:A84" si="34">A69</f>
        <v>1</v>
      </c>
      <c r="B79" s="235" t="str" cm="1">
        <f t="array" ref="B79">A$57&amp;" - "&amp;INDEX('0-Inputs'!$C$5:$Q$5,$A79)</f>
        <v>AMR - Badger
Veriz or ATT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6">
        <f ca="1">X59/$C$68/240</f>
        <v>0.85920540768679221</v>
      </c>
      <c r="Y79" s="319"/>
      <c r="Z79" s="319"/>
      <c r="AF79" s="98"/>
      <c r="AL79" s="14"/>
    </row>
    <row r="80" spans="1:38" ht="13.5" customHeight="1" x14ac:dyDescent="0.35">
      <c r="A80" s="41">
        <f t="shared" si="34"/>
        <v>2</v>
      </c>
      <c r="B80" s="467" t="str" cm="1">
        <f t="array" ref="B80">A$57&amp;" - "&amp;INDEX('0-Inputs'!$C$5:$Q$5,$A80)</f>
        <v>AMR - Neptune 
FirstNet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6">
        <f t="shared" ref="X80:X84" ca="1" si="35">X60/$C$68/240</f>
        <v>0.50871956631224358</v>
      </c>
      <c r="Y80" s="319"/>
      <c r="Z80" s="319"/>
      <c r="AF80" s="98"/>
      <c r="AL80" s="14"/>
    </row>
    <row r="81" spans="1:38" ht="13.5" customHeight="1" x14ac:dyDescent="0.35">
      <c r="A81" s="41">
        <f t="shared" si="34"/>
        <v>3</v>
      </c>
      <c r="B81" t="str" cm="1">
        <f t="array" ref="B81">A$57&amp;" - "&amp;INDEX('0-Inputs'!$C$5:$Q$5,$A81)</f>
        <v>AMR - Neptune 
ATT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6">
        <f t="shared" ca="1" si="35"/>
        <v>0.50909693938368084</v>
      </c>
      <c r="Y81" s="319"/>
      <c r="Z81" s="319"/>
      <c r="AF81" s="98"/>
      <c r="AL81" s="14"/>
    </row>
    <row r="82" spans="1:38" ht="13.5" customHeight="1" x14ac:dyDescent="0.35">
      <c r="A82" s="41">
        <f t="shared" si="34"/>
        <v>4</v>
      </c>
      <c r="B82" s="468" t="str" cm="1">
        <f t="array" ref="B82">A$57&amp;" - "&amp;INDEX('0-Inputs'!$C$5:$Q$5,$A82)</f>
        <v>AMR - Neptune 
FirstNet
w/ HE Fee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6">
        <f t="shared" ca="1" si="35"/>
        <v>0.52674741329188846</v>
      </c>
      <c r="Y82" s="319"/>
      <c r="Z82" s="319"/>
      <c r="AF82" s="98"/>
      <c r="AL82" s="14"/>
    </row>
    <row r="83" spans="1:38" ht="13.5" customHeight="1" x14ac:dyDescent="0.35">
      <c r="A83" s="41">
        <f t="shared" si="34"/>
        <v>5</v>
      </c>
      <c r="B83" t="str" cm="1">
        <f t="array" ref="B83">A$57&amp;" - "&amp;INDEX('0-Inputs'!$C$5:$Q$5,$A83)</f>
        <v>AMR - Average 
Cost*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6" t="e">
        <f t="shared" ca="1" si="35"/>
        <v>#DIV/0!</v>
      </c>
      <c r="Y83" s="319"/>
      <c r="Z83" s="319"/>
      <c r="AF83" s="98"/>
      <c r="AL83" s="14"/>
    </row>
    <row r="84" spans="1:38" x14ac:dyDescent="0.35">
      <c r="A84" s="41">
        <f t="shared" si="34"/>
        <v>5</v>
      </c>
      <c r="B84" t="str" cm="1">
        <f t="array" ref="B84">A$57&amp;" - "&amp;INDEX('0-Inputs'!$C$5:$Q$5,$A84)</f>
        <v>AMR - Average 
Cost*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6" t="e">
        <f t="shared" ca="1" si="35"/>
        <v>#DIV/0!</v>
      </c>
      <c r="Y84" s="9"/>
    </row>
    <row r="85" spans="1:38" x14ac:dyDescent="0.35"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38" x14ac:dyDescent="0.35">
      <c r="A86" t="s">
        <v>200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38" x14ac:dyDescent="0.35">
      <c r="A87">
        <f t="shared" ref="A87:B89" si="36">A49</f>
        <v>1</v>
      </c>
      <c r="B87" t="str">
        <f t="shared" si="36"/>
        <v>AMI - Badger
Veriz or ATT</v>
      </c>
      <c r="D87" s="9">
        <f t="shared" ref="D87:X87" ca="1" si="37">D49-D59</f>
        <v>2246.1574968833011</v>
      </c>
      <c r="E87" s="9">
        <f t="shared" ca="1" si="37"/>
        <v>-1058.8546978321392</v>
      </c>
      <c r="F87" s="9">
        <f t="shared" ca="1" si="37"/>
        <v>-8206.4927763447631</v>
      </c>
      <c r="G87" s="9">
        <f t="shared" ca="1" si="37"/>
        <v>-16368.856311173411</v>
      </c>
      <c r="H87" s="9">
        <f ca="1">H49-H59</f>
        <v>-30122.883556651184</v>
      </c>
      <c r="I87" s="9">
        <f t="shared" ca="1" si="37"/>
        <v>-43864.231586672598</v>
      </c>
      <c r="J87" s="9">
        <f t="shared" ca="1" si="37"/>
        <v>-56243.895498862723</v>
      </c>
      <c r="K87" s="9">
        <f t="shared" ca="1" si="37"/>
        <v>-66059.911577716004</v>
      </c>
      <c r="L87" s="9">
        <f t="shared" ca="1" si="37"/>
        <v>-72640.197671305621</v>
      </c>
      <c r="M87" s="9">
        <f t="shared" ca="1" si="37"/>
        <v>-69853.843837921042</v>
      </c>
      <c r="N87" s="9">
        <f t="shared" ca="1" si="37"/>
        <v>-317596.80340783508</v>
      </c>
      <c r="O87" s="9">
        <f t="shared" ca="1" si="37"/>
        <v>-552996.26933552651</v>
      </c>
      <c r="P87" s="9">
        <f t="shared" ca="1" si="37"/>
        <v>-542700.53884830605</v>
      </c>
      <c r="Q87" s="9">
        <f t="shared" ca="1" si="37"/>
        <v>-533280.61589500937</v>
      </c>
      <c r="R87" s="9">
        <f t="shared" ca="1" si="37"/>
        <v>-526499.46202692343</v>
      </c>
      <c r="S87" s="9">
        <f t="shared" ca="1" si="37"/>
        <v>-519633.05711309472</v>
      </c>
      <c r="T87" s="9">
        <f t="shared" ca="1" si="37"/>
        <v>-510537.34883440519</v>
      </c>
      <c r="U87" s="9">
        <f t="shared" ca="1" si="37"/>
        <v>-498176.83156151907</v>
      </c>
      <c r="V87" s="9">
        <f t="shared" ca="1" si="37"/>
        <v>-480369.53704171348</v>
      </c>
      <c r="W87" s="9">
        <f t="shared" ca="1" si="37"/>
        <v>-463203.75113548583</v>
      </c>
      <c r="X87" s="9">
        <f t="shared" ca="1" si="37"/>
        <v>-5307167.2252174243</v>
      </c>
      <c r="Y87" s="9"/>
      <c r="AA87" s="7"/>
    </row>
    <row r="88" spans="1:38" x14ac:dyDescent="0.35">
      <c r="A88">
        <f t="shared" si="36"/>
        <v>2</v>
      </c>
      <c r="B88" t="str">
        <f t="shared" si="36"/>
        <v>AMI - Neptune 
FirstNet</v>
      </c>
      <c r="D88" s="9">
        <f t="shared" ref="D88:X88" ca="1" si="38">D50-D60</f>
        <v>169413.56249145471</v>
      </c>
      <c r="E88" s="9">
        <f t="shared" ca="1" si="38"/>
        <v>472879.52935633669</v>
      </c>
      <c r="F88" s="9">
        <f t="shared" ca="1" si="38"/>
        <v>708552.35519696213</v>
      </c>
      <c r="G88" s="9">
        <f t="shared" ca="1" si="38"/>
        <v>847040.89625060023</v>
      </c>
      <c r="H88" s="9">
        <f t="shared" ca="1" si="38"/>
        <v>837976.24078178825</v>
      </c>
      <c r="I88" s="9">
        <f t="shared" ca="1" si="38"/>
        <v>784701.69173309405</v>
      </c>
      <c r="J88" s="9">
        <f t="shared" ca="1" si="38"/>
        <v>766368.00738284388</v>
      </c>
      <c r="K88" s="9">
        <f t="shared" ca="1" si="38"/>
        <v>818092.72466219997</v>
      </c>
      <c r="L88" s="9">
        <f t="shared" ca="1" si="38"/>
        <v>1023013.2597159155</v>
      </c>
      <c r="M88" s="9">
        <f t="shared" ca="1" si="38"/>
        <v>1185894.4794147192</v>
      </c>
      <c r="N88" s="9">
        <f t="shared" ca="1" si="38"/>
        <v>937548.42658065783</v>
      </c>
      <c r="O88" s="9">
        <f t="shared" ca="1" si="38"/>
        <v>665614.7079540327</v>
      </c>
      <c r="P88" s="9">
        <f t="shared" ca="1" si="38"/>
        <v>634272.45914632268</v>
      </c>
      <c r="Q88" s="9">
        <f t="shared" ca="1" si="38"/>
        <v>583017.73169239529</v>
      </c>
      <c r="R88" s="9">
        <f t="shared" ca="1" si="38"/>
        <v>491045.950090467</v>
      </c>
      <c r="S88" s="9">
        <f t="shared" ca="1" si="38"/>
        <v>394330.82389824488</v>
      </c>
      <c r="T88" s="9">
        <f t="shared" ca="1" si="38"/>
        <v>321999.70564724074</v>
      </c>
      <c r="U88" s="9">
        <f t="shared" ca="1" si="38"/>
        <v>286817.6699733006</v>
      </c>
      <c r="V88" s="9">
        <f t="shared" ca="1" si="38"/>
        <v>320861.91057343711</v>
      </c>
      <c r="W88" s="9">
        <f t="shared" ca="1" si="38"/>
        <v>344820.68964834325</v>
      </c>
      <c r="X88" s="9">
        <f t="shared" ca="1" si="38"/>
        <v>12594262.822190356</v>
      </c>
      <c r="Y88" s="9"/>
    </row>
    <row r="89" spans="1:38" x14ac:dyDescent="0.35">
      <c r="A89">
        <f t="shared" si="36"/>
        <v>3</v>
      </c>
      <c r="B89" t="str">
        <f t="shared" si="36"/>
        <v>AMI - Neptune 
ATT</v>
      </c>
      <c r="D89" s="9">
        <f t="shared" ref="D89:X89" ca="1" si="39">D51-D61</f>
        <v>231909.78451304493</v>
      </c>
      <c r="E89" s="9">
        <f t="shared" ca="1" si="39"/>
        <v>650063.00347885792</v>
      </c>
      <c r="F89" s="9">
        <f t="shared" ca="1" si="39"/>
        <v>976537.52436338086</v>
      </c>
      <c r="G89" s="9">
        <f t="shared" ca="1" si="39"/>
        <v>1169878.091933301</v>
      </c>
      <c r="H89" s="9">
        <f t="shared" ca="1" si="39"/>
        <v>1162573.7534253879</v>
      </c>
      <c r="I89" s="9">
        <f t="shared" ca="1" si="39"/>
        <v>1094524.4989339372</v>
      </c>
      <c r="J89" s="9">
        <f t="shared" ca="1" si="39"/>
        <v>1073974.9316420893</v>
      </c>
      <c r="K89" s="9">
        <f t="shared" ca="1" si="39"/>
        <v>1148707.3964265301</v>
      </c>
      <c r="L89" s="9">
        <f t="shared" ca="1" si="39"/>
        <v>1432688.7298101853</v>
      </c>
      <c r="M89" s="9">
        <f t="shared" ca="1" si="39"/>
        <v>1655412.0633089915</v>
      </c>
      <c r="N89" s="9">
        <f t="shared" ca="1" si="39"/>
        <v>1406831.3013711581</v>
      </c>
      <c r="O89" s="9">
        <f t="shared" ca="1" si="39"/>
        <v>1121233.4660776439</v>
      </c>
      <c r="P89" s="9">
        <f t="shared" ca="1" si="39"/>
        <v>1074327.9082883918</v>
      </c>
      <c r="Q89" s="9">
        <f t="shared" ca="1" si="39"/>
        <v>1000395.0230875828</v>
      </c>
      <c r="R89" s="9">
        <f t="shared" ca="1" si="39"/>
        <v>871503.17880916072</v>
      </c>
      <c r="S89" s="9">
        <f t="shared" ca="1" si="39"/>
        <v>736062.46428993775</v>
      </c>
      <c r="T89" s="9">
        <f t="shared" ca="1" si="39"/>
        <v>633290.67363781994</v>
      </c>
      <c r="U89" s="9">
        <f t="shared" ca="1" si="39"/>
        <v>580332.66519262001</v>
      </c>
      <c r="V89" s="9">
        <f t="shared" ca="1" si="39"/>
        <v>620441.74856835685</v>
      </c>
      <c r="W89" s="9">
        <f t="shared" ca="1" si="39"/>
        <v>646934.75868361769</v>
      </c>
      <c r="X89" s="9">
        <f t="shared" ca="1" si="39"/>
        <v>19287622.965841994</v>
      </c>
      <c r="Y89" s="9"/>
      <c r="AA89" s="23"/>
    </row>
    <row r="90" spans="1:38" x14ac:dyDescent="0.35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38" x14ac:dyDescent="0.35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38" x14ac:dyDescent="0.35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38" x14ac:dyDescent="0.35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AB93" s="7"/>
      <c r="AD93" s="7"/>
      <c r="AE93" s="7"/>
      <c r="AF93" s="7"/>
    </row>
    <row r="94" spans="1:38" ht="18.5" x14ac:dyDescent="0.45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AB94" s="369"/>
      <c r="AC94" s="369"/>
      <c r="AD94" s="369"/>
      <c r="AE94" s="369"/>
      <c r="AF94" s="369"/>
    </row>
    <row r="95" spans="1:38" ht="18.5" x14ac:dyDescent="0.45">
      <c r="D95" s="34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AB95" s="369"/>
      <c r="AC95" s="369"/>
      <c r="AD95" s="369"/>
      <c r="AE95" s="369"/>
      <c r="AF95" s="369"/>
    </row>
    <row r="96" spans="1:38" ht="18.5" x14ac:dyDescent="0.45">
      <c r="D96" s="34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AB96" s="82"/>
      <c r="AC96" s="82"/>
      <c r="AD96" s="82"/>
      <c r="AE96" s="82"/>
      <c r="AF96" s="82"/>
    </row>
    <row r="97" spans="3:32" ht="18.5" x14ac:dyDescent="0.45">
      <c r="C97" s="90"/>
      <c r="D97" s="34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AB97" s="369"/>
      <c r="AC97" s="369"/>
      <c r="AD97" s="369"/>
      <c r="AE97" s="369"/>
      <c r="AF97" s="369"/>
    </row>
    <row r="98" spans="3:32" ht="18.5" x14ac:dyDescent="0.45">
      <c r="C98" s="90"/>
      <c r="D98" s="34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AB98" s="82"/>
      <c r="AC98" s="82"/>
      <c r="AD98" s="82"/>
      <c r="AE98" s="82"/>
      <c r="AF98" s="82"/>
    </row>
    <row r="99" spans="3:32" x14ac:dyDescent="0.35">
      <c r="C99" s="90"/>
      <c r="D99" s="3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3:32" x14ac:dyDescent="0.35">
      <c r="C100" s="90"/>
      <c r="D100" s="34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3:32" x14ac:dyDescent="0.35">
      <c r="C101" s="90"/>
      <c r="D101" s="34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3:32" x14ac:dyDescent="0.35">
      <c r="D102" s="34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3:32" x14ac:dyDescent="0.35">
      <c r="D103" s="34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3:32" x14ac:dyDescent="0.35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3:32" x14ac:dyDescent="0.35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3:32" x14ac:dyDescent="0.35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3:32" x14ac:dyDescent="0.35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3:32" x14ac:dyDescent="0.35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3:32" x14ac:dyDescent="0.35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3:32" x14ac:dyDescent="0.35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3:32" x14ac:dyDescent="0.35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3:32" x14ac:dyDescent="0.35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4:25" x14ac:dyDescent="0.35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4:25" x14ac:dyDescent="0.35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4:25" x14ac:dyDescent="0.35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4:25" x14ac:dyDescent="0.35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4:25" x14ac:dyDescent="0.35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4:25" x14ac:dyDescent="0.35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4:25" x14ac:dyDescent="0.35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4:25" x14ac:dyDescent="0.35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4:25" x14ac:dyDescent="0.35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4:25" x14ac:dyDescent="0.35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4:25" x14ac:dyDescent="0.35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4:25" x14ac:dyDescent="0.35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4:25" x14ac:dyDescent="0.35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4:25" x14ac:dyDescent="0.35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4:25" x14ac:dyDescent="0.35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4:25" x14ac:dyDescent="0.35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x14ac:dyDescent="0.35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x14ac:dyDescent="0.35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x14ac:dyDescent="0.35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x14ac:dyDescent="0.35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x14ac:dyDescent="0.35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6" spans="1:25" x14ac:dyDescent="0.35">
      <c r="A136" s="19"/>
      <c r="B136" s="19"/>
    </row>
    <row r="137" spans="1:25" x14ac:dyDescent="0.35"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</row>
    <row r="138" spans="1:25" x14ac:dyDescent="0.35"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</row>
    <row r="139" spans="1:25" x14ac:dyDescent="0.35"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</row>
    <row r="140" spans="1:25" x14ac:dyDescent="0.35"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</row>
    <row r="141" spans="1:25" x14ac:dyDescent="0.35"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</row>
    <row r="142" spans="1:25" x14ac:dyDescent="0.35"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</row>
    <row r="143" spans="1:25" x14ac:dyDescent="0.35"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</row>
    <row r="144" spans="1:25" x14ac:dyDescent="0.35"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</row>
    <row r="145" spans="1:23" x14ac:dyDescent="0.35"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</row>
    <row r="146" spans="1:23" x14ac:dyDescent="0.35"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</row>
    <row r="147" spans="1:23" x14ac:dyDescent="0.35"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</row>
    <row r="148" spans="1:23" x14ac:dyDescent="0.35"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</row>
    <row r="149" spans="1:23" x14ac:dyDescent="0.35"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</row>
    <row r="150" spans="1:23" x14ac:dyDescent="0.35"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</row>
    <row r="151" spans="1:23" x14ac:dyDescent="0.35"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</row>
    <row r="152" spans="1:23" x14ac:dyDescent="0.35"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</row>
    <row r="153" spans="1:23" x14ac:dyDescent="0.35"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</row>
    <row r="154" spans="1:23" x14ac:dyDescent="0.35"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</row>
    <row r="155" spans="1:23" x14ac:dyDescent="0.35">
      <c r="A155" s="19"/>
      <c r="B155" s="19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</row>
    <row r="156" spans="1:23" x14ac:dyDescent="0.35"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</row>
    <row r="157" spans="1:23" x14ac:dyDescent="0.35"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</row>
    <row r="158" spans="1:23" x14ac:dyDescent="0.35"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</row>
    <row r="159" spans="1:23" x14ac:dyDescent="0.35"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</row>
    <row r="160" spans="1:23" x14ac:dyDescent="0.35"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</row>
    <row r="161" spans="1:23" x14ac:dyDescent="0.35"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</row>
    <row r="162" spans="1:23" x14ac:dyDescent="0.35"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</row>
    <row r="163" spans="1:23" x14ac:dyDescent="0.35"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</row>
    <row r="164" spans="1:23" x14ac:dyDescent="0.35"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</row>
    <row r="165" spans="1:23" x14ac:dyDescent="0.35"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</row>
    <row r="166" spans="1:23" x14ac:dyDescent="0.35"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</row>
    <row r="167" spans="1:23" x14ac:dyDescent="0.35"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</row>
    <row r="168" spans="1:23" x14ac:dyDescent="0.35"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</row>
    <row r="169" spans="1:23" x14ac:dyDescent="0.35"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</row>
    <row r="170" spans="1:23" x14ac:dyDescent="0.35"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</row>
    <row r="171" spans="1:23" x14ac:dyDescent="0.35"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</row>
    <row r="172" spans="1:23" x14ac:dyDescent="0.35"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</row>
    <row r="173" spans="1:23" x14ac:dyDescent="0.35"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</row>
    <row r="174" spans="1:23" x14ac:dyDescent="0.35"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</row>
    <row r="175" spans="1:23" x14ac:dyDescent="0.35">
      <c r="A175" s="19"/>
      <c r="B175" s="19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</row>
    <row r="176" spans="1:23" x14ac:dyDescent="0.35"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</row>
    <row r="177" spans="4:23" x14ac:dyDescent="0.35"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</row>
    <row r="178" spans="4:23" x14ac:dyDescent="0.35"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</row>
    <row r="179" spans="4:23" x14ac:dyDescent="0.35"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</row>
    <row r="180" spans="4:23" x14ac:dyDescent="0.35"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</row>
    <row r="181" spans="4:23" x14ac:dyDescent="0.35"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</row>
    <row r="182" spans="4:23" x14ac:dyDescent="0.35"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</row>
    <row r="183" spans="4:23" x14ac:dyDescent="0.35"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</row>
  </sheetData>
  <conditionalFormatting sqref="D91:X91">
    <cfRule type="colorScale" priority="1">
      <colorScale>
        <cfvo type="min"/>
        <cfvo type="num" val="0"/>
        <cfvo type="max"/>
        <color rgb="FF00B050"/>
        <color theme="0"/>
        <color theme="5"/>
      </colorScale>
    </cfRule>
  </conditionalFormatting>
  <pageMargins left="0.25" right="0.25" top="0.75" bottom="0.75" header="0.3" footer="0.3"/>
  <pageSetup paperSize="119" scale="54" fitToWidth="0" orientation="landscape" r:id="rId1"/>
  <customProperties>
    <customPr name="num_doc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0FC18-C15F-4F21-B2AF-751E2FB9D570}">
  <sheetPr>
    <tabColor theme="1" tint="0.249977111117893"/>
  </sheetPr>
  <dimension ref="A1:AA43"/>
  <sheetViews>
    <sheetView zoomScale="70" zoomScaleNormal="70" workbookViewId="0">
      <selection activeCell="D2" sqref="D2"/>
    </sheetView>
  </sheetViews>
  <sheetFormatPr defaultColWidth="9.26953125" defaultRowHeight="14.5" outlineLevelRow="1" outlineLevelCol="2" x14ac:dyDescent="0.35"/>
  <cols>
    <col min="1" max="1" width="28.54296875" style="8" customWidth="1"/>
    <col min="2" max="2" width="8.26953125" customWidth="1"/>
    <col min="3" max="3" width="8.7265625" customWidth="1"/>
    <col min="4" max="4" width="35.453125" customWidth="1" outlineLevel="1"/>
    <col min="5" max="12" width="13.54296875" customWidth="1" outlineLevel="1"/>
    <col min="13" max="13" width="13.81640625" customWidth="1" outlineLevel="1"/>
    <col min="14" max="14" width="14.453125" customWidth="1" outlineLevel="1"/>
    <col min="15" max="22" width="14.453125" customWidth="1" outlineLevel="2"/>
    <col min="23" max="23" width="14.453125" customWidth="1" outlineLevel="1"/>
    <col min="24" max="25" width="14.81640625" bestFit="1" customWidth="1"/>
    <col min="26" max="26" width="15.7265625" bestFit="1" customWidth="1"/>
    <col min="27" max="27" width="14" bestFit="1" customWidth="1"/>
  </cols>
  <sheetData>
    <row r="1" spans="1:26" ht="21" x14ac:dyDescent="0.5">
      <c r="A1" s="84" t="s">
        <v>201</v>
      </c>
      <c r="D1" s="296" t="s">
        <v>1107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23.5" customHeight="1" x14ac:dyDescent="0.5">
      <c r="A2" s="139" t="str">
        <f>"For Scenario Selected Currently: "&amp;Selected&amp;" "&amp;'0-Inputs'!B5</f>
        <v>For Scenario Selected Currently: 5 Average 
Cost*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x14ac:dyDescent="0.35">
      <c r="B3" s="1"/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  <c r="N3">
        <v>11</v>
      </c>
      <c r="O3">
        <v>12</v>
      </c>
      <c r="P3">
        <v>13</v>
      </c>
      <c r="Q3">
        <v>14</v>
      </c>
      <c r="R3">
        <v>15</v>
      </c>
      <c r="S3">
        <v>16</v>
      </c>
      <c r="T3">
        <v>17</v>
      </c>
      <c r="U3">
        <v>18</v>
      </c>
      <c r="V3">
        <v>19</v>
      </c>
      <c r="W3">
        <v>20</v>
      </c>
    </row>
    <row r="4" spans="1:26" s="82" customFormat="1" ht="21" x14ac:dyDescent="0.5">
      <c r="A4" s="84" t="s">
        <v>202</v>
      </c>
      <c r="B4" s="22"/>
      <c r="D4" s="120">
        <f>YearOne</f>
        <v>2026</v>
      </c>
      <c r="E4" s="120">
        <f t="shared" ref="E4:W4" si="0">YearOne+E3-1</f>
        <v>2027</v>
      </c>
      <c r="F4" s="120">
        <f t="shared" si="0"/>
        <v>2028</v>
      </c>
      <c r="G4" s="120">
        <f t="shared" si="0"/>
        <v>2029</v>
      </c>
      <c r="H4" s="120">
        <f t="shared" si="0"/>
        <v>2030</v>
      </c>
      <c r="I4" s="120">
        <f t="shared" si="0"/>
        <v>2031</v>
      </c>
      <c r="J4" s="120">
        <f t="shared" si="0"/>
        <v>2032</v>
      </c>
      <c r="K4" s="120">
        <f t="shared" si="0"/>
        <v>2033</v>
      </c>
      <c r="L4" s="120">
        <f t="shared" si="0"/>
        <v>2034</v>
      </c>
      <c r="M4" s="120">
        <f t="shared" si="0"/>
        <v>2035</v>
      </c>
      <c r="N4" s="120">
        <f t="shared" si="0"/>
        <v>2036</v>
      </c>
      <c r="O4" s="120">
        <f t="shared" si="0"/>
        <v>2037</v>
      </c>
      <c r="P4" s="120">
        <f t="shared" si="0"/>
        <v>2038</v>
      </c>
      <c r="Q4" s="120">
        <f t="shared" si="0"/>
        <v>2039</v>
      </c>
      <c r="R4" s="120">
        <f t="shared" si="0"/>
        <v>2040</v>
      </c>
      <c r="S4" s="120">
        <f t="shared" si="0"/>
        <v>2041</v>
      </c>
      <c r="T4" s="120">
        <f t="shared" si="0"/>
        <v>2042</v>
      </c>
      <c r="U4" s="120">
        <f t="shared" si="0"/>
        <v>2043</v>
      </c>
      <c r="V4" s="120">
        <f t="shared" si="0"/>
        <v>2044</v>
      </c>
      <c r="W4" s="120">
        <f t="shared" si="0"/>
        <v>2045</v>
      </c>
      <c r="X4" s="52" t="s">
        <v>203</v>
      </c>
      <c r="Y4" s="52" t="s">
        <v>204</v>
      </c>
      <c r="Z4" s="52" t="s">
        <v>186</v>
      </c>
    </row>
    <row r="5" spans="1:26" s="82" customFormat="1" ht="18.5" outlineLevel="1" x14ac:dyDescent="0.45">
      <c r="A5" s="83" t="s">
        <v>205</v>
      </c>
      <c r="B5" s="22"/>
      <c r="D5" s="9">
        <f ca="1">'LOS AMI Cell'!D14</f>
        <v>0</v>
      </c>
      <c r="E5" s="9">
        <f ca="1">'LOS AMI Cell'!E14</f>
        <v>0</v>
      </c>
      <c r="F5" s="9">
        <f ca="1">'LOS AMI Cell'!F14</f>
        <v>0</v>
      </c>
      <c r="G5" s="9">
        <f ca="1">'LOS AMI Cell'!G14</f>
        <v>0</v>
      </c>
      <c r="H5" s="9">
        <f ca="1">'LOS AMI Cell'!H14</f>
        <v>0</v>
      </c>
      <c r="I5" s="9">
        <f ca="1">'LOS AMI Cell'!I14</f>
        <v>0</v>
      </c>
      <c r="J5" s="9">
        <f ca="1">'LOS AMI Cell'!J14</f>
        <v>0</v>
      </c>
      <c r="K5" s="9">
        <f ca="1">'LOS AMI Cell'!K14</f>
        <v>0</v>
      </c>
      <c r="L5" s="9">
        <f ca="1">'LOS AMI Cell'!L14</f>
        <v>0</v>
      </c>
      <c r="M5" s="9">
        <f ca="1">'LOS AMI Cell'!M14</f>
        <v>0</v>
      </c>
      <c r="N5" s="9">
        <f ca="1">'LOS AMI Cell'!N14</f>
        <v>0</v>
      </c>
      <c r="O5" s="9">
        <f ca="1">'LOS AMI Cell'!O14</f>
        <v>0</v>
      </c>
      <c r="P5" s="9">
        <f ca="1">'LOS AMI Cell'!P14</f>
        <v>0</v>
      </c>
      <c r="Q5" s="9">
        <f ca="1">'LOS AMI Cell'!Q14</f>
        <v>0</v>
      </c>
      <c r="R5" s="9">
        <f ca="1">'LOS AMI Cell'!R14</f>
        <v>0</v>
      </c>
      <c r="S5" s="9">
        <f ca="1">'LOS AMI Cell'!S14</f>
        <v>0</v>
      </c>
      <c r="T5" s="9">
        <f ca="1">'LOS AMI Cell'!T14</f>
        <v>0</v>
      </c>
      <c r="U5" s="9">
        <f ca="1">'LOS AMI Cell'!U14</f>
        <v>0</v>
      </c>
      <c r="V5" s="9">
        <f ca="1">'LOS AMI Cell'!V14</f>
        <v>0</v>
      </c>
      <c r="W5" s="9">
        <f ca="1">'LOS AMI Cell'!W14</f>
        <v>0</v>
      </c>
      <c r="X5" s="14">
        <f t="shared" ref="X5:X10" ca="1" si="1">SUM(D5:H5)</f>
        <v>0</v>
      </c>
      <c r="Y5" s="14">
        <f t="shared" ref="Y5:Y10" ca="1" si="2">SUM(D5:M5)</f>
        <v>0</v>
      </c>
      <c r="Z5" s="14">
        <f t="shared" ref="Z5:Z10" ca="1" si="3">SUM(D5:W5)</f>
        <v>0</v>
      </c>
    </row>
    <row r="6" spans="1:26" s="82" customFormat="1" ht="18.5" outlineLevel="1" x14ac:dyDescent="0.45">
      <c r="A6" s="83" t="s">
        <v>206</v>
      </c>
      <c r="B6" s="22"/>
      <c r="D6" s="9">
        <f>'LOS AMI Cell'!D15</f>
        <v>0</v>
      </c>
      <c r="E6" s="9">
        <f>'LOS AMI Cell'!E15</f>
        <v>0</v>
      </c>
      <c r="F6" s="9">
        <f>'LOS AMI Cell'!F15</f>
        <v>0</v>
      </c>
      <c r="G6" s="9">
        <f>'LOS AMI Cell'!G15</f>
        <v>0</v>
      </c>
      <c r="H6" s="9">
        <f>'LOS AMI Cell'!H15</f>
        <v>0</v>
      </c>
      <c r="I6" s="9">
        <f>'LOS AMI Cell'!I15</f>
        <v>0</v>
      </c>
      <c r="J6" s="9">
        <f>'LOS AMI Cell'!J15</f>
        <v>0</v>
      </c>
      <c r="K6" s="9">
        <f>'LOS AMI Cell'!K15</f>
        <v>0</v>
      </c>
      <c r="L6" s="9">
        <f>'LOS AMI Cell'!L15</f>
        <v>0</v>
      </c>
      <c r="M6" s="9">
        <f>'LOS AMI Cell'!M15</f>
        <v>0</v>
      </c>
      <c r="N6" s="9">
        <f>'LOS AMI Cell'!N15</f>
        <v>0</v>
      </c>
      <c r="O6" s="9">
        <f>'LOS AMI Cell'!O15</f>
        <v>0</v>
      </c>
      <c r="P6" s="9">
        <f>'LOS AMI Cell'!P15</f>
        <v>0</v>
      </c>
      <c r="Q6" s="9">
        <f>'LOS AMI Cell'!Q15</f>
        <v>0</v>
      </c>
      <c r="R6" s="9">
        <f>'LOS AMI Cell'!R15</f>
        <v>0</v>
      </c>
      <c r="S6" s="9">
        <f>'LOS AMI Cell'!S15</f>
        <v>0</v>
      </c>
      <c r="T6" s="9">
        <f>'LOS AMI Cell'!T15</f>
        <v>0</v>
      </c>
      <c r="U6" s="9">
        <f>'LOS AMI Cell'!U15</f>
        <v>0</v>
      </c>
      <c r="V6" s="9">
        <f>'LOS AMI Cell'!V15</f>
        <v>0</v>
      </c>
      <c r="W6" s="9">
        <f>'LOS AMI Cell'!W15</f>
        <v>0</v>
      </c>
      <c r="X6" s="14">
        <f t="shared" si="1"/>
        <v>0</v>
      </c>
      <c r="Y6" s="14">
        <f t="shared" si="2"/>
        <v>0</v>
      </c>
      <c r="Z6" s="14">
        <f t="shared" si="3"/>
        <v>0</v>
      </c>
    </row>
    <row r="7" spans="1:26" outlineLevel="1" x14ac:dyDescent="0.35">
      <c r="A7" s="83" t="s">
        <v>207</v>
      </c>
      <c r="D7" s="9">
        <f ca="1">'LOS AMI Cell'!D16</f>
        <v>0</v>
      </c>
      <c r="E7" s="9">
        <f ca="1">'LOS AMI Cell'!E16</f>
        <v>0</v>
      </c>
      <c r="F7" s="9">
        <f ca="1">'LOS AMI Cell'!F16</f>
        <v>0</v>
      </c>
      <c r="G7" s="9">
        <f ca="1">'LOS AMI Cell'!G16</f>
        <v>0</v>
      </c>
      <c r="H7" s="9">
        <f ca="1">'LOS AMI Cell'!H16</f>
        <v>0</v>
      </c>
      <c r="I7" s="9">
        <f ca="1">'LOS AMI Cell'!I16</f>
        <v>0</v>
      </c>
      <c r="J7" s="9">
        <f ca="1">'LOS AMI Cell'!J16</f>
        <v>0</v>
      </c>
      <c r="K7" s="9">
        <f ca="1">'LOS AMI Cell'!K16</f>
        <v>0</v>
      </c>
      <c r="L7" s="9">
        <f ca="1">'LOS AMI Cell'!L16</f>
        <v>0</v>
      </c>
      <c r="M7" s="9">
        <f ca="1">'LOS AMI Cell'!M16</f>
        <v>0</v>
      </c>
      <c r="N7" s="9">
        <f ca="1">'LOS AMI Cell'!N16</f>
        <v>0</v>
      </c>
      <c r="O7" s="9">
        <f ca="1">'LOS AMI Cell'!O16</f>
        <v>0</v>
      </c>
      <c r="P7" s="9">
        <f ca="1">'LOS AMI Cell'!P16</f>
        <v>0</v>
      </c>
      <c r="Q7" s="9">
        <f ca="1">'LOS AMI Cell'!Q16</f>
        <v>0</v>
      </c>
      <c r="R7" s="9">
        <f ca="1">'LOS AMI Cell'!R16</f>
        <v>0</v>
      </c>
      <c r="S7" s="9">
        <f ca="1">'LOS AMI Cell'!S16</f>
        <v>0</v>
      </c>
      <c r="T7" s="9">
        <f ca="1">'LOS AMI Cell'!T16</f>
        <v>0</v>
      </c>
      <c r="U7" s="9">
        <f ca="1">'LOS AMI Cell'!U16</f>
        <v>0</v>
      </c>
      <c r="V7" s="9">
        <f ca="1">'LOS AMI Cell'!V16</f>
        <v>0</v>
      </c>
      <c r="W7" s="9">
        <f ca="1">'LOS AMI Cell'!W16</f>
        <v>0</v>
      </c>
      <c r="X7" s="14">
        <f t="shared" ca="1" si="1"/>
        <v>0</v>
      </c>
      <c r="Y7" s="14">
        <f t="shared" ca="1" si="2"/>
        <v>0</v>
      </c>
      <c r="Z7" s="14">
        <f t="shared" ca="1" si="3"/>
        <v>0</v>
      </c>
    </row>
    <row r="8" spans="1:26" outlineLevel="1" x14ac:dyDescent="0.35">
      <c r="A8" s="83" t="s">
        <v>208</v>
      </c>
      <c r="D8" s="9">
        <f ca="1">'LOS AMI Cell'!D17</f>
        <v>-39503.876579999924</v>
      </c>
      <c r="E8" s="9">
        <f ca="1">'LOS AMI Cell'!E17</f>
        <v>-20388.954339999938</v>
      </c>
      <c r="F8" s="9">
        <f ca="1">'LOS AMI Cell'!F17</f>
        <v>-1274.0320999999531</v>
      </c>
      <c r="G8" s="9">
        <f ca="1">'LOS AMI Cell'!G17</f>
        <v>-80281.785259999975</v>
      </c>
      <c r="H8" s="9">
        <f ca="1">'LOS AMI Cell'!H17</f>
        <v>-159289.53841999994</v>
      </c>
      <c r="I8" s="9">
        <f ca="1">'LOS AMI Cell'!I17</f>
        <v>-238297.29157999996</v>
      </c>
      <c r="J8" s="9">
        <f ca="1">'LOS AMI Cell'!J17</f>
        <v>-317305.04473999992</v>
      </c>
      <c r="K8" s="9">
        <f ca="1">'LOS AMI Cell'!K17</f>
        <v>-396312.79790000001</v>
      </c>
      <c r="L8" s="9">
        <f ca="1">'LOS AMI Cell'!L17</f>
        <v>-475320.55106000003</v>
      </c>
      <c r="M8" s="9">
        <f ca="1">'LOS AMI Cell'!M17</f>
        <v>-554328.30422000005</v>
      </c>
      <c r="N8" s="9">
        <f ca="1">'LOS AMI Cell'!N17</f>
        <v>-633336.05738000013</v>
      </c>
      <c r="O8" s="9">
        <f ca="1">'LOS AMI Cell'!O17</f>
        <v>-712343.81054000021</v>
      </c>
      <c r="P8" s="9">
        <f ca="1">'LOS AMI Cell'!P17</f>
        <v>-791351.56370000017</v>
      </c>
      <c r="Q8" s="9">
        <f ca="1">'LOS AMI Cell'!Q17</f>
        <v>-870359.31686000025</v>
      </c>
      <c r="R8" s="9">
        <f ca="1">'LOS AMI Cell'!R17</f>
        <v>-949367.0700200001</v>
      </c>
      <c r="S8" s="9">
        <f ca="1">'LOS AMI Cell'!S17</f>
        <v>-1028374.8231800003</v>
      </c>
      <c r="T8" s="9">
        <f ca="1">'LOS AMI Cell'!T17</f>
        <v>-1107382.5763400001</v>
      </c>
      <c r="U8" s="9">
        <f ca="1">'LOS AMI Cell'!U17</f>
        <v>-1186390.3295000005</v>
      </c>
      <c r="V8" s="9">
        <f ca="1">'LOS AMI Cell'!V17</f>
        <v>-1265398.0826600003</v>
      </c>
      <c r="W8" s="9">
        <f ca="1">'LOS AMI Cell'!W17</f>
        <v>-1344405.8358200006</v>
      </c>
      <c r="X8" s="14">
        <f t="shared" ca="1" si="1"/>
        <v>-300738.18669999973</v>
      </c>
      <c r="Y8" s="14">
        <f t="shared" ca="1" si="2"/>
        <v>-2282302.1761999996</v>
      </c>
      <c r="Z8" s="14">
        <f t="shared" ca="1" si="3"/>
        <v>-12171011.642200002</v>
      </c>
    </row>
    <row r="9" spans="1:26" outlineLevel="1" x14ac:dyDescent="0.35">
      <c r="A9" s="83" t="s">
        <v>209</v>
      </c>
      <c r="D9" s="9">
        <f ca="1">'LOS AMI Cell'!D18</f>
        <v>-180188.60063781077</v>
      </c>
      <c r="E9" s="9">
        <f ca="1">'LOS AMI Cell'!E18</f>
        <v>55791.143117204098</v>
      </c>
      <c r="F9" s="9">
        <f ca="1">'LOS AMI Cell'!F18</f>
        <v>291770.88687221904</v>
      </c>
      <c r="G9" s="9">
        <f ca="1">'LOS AMI Cell'!G18</f>
        <v>-68606.314403402241</v>
      </c>
      <c r="H9" s="9">
        <f ca="1">'LOS AMI Cell'!H18</f>
        <v>-428983.51567902335</v>
      </c>
      <c r="I9" s="9">
        <f ca="1">'LOS AMI Cell'!I18</f>
        <v>-789360.71695464454</v>
      </c>
      <c r="J9" s="9">
        <f ca="1">'LOS AMI Cell'!J18</f>
        <v>-1149737.9182302656</v>
      </c>
      <c r="K9" s="9">
        <f ca="1">'LOS AMI Cell'!K18</f>
        <v>-1510115.1195058869</v>
      </c>
      <c r="L9" s="9">
        <f ca="1">'LOS AMI Cell'!L18</f>
        <v>-1870492.3207815085</v>
      </c>
      <c r="M9" s="9">
        <f ca="1">'LOS AMI Cell'!M18</f>
        <v>-2230869.52205713</v>
      </c>
      <c r="N9" s="9">
        <f ca="1">'LOS AMI Cell'!N18</f>
        <v>-2591246.7233327515</v>
      </c>
      <c r="O9" s="9">
        <f ca="1">'LOS AMI Cell'!O18</f>
        <v>-2951623.9246083731</v>
      </c>
      <c r="P9" s="9">
        <f ca="1">'LOS AMI Cell'!P18</f>
        <v>-3312001.1258839937</v>
      </c>
      <c r="Q9" s="9">
        <f ca="1">'LOS AMI Cell'!Q18</f>
        <v>-3672378.3271596152</v>
      </c>
      <c r="R9" s="9">
        <f ca="1">'LOS AMI Cell'!R18</f>
        <v>-4032755.5284352368</v>
      </c>
      <c r="S9" s="9">
        <f ca="1">'LOS AMI Cell'!S18</f>
        <v>-4393132.7297108583</v>
      </c>
      <c r="T9" s="9">
        <f ca="1">'LOS AMI Cell'!T18</f>
        <v>-4753509.9309864799</v>
      </c>
      <c r="U9" s="9">
        <f ca="1">'LOS AMI Cell'!U18</f>
        <v>-5113887.1322621014</v>
      </c>
      <c r="V9" s="9">
        <f ca="1">'LOS AMI Cell'!V18</f>
        <v>-5474264.333537722</v>
      </c>
      <c r="W9" s="9">
        <f ca="1">'LOS AMI Cell'!W18</f>
        <v>-5834641.5348133445</v>
      </c>
      <c r="X9" s="14">
        <f t="shared" ca="1" si="1"/>
        <v>-330216.40073081321</v>
      </c>
      <c r="Y9" s="14">
        <f t="shared" ca="1" si="2"/>
        <v>-7880791.9982602485</v>
      </c>
      <c r="Z9" s="14">
        <f t="shared" ca="1" si="3"/>
        <v>-50010233.288990729</v>
      </c>
    </row>
    <row r="10" spans="1:26" outlineLevel="1" x14ac:dyDescent="0.35">
      <c r="A10" s="83" t="s">
        <v>210</v>
      </c>
      <c r="D10" s="9" t="e">
        <f ca="1">'LOS AMI Cell'!D27</f>
        <v>#DIV/0!</v>
      </c>
      <c r="E10" s="9" t="e">
        <f ca="1">'LOS AMI Cell'!E27</f>
        <v>#DIV/0!</v>
      </c>
      <c r="F10" s="9" t="e">
        <f ca="1">'LOS AMI Cell'!F27</f>
        <v>#DIV/0!</v>
      </c>
      <c r="G10" s="9" t="e">
        <f ca="1">'LOS AMI Cell'!G27</f>
        <v>#DIV/0!</v>
      </c>
      <c r="H10" s="9" t="e">
        <f ca="1">'LOS AMI Cell'!H27</f>
        <v>#DIV/0!</v>
      </c>
      <c r="I10" s="9" t="e">
        <f ca="1">'LOS AMI Cell'!I27</f>
        <v>#DIV/0!</v>
      </c>
      <c r="J10" s="9" t="e">
        <f ca="1">'LOS AMI Cell'!J27</f>
        <v>#DIV/0!</v>
      </c>
      <c r="K10" s="9" t="e">
        <f ca="1">'LOS AMI Cell'!K27</f>
        <v>#DIV/0!</v>
      </c>
      <c r="L10" s="9" t="e">
        <f ca="1">'LOS AMI Cell'!L27</f>
        <v>#DIV/0!</v>
      </c>
      <c r="M10" s="9" t="e">
        <f ca="1">'LOS AMI Cell'!M27</f>
        <v>#DIV/0!</v>
      </c>
      <c r="N10" s="9" t="e">
        <f ca="1">'LOS AMI Cell'!N27</f>
        <v>#DIV/0!</v>
      </c>
      <c r="O10" s="9" t="e">
        <f ca="1">'LOS AMI Cell'!O27</f>
        <v>#DIV/0!</v>
      </c>
      <c r="P10" s="9" t="e">
        <f ca="1">'LOS AMI Cell'!P27</f>
        <v>#DIV/0!</v>
      </c>
      <c r="Q10" s="9" t="e">
        <f ca="1">'LOS AMI Cell'!Q27</f>
        <v>#DIV/0!</v>
      </c>
      <c r="R10" s="9" t="e">
        <f ca="1">'LOS AMI Cell'!R27</f>
        <v>#DIV/0!</v>
      </c>
      <c r="S10" s="9" t="e">
        <f ca="1">'LOS AMI Cell'!S27</f>
        <v>#DIV/0!</v>
      </c>
      <c r="T10" s="9" t="e">
        <f ca="1">'LOS AMI Cell'!T27</f>
        <v>#DIV/0!</v>
      </c>
      <c r="U10" s="9" t="e">
        <f ca="1">'LOS AMI Cell'!U27</f>
        <v>#DIV/0!</v>
      </c>
      <c r="V10" s="9" t="e">
        <f ca="1">'LOS AMI Cell'!V27</f>
        <v>#DIV/0!</v>
      </c>
      <c r="W10" s="9" t="e">
        <f ca="1">'LOS AMI Cell'!W27</f>
        <v>#DIV/0!</v>
      </c>
      <c r="X10" s="14" t="e">
        <f t="shared" ca="1" si="1"/>
        <v>#DIV/0!</v>
      </c>
      <c r="Y10" s="14" t="e">
        <f t="shared" ca="1" si="2"/>
        <v>#DIV/0!</v>
      </c>
      <c r="Z10" s="14" t="e">
        <f t="shared" ca="1" si="3"/>
        <v>#DIV/0!</v>
      </c>
    </row>
    <row r="11" spans="1:26" x14ac:dyDescent="0.35">
      <c r="A11" s="83" t="s">
        <v>211</v>
      </c>
      <c r="D11" s="39" t="e">
        <f ca="1">SUM(D5:D10)</f>
        <v>#DIV/0!</v>
      </c>
      <c r="E11" s="39" t="e">
        <f t="shared" ref="E11:Z11" ca="1" si="4">SUM(E5:E10)</f>
        <v>#DIV/0!</v>
      </c>
      <c r="F11" s="39" t="e">
        <f t="shared" ca="1" si="4"/>
        <v>#DIV/0!</v>
      </c>
      <c r="G11" s="39" t="e">
        <f t="shared" ca="1" si="4"/>
        <v>#DIV/0!</v>
      </c>
      <c r="H11" s="39" t="e">
        <f t="shared" ca="1" si="4"/>
        <v>#DIV/0!</v>
      </c>
      <c r="I11" s="39" t="e">
        <f t="shared" ca="1" si="4"/>
        <v>#DIV/0!</v>
      </c>
      <c r="J11" s="39" t="e">
        <f t="shared" ca="1" si="4"/>
        <v>#DIV/0!</v>
      </c>
      <c r="K11" s="39" t="e">
        <f t="shared" ca="1" si="4"/>
        <v>#DIV/0!</v>
      </c>
      <c r="L11" s="39" t="e">
        <f t="shared" ca="1" si="4"/>
        <v>#DIV/0!</v>
      </c>
      <c r="M11" s="39" t="e">
        <f t="shared" ca="1" si="4"/>
        <v>#DIV/0!</v>
      </c>
      <c r="N11" s="39" t="e">
        <f t="shared" ca="1" si="4"/>
        <v>#DIV/0!</v>
      </c>
      <c r="O11" s="39" t="e">
        <f t="shared" ca="1" si="4"/>
        <v>#DIV/0!</v>
      </c>
      <c r="P11" s="39" t="e">
        <f t="shared" ca="1" si="4"/>
        <v>#DIV/0!</v>
      </c>
      <c r="Q11" s="39" t="e">
        <f t="shared" ca="1" si="4"/>
        <v>#DIV/0!</v>
      </c>
      <c r="R11" s="39" t="e">
        <f t="shared" ca="1" si="4"/>
        <v>#DIV/0!</v>
      </c>
      <c r="S11" s="39" t="e">
        <f t="shared" ca="1" si="4"/>
        <v>#DIV/0!</v>
      </c>
      <c r="T11" s="39" t="e">
        <f t="shared" ca="1" si="4"/>
        <v>#DIV/0!</v>
      </c>
      <c r="U11" s="39" t="e">
        <f t="shared" ca="1" si="4"/>
        <v>#DIV/0!</v>
      </c>
      <c r="V11" s="39" t="e">
        <f t="shared" ca="1" si="4"/>
        <v>#DIV/0!</v>
      </c>
      <c r="W11" s="39" t="e">
        <f t="shared" ca="1" si="4"/>
        <v>#DIV/0!</v>
      </c>
      <c r="X11" s="39" t="e">
        <f t="shared" ca="1" si="4"/>
        <v>#DIV/0!</v>
      </c>
      <c r="Y11" s="39" t="e">
        <f t="shared" ca="1" si="4"/>
        <v>#DIV/0!</v>
      </c>
      <c r="Z11" s="39" t="e">
        <f t="shared" ca="1" si="4"/>
        <v>#DIV/0!</v>
      </c>
    </row>
    <row r="12" spans="1:26" x14ac:dyDescent="0.35">
      <c r="A12" s="83"/>
      <c r="D12" s="118" t="e">
        <f ca="1">D11/(1+$C19)^(D$3-1)</f>
        <v>#DIV/0!</v>
      </c>
      <c r="E12" s="12"/>
      <c r="F12" s="12"/>
      <c r="G12" s="12"/>
      <c r="H12" s="12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4"/>
      <c r="Y12" s="14"/>
      <c r="Z12" s="14"/>
    </row>
    <row r="13" spans="1:26" outlineLevel="1" x14ac:dyDescent="0.35">
      <c r="A13" s="83" t="s">
        <v>212</v>
      </c>
      <c r="D13" s="115" t="e">
        <f>'LOS AMI Cell'!D$21</f>
        <v>#DIV/0!</v>
      </c>
      <c r="E13" s="115" t="e">
        <f>'LOS AMI Cell'!E$21</f>
        <v>#DIV/0!</v>
      </c>
      <c r="F13" s="115" t="e">
        <f>'LOS AMI Cell'!F$21</f>
        <v>#DIV/0!</v>
      </c>
      <c r="G13" s="115" t="e">
        <f>'LOS AMI Cell'!G$21</f>
        <v>#DIV/0!</v>
      </c>
      <c r="H13" s="115" t="e">
        <f>'LOS AMI Cell'!H$21</f>
        <v>#DIV/0!</v>
      </c>
      <c r="I13" s="115" t="e">
        <f>'LOS AMI Cell'!I$21</f>
        <v>#DIV/0!</v>
      </c>
      <c r="J13" s="115" t="e">
        <f>'LOS AMI Cell'!J$21</f>
        <v>#DIV/0!</v>
      </c>
      <c r="K13" s="115" t="e">
        <f>'LOS AMI Cell'!K$21</f>
        <v>#DIV/0!</v>
      </c>
      <c r="L13" s="115" t="e">
        <f>'LOS AMI Cell'!L$21</f>
        <v>#DIV/0!</v>
      </c>
      <c r="M13" s="115" t="e">
        <f>'LOS AMI Cell'!M$21</f>
        <v>#DIV/0!</v>
      </c>
      <c r="N13" s="115" t="e">
        <f>'LOS AMI Cell'!N$21</f>
        <v>#DIV/0!</v>
      </c>
      <c r="O13" s="115" t="e">
        <f>'LOS AMI Cell'!O$21</f>
        <v>#DIV/0!</v>
      </c>
      <c r="P13" s="115" t="e">
        <f>'LOS AMI Cell'!P$21</f>
        <v>#DIV/0!</v>
      </c>
      <c r="Q13" s="115" t="e">
        <f>'LOS AMI Cell'!Q$21</f>
        <v>#DIV/0!</v>
      </c>
      <c r="R13" s="115" t="e">
        <f>'LOS AMI Cell'!R$21</f>
        <v>#DIV/0!</v>
      </c>
      <c r="S13" s="115" t="e">
        <f>'LOS AMI Cell'!S$21</f>
        <v>#DIV/0!</v>
      </c>
      <c r="T13" s="115" t="e">
        <f>'LOS AMI Cell'!T$21</f>
        <v>#DIV/0!</v>
      </c>
      <c r="U13" s="115" t="e">
        <f>'LOS AMI Cell'!U$21</f>
        <v>#DIV/0!</v>
      </c>
      <c r="V13" s="115" t="e">
        <f>'LOS AMI Cell'!V$21</f>
        <v>#DIV/0!</v>
      </c>
      <c r="W13" s="115" t="e">
        <f>'LOS AMI Cell'!W$21</f>
        <v>#DIV/0!</v>
      </c>
      <c r="X13" s="117" t="e">
        <f>SUM(D13:H13)</f>
        <v>#DIV/0!</v>
      </c>
      <c r="Y13" s="117" t="e">
        <f>SUM(D13:M13)</f>
        <v>#DIV/0!</v>
      </c>
      <c r="Z13" s="117" t="e">
        <f>SUM(D13:W13)</f>
        <v>#DIV/0!</v>
      </c>
    </row>
    <row r="14" spans="1:26" outlineLevel="1" x14ac:dyDescent="0.35">
      <c r="A14" s="83" t="s">
        <v>213</v>
      </c>
      <c r="D14" s="115" t="e">
        <f>'LOS AMI Cell'!D$22</f>
        <v>#DIV/0!</v>
      </c>
      <c r="E14" s="115" t="e">
        <f>'LOS AMI Cell'!E$22</f>
        <v>#DIV/0!</v>
      </c>
      <c r="F14" s="115" t="e">
        <f>'LOS AMI Cell'!F$22</f>
        <v>#DIV/0!</v>
      </c>
      <c r="G14" s="115" t="e">
        <f>'LOS AMI Cell'!G$22</f>
        <v>#DIV/0!</v>
      </c>
      <c r="H14" s="115" t="e">
        <f>'LOS AMI Cell'!H$22</f>
        <v>#DIV/0!</v>
      </c>
      <c r="I14" s="115" t="e">
        <f>'LOS AMI Cell'!I$22</f>
        <v>#DIV/0!</v>
      </c>
      <c r="J14" s="115" t="e">
        <f>'LOS AMI Cell'!J$22</f>
        <v>#DIV/0!</v>
      </c>
      <c r="K14" s="115" t="e">
        <f>'LOS AMI Cell'!K$22</f>
        <v>#DIV/0!</v>
      </c>
      <c r="L14" s="115" t="e">
        <f>'LOS AMI Cell'!L$22</f>
        <v>#DIV/0!</v>
      </c>
      <c r="M14" s="115" t="e">
        <f>'LOS AMI Cell'!M$22</f>
        <v>#DIV/0!</v>
      </c>
      <c r="N14" s="115" t="e">
        <f>'LOS AMI Cell'!N$22</f>
        <v>#DIV/0!</v>
      </c>
      <c r="O14" s="115" t="e">
        <f>'LOS AMI Cell'!O$22</f>
        <v>#DIV/0!</v>
      </c>
      <c r="P14" s="115" t="e">
        <f>'LOS AMI Cell'!P$22</f>
        <v>#DIV/0!</v>
      </c>
      <c r="Q14" s="115" t="e">
        <f>'LOS AMI Cell'!Q$22</f>
        <v>#DIV/0!</v>
      </c>
      <c r="R14" s="115" t="e">
        <f>'LOS AMI Cell'!R$22</f>
        <v>#DIV/0!</v>
      </c>
      <c r="S14" s="115" t="e">
        <f>'LOS AMI Cell'!S$22</f>
        <v>#DIV/0!</v>
      </c>
      <c r="T14" s="115" t="e">
        <f>'LOS AMI Cell'!T$22</f>
        <v>#DIV/0!</v>
      </c>
      <c r="U14" s="115" t="e">
        <f>'LOS AMI Cell'!U$22</f>
        <v>#DIV/0!</v>
      </c>
      <c r="V14" s="115" t="e">
        <f>'LOS AMI Cell'!V$22</f>
        <v>#DIV/0!</v>
      </c>
      <c r="W14" s="115" t="e">
        <f>'LOS AMI Cell'!W$22</f>
        <v>#DIV/0!</v>
      </c>
      <c r="X14" s="14" t="e">
        <f>SUM(D14:H14)</f>
        <v>#DIV/0!</v>
      </c>
      <c r="Y14" s="14" t="e">
        <f>SUM(D14:M14)</f>
        <v>#DIV/0!</v>
      </c>
      <c r="Z14" s="14" t="e">
        <f>SUM(D14:W14)</f>
        <v>#DIV/0!</v>
      </c>
    </row>
    <row r="15" spans="1:26" outlineLevel="1" x14ac:dyDescent="0.35">
      <c r="A15" s="83" t="s">
        <v>214</v>
      </c>
      <c r="D15" s="115">
        <f ca="1">'LOS AMI Cell'!D$23</f>
        <v>-5816.1642186077679</v>
      </c>
      <c r="E15" s="115">
        <f ca="1">'LOS AMI Cell'!E$23</f>
        <v>-18028.676062385643</v>
      </c>
      <c r="F15" s="115">
        <f ca="1">'LOS AMI Cell'!F$23</f>
        <v>-29997.065284435139</v>
      </c>
      <c r="G15" s="115">
        <f ca="1">'LOS AMI Cell'!G$23</f>
        <v>-39988.619165224503</v>
      </c>
      <c r="H15" s="115">
        <f ca="1">'LOS AMI Cell'!H$23</f>
        <v>-45223.407067737789</v>
      </c>
      <c r="I15" s="115">
        <f ca="1">'LOS AMI Cell'!I$23</f>
        <v>-48699.716315519363</v>
      </c>
      <c r="J15" s="115">
        <f ca="1">'LOS AMI Cell'!J$23</f>
        <v>-54027.830698951919</v>
      </c>
      <c r="K15" s="115">
        <f ca="1">'LOS AMI Cell'!K$23</f>
        <v>-63248.204412413645</v>
      </c>
      <c r="L15" s="115">
        <f ca="1">'LOS AMI Cell'!L$23</f>
        <v>-82031.27719894523</v>
      </c>
      <c r="M15" s="115">
        <f ca="1">'LOS AMI Cell'!M$23</f>
        <v>-100751.64298300316</v>
      </c>
      <c r="N15" s="115">
        <f ca="1">'LOS AMI Cell'!N$23</f>
        <v>-172224.14843211172</v>
      </c>
      <c r="O15" s="115">
        <f ca="1">'LOS AMI Cell'!O$23</f>
        <v>-239080.16125101421</v>
      </c>
      <c r="P15" s="115">
        <f ca="1">'LOS AMI Cell'!P$23</f>
        <v>-242064.79719533119</v>
      </c>
      <c r="Q15" s="115">
        <f ca="1">'LOS AMI Cell'!Q$23</f>
        <v>-245196.57366568345</v>
      </c>
      <c r="R15" s="115">
        <f ca="1">'LOS AMI Cell'!R$23</f>
        <v>-248256.83921005385</v>
      </c>
      <c r="S15" s="115">
        <f ca="1">'LOS AMI Cell'!S$23</f>
        <v>-251327.85161703674</v>
      </c>
      <c r="T15" s="115">
        <f ca="1">'LOS AMI Cell'!T$23</f>
        <v>-254644.87125797936</v>
      </c>
      <c r="U15" s="115">
        <f ca="1">'LOS AMI Cell'!U$23</f>
        <v>-257658.30177434487</v>
      </c>
      <c r="V15" s="115">
        <f ca="1">'LOS AMI Cell'!V$23</f>
        <v>-261432.5027707761</v>
      </c>
      <c r="W15" s="115">
        <f ca="1">'LOS AMI Cell'!W$23</f>
        <v>-264924.20001104428</v>
      </c>
      <c r="X15" s="14">
        <f ca="1">SUM(D15:H15)</f>
        <v>-139053.93179839084</v>
      </c>
      <c r="Y15" s="14">
        <f ca="1">SUM(D15:M15)</f>
        <v>-487812.60340722417</v>
      </c>
      <c r="Z15" s="14">
        <f ca="1">SUM(D15:W15)</f>
        <v>-2924622.8505925997</v>
      </c>
    </row>
    <row r="16" spans="1:26" x14ac:dyDescent="0.35">
      <c r="A16" s="83" t="s">
        <v>215</v>
      </c>
      <c r="D16" s="35" t="e">
        <f t="shared" ref="D16:Z16" si="5">SUM(D13:D15)</f>
        <v>#DIV/0!</v>
      </c>
      <c r="E16" s="35" t="e">
        <f t="shared" si="5"/>
        <v>#DIV/0!</v>
      </c>
      <c r="F16" s="35" t="e">
        <f t="shared" si="5"/>
        <v>#DIV/0!</v>
      </c>
      <c r="G16" s="35" t="e">
        <f t="shared" si="5"/>
        <v>#DIV/0!</v>
      </c>
      <c r="H16" s="35" t="e">
        <f t="shared" si="5"/>
        <v>#DIV/0!</v>
      </c>
      <c r="I16" s="35" t="e">
        <f t="shared" si="5"/>
        <v>#DIV/0!</v>
      </c>
      <c r="J16" s="35" t="e">
        <f t="shared" si="5"/>
        <v>#DIV/0!</v>
      </c>
      <c r="K16" s="35" t="e">
        <f t="shared" si="5"/>
        <v>#DIV/0!</v>
      </c>
      <c r="L16" s="35" t="e">
        <f t="shared" si="5"/>
        <v>#DIV/0!</v>
      </c>
      <c r="M16" s="35" t="e">
        <f t="shared" si="5"/>
        <v>#DIV/0!</v>
      </c>
      <c r="N16" s="35" t="e">
        <f t="shared" si="5"/>
        <v>#DIV/0!</v>
      </c>
      <c r="O16" s="35" t="e">
        <f t="shared" si="5"/>
        <v>#DIV/0!</v>
      </c>
      <c r="P16" s="35" t="e">
        <f t="shared" si="5"/>
        <v>#DIV/0!</v>
      </c>
      <c r="Q16" s="35" t="e">
        <f t="shared" si="5"/>
        <v>#DIV/0!</v>
      </c>
      <c r="R16" s="35" t="e">
        <f t="shared" si="5"/>
        <v>#DIV/0!</v>
      </c>
      <c r="S16" s="35" t="e">
        <f t="shared" si="5"/>
        <v>#DIV/0!</v>
      </c>
      <c r="T16" s="35" t="e">
        <f t="shared" si="5"/>
        <v>#DIV/0!</v>
      </c>
      <c r="U16" s="35" t="e">
        <f t="shared" si="5"/>
        <v>#DIV/0!</v>
      </c>
      <c r="V16" s="35" t="e">
        <f t="shared" si="5"/>
        <v>#DIV/0!</v>
      </c>
      <c r="W16" s="35" t="e">
        <f t="shared" si="5"/>
        <v>#DIV/0!</v>
      </c>
      <c r="X16" s="35" t="e">
        <f t="shared" si="5"/>
        <v>#DIV/0!</v>
      </c>
      <c r="Y16" s="35" t="e">
        <f t="shared" si="5"/>
        <v>#DIV/0!</v>
      </c>
      <c r="Z16" s="35" t="e">
        <f t="shared" si="5"/>
        <v>#DIV/0!</v>
      </c>
    </row>
    <row r="17" spans="1:27" x14ac:dyDescent="0.35">
      <c r="A17" s="83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14"/>
      <c r="Y17" s="14"/>
      <c r="Z17" s="14"/>
    </row>
    <row r="18" spans="1:27" x14ac:dyDescent="0.35">
      <c r="A18" s="83" t="s">
        <v>216</v>
      </c>
      <c r="C18" s="70" t="s">
        <v>217</v>
      </c>
      <c r="D18" s="118" t="e">
        <f t="shared" ref="D18:Z18" ca="1" si="6">D11+SUM(D13:D15)</f>
        <v>#DIV/0!</v>
      </c>
      <c r="E18" s="118" t="e">
        <f t="shared" ca="1" si="6"/>
        <v>#DIV/0!</v>
      </c>
      <c r="F18" s="118" t="e">
        <f t="shared" ca="1" si="6"/>
        <v>#DIV/0!</v>
      </c>
      <c r="G18" s="118" t="e">
        <f t="shared" ca="1" si="6"/>
        <v>#DIV/0!</v>
      </c>
      <c r="H18" s="118" t="e">
        <f t="shared" ca="1" si="6"/>
        <v>#DIV/0!</v>
      </c>
      <c r="I18" s="118" t="e">
        <f t="shared" ca="1" si="6"/>
        <v>#DIV/0!</v>
      </c>
      <c r="J18" s="118" t="e">
        <f t="shared" ca="1" si="6"/>
        <v>#DIV/0!</v>
      </c>
      <c r="K18" s="118" t="e">
        <f t="shared" ca="1" si="6"/>
        <v>#DIV/0!</v>
      </c>
      <c r="L18" s="118" t="e">
        <f t="shared" ca="1" si="6"/>
        <v>#DIV/0!</v>
      </c>
      <c r="M18" s="118" t="e">
        <f t="shared" ca="1" si="6"/>
        <v>#DIV/0!</v>
      </c>
      <c r="N18" s="118" t="e">
        <f t="shared" ca="1" si="6"/>
        <v>#DIV/0!</v>
      </c>
      <c r="O18" s="118" t="e">
        <f t="shared" ca="1" si="6"/>
        <v>#DIV/0!</v>
      </c>
      <c r="P18" s="118" t="e">
        <f t="shared" ca="1" si="6"/>
        <v>#DIV/0!</v>
      </c>
      <c r="Q18" s="118" t="e">
        <f t="shared" ca="1" si="6"/>
        <v>#DIV/0!</v>
      </c>
      <c r="R18" s="118" t="e">
        <f t="shared" ca="1" si="6"/>
        <v>#DIV/0!</v>
      </c>
      <c r="S18" s="118" t="e">
        <f t="shared" ca="1" si="6"/>
        <v>#DIV/0!</v>
      </c>
      <c r="T18" s="118" t="e">
        <f t="shared" ca="1" si="6"/>
        <v>#DIV/0!</v>
      </c>
      <c r="U18" s="118" t="e">
        <f t="shared" ca="1" si="6"/>
        <v>#DIV/0!</v>
      </c>
      <c r="V18" s="118" t="e">
        <f t="shared" ca="1" si="6"/>
        <v>#DIV/0!</v>
      </c>
      <c r="W18" s="118" t="e">
        <f t="shared" ca="1" si="6"/>
        <v>#DIV/0!</v>
      </c>
      <c r="X18" s="118" t="e">
        <f t="shared" ca="1" si="6"/>
        <v>#DIV/0!</v>
      </c>
      <c r="Y18" s="118" t="e">
        <f t="shared" ca="1" si="6"/>
        <v>#DIV/0!</v>
      </c>
      <c r="Z18" s="118" t="e">
        <f t="shared" ca="1" si="6"/>
        <v>#DIV/0!</v>
      </c>
      <c r="AA18" s="14"/>
    </row>
    <row r="19" spans="1:27" x14ac:dyDescent="0.35">
      <c r="A19" s="83" t="s">
        <v>218</v>
      </c>
      <c r="C19" s="107" cm="1">
        <f t="array" aca="1" ref="C19" ca="1">IF('0-Inputs'!$B$239="yes",'0-Inputs'!$B$240,IF(ISTEXT('0-Inputs'!B$238),INDIRECT('0-Inputs'!$B$238),'0-Inputs'!B$238))</f>
        <v>7.8700000000000006E-2</v>
      </c>
      <c r="D19" s="118" t="e">
        <f ca="1">D18/(1+$C19)^(D$3-1)</f>
        <v>#DIV/0!</v>
      </c>
      <c r="E19" s="118" t="e">
        <f ca="1">E18/(1+$C19)^(E$3-1)</f>
        <v>#DIV/0!</v>
      </c>
      <c r="F19" s="118" t="e">
        <f t="shared" ref="F19:W19" ca="1" si="7">F18/(1+$C19)^(F$3-1)</f>
        <v>#DIV/0!</v>
      </c>
      <c r="G19" s="118" t="e">
        <f t="shared" ca="1" si="7"/>
        <v>#DIV/0!</v>
      </c>
      <c r="H19" s="118" t="e">
        <f t="shared" ca="1" si="7"/>
        <v>#DIV/0!</v>
      </c>
      <c r="I19" s="118" t="e">
        <f t="shared" ca="1" si="7"/>
        <v>#DIV/0!</v>
      </c>
      <c r="J19" s="118" t="e">
        <f t="shared" ca="1" si="7"/>
        <v>#DIV/0!</v>
      </c>
      <c r="K19" s="118" t="e">
        <f t="shared" ca="1" si="7"/>
        <v>#DIV/0!</v>
      </c>
      <c r="L19" s="118" t="e">
        <f t="shared" ca="1" si="7"/>
        <v>#DIV/0!</v>
      </c>
      <c r="M19" s="118" t="e">
        <f t="shared" ca="1" si="7"/>
        <v>#DIV/0!</v>
      </c>
      <c r="N19" s="118" t="e">
        <f t="shared" ca="1" si="7"/>
        <v>#DIV/0!</v>
      </c>
      <c r="O19" s="118" t="e">
        <f t="shared" ca="1" si="7"/>
        <v>#DIV/0!</v>
      </c>
      <c r="P19" s="118" t="e">
        <f t="shared" ca="1" si="7"/>
        <v>#DIV/0!</v>
      </c>
      <c r="Q19" s="118" t="e">
        <f t="shared" ca="1" si="7"/>
        <v>#DIV/0!</v>
      </c>
      <c r="R19" s="118" t="e">
        <f t="shared" ca="1" si="7"/>
        <v>#DIV/0!</v>
      </c>
      <c r="S19" s="118" t="e">
        <f t="shared" ca="1" si="7"/>
        <v>#DIV/0!</v>
      </c>
      <c r="T19" s="118" t="e">
        <f t="shared" ca="1" si="7"/>
        <v>#DIV/0!</v>
      </c>
      <c r="U19" s="118" t="e">
        <f t="shared" ca="1" si="7"/>
        <v>#DIV/0!</v>
      </c>
      <c r="V19" s="118" t="e">
        <f t="shared" ca="1" si="7"/>
        <v>#DIV/0!</v>
      </c>
      <c r="W19" s="118" t="e">
        <f t="shared" ca="1" si="7"/>
        <v>#DIV/0!</v>
      </c>
      <c r="X19" s="14" t="e">
        <f ca="1">SUM(D19:H19)</f>
        <v>#DIV/0!</v>
      </c>
      <c r="Y19" s="14" t="e">
        <f ca="1">SUM(D19:M19)</f>
        <v>#DIV/0!</v>
      </c>
      <c r="Z19" s="14" t="e">
        <f ca="1">SUM(D19:W19)</f>
        <v>#DIV/0!</v>
      </c>
    </row>
    <row r="20" spans="1:27" x14ac:dyDescent="0.35">
      <c r="D20" s="118" t="e">
        <f t="shared" ref="D20:V20" ca="1" si="8">D16/(1+$C19)^(D$3-1)</f>
        <v>#DIV/0!</v>
      </c>
      <c r="E20" s="118" t="e">
        <f t="shared" ca="1" si="8"/>
        <v>#DIV/0!</v>
      </c>
      <c r="F20" s="118" t="e">
        <f t="shared" ca="1" si="8"/>
        <v>#DIV/0!</v>
      </c>
      <c r="G20" s="118" t="e">
        <f ca="1">G16/(1+$C19)^(G$3-1)</f>
        <v>#DIV/0!</v>
      </c>
      <c r="H20" s="118" t="e">
        <f t="shared" ca="1" si="8"/>
        <v>#DIV/0!</v>
      </c>
      <c r="I20" s="118" t="e">
        <f t="shared" ca="1" si="8"/>
        <v>#DIV/0!</v>
      </c>
      <c r="J20" s="118" t="e">
        <f t="shared" ca="1" si="8"/>
        <v>#DIV/0!</v>
      </c>
      <c r="K20" s="118" t="e">
        <f t="shared" ca="1" si="8"/>
        <v>#DIV/0!</v>
      </c>
      <c r="L20" s="118" t="e">
        <f t="shared" ca="1" si="8"/>
        <v>#DIV/0!</v>
      </c>
      <c r="M20" s="118" t="e">
        <f t="shared" ca="1" si="8"/>
        <v>#DIV/0!</v>
      </c>
      <c r="N20" s="118" t="e">
        <f t="shared" ca="1" si="8"/>
        <v>#DIV/0!</v>
      </c>
      <c r="O20" s="118" t="e">
        <f t="shared" ca="1" si="8"/>
        <v>#DIV/0!</v>
      </c>
      <c r="P20" s="118" t="e">
        <f t="shared" ca="1" si="8"/>
        <v>#DIV/0!</v>
      </c>
      <c r="Q20" s="118" t="e">
        <f t="shared" ca="1" si="8"/>
        <v>#DIV/0!</v>
      </c>
      <c r="R20" s="118" t="e">
        <f t="shared" ca="1" si="8"/>
        <v>#DIV/0!</v>
      </c>
      <c r="S20" s="118" t="e">
        <f t="shared" ca="1" si="8"/>
        <v>#DIV/0!</v>
      </c>
      <c r="T20" s="118" t="e">
        <f t="shared" ca="1" si="8"/>
        <v>#DIV/0!</v>
      </c>
      <c r="U20" s="118" t="e">
        <f t="shared" ca="1" si="8"/>
        <v>#DIV/0!</v>
      </c>
      <c r="V20" s="118" t="e">
        <f t="shared" ca="1" si="8"/>
        <v>#DIV/0!</v>
      </c>
      <c r="W20" s="118" t="e">
        <f ca="1">W16/(1+$C19)^(W$3-1)</f>
        <v>#DIV/0!</v>
      </c>
      <c r="X20" s="14" t="e">
        <f ca="1">SUM(D20:H20)</f>
        <v>#DIV/0!</v>
      </c>
      <c r="Y20" s="14" t="e">
        <f ca="1">SUM(D20:M20)</f>
        <v>#DIV/0!</v>
      </c>
      <c r="Z20" s="14" t="e">
        <f ca="1">SUM(D20:W20)</f>
        <v>#DIV/0!</v>
      </c>
    </row>
    <row r="21" spans="1:27" x14ac:dyDescent="0.35">
      <c r="B21" s="1"/>
      <c r="E21" s="14"/>
      <c r="G21" s="14"/>
    </row>
    <row r="22" spans="1:27" x14ac:dyDescent="0.35">
      <c r="A22" s="83"/>
      <c r="B22" s="106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14"/>
      <c r="Y22" s="14"/>
      <c r="Z22" s="14"/>
    </row>
    <row r="23" spans="1:27" s="82" customFormat="1" ht="21" x14ac:dyDescent="0.5">
      <c r="A23" s="84" t="s">
        <v>220</v>
      </c>
      <c r="B23"/>
      <c r="D23" s="120">
        <f>YearOne</f>
        <v>2026</v>
      </c>
      <c r="E23" s="120">
        <f t="shared" ref="E23:W23" si="9">YearOne+E$3-1</f>
        <v>2027</v>
      </c>
      <c r="F23" s="120">
        <f t="shared" si="9"/>
        <v>2028</v>
      </c>
      <c r="G23" s="120">
        <f t="shared" si="9"/>
        <v>2029</v>
      </c>
      <c r="H23" s="120">
        <f t="shared" si="9"/>
        <v>2030</v>
      </c>
      <c r="I23" s="120">
        <f t="shared" si="9"/>
        <v>2031</v>
      </c>
      <c r="J23" s="120">
        <f t="shared" si="9"/>
        <v>2032</v>
      </c>
      <c r="K23" s="120">
        <f t="shared" si="9"/>
        <v>2033</v>
      </c>
      <c r="L23" s="120">
        <f t="shared" si="9"/>
        <v>2034</v>
      </c>
      <c r="M23" s="120">
        <f t="shared" si="9"/>
        <v>2035</v>
      </c>
      <c r="N23" s="120">
        <f t="shared" si="9"/>
        <v>2036</v>
      </c>
      <c r="O23" s="120">
        <f t="shared" si="9"/>
        <v>2037</v>
      </c>
      <c r="P23" s="120">
        <f t="shared" si="9"/>
        <v>2038</v>
      </c>
      <c r="Q23" s="120">
        <f t="shared" si="9"/>
        <v>2039</v>
      </c>
      <c r="R23" s="120">
        <f t="shared" si="9"/>
        <v>2040</v>
      </c>
      <c r="S23" s="120">
        <f t="shared" si="9"/>
        <v>2041</v>
      </c>
      <c r="T23" s="120">
        <f t="shared" si="9"/>
        <v>2042</v>
      </c>
      <c r="U23" s="120">
        <f t="shared" si="9"/>
        <v>2043</v>
      </c>
      <c r="V23" s="120">
        <f t="shared" si="9"/>
        <v>2044</v>
      </c>
      <c r="W23" s="120">
        <f t="shared" si="9"/>
        <v>2045</v>
      </c>
      <c r="X23" s="52" t="s">
        <v>203</v>
      </c>
      <c r="Y23" s="52" t="s">
        <v>204</v>
      </c>
      <c r="Z23" s="52" t="s">
        <v>186</v>
      </c>
    </row>
    <row r="24" spans="1:27" s="82" customFormat="1" ht="18.5" outlineLevel="1" x14ac:dyDescent="0.45">
      <c r="A24" s="83" t="s">
        <v>205</v>
      </c>
      <c r="B24"/>
      <c r="D24" s="9">
        <f ca="1">'LOS LIke'!D14</f>
        <v>0</v>
      </c>
      <c r="E24" s="9">
        <f ca="1">'LOS LIke'!E14</f>
        <v>0</v>
      </c>
      <c r="F24" s="9">
        <f ca="1">'LOS LIke'!F14</f>
        <v>0</v>
      </c>
      <c r="G24" s="9">
        <f ca="1">'LOS LIke'!G14</f>
        <v>0</v>
      </c>
      <c r="H24" s="9">
        <f ca="1">'LOS LIke'!H14</f>
        <v>0</v>
      </c>
      <c r="I24" s="9">
        <f ca="1">'LOS LIke'!I14</f>
        <v>0</v>
      </c>
      <c r="J24" s="9">
        <f ca="1">'LOS LIke'!J14</f>
        <v>0</v>
      </c>
      <c r="K24" s="9">
        <f ca="1">'LOS LIke'!K14</f>
        <v>0</v>
      </c>
      <c r="L24" s="9">
        <f ca="1">'LOS LIke'!L14</f>
        <v>0</v>
      </c>
      <c r="M24" s="9">
        <f ca="1">'LOS LIke'!M14</f>
        <v>0</v>
      </c>
      <c r="N24" s="9">
        <f ca="1">'LOS LIke'!N14</f>
        <v>0</v>
      </c>
      <c r="O24" s="9">
        <f ca="1">'LOS LIke'!O14</f>
        <v>0</v>
      </c>
      <c r="P24" s="9">
        <f ca="1">'LOS LIke'!P14</f>
        <v>0</v>
      </c>
      <c r="Q24" s="9">
        <f ca="1">'LOS LIke'!Q14</f>
        <v>0</v>
      </c>
      <c r="R24" s="9">
        <f ca="1">'LOS LIke'!R14</f>
        <v>0</v>
      </c>
      <c r="S24" s="9">
        <f ca="1">'LOS LIke'!S14</f>
        <v>0</v>
      </c>
      <c r="T24" s="9">
        <f ca="1">'LOS LIke'!T14</f>
        <v>0</v>
      </c>
      <c r="U24" s="9">
        <f ca="1">'LOS LIke'!U14</f>
        <v>0</v>
      </c>
      <c r="V24" s="9">
        <f ca="1">'LOS LIke'!V14</f>
        <v>0</v>
      </c>
      <c r="W24" s="9">
        <f ca="1">'LOS LIke'!W14</f>
        <v>0</v>
      </c>
      <c r="X24" s="14">
        <f t="shared" ref="X24:X29" ca="1" si="10">SUM(D24:H24)</f>
        <v>0</v>
      </c>
      <c r="Y24" s="14">
        <f t="shared" ref="Y24:Y29" ca="1" si="11">SUM(D24:M24)</f>
        <v>0</v>
      </c>
      <c r="Z24" s="14">
        <f t="shared" ref="Z24:Z29" ca="1" si="12">SUM(D24:W24)</f>
        <v>0</v>
      </c>
    </row>
    <row r="25" spans="1:27" s="82" customFormat="1" ht="18.5" outlineLevel="1" x14ac:dyDescent="0.45">
      <c r="A25" s="83" t="s">
        <v>206</v>
      </c>
      <c r="B25"/>
      <c r="D25" s="9">
        <f>'LOS LIke'!D15</f>
        <v>0</v>
      </c>
      <c r="E25" s="9">
        <f>'LOS LIke'!E15</f>
        <v>0</v>
      </c>
      <c r="F25" s="9">
        <f>'LOS LIke'!F15</f>
        <v>0</v>
      </c>
      <c r="G25" s="9">
        <f>'LOS LIke'!G15</f>
        <v>0</v>
      </c>
      <c r="H25" s="9">
        <f>'LOS LIke'!H15</f>
        <v>0</v>
      </c>
      <c r="I25" s="9">
        <f>'LOS LIke'!I15</f>
        <v>0</v>
      </c>
      <c r="J25" s="9">
        <f>'LOS LIke'!J15</f>
        <v>0</v>
      </c>
      <c r="K25" s="9">
        <f>'LOS LIke'!K15</f>
        <v>0</v>
      </c>
      <c r="L25" s="9">
        <f>'LOS LIke'!L15</f>
        <v>0</v>
      </c>
      <c r="M25" s="9">
        <f>'LOS LIke'!M15</f>
        <v>0</v>
      </c>
      <c r="N25" s="9">
        <f>'LOS LIke'!N15</f>
        <v>0</v>
      </c>
      <c r="O25" s="9">
        <f>'LOS LIke'!O15</f>
        <v>0</v>
      </c>
      <c r="P25" s="9">
        <f>'LOS LIke'!P15</f>
        <v>0</v>
      </c>
      <c r="Q25" s="9">
        <f>'LOS LIke'!Q15</f>
        <v>0</v>
      </c>
      <c r="R25" s="9">
        <f>'LOS LIke'!R15</f>
        <v>0</v>
      </c>
      <c r="S25" s="9">
        <f>'LOS LIke'!S15</f>
        <v>0</v>
      </c>
      <c r="T25" s="9">
        <f>'LOS LIke'!T15</f>
        <v>0</v>
      </c>
      <c r="U25" s="9">
        <f>'LOS LIke'!U15</f>
        <v>0</v>
      </c>
      <c r="V25" s="9">
        <f>'LOS LIke'!V15</f>
        <v>0</v>
      </c>
      <c r="W25" s="9">
        <f>'LOS LIke'!W15</f>
        <v>0</v>
      </c>
      <c r="X25" s="14">
        <f t="shared" si="10"/>
        <v>0</v>
      </c>
      <c r="Y25" s="14">
        <f t="shared" si="11"/>
        <v>0</v>
      </c>
      <c r="Z25" s="14">
        <f t="shared" si="12"/>
        <v>0</v>
      </c>
    </row>
    <row r="26" spans="1:27" outlineLevel="1" x14ac:dyDescent="0.35">
      <c r="A26" s="83" t="str">
        <f>A7</f>
        <v>Depreciation</v>
      </c>
      <c r="D26" s="9">
        <f ca="1">'LOS LIke'!D16</f>
        <v>0</v>
      </c>
      <c r="E26" s="9">
        <f ca="1">'LOS LIke'!E16</f>
        <v>0</v>
      </c>
      <c r="F26" s="9">
        <f ca="1">'LOS LIke'!F16</f>
        <v>0</v>
      </c>
      <c r="G26" s="9">
        <f ca="1">'LOS LIke'!G16</f>
        <v>0</v>
      </c>
      <c r="H26" s="9">
        <f ca="1">'LOS LIke'!H16</f>
        <v>0</v>
      </c>
      <c r="I26" s="9">
        <f ca="1">'LOS LIke'!I16</f>
        <v>0</v>
      </c>
      <c r="J26" s="9">
        <f ca="1">'LOS LIke'!J16</f>
        <v>0</v>
      </c>
      <c r="K26" s="9">
        <f ca="1">'LOS LIke'!K16</f>
        <v>0</v>
      </c>
      <c r="L26" s="9">
        <f ca="1">'LOS LIke'!L16</f>
        <v>0</v>
      </c>
      <c r="M26" s="9">
        <f ca="1">'LOS LIke'!M16</f>
        <v>0</v>
      </c>
      <c r="N26" s="9">
        <f ca="1">'LOS LIke'!N16</f>
        <v>0</v>
      </c>
      <c r="O26" s="9">
        <f ca="1">'LOS LIke'!O16</f>
        <v>0</v>
      </c>
      <c r="P26" s="9">
        <f ca="1">'LOS LIke'!P16</f>
        <v>0</v>
      </c>
      <c r="Q26" s="9">
        <f ca="1">'LOS LIke'!Q16</f>
        <v>0</v>
      </c>
      <c r="R26" s="9">
        <f ca="1">'LOS LIke'!R16</f>
        <v>0</v>
      </c>
      <c r="S26" s="9">
        <f ca="1">'LOS LIke'!S16</f>
        <v>0</v>
      </c>
      <c r="T26" s="9">
        <f ca="1">'LOS LIke'!T16</f>
        <v>0</v>
      </c>
      <c r="U26" s="9">
        <f ca="1">'LOS LIke'!U16</f>
        <v>0</v>
      </c>
      <c r="V26" s="9">
        <f ca="1">'LOS LIke'!V16</f>
        <v>0</v>
      </c>
      <c r="W26" s="9">
        <f ca="1">'LOS LIke'!W16</f>
        <v>0</v>
      </c>
      <c r="X26" s="14">
        <f t="shared" ca="1" si="10"/>
        <v>0</v>
      </c>
      <c r="Y26" s="14">
        <f t="shared" ca="1" si="11"/>
        <v>0</v>
      </c>
      <c r="Z26" s="14">
        <f t="shared" ca="1" si="12"/>
        <v>0</v>
      </c>
    </row>
    <row r="27" spans="1:27" outlineLevel="1" x14ac:dyDescent="0.35">
      <c r="A27" s="83" t="str">
        <f>A8</f>
        <v>Property Tax</v>
      </c>
      <c r="D27" s="9">
        <f ca="1">'LOS LIke'!D17</f>
        <v>-39503.876579999924</v>
      </c>
      <c r="E27" s="9">
        <f ca="1">'LOS LIke'!E17</f>
        <v>-20388.954339999938</v>
      </c>
      <c r="F27" s="9">
        <f ca="1">'LOS LIke'!F17</f>
        <v>-1274.0320999999531</v>
      </c>
      <c r="G27" s="9">
        <f ca="1">'LOS LIke'!G17</f>
        <v>-80281.785259999975</v>
      </c>
      <c r="H27" s="9">
        <f ca="1">'LOS LIke'!H17</f>
        <v>-159289.53841999994</v>
      </c>
      <c r="I27" s="9">
        <f ca="1">'LOS LIke'!I17</f>
        <v>-238297.29157999996</v>
      </c>
      <c r="J27" s="9">
        <f ca="1">'LOS LIke'!J17</f>
        <v>-317305.04473999992</v>
      </c>
      <c r="K27" s="9">
        <f ca="1">'LOS LIke'!K17</f>
        <v>-396312.79790000001</v>
      </c>
      <c r="L27" s="9">
        <f ca="1">'LOS LIke'!L17</f>
        <v>-475320.55106000003</v>
      </c>
      <c r="M27" s="9">
        <f ca="1">'LOS LIke'!M17</f>
        <v>-554328.30422000005</v>
      </c>
      <c r="N27" s="9">
        <f ca="1">'LOS LIke'!N17</f>
        <v>-633336.05738000013</v>
      </c>
      <c r="O27" s="9">
        <f ca="1">'LOS LIke'!O17</f>
        <v>-712343.81054000021</v>
      </c>
      <c r="P27" s="9">
        <f ca="1">'LOS LIke'!P17</f>
        <v>-791351.56370000017</v>
      </c>
      <c r="Q27" s="9">
        <f ca="1">'LOS LIke'!Q17</f>
        <v>-870359.31686000025</v>
      </c>
      <c r="R27" s="9">
        <f ca="1">'LOS LIke'!R17</f>
        <v>-949367.0700200001</v>
      </c>
      <c r="S27" s="9">
        <f ca="1">'LOS LIke'!S17</f>
        <v>-1028374.8231800003</v>
      </c>
      <c r="T27" s="9">
        <f ca="1">'LOS LIke'!T17</f>
        <v>-1107382.5763400001</v>
      </c>
      <c r="U27" s="9">
        <f ca="1">'LOS LIke'!U17</f>
        <v>-1186390.3295000005</v>
      </c>
      <c r="V27" s="9">
        <f ca="1">'LOS LIke'!V17</f>
        <v>-1265398.0826600003</v>
      </c>
      <c r="W27" s="9">
        <f ca="1">'LOS LIke'!W17</f>
        <v>-1344405.8358200006</v>
      </c>
      <c r="X27" s="14">
        <f t="shared" ca="1" si="10"/>
        <v>-300738.18669999973</v>
      </c>
      <c r="Y27" s="14">
        <f t="shared" ca="1" si="11"/>
        <v>-2282302.1761999996</v>
      </c>
      <c r="Z27" s="14">
        <f t="shared" ca="1" si="12"/>
        <v>-12171011.642200002</v>
      </c>
    </row>
    <row r="28" spans="1:27" outlineLevel="1" x14ac:dyDescent="0.35">
      <c r="A28" s="83" t="str">
        <f>A9</f>
        <v>Pre Tax Rate of Return</v>
      </c>
      <c r="D28" s="9">
        <f ca="1">'LOS LIke'!D18</f>
        <v>-180188.60063781077</v>
      </c>
      <c r="E28" s="9">
        <f ca="1">'LOS LIke'!E18</f>
        <v>55791.143117204098</v>
      </c>
      <c r="F28" s="9">
        <f ca="1">'LOS LIke'!F18</f>
        <v>291770.88687221904</v>
      </c>
      <c r="G28" s="9">
        <f ca="1">'LOS LIke'!G18</f>
        <v>-68606.314403402241</v>
      </c>
      <c r="H28" s="9">
        <f ca="1">'LOS LIke'!H18</f>
        <v>-428983.51567902335</v>
      </c>
      <c r="I28" s="9">
        <f ca="1">'LOS LIke'!I18</f>
        <v>-789360.71695464454</v>
      </c>
      <c r="J28" s="9">
        <f ca="1">'LOS LIke'!J18</f>
        <v>-1149737.9182302656</v>
      </c>
      <c r="K28" s="9">
        <f ca="1">'LOS LIke'!K18</f>
        <v>-1510115.1195058869</v>
      </c>
      <c r="L28" s="9">
        <f ca="1">'LOS LIke'!L18</f>
        <v>-1870492.3207815085</v>
      </c>
      <c r="M28" s="9">
        <f ca="1">'LOS LIke'!M18</f>
        <v>-2230869.52205713</v>
      </c>
      <c r="N28" s="9">
        <f ca="1">'LOS LIke'!N18</f>
        <v>-2591246.7233327515</v>
      </c>
      <c r="O28" s="9">
        <f ca="1">'LOS LIke'!O18</f>
        <v>-2951623.9246083731</v>
      </c>
      <c r="P28" s="9">
        <f ca="1">'LOS LIke'!P18</f>
        <v>-3312001.1258839937</v>
      </c>
      <c r="Q28" s="9">
        <f ca="1">'LOS LIke'!Q18</f>
        <v>-3672378.3271596152</v>
      </c>
      <c r="R28" s="9">
        <f ca="1">'LOS LIke'!R18</f>
        <v>-4032755.5284352368</v>
      </c>
      <c r="S28" s="9">
        <f ca="1">'LOS LIke'!S18</f>
        <v>-4393132.7297108583</v>
      </c>
      <c r="T28" s="9">
        <f ca="1">'LOS LIke'!T18</f>
        <v>-4753509.9309864799</v>
      </c>
      <c r="U28" s="9">
        <f ca="1">'LOS LIke'!U18</f>
        <v>-5113887.1322621014</v>
      </c>
      <c r="V28" s="9">
        <f ca="1">'LOS LIke'!V18</f>
        <v>-5474264.333537722</v>
      </c>
      <c r="W28" s="9">
        <f ca="1">'LOS LIke'!W18</f>
        <v>-5834641.5348133445</v>
      </c>
      <c r="X28" s="14">
        <f t="shared" ca="1" si="10"/>
        <v>-330216.40073081321</v>
      </c>
      <c r="Y28" s="14">
        <f t="shared" ca="1" si="11"/>
        <v>-7880791.9982602485</v>
      </c>
      <c r="Z28" s="14">
        <f t="shared" ca="1" si="12"/>
        <v>-50010233.288990729</v>
      </c>
    </row>
    <row r="29" spans="1:27" outlineLevel="1" x14ac:dyDescent="0.35">
      <c r="A29" s="83" t="s">
        <v>210</v>
      </c>
      <c r="D29" s="9" t="e">
        <f ca="1">'LOS LIke'!D27</f>
        <v>#DIV/0!</v>
      </c>
      <c r="E29" s="9" t="e">
        <f ca="1">'LOS LIke'!E27</f>
        <v>#DIV/0!</v>
      </c>
      <c r="F29" s="9" t="e">
        <f ca="1">'LOS LIke'!F27</f>
        <v>#DIV/0!</v>
      </c>
      <c r="G29" s="9" t="e">
        <f ca="1">'LOS LIke'!G27</f>
        <v>#DIV/0!</v>
      </c>
      <c r="H29" s="9" t="e">
        <f ca="1">'LOS LIke'!H27</f>
        <v>#DIV/0!</v>
      </c>
      <c r="I29" s="9" t="e">
        <f ca="1">'LOS LIke'!I27</f>
        <v>#DIV/0!</v>
      </c>
      <c r="J29" s="9" t="e">
        <f ca="1">'LOS LIke'!J27</f>
        <v>#DIV/0!</v>
      </c>
      <c r="K29" s="9" t="e">
        <f ca="1">'LOS LIke'!K27</f>
        <v>#DIV/0!</v>
      </c>
      <c r="L29" s="9" t="e">
        <f ca="1">'LOS LIke'!L27</f>
        <v>#DIV/0!</v>
      </c>
      <c r="M29" s="9" t="e">
        <f ca="1">'LOS LIke'!M27</f>
        <v>#DIV/0!</v>
      </c>
      <c r="N29" s="9" t="e">
        <f ca="1">'LOS LIke'!N27</f>
        <v>#DIV/0!</v>
      </c>
      <c r="O29" s="9" t="e">
        <f ca="1">'LOS LIke'!O27</f>
        <v>#DIV/0!</v>
      </c>
      <c r="P29" s="9" t="e">
        <f ca="1">'LOS LIke'!P27</f>
        <v>#DIV/0!</v>
      </c>
      <c r="Q29" s="9" t="e">
        <f ca="1">'LOS LIke'!Q27</f>
        <v>#DIV/0!</v>
      </c>
      <c r="R29" s="9" t="e">
        <f ca="1">'LOS LIke'!R27</f>
        <v>#DIV/0!</v>
      </c>
      <c r="S29" s="9" t="e">
        <f ca="1">'LOS LIke'!S27</f>
        <v>#DIV/0!</v>
      </c>
      <c r="T29" s="9" t="e">
        <f ca="1">'LOS LIke'!T27</f>
        <v>#DIV/0!</v>
      </c>
      <c r="U29" s="9" t="e">
        <f ca="1">'LOS LIke'!U27</f>
        <v>#DIV/0!</v>
      </c>
      <c r="V29" s="9" t="e">
        <f ca="1">'LOS LIke'!V27</f>
        <v>#DIV/0!</v>
      </c>
      <c r="W29" s="9" t="e">
        <f ca="1">'LOS LIke'!W27</f>
        <v>#DIV/0!</v>
      </c>
      <c r="X29" s="14" t="e">
        <f t="shared" ca="1" si="10"/>
        <v>#DIV/0!</v>
      </c>
      <c r="Y29" s="14" t="e">
        <f t="shared" ca="1" si="11"/>
        <v>#DIV/0!</v>
      </c>
      <c r="Z29" s="14" t="e">
        <f t="shared" ca="1" si="12"/>
        <v>#DIV/0!</v>
      </c>
    </row>
    <row r="30" spans="1:27" x14ac:dyDescent="0.35">
      <c r="A30" s="83" t="s">
        <v>211</v>
      </c>
      <c r="D30" s="39" t="e">
        <f ca="1">SUM(D24:D29)</f>
        <v>#DIV/0!</v>
      </c>
      <c r="E30" s="39" t="e">
        <f t="shared" ref="E30:Z30" ca="1" si="13">SUM(E24:E29)</f>
        <v>#DIV/0!</v>
      </c>
      <c r="F30" s="39" t="e">
        <f t="shared" ca="1" si="13"/>
        <v>#DIV/0!</v>
      </c>
      <c r="G30" s="39" t="e">
        <f t="shared" ca="1" si="13"/>
        <v>#DIV/0!</v>
      </c>
      <c r="H30" s="39" t="e">
        <f t="shared" ca="1" si="13"/>
        <v>#DIV/0!</v>
      </c>
      <c r="I30" s="39" t="e">
        <f t="shared" ca="1" si="13"/>
        <v>#DIV/0!</v>
      </c>
      <c r="J30" s="39" t="e">
        <f t="shared" ca="1" si="13"/>
        <v>#DIV/0!</v>
      </c>
      <c r="K30" s="39" t="e">
        <f t="shared" ca="1" si="13"/>
        <v>#DIV/0!</v>
      </c>
      <c r="L30" s="39" t="e">
        <f t="shared" ca="1" si="13"/>
        <v>#DIV/0!</v>
      </c>
      <c r="M30" s="39" t="e">
        <f t="shared" ca="1" si="13"/>
        <v>#DIV/0!</v>
      </c>
      <c r="N30" s="39" t="e">
        <f t="shared" ca="1" si="13"/>
        <v>#DIV/0!</v>
      </c>
      <c r="O30" s="39" t="e">
        <f t="shared" ca="1" si="13"/>
        <v>#DIV/0!</v>
      </c>
      <c r="P30" s="39" t="e">
        <f t="shared" ca="1" si="13"/>
        <v>#DIV/0!</v>
      </c>
      <c r="Q30" s="39" t="e">
        <f t="shared" ca="1" si="13"/>
        <v>#DIV/0!</v>
      </c>
      <c r="R30" s="39" t="e">
        <f t="shared" ca="1" si="13"/>
        <v>#DIV/0!</v>
      </c>
      <c r="S30" s="39" t="e">
        <f t="shared" ca="1" si="13"/>
        <v>#DIV/0!</v>
      </c>
      <c r="T30" s="39" t="e">
        <f t="shared" ca="1" si="13"/>
        <v>#DIV/0!</v>
      </c>
      <c r="U30" s="39" t="e">
        <f t="shared" ca="1" si="13"/>
        <v>#DIV/0!</v>
      </c>
      <c r="V30" s="39" t="e">
        <f t="shared" ca="1" si="13"/>
        <v>#DIV/0!</v>
      </c>
      <c r="W30" s="39" t="e">
        <f t="shared" ca="1" si="13"/>
        <v>#DIV/0!</v>
      </c>
      <c r="X30" s="39" t="e">
        <f t="shared" ca="1" si="13"/>
        <v>#DIV/0!</v>
      </c>
      <c r="Y30" s="39" t="e">
        <f t="shared" ca="1" si="13"/>
        <v>#DIV/0!</v>
      </c>
      <c r="Z30" s="39" t="e">
        <f t="shared" ca="1" si="13"/>
        <v>#DIV/0!</v>
      </c>
    </row>
    <row r="31" spans="1:27" x14ac:dyDescent="0.35">
      <c r="A31" s="83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14"/>
      <c r="Y31" s="14"/>
      <c r="Z31" s="14"/>
    </row>
    <row r="32" spans="1:27" outlineLevel="1" x14ac:dyDescent="0.35">
      <c r="A32" s="83" t="s">
        <v>212</v>
      </c>
      <c r="D32" s="40" t="e">
        <f>-'LOS LIke'!D21</f>
        <v>#DIV/0!</v>
      </c>
      <c r="E32" s="40" t="e">
        <f>-'LOS LIke'!E21</f>
        <v>#DIV/0!</v>
      </c>
      <c r="F32" s="40" t="e">
        <f>-'LOS LIke'!F21</f>
        <v>#DIV/0!</v>
      </c>
      <c r="G32" s="40" t="e">
        <f>-'LOS LIke'!G21</f>
        <v>#DIV/0!</v>
      </c>
      <c r="H32" s="40" t="e">
        <f>-'LOS LIke'!H21</f>
        <v>#DIV/0!</v>
      </c>
      <c r="I32" s="40" t="e">
        <f>-'LOS LIke'!I21</f>
        <v>#DIV/0!</v>
      </c>
      <c r="J32" s="40" t="e">
        <f>-'LOS LIke'!J21</f>
        <v>#DIV/0!</v>
      </c>
      <c r="K32" s="40" t="e">
        <f>-'LOS LIke'!K21</f>
        <v>#DIV/0!</v>
      </c>
      <c r="L32" s="40" t="e">
        <f>-'LOS LIke'!L21</f>
        <v>#DIV/0!</v>
      </c>
      <c r="M32" s="40" t="e">
        <f>-'LOS LIke'!M21</f>
        <v>#DIV/0!</v>
      </c>
      <c r="N32" s="40" t="e">
        <f>-'LOS LIke'!N21</f>
        <v>#DIV/0!</v>
      </c>
      <c r="O32" s="40" t="e">
        <f>-'LOS LIke'!O21</f>
        <v>#DIV/0!</v>
      </c>
      <c r="P32" s="40" t="e">
        <f>-'LOS LIke'!P21</f>
        <v>#DIV/0!</v>
      </c>
      <c r="Q32" s="40" t="e">
        <f>-'LOS LIke'!Q21</f>
        <v>#DIV/0!</v>
      </c>
      <c r="R32" s="40" t="e">
        <f>-'LOS LIke'!R21</f>
        <v>#DIV/0!</v>
      </c>
      <c r="S32" s="40" t="e">
        <f>-'LOS LIke'!S21</f>
        <v>#DIV/0!</v>
      </c>
      <c r="T32" s="40" t="e">
        <f>-'LOS LIke'!T21</f>
        <v>#DIV/0!</v>
      </c>
      <c r="U32" s="40" t="e">
        <f>-'LOS LIke'!U21</f>
        <v>#DIV/0!</v>
      </c>
      <c r="V32" s="40" t="e">
        <f>-'LOS LIke'!V21</f>
        <v>#DIV/0!</v>
      </c>
      <c r="W32" s="40" t="e">
        <f>-'LOS LIke'!W21</f>
        <v>#DIV/0!</v>
      </c>
      <c r="X32" s="117" t="e">
        <f>SUM(D32:H32)</f>
        <v>#DIV/0!</v>
      </c>
      <c r="Y32" s="117" t="e">
        <f>SUM(D32:M32)</f>
        <v>#DIV/0!</v>
      </c>
      <c r="Z32" s="117" t="e">
        <f>SUM(D32:W32)</f>
        <v>#DIV/0!</v>
      </c>
    </row>
    <row r="33" spans="1:27" outlineLevel="1" x14ac:dyDescent="0.35">
      <c r="A33" s="83" t="s">
        <v>213</v>
      </c>
      <c r="D33" s="40" t="e">
        <f>-'LOS LIke'!D22</f>
        <v>#DIV/0!</v>
      </c>
      <c r="E33" s="40" t="e">
        <f>-'LOS LIke'!E22</f>
        <v>#DIV/0!</v>
      </c>
      <c r="F33" s="40" t="e">
        <f>-'LOS LIke'!F22</f>
        <v>#DIV/0!</v>
      </c>
      <c r="G33" s="40" t="e">
        <f>-'LOS LIke'!G22</f>
        <v>#DIV/0!</v>
      </c>
      <c r="H33" s="40" t="e">
        <f>-'LOS LIke'!H22</f>
        <v>#DIV/0!</v>
      </c>
      <c r="I33" s="40" t="e">
        <f>-'LOS LIke'!I22</f>
        <v>#DIV/0!</v>
      </c>
      <c r="J33" s="40" t="e">
        <f>-'LOS LIke'!J22</f>
        <v>#DIV/0!</v>
      </c>
      <c r="K33" s="40" t="e">
        <f>-'LOS LIke'!K22</f>
        <v>#DIV/0!</v>
      </c>
      <c r="L33" s="40" t="e">
        <f>-'LOS LIke'!L22</f>
        <v>#DIV/0!</v>
      </c>
      <c r="M33" s="40" t="e">
        <f>-'LOS LIke'!M22</f>
        <v>#DIV/0!</v>
      </c>
      <c r="N33" s="40" t="e">
        <f>-'LOS LIke'!N22</f>
        <v>#DIV/0!</v>
      </c>
      <c r="O33" s="40" t="e">
        <f>-'LOS LIke'!O22</f>
        <v>#DIV/0!</v>
      </c>
      <c r="P33" s="40" t="e">
        <f>-'LOS LIke'!P22</f>
        <v>#DIV/0!</v>
      </c>
      <c r="Q33" s="40" t="e">
        <f>-'LOS LIke'!Q22</f>
        <v>#DIV/0!</v>
      </c>
      <c r="R33" s="40" t="e">
        <f>-'LOS LIke'!R22</f>
        <v>#DIV/0!</v>
      </c>
      <c r="S33" s="40" t="e">
        <f>-'LOS LIke'!S22</f>
        <v>#DIV/0!</v>
      </c>
      <c r="T33" s="40" t="e">
        <f>-'LOS LIke'!T22</f>
        <v>#DIV/0!</v>
      </c>
      <c r="U33" s="40" t="e">
        <f>-'LOS LIke'!U22</f>
        <v>#DIV/0!</v>
      </c>
      <c r="V33" s="40" t="e">
        <f>-'LOS LIke'!V22</f>
        <v>#DIV/0!</v>
      </c>
      <c r="W33" s="40" t="e">
        <f>-'LOS LIke'!W22</f>
        <v>#DIV/0!</v>
      </c>
      <c r="X33" s="14" t="e">
        <f>SUM(D33:H33)</f>
        <v>#DIV/0!</v>
      </c>
      <c r="Y33" s="14" t="e">
        <f>SUM(D33:M33)</f>
        <v>#DIV/0!</v>
      </c>
      <c r="Z33" s="14" t="e">
        <f>SUM(D33:W33)</f>
        <v>#DIV/0!</v>
      </c>
    </row>
    <row r="34" spans="1:27" outlineLevel="1" x14ac:dyDescent="0.35">
      <c r="A34" s="83" t="s">
        <v>214</v>
      </c>
      <c r="D34" s="40">
        <f ca="1">-'LOS LIke'!D23</f>
        <v>0</v>
      </c>
      <c r="E34" s="40">
        <f ca="1">-'LOS LIke'!E23</f>
        <v>0</v>
      </c>
      <c r="F34" s="40">
        <f ca="1">-'LOS LIke'!F23</f>
        <v>0</v>
      </c>
      <c r="G34" s="40">
        <f ca="1">-'LOS LIke'!G23</f>
        <v>0</v>
      </c>
      <c r="H34" s="40">
        <f ca="1">-'LOS LIke'!H23</f>
        <v>0</v>
      </c>
      <c r="I34" s="40">
        <f ca="1">-'LOS LIke'!I23</f>
        <v>0</v>
      </c>
      <c r="J34" s="40">
        <f ca="1">-'LOS LIke'!J23</f>
        <v>0</v>
      </c>
      <c r="K34" s="40">
        <f ca="1">-'LOS LIke'!K23</f>
        <v>0</v>
      </c>
      <c r="L34" s="40">
        <f ca="1">-'LOS LIke'!L23</f>
        <v>0</v>
      </c>
      <c r="M34" s="40">
        <f ca="1">-'LOS LIke'!M23</f>
        <v>0</v>
      </c>
      <c r="N34" s="40">
        <f ca="1">-'LOS LIke'!N23</f>
        <v>0</v>
      </c>
      <c r="O34" s="40">
        <f ca="1">-'LOS LIke'!O23</f>
        <v>0</v>
      </c>
      <c r="P34" s="40">
        <f ca="1">-'LOS LIke'!P23</f>
        <v>0</v>
      </c>
      <c r="Q34" s="40">
        <f ca="1">-'LOS LIke'!Q23</f>
        <v>0</v>
      </c>
      <c r="R34" s="40">
        <f ca="1">-'LOS LIke'!R23</f>
        <v>0</v>
      </c>
      <c r="S34" s="40">
        <f ca="1">-'LOS LIke'!S23</f>
        <v>0</v>
      </c>
      <c r="T34" s="40">
        <f ca="1">-'LOS LIke'!T23</f>
        <v>0</v>
      </c>
      <c r="U34" s="40">
        <f ca="1">-'LOS LIke'!U23</f>
        <v>0</v>
      </c>
      <c r="V34" s="40">
        <f ca="1">-'LOS LIke'!V23</f>
        <v>0</v>
      </c>
      <c r="W34" s="40">
        <f ca="1">-'LOS LIke'!W23</f>
        <v>0</v>
      </c>
      <c r="X34" s="14">
        <f ca="1">SUM(D34:H34)</f>
        <v>0</v>
      </c>
      <c r="Y34" s="14">
        <f ca="1">SUM(D34:M34)</f>
        <v>0</v>
      </c>
      <c r="Z34" s="14">
        <f ca="1">SUM(D34:W34)</f>
        <v>0</v>
      </c>
    </row>
    <row r="35" spans="1:27" x14ac:dyDescent="0.35">
      <c r="A35" s="83" t="s">
        <v>219</v>
      </c>
      <c r="D35" s="35" t="e">
        <f t="shared" ref="D35:Z35" si="14">SUM(D32:D34)</f>
        <v>#DIV/0!</v>
      </c>
      <c r="E35" s="35" t="e">
        <f t="shared" si="14"/>
        <v>#DIV/0!</v>
      </c>
      <c r="F35" s="35" t="e">
        <f t="shared" si="14"/>
        <v>#DIV/0!</v>
      </c>
      <c r="G35" s="35" t="e">
        <f t="shared" si="14"/>
        <v>#DIV/0!</v>
      </c>
      <c r="H35" s="35" t="e">
        <f t="shared" si="14"/>
        <v>#DIV/0!</v>
      </c>
      <c r="I35" s="35" t="e">
        <f t="shared" si="14"/>
        <v>#DIV/0!</v>
      </c>
      <c r="J35" s="35" t="e">
        <f t="shared" si="14"/>
        <v>#DIV/0!</v>
      </c>
      <c r="K35" s="35" t="e">
        <f t="shared" si="14"/>
        <v>#DIV/0!</v>
      </c>
      <c r="L35" s="35" t="e">
        <f t="shared" si="14"/>
        <v>#DIV/0!</v>
      </c>
      <c r="M35" s="35" t="e">
        <f t="shared" si="14"/>
        <v>#DIV/0!</v>
      </c>
      <c r="N35" s="35" t="e">
        <f t="shared" si="14"/>
        <v>#DIV/0!</v>
      </c>
      <c r="O35" s="35" t="e">
        <f t="shared" si="14"/>
        <v>#DIV/0!</v>
      </c>
      <c r="P35" s="35" t="e">
        <f t="shared" si="14"/>
        <v>#DIV/0!</v>
      </c>
      <c r="Q35" s="35" t="e">
        <f t="shared" si="14"/>
        <v>#DIV/0!</v>
      </c>
      <c r="R35" s="35" t="e">
        <f t="shared" si="14"/>
        <v>#DIV/0!</v>
      </c>
      <c r="S35" s="35" t="e">
        <f t="shared" si="14"/>
        <v>#DIV/0!</v>
      </c>
      <c r="T35" s="35" t="e">
        <f t="shared" si="14"/>
        <v>#DIV/0!</v>
      </c>
      <c r="U35" s="35" t="e">
        <f t="shared" si="14"/>
        <v>#DIV/0!</v>
      </c>
      <c r="V35" s="35" t="e">
        <f t="shared" si="14"/>
        <v>#DIV/0!</v>
      </c>
      <c r="W35" s="35" t="e">
        <f t="shared" si="14"/>
        <v>#DIV/0!</v>
      </c>
      <c r="X35" s="35" t="e">
        <f t="shared" si="14"/>
        <v>#DIV/0!</v>
      </c>
      <c r="Y35" s="35" t="e">
        <f t="shared" si="14"/>
        <v>#DIV/0!</v>
      </c>
      <c r="Z35" s="35" t="e">
        <f t="shared" si="14"/>
        <v>#DIV/0!</v>
      </c>
    </row>
    <row r="36" spans="1:27" x14ac:dyDescent="0.35">
      <c r="A36" s="83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14"/>
      <c r="Y36" s="14"/>
      <c r="Z36" s="14"/>
    </row>
    <row r="37" spans="1:27" x14ac:dyDescent="0.35">
      <c r="A37" s="83" t="s">
        <v>216</v>
      </c>
      <c r="C37" s="70" t="s">
        <v>217</v>
      </c>
      <c r="D37" s="118" t="e">
        <f t="shared" ref="D37:Z37" ca="1" si="15">D30+SUM(D32:D34)</f>
        <v>#DIV/0!</v>
      </c>
      <c r="E37" s="118" t="e">
        <f t="shared" ca="1" si="15"/>
        <v>#DIV/0!</v>
      </c>
      <c r="F37" s="118" t="e">
        <f t="shared" ca="1" si="15"/>
        <v>#DIV/0!</v>
      </c>
      <c r="G37" s="118" t="e">
        <f ca="1">G30+SUM(G32:G34)</f>
        <v>#DIV/0!</v>
      </c>
      <c r="H37" s="118" t="e">
        <f t="shared" ca="1" si="15"/>
        <v>#DIV/0!</v>
      </c>
      <c r="I37" s="118" t="e">
        <f t="shared" ca="1" si="15"/>
        <v>#DIV/0!</v>
      </c>
      <c r="J37" s="118" t="e">
        <f t="shared" ca="1" si="15"/>
        <v>#DIV/0!</v>
      </c>
      <c r="K37" s="118" t="e">
        <f t="shared" ca="1" si="15"/>
        <v>#DIV/0!</v>
      </c>
      <c r="L37" s="118" t="e">
        <f t="shared" ca="1" si="15"/>
        <v>#DIV/0!</v>
      </c>
      <c r="M37" s="118" t="e">
        <f t="shared" ca="1" si="15"/>
        <v>#DIV/0!</v>
      </c>
      <c r="N37" s="118" t="e">
        <f t="shared" ca="1" si="15"/>
        <v>#DIV/0!</v>
      </c>
      <c r="O37" s="118" t="e">
        <f t="shared" ca="1" si="15"/>
        <v>#DIV/0!</v>
      </c>
      <c r="P37" s="118" t="e">
        <f t="shared" ca="1" si="15"/>
        <v>#DIV/0!</v>
      </c>
      <c r="Q37" s="118" t="e">
        <f t="shared" ca="1" si="15"/>
        <v>#DIV/0!</v>
      </c>
      <c r="R37" s="118" t="e">
        <f t="shared" ca="1" si="15"/>
        <v>#DIV/0!</v>
      </c>
      <c r="S37" s="118" t="e">
        <f t="shared" ca="1" si="15"/>
        <v>#DIV/0!</v>
      </c>
      <c r="T37" s="118" t="e">
        <f t="shared" ca="1" si="15"/>
        <v>#DIV/0!</v>
      </c>
      <c r="U37" s="118" t="e">
        <f t="shared" ca="1" si="15"/>
        <v>#DIV/0!</v>
      </c>
      <c r="V37" s="118" t="e">
        <f t="shared" ca="1" si="15"/>
        <v>#DIV/0!</v>
      </c>
      <c r="W37" s="118" t="e">
        <f t="shared" ca="1" si="15"/>
        <v>#DIV/0!</v>
      </c>
      <c r="X37" s="118" t="e">
        <f t="shared" ca="1" si="15"/>
        <v>#DIV/0!</v>
      </c>
      <c r="Y37" s="118" t="e">
        <f t="shared" ca="1" si="15"/>
        <v>#DIV/0!</v>
      </c>
      <c r="Z37" s="118" t="e">
        <f t="shared" ca="1" si="15"/>
        <v>#DIV/0!</v>
      </c>
      <c r="AA37" s="14"/>
    </row>
    <row r="38" spans="1:27" x14ac:dyDescent="0.35">
      <c r="A38" s="83" t="s">
        <v>218</v>
      </c>
      <c r="C38" s="107" cm="1">
        <f t="array" aca="1" ref="C38" ca="1">IF('0-Inputs'!$B$239="yes",'0-Inputs'!$B$240,IF(ISTEXT('0-Inputs'!B$238),INDIRECT('0-Inputs'!$B$238),'0-Inputs'!B$238))</f>
        <v>7.8700000000000006E-2</v>
      </c>
      <c r="D38" s="118" t="e">
        <f ca="1">D37/(1+$C38)^(D$3-1)</f>
        <v>#DIV/0!</v>
      </c>
      <c r="E38" s="118" t="e">
        <f t="shared" ref="E38:W38" ca="1" si="16">E37/(1+$C38)^(E$3-1)</f>
        <v>#DIV/0!</v>
      </c>
      <c r="F38" s="118" t="e">
        <f t="shared" ca="1" si="16"/>
        <v>#DIV/0!</v>
      </c>
      <c r="G38" s="118" t="e">
        <f t="shared" ca="1" si="16"/>
        <v>#DIV/0!</v>
      </c>
      <c r="H38" s="118" t="e">
        <f t="shared" ca="1" si="16"/>
        <v>#DIV/0!</v>
      </c>
      <c r="I38" s="118" t="e">
        <f t="shared" ca="1" si="16"/>
        <v>#DIV/0!</v>
      </c>
      <c r="J38" s="118" t="e">
        <f t="shared" ca="1" si="16"/>
        <v>#DIV/0!</v>
      </c>
      <c r="K38" s="118" t="e">
        <f t="shared" ca="1" si="16"/>
        <v>#DIV/0!</v>
      </c>
      <c r="L38" s="118" t="e">
        <f t="shared" ca="1" si="16"/>
        <v>#DIV/0!</v>
      </c>
      <c r="M38" s="118" t="e">
        <f t="shared" ca="1" si="16"/>
        <v>#DIV/0!</v>
      </c>
      <c r="N38" s="118" t="e">
        <f t="shared" ca="1" si="16"/>
        <v>#DIV/0!</v>
      </c>
      <c r="O38" s="118" t="e">
        <f t="shared" ca="1" si="16"/>
        <v>#DIV/0!</v>
      </c>
      <c r="P38" s="118" t="e">
        <f t="shared" ca="1" si="16"/>
        <v>#DIV/0!</v>
      </c>
      <c r="Q38" s="118" t="e">
        <f t="shared" ca="1" si="16"/>
        <v>#DIV/0!</v>
      </c>
      <c r="R38" s="118" t="e">
        <f t="shared" ca="1" si="16"/>
        <v>#DIV/0!</v>
      </c>
      <c r="S38" s="118" t="e">
        <f t="shared" ca="1" si="16"/>
        <v>#DIV/0!</v>
      </c>
      <c r="T38" s="118" t="e">
        <f t="shared" ca="1" si="16"/>
        <v>#DIV/0!</v>
      </c>
      <c r="U38" s="118" t="e">
        <f t="shared" ca="1" si="16"/>
        <v>#DIV/0!</v>
      </c>
      <c r="V38" s="118" t="e">
        <f t="shared" ca="1" si="16"/>
        <v>#DIV/0!</v>
      </c>
      <c r="W38" s="118" t="e">
        <f t="shared" ca="1" si="16"/>
        <v>#DIV/0!</v>
      </c>
      <c r="X38" s="14" t="e">
        <f ca="1">SUM(D38:H38)</f>
        <v>#DIV/0!</v>
      </c>
      <c r="Y38" s="14" t="e">
        <f ca="1">SUM(D38:M38)</f>
        <v>#DIV/0!</v>
      </c>
      <c r="Z38" s="14" t="e">
        <f ca="1">SUM(D38:W38)</f>
        <v>#DIV/0!</v>
      </c>
    </row>
    <row r="39" spans="1:27" x14ac:dyDescent="0.35">
      <c r="A39" s="83"/>
      <c r="B39" s="10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14"/>
      <c r="Y39" s="14"/>
      <c r="Z39" s="14"/>
    </row>
    <row r="41" spans="1:27" x14ac:dyDescent="0.35">
      <c r="Z41" s="14" t="e">
        <f ca="1">Z38-Z19</f>
        <v>#DIV/0!</v>
      </c>
    </row>
    <row r="42" spans="1:27" x14ac:dyDescent="0.35">
      <c r="D42" s="2"/>
    </row>
    <row r="43" spans="1:27" x14ac:dyDescent="0.35">
      <c r="D43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587D2-E230-45D3-8658-2EC57E73D0FD}">
  <sheetPr>
    <tabColor theme="1" tint="0.249977111117893"/>
  </sheetPr>
  <dimension ref="A1:AB39"/>
  <sheetViews>
    <sheetView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" sqref="C2"/>
    </sheetView>
  </sheetViews>
  <sheetFormatPr defaultRowHeight="14.5" outlineLevelCol="1" x14ac:dyDescent="0.35"/>
  <cols>
    <col min="2" max="2" width="32.54296875" customWidth="1"/>
    <col min="3" max="3" width="12.1796875" bestFit="1" customWidth="1"/>
    <col min="4" max="4" width="18.26953125" customWidth="1" outlineLevel="1"/>
    <col min="5" max="7" width="17.26953125" customWidth="1" outlineLevel="1"/>
    <col min="8" max="8" width="14.81640625" customWidth="1" outlineLevel="1"/>
    <col min="9" max="9" width="16.81640625" customWidth="1" outlineLevel="1"/>
    <col min="10" max="11" width="17.26953125" customWidth="1" outlineLevel="1"/>
    <col min="12" max="12" width="18.26953125" customWidth="1" outlineLevel="1"/>
    <col min="13" max="13" width="29.7265625" customWidth="1" outlineLevel="1"/>
    <col min="14" max="14" width="18.26953125" customWidth="1" outlineLevel="1"/>
    <col min="15" max="16" width="17.26953125" customWidth="1" outlineLevel="1"/>
    <col min="17" max="22" width="16.81640625" customWidth="1" outlineLevel="1"/>
    <col min="23" max="23" width="15.26953125" customWidth="1"/>
    <col min="24" max="24" width="19.1796875" bestFit="1" customWidth="1"/>
    <col min="25" max="25" width="19.54296875" bestFit="1" customWidth="1"/>
    <col min="26" max="26" width="21.54296875" bestFit="1" customWidth="1"/>
    <col min="28" max="28" width="16.54296875" customWidth="1"/>
  </cols>
  <sheetData>
    <row r="1" spans="1:28" x14ac:dyDescent="0.35">
      <c r="A1" t="s">
        <v>221</v>
      </c>
      <c r="C1" s="296" t="s">
        <v>1107</v>
      </c>
    </row>
    <row r="3" spans="1:28" x14ac:dyDescent="0.35">
      <c r="A3" s="19" t="s">
        <v>184</v>
      </c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  <c r="N3">
        <v>11</v>
      </c>
      <c r="O3">
        <v>12</v>
      </c>
      <c r="P3">
        <v>13</v>
      </c>
      <c r="Q3">
        <v>14</v>
      </c>
      <c r="R3">
        <v>15</v>
      </c>
      <c r="S3">
        <v>16</v>
      </c>
      <c r="T3">
        <v>17</v>
      </c>
      <c r="U3">
        <v>18</v>
      </c>
      <c r="V3">
        <v>19</v>
      </c>
      <c r="W3">
        <v>20</v>
      </c>
      <c r="X3">
        <v>22</v>
      </c>
      <c r="Y3">
        <v>23</v>
      </c>
      <c r="Z3">
        <v>24</v>
      </c>
    </row>
    <row r="4" spans="1:28" x14ac:dyDescent="0.35">
      <c r="A4" s="25" t="s">
        <v>185</v>
      </c>
      <c r="D4" s="120">
        <f>YearOne</f>
        <v>2026</v>
      </c>
      <c r="E4" s="120">
        <f t="shared" ref="E4:W4" si="0">YearOne+E3-1</f>
        <v>2027</v>
      </c>
      <c r="F4" s="120">
        <f t="shared" si="0"/>
        <v>2028</v>
      </c>
      <c r="G4" s="120">
        <f t="shared" si="0"/>
        <v>2029</v>
      </c>
      <c r="H4" s="120">
        <f t="shared" si="0"/>
        <v>2030</v>
      </c>
      <c r="I4" s="120">
        <f t="shared" si="0"/>
        <v>2031</v>
      </c>
      <c r="J4" s="120">
        <f t="shared" si="0"/>
        <v>2032</v>
      </c>
      <c r="K4" s="120">
        <f t="shared" si="0"/>
        <v>2033</v>
      </c>
      <c r="L4" s="120">
        <f t="shared" si="0"/>
        <v>2034</v>
      </c>
      <c r="M4" s="120">
        <f t="shared" si="0"/>
        <v>2035</v>
      </c>
      <c r="N4" s="120">
        <f t="shared" si="0"/>
        <v>2036</v>
      </c>
      <c r="O4" s="120">
        <f t="shared" si="0"/>
        <v>2037</v>
      </c>
      <c r="P4" s="120">
        <f t="shared" si="0"/>
        <v>2038</v>
      </c>
      <c r="Q4" s="120">
        <f t="shared" si="0"/>
        <v>2039</v>
      </c>
      <c r="R4" s="120">
        <f t="shared" si="0"/>
        <v>2040</v>
      </c>
      <c r="S4" s="120">
        <f t="shared" si="0"/>
        <v>2041</v>
      </c>
      <c r="T4" s="120">
        <f t="shared" si="0"/>
        <v>2042</v>
      </c>
      <c r="U4" s="120">
        <f t="shared" si="0"/>
        <v>2043</v>
      </c>
      <c r="V4" s="120">
        <f t="shared" si="0"/>
        <v>2044</v>
      </c>
      <c r="W4" s="120">
        <f t="shared" si="0"/>
        <v>2045</v>
      </c>
      <c r="X4" s="121" t="s">
        <v>203</v>
      </c>
      <c r="Y4" s="121" t="s">
        <v>204</v>
      </c>
      <c r="Z4" s="121" t="s">
        <v>186</v>
      </c>
    </row>
    <row r="5" spans="1:28" s="19" customFormat="1" x14ac:dyDescent="0.35">
      <c r="A5" s="56">
        <v>1</v>
      </c>
      <c r="B5" s="19" t="str" cm="1">
        <f t="array" ref="B5">INDEX(Scenarios,$A5)&amp;" "&amp;C5</f>
        <v>Badger
Veriz or ATT AMI</v>
      </c>
      <c r="C5" s="19" t="s">
        <v>184</v>
      </c>
      <c r="D5" s="305">
        <f ca="1">IF(Selected=$A5,SUM('LOS AMI Cell'!D$169:D$172),D5)</f>
        <v>6448242.7898110207</v>
      </c>
      <c r="E5" s="305">
        <f ca="1">IF(Selected=$A5,SUM('LOS AMI Cell'!E$169:E$172),E5)</f>
        <v>7139186.1959321722</v>
      </c>
      <c r="F5" s="305">
        <f ca="1">IF(Selected=$A5,SUM('LOS AMI Cell'!F$169:F$172),F5)</f>
        <v>6260802.0134848915</v>
      </c>
      <c r="G5" s="305">
        <f ca="1">IF(Selected=$A5,SUM('LOS AMI Cell'!G$169:G$172),G5)</f>
        <v>4904577.7264834139</v>
      </c>
      <c r="H5" s="305">
        <f ca="1">IF(Selected=$A5,SUM('LOS AMI Cell'!H$169:H$172),H5)</f>
        <v>660485.03009607096</v>
      </c>
      <c r="I5" s="305">
        <f ca="1">IF(Selected=$A5,SUM('LOS AMI Cell'!I$169:I$172),I5)</f>
        <v>2970992.0454275059</v>
      </c>
      <c r="J5" s="305">
        <f ca="1">IF(Selected=$A5,SUM('LOS AMI Cell'!J$169:J$172),J5)</f>
        <v>2798634.1298694909</v>
      </c>
      <c r="K5" s="305">
        <f ca="1">IF(Selected=$A5,SUM('LOS AMI Cell'!K$169:K$172),K5)</f>
        <v>7901759.4435780197</v>
      </c>
      <c r="L5" s="305">
        <f ca="1">IF(Selected=$A5,SUM('LOS AMI Cell'!L$169:L$172),L5)</f>
        <v>14829418.179683844</v>
      </c>
      <c r="M5" s="305">
        <f ca="1">IF(Selected=$A5,SUM('LOS AMI Cell'!M$169:M$172),M5)</f>
        <v>7709404.6346011218</v>
      </c>
      <c r="N5" s="305">
        <f ca="1">IF(Selected=$A5,SUM('LOS AMI Cell'!N$169:N$172),N5)</f>
        <v>7695169.0413336046</v>
      </c>
      <c r="O5" s="305">
        <f ca="1">IF(Selected=$A5,SUM('LOS AMI Cell'!O$169:O$172),O5)</f>
        <v>8519531.2947238814</v>
      </c>
      <c r="P5" s="305">
        <f ca="1">IF(Selected=$A5,SUM('LOS AMI Cell'!P$169:P$172),P5)</f>
        <v>7470216.1783507662</v>
      </c>
      <c r="Q5" s="305">
        <f ca="1">IF(Selected=$A5,SUM('LOS AMI Cell'!Q$169:Q$172),Q5)</f>
        <v>5855147.8680201545</v>
      </c>
      <c r="R5" s="305">
        <f ca="1">IF(Selected=$A5,SUM('LOS AMI Cell'!R$169:R$172),R5)</f>
        <v>788102.28273789363</v>
      </c>
      <c r="S5" s="305">
        <f ca="1">IF(Selected=$A5,SUM('LOS AMI Cell'!S$169:S$172),S5)</f>
        <v>3546580.233128564</v>
      </c>
      <c r="T5" s="305">
        <f ca="1">IF(Selected=$A5,SUM('LOS AMI Cell'!T$169:T$172),T5)</f>
        <v>3343969.1692347242</v>
      </c>
      <c r="U5" s="305">
        <f ca="1">IF(Selected=$A5,SUM('LOS AMI Cell'!U$169:U$172),U5)</f>
        <v>9427861.044142589</v>
      </c>
      <c r="V5" s="305">
        <f ca="1">IF(Selected=$A5,SUM('LOS AMI Cell'!V$169:V$172),V5)</f>
        <v>17696868.696257424</v>
      </c>
      <c r="W5" s="305">
        <f ca="1">IF(Selected=$A5,SUM('LOS AMI Cell'!W$169:W$172),W5)</f>
        <v>9200767.7900570482</v>
      </c>
      <c r="X5" s="305">
        <f ca="1">SUM(D5:H5)</f>
        <v>25413293.755807567</v>
      </c>
      <c r="Y5" s="305">
        <f ca="1">SUM(D5:M5)</f>
        <v>61623502.188967548</v>
      </c>
      <c r="Z5" s="305">
        <f ca="1">SUM(D5:W5)</f>
        <v>135167715.78695422</v>
      </c>
    </row>
    <row r="6" spans="1:28" s="19" customFormat="1" x14ac:dyDescent="0.35">
      <c r="A6" s="56">
        <v>2</v>
      </c>
      <c r="B6" s="19" t="str" cm="1">
        <f t="array" ref="B6">INDEX(Scenarios,$A6)&amp;" "&amp;C6</f>
        <v>Neptune 
FirstNet AMI</v>
      </c>
      <c r="C6" s="19" t="s">
        <v>184</v>
      </c>
      <c r="D6" s="305">
        <f ca="1">IF(Selected=$A6,SUM('LOS AMI Cell'!D$169:D$172),D6)</f>
        <v>7019503.7167335358</v>
      </c>
      <c r="E6" s="305">
        <f ca="1">IF(Selected=$A6,SUM('LOS AMI Cell'!E$169:E$172),E6)</f>
        <v>7771623.9701742399</v>
      </c>
      <c r="F6" s="305">
        <f ca="1">IF(Selected=$A6,SUM('LOS AMI Cell'!F$169:F$172),F6)</f>
        <v>6815347.0903072832</v>
      </c>
      <c r="G6" s="305">
        <f ca="1">IF(Selected=$A6,SUM('LOS AMI Cell'!G$169:G$172),G6)</f>
        <v>5339143.8767243251</v>
      </c>
      <c r="H6" s="305">
        <f ca="1">IF(Selected=$A6,SUM('LOS AMI Cell'!H$169:H$172),H6)</f>
        <v>718983.85349645733</v>
      </c>
      <c r="I6" s="305">
        <f ca="1">IF(Selected=$A6,SUM('LOS AMI Cell'!I$169:I$172),I6)</f>
        <v>3234201.5114201186</v>
      </c>
      <c r="J6" s="305">
        <f ca="1">IF(Selected=$A6,SUM('LOS AMI Cell'!J$169:J$172),J6)</f>
        <v>3046728.1615457092</v>
      </c>
      <c r="K6" s="305">
        <f ca="1">IF(Selected=$A6,SUM('LOS AMI Cell'!K$169:K$172),K6)</f>
        <v>8601496.7132048197</v>
      </c>
      <c r="L6" s="305">
        <f ca="1">IF(Selected=$A6,SUM('LOS AMI Cell'!L$169:L$172),L6)</f>
        <v>16142755.97885829</v>
      </c>
      <c r="M6" s="305">
        <f ca="1">IF(Selected=$A6,SUM('LOS AMI Cell'!M$169:M$172),M6)</f>
        <v>8392179.6286225356</v>
      </c>
      <c r="N6" s="305">
        <f ca="1">IF(Selected=$A6,SUM('LOS AMI Cell'!N$169:N$172),N6)</f>
        <v>8452123.0698974896</v>
      </c>
      <c r="O6" s="305">
        <f ca="1">IF(Selected=$A6,SUM('LOS AMI Cell'!O$169:O$172),O6)</f>
        <v>9357548.2121551037</v>
      </c>
      <c r="P6" s="305">
        <f ca="1">IF(Selected=$A6,SUM('LOS AMI Cell'!P$169:P$172),P6)</f>
        <v>8205020.7311184993</v>
      </c>
      <c r="Q6" s="305">
        <f ca="1">IF(Selected=$A6,SUM('LOS AMI Cell'!Q$169:Q$172),Q6)</f>
        <v>6430973.3491614088</v>
      </c>
      <c r="R6" s="305">
        <f ca="1">IF(Selected=$A6,SUM('LOS AMI Cell'!R$169:R$172),R6)</f>
        <v>865616.63380285946</v>
      </c>
      <c r="S6" s="305">
        <f ca="1">IF(Selected=$A6,SUM('LOS AMI Cell'!S$169:S$172),S6)</f>
        <v>3895348.1187821222</v>
      </c>
      <c r="T6" s="305">
        <f ca="1">IF(Selected=$A6,SUM('LOS AMI Cell'!T$169:T$172),T6)</f>
        <v>3672708.2232982661</v>
      </c>
      <c r="U6" s="305">
        <f ca="1">IF(Selected=$A6,SUM('LOS AMI Cell'!U$169:U$172),U6)</f>
        <v>10355053.716033733</v>
      </c>
      <c r="V6" s="305">
        <f ca="1">IF(Selected=$A6,SUM('LOS AMI Cell'!V$169:V$172),V6)</f>
        <v>19437117.838284198</v>
      </c>
      <c r="W6" s="305">
        <f ca="1">IF(Selected=$A6,SUM('LOS AMI Cell'!W$169:W$172),W6)</f>
        <v>10105484.457992738</v>
      </c>
      <c r="X6" s="305">
        <f ca="1">SUM(D6:H6)</f>
        <v>27664602.507435843</v>
      </c>
      <c r="Y6" s="305">
        <f ca="1">SUM(D6:M6)</f>
        <v>67081964.501087323</v>
      </c>
      <c r="Z6" s="305">
        <f ca="1">SUM(D6:W6)</f>
        <v>147858958.85161373</v>
      </c>
    </row>
    <row r="7" spans="1:28" s="19" customFormat="1" x14ac:dyDescent="0.35">
      <c r="A7" s="56">
        <v>5</v>
      </c>
      <c r="B7" s="19" t="str" cm="1">
        <f t="array" ref="B7">INDEX(Scenarios,$A7)&amp;" "&amp;C7</f>
        <v>Average 
Cost* AMI</v>
      </c>
      <c r="C7" s="19" t="s">
        <v>184</v>
      </c>
      <c r="D7" s="305">
        <f ca="1">IF(Selected=$A7,SUM('LOS AMI Cell'!D$169:D$172),D7)</f>
        <v>0</v>
      </c>
      <c r="E7" s="305">
        <f ca="1">IF(Selected=$A7,SUM('LOS AMI Cell'!E$169:E$172),E7)</f>
        <v>0</v>
      </c>
      <c r="F7" s="305">
        <f ca="1">IF(Selected=$A7,SUM('LOS AMI Cell'!F$169:F$172),F7)</f>
        <v>0</v>
      </c>
      <c r="G7" s="305">
        <f ca="1">IF(Selected=$A7,SUM('LOS AMI Cell'!G$169:G$172),G7)</f>
        <v>0</v>
      </c>
      <c r="H7" s="305">
        <f ca="1">IF(Selected=$A7,SUM('LOS AMI Cell'!H$169:H$172),H7)</f>
        <v>0</v>
      </c>
      <c r="I7" s="305">
        <f ca="1">IF(Selected=$A7,SUM('LOS AMI Cell'!I$169:I$172),I7)</f>
        <v>0</v>
      </c>
      <c r="J7" s="305">
        <f ca="1">IF(Selected=$A7,SUM('LOS AMI Cell'!J$169:J$172),J7)</f>
        <v>0</v>
      </c>
      <c r="K7" s="305">
        <f ca="1">IF(Selected=$A7,SUM('LOS AMI Cell'!K$169:K$172),K7)</f>
        <v>0</v>
      </c>
      <c r="L7" s="305">
        <f ca="1">IF(Selected=$A7,SUM('LOS AMI Cell'!L$169:L$172),L7)</f>
        <v>0</v>
      </c>
      <c r="M7" s="305">
        <f ca="1">IF(Selected=$A7,SUM('LOS AMI Cell'!M$169:M$172),M7)</f>
        <v>0</v>
      </c>
      <c r="N7" s="305">
        <f ca="1">IF(Selected=$A7,SUM('LOS AMI Cell'!N$169:N$172),N7)</f>
        <v>0</v>
      </c>
      <c r="O7" s="305">
        <f ca="1">IF(Selected=$A7,SUM('LOS AMI Cell'!O$169:O$172),O7)</f>
        <v>0</v>
      </c>
      <c r="P7" s="305">
        <f ca="1">IF(Selected=$A7,SUM('LOS AMI Cell'!P$169:P$172),P7)</f>
        <v>0</v>
      </c>
      <c r="Q7" s="305">
        <f ca="1">IF(Selected=$A7,SUM('LOS AMI Cell'!Q$169:Q$172),Q7)</f>
        <v>0</v>
      </c>
      <c r="R7" s="305">
        <f ca="1">IF(Selected=$A7,SUM('LOS AMI Cell'!R$169:R$172),R7)</f>
        <v>0</v>
      </c>
      <c r="S7" s="305">
        <f ca="1">IF(Selected=$A7,SUM('LOS AMI Cell'!S$169:S$172),S7)</f>
        <v>0</v>
      </c>
      <c r="T7" s="305">
        <f ca="1">IF(Selected=$A7,SUM('LOS AMI Cell'!T$169:T$172),T7)</f>
        <v>0</v>
      </c>
      <c r="U7" s="305">
        <f ca="1">IF(Selected=$A7,SUM('LOS AMI Cell'!U$169:U$172),U7)</f>
        <v>0</v>
      </c>
      <c r="V7" s="305">
        <f ca="1">IF(Selected=$A7,SUM('LOS AMI Cell'!V$169:V$172),V7)</f>
        <v>0</v>
      </c>
      <c r="W7" s="305">
        <f ca="1">IF(Selected=$A7,SUM('LOS AMI Cell'!W$169:W$172),W7)</f>
        <v>0</v>
      </c>
      <c r="X7" s="305">
        <f ca="1">SUM(D7:H7)</f>
        <v>0</v>
      </c>
      <c r="Y7" s="305">
        <f ca="1">SUM(D7:M7)</f>
        <v>0</v>
      </c>
      <c r="Z7" s="305">
        <f ca="1">SUM(D7:W7)</f>
        <v>0</v>
      </c>
    </row>
    <row r="8" spans="1:28" x14ac:dyDescent="0.35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8" x14ac:dyDescent="0.35">
      <c r="A9" s="19" t="s">
        <v>222</v>
      </c>
      <c r="D9">
        <v>1</v>
      </c>
      <c r="E9">
        <v>2</v>
      </c>
      <c r="F9">
        <v>3</v>
      </c>
      <c r="G9">
        <v>4</v>
      </c>
      <c r="H9">
        <v>5</v>
      </c>
      <c r="I9">
        <v>6</v>
      </c>
      <c r="J9">
        <v>7</v>
      </c>
      <c r="K9">
        <v>8</v>
      </c>
      <c r="L9">
        <v>9</v>
      </c>
      <c r="M9">
        <v>10</v>
      </c>
      <c r="N9">
        <v>11</v>
      </c>
      <c r="O9">
        <v>12</v>
      </c>
      <c r="P9">
        <v>13</v>
      </c>
      <c r="Q9">
        <v>14</v>
      </c>
      <c r="R9">
        <v>15</v>
      </c>
      <c r="S9">
        <v>16</v>
      </c>
      <c r="T9">
        <v>17</v>
      </c>
      <c r="U9">
        <v>18</v>
      </c>
      <c r="V9">
        <v>19</v>
      </c>
      <c r="W9">
        <v>20</v>
      </c>
      <c r="X9">
        <v>22</v>
      </c>
      <c r="Y9">
        <v>23</v>
      </c>
      <c r="Z9">
        <v>24</v>
      </c>
    </row>
    <row r="10" spans="1:28" x14ac:dyDescent="0.35">
      <c r="A10" s="25" t="s">
        <v>185</v>
      </c>
      <c r="D10" s="120">
        <f>YearOne</f>
        <v>2026</v>
      </c>
      <c r="E10" s="120">
        <f t="shared" ref="E10:W10" si="1">YearOne+E9-1</f>
        <v>2027</v>
      </c>
      <c r="F10" s="120">
        <f t="shared" si="1"/>
        <v>2028</v>
      </c>
      <c r="G10" s="120">
        <f t="shared" si="1"/>
        <v>2029</v>
      </c>
      <c r="H10" s="120">
        <f t="shared" si="1"/>
        <v>2030</v>
      </c>
      <c r="I10" s="120">
        <f t="shared" si="1"/>
        <v>2031</v>
      </c>
      <c r="J10" s="120">
        <f t="shared" si="1"/>
        <v>2032</v>
      </c>
      <c r="K10" s="120">
        <f t="shared" si="1"/>
        <v>2033</v>
      </c>
      <c r="L10" s="120">
        <f t="shared" si="1"/>
        <v>2034</v>
      </c>
      <c r="M10" s="120">
        <f t="shared" si="1"/>
        <v>2035</v>
      </c>
      <c r="N10" s="120">
        <f t="shared" si="1"/>
        <v>2036</v>
      </c>
      <c r="O10" s="120">
        <f t="shared" si="1"/>
        <v>2037</v>
      </c>
      <c r="P10" s="120">
        <f t="shared" si="1"/>
        <v>2038</v>
      </c>
      <c r="Q10" s="120">
        <f t="shared" si="1"/>
        <v>2039</v>
      </c>
      <c r="R10" s="120">
        <f t="shared" si="1"/>
        <v>2040</v>
      </c>
      <c r="S10" s="120">
        <f t="shared" si="1"/>
        <v>2041</v>
      </c>
      <c r="T10" s="120">
        <f t="shared" si="1"/>
        <v>2042</v>
      </c>
      <c r="U10" s="120">
        <f t="shared" si="1"/>
        <v>2043</v>
      </c>
      <c r="V10" s="120">
        <f t="shared" si="1"/>
        <v>2044</v>
      </c>
      <c r="W10" s="120">
        <f t="shared" si="1"/>
        <v>2045</v>
      </c>
      <c r="X10" s="121" t="s">
        <v>203</v>
      </c>
      <c r="Y10" s="121" t="s">
        <v>204</v>
      </c>
      <c r="Z10" s="121" t="s">
        <v>186</v>
      </c>
    </row>
    <row r="11" spans="1:28" s="19" customFormat="1" x14ac:dyDescent="0.35">
      <c r="A11" s="56">
        <v>1</v>
      </c>
      <c r="B11" s="19" t="str" cm="1">
        <f t="array" ref="B11">INDEX(Scenarios,$A11)&amp;" "&amp;C11</f>
        <v>Badger
Veriz or ATT Existing Tech</v>
      </c>
      <c r="C11" s="19" t="s">
        <v>222</v>
      </c>
      <c r="D11" s="305">
        <f ca="1">IF(Selected=$A11,SUM('LOS LIke'!D$169:D$172),D11)</f>
        <v>5880220.7345905229</v>
      </c>
      <c r="E11" s="305">
        <f ca="1">IF(Selected=$A11,SUM('LOS LIke'!E$169:E$172),E11)</f>
        <v>6512154.5217448901</v>
      </c>
      <c r="F11" s="305">
        <f ca="1">IF(Selected=$A11,SUM('LOS LIke'!F$169:F$172),F11)</f>
        <v>5496928.508915484</v>
      </c>
      <c r="G11" s="305">
        <f ca="1">IF(Selected=$A11,SUM('LOS LIke'!G$169:G$172),G11)</f>
        <v>4307586.6381851034</v>
      </c>
      <c r="H11" s="305">
        <f ca="1">IF(Selected=$A11,SUM('LOS LIke'!H$169:H$172),H11)</f>
        <v>579800.13021294144</v>
      </c>
      <c r="I11" s="305">
        <f ca="1">IF(Selected=$A11,SUM('LOS LIke'!I$169:I$172),I11)</f>
        <v>2609536.7837434509</v>
      </c>
      <c r="J11" s="305">
        <f ca="1">IF(Selected=$A11,SUM('LOS LIke'!J$169:J$172),J11)</f>
        <v>2460237.9983963864</v>
      </c>
      <c r="K11" s="305">
        <f ca="1">IF(Selected=$A11,SUM('LOS LIke'!K$169:K$172),K11)</f>
        <v>6938891.8284647157</v>
      </c>
      <c r="L11" s="305">
        <f ca="1">IF(Selected=$A11,SUM('LOS LIke'!L$169:L$172),L11)</f>
        <v>13021804.380694563</v>
      </c>
      <c r="M11" s="305">
        <f ca="1">IF(Selected=$A11,SUM('LOS LIke'!M$169:M$172),M11)</f>
        <v>6769944.4701944059</v>
      </c>
      <c r="N11" s="305">
        <f ca="1">IF(Selected=$A11,SUM('LOS LIke'!N$169:N$172),N11)</f>
        <v>7505563.4081718335</v>
      </c>
      <c r="O11" s="305">
        <f ca="1">IF(Selected=$A11,SUM('LOS LIke'!O$169:O$172),O11)</f>
        <v>8310265.993521479</v>
      </c>
      <c r="P11" s="305">
        <f ca="1">IF(Selected=$A11,SUM('LOS LIke'!P$169:P$172),P11)</f>
        <v>7284559.9523958545</v>
      </c>
      <c r="Q11" s="305">
        <f ca="1">IF(Selected=$A11,SUM('LOS LIke'!Q$169:Q$172),Q11)</f>
        <v>5710082.4271545457</v>
      </c>
      <c r="R11" s="305">
        <f ca="1">IF(Selected=$A11,SUM('LOS LIke'!R$169:R$172),R11)</f>
        <v>768198.45075638033</v>
      </c>
      <c r="S11" s="305">
        <f ca="1">IF(Selected=$A11,SUM('LOS LIke'!S$169:S$172),S11)</f>
        <v>3458606.1901397603</v>
      </c>
      <c r="T11" s="305">
        <f ca="1">IF(Selected=$A11,SUM('LOS LIke'!T$169:T$172),T11)</f>
        <v>3260454.8201053068</v>
      </c>
      <c r="U11" s="305">
        <f ca="1">IF(Selected=$A11,SUM('LOS LIke'!U$169:U$172),U11)</f>
        <v>9196153.9099605735</v>
      </c>
      <c r="V11" s="305">
        <f ca="1">IF(Selected=$A11,SUM('LOS LIke'!V$169:V$172),V11)</f>
        <v>17260764.067366417</v>
      </c>
      <c r="W11" s="305">
        <f ca="1">IF(Selected=$A11,SUM('LOS LIke'!W$169:W$172),W11)</f>
        <v>8974342.4684086256</v>
      </c>
      <c r="X11" s="305">
        <f ca="1">SUM(D11:H11)</f>
        <v>22776690.533648942</v>
      </c>
      <c r="Y11" s="305">
        <f ca="1">SUM(D11:M11)</f>
        <v>54577105.99514246</v>
      </c>
      <c r="Z11" s="305">
        <f ca="1">SUM(D11:W11)</f>
        <v>126306097.68312325</v>
      </c>
    </row>
    <row r="12" spans="1:28" s="19" customFormat="1" x14ac:dyDescent="0.35">
      <c r="A12" s="56">
        <v>2</v>
      </c>
      <c r="B12" s="19" t="str" cm="1">
        <f t="array" ref="B12">INDEX(Scenarios,$A12)&amp;" "&amp;C12</f>
        <v>Neptune 
FirstNet Existing Tech</v>
      </c>
      <c r="C12" s="19" t="s">
        <v>222</v>
      </c>
      <c r="D12" s="305">
        <f ca="1">IF(Selected=$A12,SUM('LOS LIke'!D$169:D$172),D12)</f>
        <v>4791678.705046677</v>
      </c>
      <c r="E12" s="305">
        <f ca="1">IF(Selected=$A12,SUM('LOS LIke'!E$169:E$172),E12)</f>
        <v>5312442.8187934048</v>
      </c>
      <c r="F12" s="305">
        <f ca="1">IF(Selected=$A12,SUM('LOS LIke'!F$169:F$172),F12)</f>
        <v>4443838.3430254282</v>
      </c>
      <c r="G12" s="305">
        <f ca="1">IF(Selected=$A12,SUM('LOS LIke'!G$169:G$172),G12)</f>
        <v>3478661.7069168976</v>
      </c>
      <c r="H12" s="305">
        <f ca="1">IF(Selected=$A12,SUM('LOS LIke'!H$169:H$172),H12)</f>
        <v>469219.40906300308</v>
      </c>
      <c r="I12" s="305">
        <f ca="1">IF(Selected=$A12,SUM('LOS LIke'!I$169:I$172),I12)</f>
        <v>2108648.5870434185</v>
      </c>
      <c r="J12" s="305">
        <f ca="1">IF(Selected=$A12,SUM('LOS LIke'!J$169:J$172),J12)</f>
        <v>1989387.667612589</v>
      </c>
      <c r="K12" s="305">
        <f ca="1">IF(Selected=$A12,SUM('LOS LIke'!K$169:K$172),K12)</f>
        <v>5608260.9887210298</v>
      </c>
      <c r="L12" s="305">
        <f ca="1">IF(Selected=$A12,SUM('LOS LIke'!L$169:L$172),L12)</f>
        <v>10518165.085978013</v>
      </c>
      <c r="M12" s="305">
        <f ca="1">IF(Selected=$A12,SUM('LOS LIke'!M$169:M$172),M12)</f>
        <v>5466683.8697049851</v>
      </c>
      <c r="N12" s="305">
        <f ca="1">IF(Selected=$A12,SUM('LOS LIke'!N$169:N$172),N12)</f>
        <v>6063181.7648775335</v>
      </c>
      <c r="O12" s="305">
        <f ca="1">IF(Selected=$A12,SUM('LOS LIke'!O$169:O$172),O12)</f>
        <v>6720578.0525719598</v>
      </c>
      <c r="P12" s="305">
        <f ca="1">IF(Selected=$A12,SUM('LOS LIke'!P$169:P$172),P12)</f>
        <v>5889154.0950307641</v>
      </c>
      <c r="Q12" s="305">
        <f ca="1">IF(Selected=$A12,SUM('LOS LIke'!Q$169:Q$172),Q12)</f>
        <v>4611708.5728796879</v>
      </c>
      <c r="R12" s="305">
        <f ca="1">IF(Selected=$A12,SUM('LOS LIke'!R$169:R$172),R12)</f>
        <v>621672.54917428433</v>
      </c>
      <c r="S12" s="305">
        <f ca="1">IF(Selected=$A12,SUM('LOS LIke'!S$169:S$172),S12)</f>
        <v>2794900.1313432404</v>
      </c>
      <c r="T12" s="305">
        <f ca="1">IF(Selected=$A12,SUM('LOS LIke'!T$169:T$172),T12)</f>
        <v>2636550.6846387181</v>
      </c>
      <c r="U12" s="305">
        <f ca="1">IF(Selected=$A12,SUM('LOS LIke'!U$169:U$172),U12)</f>
        <v>7432990.4811200304</v>
      </c>
      <c r="V12" s="305">
        <f ca="1">IF(Selected=$A12,SUM('LOS LIke'!V$169:V$172),V12)</f>
        <v>13943296.057754772</v>
      </c>
      <c r="W12" s="305">
        <f ca="1">IF(Selected=$A12,SUM('LOS LIke'!W$169:W$172),W12)</f>
        <v>7247446.2020675121</v>
      </c>
      <c r="X12" s="305">
        <f ca="1">SUM(D12:H12)</f>
        <v>18495840.982845411</v>
      </c>
      <c r="Y12" s="305">
        <f ca="1">SUM(D12:M12)</f>
        <v>44186987.181905441</v>
      </c>
      <c r="Z12" s="305">
        <f ca="1">SUM(D12:W12)</f>
        <v>102148465.77336395</v>
      </c>
      <c r="AB12" s="304"/>
    </row>
    <row r="13" spans="1:28" x14ac:dyDescent="0.35">
      <c r="A13" s="57">
        <v>4</v>
      </c>
      <c r="B13" s="19" t="str" cm="1">
        <f t="array" ref="B13">INDEX(Scenarios,$A13)&amp;" "&amp;C13</f>
        <v>Neptune 
FirstNet
w/ HE Fee Existing Tech</v>
      </c>
      <c r="C13" s="19" t="s">
        <v>222</v>
      </c>
      <c r="D13" s="305">
        <f ca="1">IF(Selected=$A13,SUM('LOS LIke'!D$169:D$172),D13)</f>
        <v>4791678.705046677</v>
      </c>
      <c r="E13" s="305">
        <f ca="1">IF(Selected=$A13,SUM('LOS LIke'!E$169:E$172),E13)</f>
        <v>5312442.8187934048</v>
      </c>
      <c r="F13" s="305">
        <f ca="1">IF(Selected=$A13,SUM('LOS LIke'!F$169:F$172),F13)</f>
        <v>4443838.3430254282</v>
      </c>
      <c r="G13" s="305">
        <f ca="1">IF(Selected=$A13,SUM('LOS LIke'!G$169:G$172),G13)</f>
        <v>3478661.7069168976</v>
      </c>
      <c r="H13" s="305">
        <f ca="1">IF(Selected=$A13,SUM('LOS LIke'!H$169:H$172),H13)</f>
        <v>469219.40906300308</v>
      </c>
      <c r="I13" s="305">
        <f ca="1">IF(Selected=$A13,SUM('LOS LIke'!I$169:I$172),I13)</f>
        <v>2108648.5870434185</v>
      </c>
      <c r="J13" s="305">
        <f ca="1">IF(Selected=$A13,SUM('LOS LIke'!J$169:J$172),J13)</f>
        <v>1989387.667612589</v>
      </c>
      <c r="K13" s="305">
        <f ca="1">IF(Selected=$A13,SUM('LOS LIke'!K$169:K$172),K13)</f>
        <v>5608260.9887210298</v>
      </c>
      <c r="L13" s="305">
        <f ca="1">IF(Selected=$A13,SUM('LOS LIke'!L$169:L$172),L13)</f>
        <v>10518165.085978013</v>
      </c>
      <c r="M13" s="305">
        <f ca="1">IF(Selected=$A13,SUM('LOS LIke'!M$169:M$172),M13)</f>
        <v>5466683.8697049851</v>
      </c>
      <c r="N13" s="305">
        <f ca="1">IF(Selected=$A13,SUM('LOS LIke'!N$169:N$172),N13)</f>
        <v>6063181.7648775335</v>
      </c>
      <c r="O13" s="305">
        <f ca="1">IF(Selected=$A13,SUM('LOS LIke'!O$169:O$172),O13)</f>
        <v>6720578.0525719598</v>
      </c>
      <c r="P13" s="305">
        <f ca="1">IF(Selected=$A13,SUM('LOS LIke'!P$169:P$172),P13)</f>
        <v>5889154.0950307641</v>
      </c>
      <c r="Q13" s="305">
        <f ca="1">IF(Selected=$A13,SUM('LOS LIke'!Q$169:Q$172),Q13)</f>
        <v>4611708.5728796879</v>
      </c>
      <c r="R13" s="305">
        <f ca="1">IF(Selected=$A13,SUM('LOS LIke'!R$169:R$172),R13)</f>
        <v>621672.54917428433</v>
      </c>
      <c r="S13" s="305">
        <f ca="1">IF(Selected=$A13,SUM('LOS LIke'!S$169:S$172),S13)</f>
        <v>2794900.1313432404</v>
      </c>
      <c r="T13" s="305">
        <f ca="1">IF(Selected=$A13,SUM('LOS LIke'!T$169:T$172),T13)</f>
        <v>2636550.6846387181</v>
      </c>
      <c r="U13" s="305">
        <f ca="1">IF(Selected=$A13,SUM('LOS LIke'!U$169:U$172),U13)</f>
        <v>7432990.4811200304</v>
      </c>
      <c r="V13" s="305">
        <f ca="1">IF(Selected=$A13,SUM('LOS LIke'!V$169:V$172),V13)</f>
        <v>13943296.057754772</v>
      </c>
      <c r="W13" s="305">
        <f ca="1">IF(Selected=$A13,SUM('LOS LIke'!W$169:W$172),W13)</f>
        <v>7247446.2020675121</v>
      </c>
      <c r="X13" s="305">
        <f ca="1">SUM(D13:H13)</f>
        <v>18495840.982845411</v>
      </c>
      <c r="Y13" s="305">
        <f ca="1">SUM(D13:M13)</f>
        <v>44186987.181905441</v>
      </c>
      <c r="Z13" s="305">
        <f ca="1">SUM(D13:W13)</f>
        <v>102148465.77336395</v>
      </c>
      <c r="AB13" s="14"/>
    </row>
    <row r="14" spans="1:28" x14ac:dyDescent="0.35">
      <c r="A14" s="57">
        <v>5</v>
      </c>
      <c r="B14" s="19" t="str" cm="1">
        <f t="array" ref="B14">INDEX(Scenarios,$A14)&amp;" "&amp;C14</f>
        <v>Average 
Cost* Existing Tech</v>
      </c>
      <c r="C14" s="19" t="s">
        <v>222</v>
      </c>
      <c r="D14" s="305">
        <f ca="1">IF(Selected=$A14,SUM('LOS LIke'!D$169:D$172),D14)</f>
        <v>0</v>
      </c>
      <c r="E14" s="305">
        <f ca="1">IF(Selected=$A14,SUM('LOS LIke'!E$169:E$172),E14)</f>
        <v>0</v>
      </c>
      <c r="F14" s="305">
        <f ca="1">IF(Selected=$A14,SUM('LOS LIke'!F$169:F$172),F14)</f>
        <v>0</v>
      </c>
      <c r="G14" s="305">
        <f ca="1">IF(Selected=$A14,SUM('LOS LIke'!G$169:G$172),G14)</f>
        <v>0</v>
      </c>
      <c r="H14" s="305">
        <f ca="1">IF(Selected=$A14,SUM('LOS LIke'!H$169:H$172),H14)</f>
        <v>0</v>
      </c>
      <c r="I14" s="305">
        <f ca="1">IF(Selected=$A14,SUM('LOS LIke'!I$169:I$172),I14)</f>
        <v>0</v>
      </c>
      <c r="J14" s="305">
        <f ca="1">IF(Selected=$A14,SUM('LOS LIke'!J$169:J$172),J14)</f>
        <v>0</v>
      </c>
      <c r="K14" s="305">
        <f ca="1">IF(Selected=$A14,SUM('LOS LIke'!K$169:K$172),K14)</f>
        <v>0</v>
      </c>
      <c r="L14" s="305">
        <f ca="1">IF(Selected=$A14,SUM('LOS LIke'!L$169:L$172),L14)</f>
        <v>0</v>
      </c>
      <c r="M14" s="305">
        <f ca="1">IF(Selected=$A14,SUM('LOS LIke'!M$169:M$172),M14)</f>
        <v>0</v>
      </c>
      <c r="N14" s="305">
        <f ca="1">IF(Selected=$A14,SUM('LOS LIke'!N$169:N$172),N14)</f>
        <v>0</v>
      </c>
      <c r="O14" s="305">
        <f ca="1">IF(Selected=$A14,SUM('LOS LIke'!O$169:O$172),O14)</f>
        <v>0</v>
      </c>
      <c r="P14" s="305">
        <f ca="1">IF(Selected=$A14,SUM('LOS LIke'!P$169:P$172),P14)</f>
        <v>0</v>
      </c>
      <c r="Q14" s="305">
        <f ca="1">IF(Selected=$A14,SUM('LOS LIke'!Q$169:Q$172),Q14)</f>
        <v>0</v>
      </c>
      <c r="R14" s="305">
        <f ca="1">IF(Selected=$A14,SUM('LOS LIke'!R$169:R$172),R14)</f>
        <v>0</v>
      </c>
      <c r="S14" s="305">
        <f ca="1">IF(Selected=$A14,SUM('LOS LIke'!S$169:S$172),S14)</f>
        <v>0</v>
      </c>
      <c r="T14" s="305">
        <f ca="1">IF(Selected=$A14,SUM('LOS LIke'!T$169:T$172),T14)</f>
        <v>0</v>
      </c>
      <c r="U14" s="305">
        <f ca="1">IF(Selected=$A14,SUM('LOS LIke'!U$169:U$172),U14)</f>
        <v>0</v>
      </c>
      <c r="V14" s="305">
        <f ca="1">IF(Selected=$A14,SUM('LOS LIke'!V$169:V$172),V14)</f>
        <v>0</v>
      </c>
      <c r="W14" s="305">
        <f ca="1">IF(Selected=$A14,SUM('LOS LIke'!W$169:W$172),W14)</f>
        <v>0</v>
      </c>
      <c r="X14" s="305">
        <f ca="1">SUM(D14:H14)</f>
        <v>0</v>
      </c>
      <c r="Y14" s="305">
        <f ca="1">SUM(D14:M14)</f>
        <v>0</v>
      </c>
      <c r="Z14" s="305">
        <f ca="1">SUM(D14:W14)</f>
        <v>0</v>
      </c>
      <c r="AB14" s="14"/>
    </row>
    <row r="15" spans="1:28" x14ac:dyDescent="0.35">
      <c r="D15" s="14"/>
      <c r="E15" s="14"/>
      <c r="F15" s="14"/>
      <c r="G15" s="14"/>
      <c r="H15" s="14"/>
      <c r="I15" s="14"/>
      <c r="J15" s="14"/>
      <c r="K15" s="14"/>
      <c r="L15" s="14"/>
    </row>
    <row r="16" spans="1:28" x14ac:dyDescent="0.35">
      <c r="A16" t="s">
        <v>223</v>
      </c>
      <c r="M16" t="s">
        <v>224</v>
      </c>
      <c r="W16" t="s">
        <v>225</v>
      </c>
    </row>
    <row r="17" spans="1:26" x14ac:dyDescent="0.35">
      <c r="A17" s="19" t="s">
        <v>184</v>
      </c>
      <c r="D17" s="120">
        <f t="shared" ref="D17:W17" si="2">D4</f>
        <v>2026</v>
      </c>
      <c r="E17" s="120">
        <f t="shared" si="2"/>
        <v>2027</v>
      </c>
      <c r="F17" s="120">
        <f t="shared" si="2"/>
        <v>2028</v>
      </c>
      <c r="G17" s="120">
        <f t="shared" si="2"/>
        <v>2029</v>
      </c>
      <c r="H17" s="120">
        <f t="shared" si="2"/>
        <v>2030</v>
      </c>
      <c r="I17" s="120">
        <f t="shared" si="2"/>
        <v>2031</v>
      </c>
      <c r="J17" s="120">
        <f t="shared" si="2"/>
        <v>2032</v>
      </c>
      <c r="K17" s="120">
        <f t="shared" si="2"/>
        <v>2033</v>
      </c>
      <c r="L17" s="120">
        <f t="shared" si="2"/>
        <v>2034</v>
      </c>
      <c r="M17" s="120">
        <f t="shared" si="2"/>
        <v>2035</v>
      </c>
      <c r="N17" s="120">
        <f t="shared" si="2"/>
        <v>2036</v>
      </c>
      <c r="O17" s="120">
        <f t="shared" si="2"/>
        <v>2037</v>
      </c>
      <c r="P17" s="120">
        <f t="shared" si="2"/>
        <v>2038</v>
      </c>
      <c r="Q17" s="120">
        <f t="shared" si="2"/>
        <v>2039</v>
      </c>
      <c r="R17" s="120">
        <f t="shared" si="2"/>
        <v>2040</v>
      </c>
      <c r="S17" s="120">
        <f t="shared" si="2"/>
        <v>2041</v>
      </c>
      <c r="T17" s="120">
        <f t="shared" si="2"/>
        <v>2042</v>
      </c>
      <c r="U17" s="120">
        <f t="shared" si="2"/>
        <v>2043</v>
      </c>
      <c r="V17" s="120">
        <f t="shared" si="2"/>
        <v>2044</v>
      </c>
      <c r="W17" s="120">
        <f t="shared" si="2"/>
        <v>2045</v>
      </c>
      <c r="X17" s="121"/>
      <c r="Y17" s="121"/>
      <c r="Z17" s="121"/>
    </row>
    <row r="18" spans="1:26" x14ac:dyDescent="0.35">
      <c r="A18">
        <f>A5</f>
        <v>1</v>
      </c>
      <c r="B18" t="str">
        <f>B5</f>
        <v>Badger
Veriz or ATT AMI</v>
      </c>
      <c r="D18" s="14">
        <f ca="1">SUM($D5:D5)</f>
        <v>6448242.7898110207</v>
      </c>
      <c r="E18" s="14">
        <f ca="1">SUM($D5:E5)</f>
        <v>13587428.985743193</v>
      </c>
      <c r="F18" s="14">
        <f ca="1">SUM($D5:F5)</f>
        <v>19848230.999228083</v>
      </c>
      <c r="G18" s="14">
        <f ca="1">SUM($D5:G5)</f>
        <v>24752808.725711495</v>
      </c>
      <c r="H18" s="14">
        <f ca="1">SUM($D5:H5)</f>
        <v>25413293.755807567</v>
      </c>
      <c r="I18" s="14">
        <f ca="1">SUM($D5:I5)</f>
        <v>28384285.801235072</v>
      </c>
      <c r="J18" s="14">
        <f ca="1">SUM($D5:J5)</f>
        <v>31182919.931104563</v>
      </c>
      <c r="K18" s="14">
        <f ca="1">SUM($D5:K5)</f>
        <v>39084679.374682583</v>
      </c>
      <c r="L18" s="14">
        <f ca="1">SUM($D5:L5)</f>
        <v>53914097.554366425</v>
      </c>
      <c r="M18" s="14">
        <f ca="1">SUM($D5:M5)</f>
        <v>61623502.188967548</v>
      </c>
      <c r="N18" s="14">
        <f ca="1">SUM($D5:N5)</f>
        <v>69318671.230301157</v>
      </c>
      <c r="O18" s="14">
        <f ca="1">SUM($D5:O5)</f>
        <v>77838202.52502504</v>
      </c>
      <c r="P18" s="14">
        <f ca="1">SUM($D5:P5)</f>
        <v>85308418.703375801</v>
      </c>
      <c r="Q18" s="14">
        <f ca="1">SUM($D5:Q5)</f>
        <v>91163566.571395963</v>
      </c>
      <c r="R18" s="14">
        <f ca="1">SUM($D5:R5)</f>
        <v>91951668.854133859</v>
      </c>
      <c r="S18" s="14">
        <f ca="1">SUM($D5:S5)</f>
        <v>95498249.087262422</v>
      </c>
      <c r="T18" s="14">
        <f ca="1">SUM($D5:T5)</f>
        <v>98842218.256497145</v>
      </c>
      <c r="U18" s="14">
        <f ca="1">SUM($D5:U5)</f>
        <v>108270079.30063973</v>
      </c>
      <c r="V18" s="14">
        <f ca="1">SUM($D5:V5)</f>
        <v>125966947.99689716</v>
      </c>
      <c r="W18" s="14">
        <f ca="1">SUM($D5:W5)</f>
        <v>135167715.78695422</v>
      </c>
      <c r="X18" s="305"/>
      <c r="Y18" s="305"/>
      <c r="Z18" s="305"/>
    </row>
    <row r="19" spans="1:26" x14ac:dyDescent="0.35">
      <c r="A19">
        <f>A6</f>
        <v>2</v>
      </c>
      <c r="B19" t="str">
        <f>B6</f>
        <v>Neptune 
FirstNet AMI</v>
      </c>
      <c r="D19" s="14">
        <f ca="1">SUM($D6:D6)</f>
        <v>7019503.7167335358</v>
      </c>
      <c r="E19" s="14">
        <f ca="1">SUM($D6:E6)</f>
        <v>14791127.686907776</v>
      </c>
      <c r="F19" s="14">
        <f ca="1">SUM($D6:F6)</f>
        <v>21606474.77721506</v>
      </c>
      <c r="G19" s="14">
        <f ca="1">SUM($D6:G6)</f>
        <v>26945618.653939385</v>
      </c>
      <c r="H19" s="14">
        <f ca="1">SUM($D6:H6)</f>
        <v>27664602.507435843</v>
      </c>
      <c r="I19" s="14">
        <f ca="1">SUM($D6:I6)</f>
        <v>30898804.018855963</v>
      </c>
      <c r="J19" s="14">
        <f ca="1">SUM($D6:J6)</f>
        <v>33945532.180401675</v>
      </c>
      <c r="K19" s="14">
        <f ca="1">SUM($D6:K6)</f>
        <v>42547028.893606499</v>
      </c>
      <c r="L19" s="14">
        <f ca="1">SUM($D6:L6)</f>
        <v>58689784.872464791</v>
      </c>
      <c r="M19" s="14">
        <f ca="1">SUM($D6:M6)</f>
        <v>67081964.501087323</v>
      </c>
      <c r="N19" s="14">
        <f ca="1">SUM($D6:N6)</f>
        <v>75534087.570984811</v>
      </c>
      <c r="O19" s="14">
        <f ca="1">SUM($D6:O6)</f>
        <v>84891635.783139914</v>
      </c>
      <c r="P19" s="14">
        <f ca="1">SUM($D6:P6)</f>
        <v>93096656.514258415</v>
      </c>
      <c r="Q19" s="14">
        <f ca="1">SUM($D6:Q6)</f>
        <v>99527629.863419831</v>
      </c>
      <c r="R19" s="14">
        <f ca="1">SUM($D6:R6)</f>
        <v>100393246.49722269</v>
      </c>
      <c r="S19" s="14">
        <f ca="1">SUM($D6:S6)</f>
        <v>104288594.61600481</v>
      </c>
      <c r="T19" s="14">
        <f ca="1">SUM($D6:T6)</f>
        <v>107961302.83930308</v>
      </c>
      <c r="U19" s="14">
        <f ca="1">SUM($D6:U6)</f>
        <v>118316356.5553368</v>
      </c>
      <c r="V19" s="14">
        <f ca="1">SUM($D6:V6)</f>
        <v>137753474.393621</v>
      </c>
      <c r="W19" s="14">
        <f ca="1">SUM($D6:W6)</f>
        <v>147858958.85161373</v>
      </c>
      <c r="X19" s="305"/>
      <c r="Y19" s="305"/>
      <c r="Z19" s="305"/>
    </row>
    <row r="20" spans="1:26" x14ac:dyDescent="0.35">
      <c r="A20">
        <f>A11</f>
        <v>1</v>
      </c>
      <c r="B20" t="str">
        <f>B11</f>
        <v>Badger
Veriz or ATT Existing Tech</v>
      </c>
      <c r="D20" s="14">
        <f ca="1">SUM($D11:D11)</f>
        <v>5880220.7345905229</v>
      </c>
      <c r="E20" s="14">
        <f ca="1">SUM($D11:E11)</f>
        <v>12392375.256335413</v>
      </c>
      <c r="F20" s="14">
        <f ca="1">SUM($D11:F11)</f>
        <v>17889303.765250899</v>
      </c>
      <c r="G20" s="14">
        <f ca="1">SUM($D11:G11)</f>
        <v>22196890.403436001</v>
      </c>
      <c r="H20" s="14">
        <f ca="1">SUM($D11:H11)</f>
        <v>22776690.533648942</v>
      </c>
      <c r="I20" s="14">
        <f ca="1">SUM($D11:I11)</f>
        <v>25386227.317392394</v>
      </c>
      <c r="J20" s="14">
        <f ca="1">SUM($D11:J11)</f>
        <v>27846465.315788779</v>
      </c>
      <c r="K20" s="14">
        <f ca="1">SUM($D11:K11)</f>
        <v>34785357.144253492</v>
      </c>
      <c r="L20" s="14">
        <f ca="1">SUM($D11:L11)</f>
        <v>47807161.524948053</v>
      </c>
      <c r="M20" s="14">
        <f ca="1">SUM($D11:M11)</f>
        <v>54577105.99514246</v>
      </c>
      <c r="N20" s="14">
        <f ca="1">SUM($D11:N11)</f>
        <v>62082669.403314292</v>
      </c>
      <c r="O20" s="14">
        <f ca="1">SUM($D11:O11)</f>
        <v>70392935.396835774</v>
      </c>
      <c r="P20" s="14">
        <f ca="1">SUM($D11:P11)</f>
        <v>77677495.349231631</v>
      </c>
      <c r="Q20" s="14">
        <f ca="1">SUM($D11:Q11)</f>
        <v>83387577.776386172</v>
      </c>
      <c r="R20" s="14">
        <f ca="1">SUM($D11:R11)</f>
        <v>84155776.227142558</v>
      </c>
      <c r="S20" s="14">
        <f ca="1">SUM($D11:S11)</f>
        <v>87614382.417282313</v>
      </c>
      <c r="T20" s="14">
        <f ca="1">SUM($D11:T11)</f>
        <v>90874837.237387627</v>
      </c>
      <c r="U20" s="14">
        <f ca="1">SUM($D11:U11)</f>
        <v>100070991.1473482</v>
      </c>
      <c r="V20" s="14">
        <f ca="1">SUM($D11:V11)</f>
        <v>117331755.21471462</v>
      </c>
      <c r="W20" s="14">
        <f ca="1">SUM($D11:W11)</f>
        <v>126306097.68312325</v>
      </c>
      <c r="X20" s="305"/>
      <c r="Y20" s="305"/>
      <c r="Z20" s="305"/>
    </row>
    <row r="21" spans="1:26" x14ac:dyDescent="0.35">
      <c r="A21">
        <f>A12</f>
        <v>2</v>
      </c>
      <c r="B21" t="str">
        <f>B12</f>
        <v>Neptune 
FirstNet Existing Tech</v>
      </c>
      <c r="D21" s="14">
        <f ca="1">SUM($D12:D12)</f>
        <v>4791678.705046677</v>
      </c>
      <c r="E21" s="14">
        <f ca="1">SUM($D12:E12)</f>
        <v>10104121.523840081</v>
      </c>
      <c r="F21" s="14">
        <f ca="1">SUM($D12:F12)</f>
        <v>14547959.866865508</v>
      </c>
      <c r="G21" s="14">
        <f ca="1">SUM($D12:G12)</f>
        <v>18026621.573782407</v>
      </c>
      <c r="H21" s="14">
        <f ca="1">SUM($D12:H12)</f>
        <v>18495840.982845411</v>
      </c>
      <c r="I21" s="14">
        <f ca="1">SUM($D12:I12)</f>
        <v>20604489.56988883</v>
      </c>
      <c r="J21" s="14">
        <f ca="1">SUM($D12:J12)</f>
        <v>22593877.23750142</v>
      </c>
      <c r="K21" s="14">
        <f ca="1">SUM($D12:K12)</f>
        <v>28202138.226222448</v>
      </c>
      <c r="L21" s="14">
        <f ca="1">SUM($D12:L12)</f>
        <v>38720303.312200457</v>
      </c>
      <c r="M21" s="14">
        <f ca="1">SUM($D12:M12)</f>
        <v>44186987.181905441</v>
      </c>
      <c r="N21" s="14">
        <f ca="1">SUM($D12:N12)</f>
        <v>50250168.946782976</v>
      </c>
      <c r="O21" s="14">
        <f ca="1">SUM($D12:O12)</f>
        <v>56970746.999354936</v>
      </c>
      <c r="P21" s="14">
        <f ca="1">SUM($D12:P12)</f>
        <v>62859901.094385698</v>
      </c>
      <c r="Q21" s="14">
        <f ca="1">SUM($D12:Q12)</f>
        <v>67471609.667265385</v>
      </c>
      <c r="R21" s="14">
        <f ca="1">SUM($D12:R12)</f>
        <v>68093282.216439664</v>
      </c>
      <c r="S21" s="14">
        <f ca="1">SUM($D12:S12)</f>
        <v>70888182.34778291</v>
      </c>
      <c r="T21" s="14">
        <f ca="1">SUM($D12:T12)</f>
        <v>73524733.032421634</v>
      </c>
      <c r="U21" s="14">
        <f ca="1">SUM($D12:U12)</f>
        <v>80957723.513541669</v>
      </c>
      <c r="V21" s="14">
        <f ca="1">SUM($D12:V12)</f>
        <v>94901019.571296439</v>
      </c>
      <c r="W21" s="14">
        <f ca="1">SUM($D12:W12)</f>
        <v>102148465.77336395</v>
      </c>
      <c r="X21" s="305"/>
      <c r="Y21" s="305"/>
      <c r="Z21" s="305"/>
    </row>
    <row r="22" spans="1:26" x14ac:dyDescent="0.35"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305"/>
      <c r="Y22" s="305"/>
      <c r="Z22" s="305"/>
    </row>
    <row r="23" spans="1:26" x14ac:dyDescent="0.35"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6" x14ac:dyDescent="0.35">
      <c r="A24" t="s">
        <v>226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26" x14ac:dyDescent="0.35">
      <c r="A25" s="57">
        <f>A5</f>
        <v>1</v>
      </c>
      <c r="B25" s="19" t="str" cm="1">
        <f t="array" ref="B25">INDEX(Scenarios,$A25)&amp;" "&amp;C25</f>
        <v xml:space="preserve">Badger
Veriz or ATT </v>
      </c>
      <c r="D25" s="21">
        <f ca="1">IF(Selected=$A25,SUM('LOS AMI Cell'!D$73,'LOS AMI Cell'!D$76:D$87,'LOS AMI Cell'!D$97:D$108),CompCapex!D25)</f>
        <v>17246</v>
      </c>
      <c r="E25" s="21">
        <f ca="1">IF(Selected=$A25,SUM('LOS AMI Cell'!E$73,'LOS AMI Cell'!E$76:E$87,'LOS AMI Cell'!E$97:E$108),CompCapex!E25)</f>
        <v>18563</v>
      </c>
      <c r="F25" s="21">
        <f ca="1">IF(Selected=$A25,SUM('LOS AMI Cell'!F$73,'LOS AMI Cell'!F$76:F$87,'LOS AMI Cell'!F$97:F$108),CompCapex!F25)</f>
        <v>15825</v>
      </c>
      <c r="G25" s="21">
        <f ca="1">IF(Selected=$A25,SUM('LOS AMI Cell'!G$73,'LOS AMI Cell'!G$76:G$87,'LOS AMI Cell'!G$97:G$108),CompCapex!G25)</f>
        <v>12057</v>
      </c>
      <c r="H25" s="21">
        <f ca="1">IF(Selected=$A25,SUM('LOS AMI Cell'!H$73,'LOS AMI Cell'!H$76:H$87,'LOS AMI Cell'!H$97:H$108),CompCapex!H25)</f>
        <v>1578</v>
      </c>
      <c r="I25" s="21">
        <f ca="1">IF(Selected=$A25,SUM('LOS AMI Cell'!I$73,'LOS AMI Cell'!I$76:I$87,'LOS AMI Cell'!I$97:I$108),CompCapex!I25)</f>
        <v>6903</v>
      </c>
      <c r="J25" s="21">
        <f ca="1">IF(Selected=$A25,SUM('LOS AMI Cell'!J$73,'LOS AMI Cell'!J$76:J$87,'LOS AMI Cell'!J$97:J$108),CompCapex!J25)</f>
        <v>6326</v>
      </c>
      <c r="K25" s="21">
        <f ca="1">IF(Selected=$A25,SUM('LOS AMI Cell'!K$73,'LOS AMI Cell'!K$76:K$87,'LOS AMI Cell'!K$97:K$108),CompCapex!K25)</f>
        <v>17347</v>
      </c>
      <c r="L25" s="21">
        <f ca="1">IF(Selected=$A25,SUM('LOS AMI Cell'!L$73,'LOS AMI Cell'!L$76:L$87,'LOS AMI Cell'!L$97:L$108),CompCapex!L25)</f>
        <v>31655</v>
      </c>
      <c r="M25" s="21">
        <f ca="1">IF(Selected=$A25,SUM('LOS AMI Cell'!M$73,'LOS AMI Cell'!M$76:M$87,'LOS AMI Cell'!M$97:M$108),CompCapex!M25)</f>
        <v>16000</v>
      </c>
      <c r="N25" s="21">
        <f ca="1">IF(Selected=$A25,SUM('LOS AMI Cell'!N$73,'LOS AMI Cell'!N$76:N$87,'LOS AMI Cell'!N$97:N$108),CompCapex!N25)</f>
        <v>17245.999999999996</v>
      </c>
      <c r="O25" s="21">
        <f ca="1">IF(Selected=$A25,SUM('LOS AMI Cell'!O$73,'LOS AMI Cell'!O$76:O$87,'LOS AMI Cell'!O$97:O$108),CompCapex!O25)</f>
        <v>18563</v>
      </c>
      <c r="P25" s="21">
        <f ca="1">IF(Selected=$A25,SUM('LOS AMI Cell'!P$73,'LOS AMI Cell'!P$76:P$87,'LOS AMI Cell'!P$97:P$108),CompCapex!P25)</f>
        <v>15825</v>
      </c>
      <c r="Q25" s="21">
        <f ca="1">IF(Selected=$A25,SUM('LOS AMI Cell'!Q$73,'LOS AMI Cell'!Q$76:Q$87,'LOS AMI Cell'!Q$97:Q$108),CompCapex!Q25)</f>
        <v>12057</v>
      </c>
      <c r="R25" s="21">
        <f ca="1">IF(Selected=$A25,SUM('LOS AMI Cell'!R$73,'LOS AMI Cell'!R$76:R$87,'LOS AMI Cell'!R$97:R$108),CompCapex!R25)</f>
        <v>1578</v>
      </c>
      <c r="S25" s="21">
        <f ca="1">IF(Selected=$A25,SUM('LOS AMI Cell'!S$73,'LOS AMI Cell'!S$76:S$87,'LOS AMI Cell'!S$97:S$108),CompCapex!S25)</f>
        <v>6903</v>
      </c>
      <c r="T25" s="21">
        <f ca="1">IF(Selected=$A25,SUM('LOS AMI Cell'!T$73,'LOS AMI Cell'!T$76:T$87,'LOS AMI Cell'!T$97:T$108),CompCapex!T25)</f>
        <v>6326</v>
      </c>
      <c r="U25" s="21">
        <f ca="1">IF(Selected=$A25,SUM('LOS AMI Cell'!U$73,'LOS AMI Cell'!U$76:U$87,'LOS AMI Cell'!U$97:U$108),CompCapex!U25)</f>
        <v>17347</v>
      </c>
      <c r="V25" s="21">
        <f ca="1">IF(Selected=$A25,SUM('LOS AMI Cell'!V$73,'LOS AMI Cell'!V$76:V$87,'LOS AMI Cell'!V$97:V$108),CompCapex!V25)</f>
        <v>31655</v>
      </c>
      <c r="W25" s="21">
        <f ca="1">IF(Selected=$A25,SUM('LOS AMI Cell'!W$73,'LOS AMI Cell'!W$76:W$87,'LOS AMI Cell'!W$97:W$108),CompCapex!W25)</f>
        <v>16000</v>
      </c>
    </row>
    <row r="26" spans="1:26" x14ac:dyDescent="0.35">
      <c r="A26" s="57">
        <f>A6</f>
        <v>2</v>
      </c>
      <c r="B26" s="19" t="str" cm="1">
        <f t="array" ref="B26">INDEX(Scenarios,$A26)&amp;" "&amp;C26</f>
        <v xml:space="preserve">Neptune 
FirstNet </v>
      </c>
      <c r="D26" s="21">
        <f ca="1">IF(Selected=$A26,SUM('LOS AMI Cell'!D$73,'LOS AMI Cell'!D$76:D$87,'LOS AMI Cell'!D$97:D$108),CompCapex!D26)</f>
        <v>17246</v>
      </c>
      <c r="E26" s="21">
        <f ca="1">IF(Selected=$A26,SUM('LOS AMI Cell'!E$73,'LOS AMI Cell'!E$76:E$87,'LOS AMI Cell'!E$97:E$108),CompCapex!E26)</f>
        <v>18563</v>
      </c>
      <c r="F26" s="21">
        <f ca="1">IF(Selected=$A26,SUM('LOS AMI Cell'!F$73,'LOS AMI Cell'!F$76:F$87,'LOS AMI Cell'!F$97:F$108),CompCapex!F26)</f>
        <v>15825</v>
      </c>
      <c r="G26" s="21">
        <f ca="1">IF(Selected=$A26,SUM('LOS AMI Cell'!G$73,'LOS AMI Cell'!G$76:G$87,'LOS AMI Cell'!G$97:G$108),CompCapex!G26)</f>
        <v>12057</v>
      </c>
      <c r="H26" s="21">
        <f ca="1">IF(Selected=$A26,SUM('LOS AMI Cell'!H$73,'LOS AMI Cell'!H$76:H$87,'LOS AMI Cell'!H$97:H$108),CompCapex!H26)</f>
        <v>1578</v>
      </c>
      <c r="I26" s="21">
        <f ca="1">IF(Selected=$A26,SUM('LOS AMI Cell'!I$73,'LOS AMI Cell'!I$76:I$87,'LOS AMI Cell'!I$97:I$108),CompCapex!I26)</f>
        <v>6903</v>
      </c>
      <c r="J26" s="21">
        <f ca="1">IF(Selected=$A26,SUM('LOS AMI Cell'!J$73,'LOS AMI Cell'!J$76:J$87,'LOS AMI Cell'!J$97:J$108),CompCapex!J26)</f>
        <v>6326</v>
      </c>
      <c r="K26" s="21">
        <f ca="1">IF(Selected=$A26,SUM('LOS AMI Cell'!K$73,'LOS AMI Cell'!K$76:K$87,'LOS AMI Cell'!K$97:K$108),CompCapex!K26)</f>
        <v>17347</v>
      </c>
      <c r="L26" s="21">
        <f ca="1">IF(Selected=$A26,SUM('LOS AMI Cell'!L$73,'LOS AMI Cell'!L$76:L$87,'LOS AMI Cell'!L$97:L$108),CompCapex!L26)</f>
        <v>31655</v>
      </c>
      <c r="M26" s="21">
        <f ca="1">IF(Selected=$A26,SUM('LOS AMI Cell'!M$73,'LOS AMI Cell'!M$76:M$87,'LOS AMI Cell'!M$97:M$108),CompCapex!M26)</f>
        <v>16000</v>
      </c>
      <c r="N26" s="21">
        <f ca="1">IF(Selected=$A26,SUM('LOS AMI Cell'!N$73,'LOS AMI Cell'!N$76:N$87,'LOS AMI Cell'!N$97:N$108),CompCapex!N26)</f>
        <v>17245.999999999996</v>
      </c>
      <c r="O26" s="21">
        <f ca="1">IF(Selected=$A26,SUM('LOS AMI Cell'!O$73,'LOS AMI Cell'!O$76:O$87,'LOS AMI Cell'!O$97:O$108),CompCapex!O26)</f>
        <v>18563</v>
      </c>
      <c r="P26" s="21">
        <f ca="1">IF(Selected=$A26,SUM('LOS AMI Cell'!P$73,'LOS AMI Cell'!P$76:P$87,'LOS AMI Cell'!P$97:P$108),CompCapex!P26)</f>
        <v>15825</v>
      </c>
      <c r="Q26" s="21">
        <f ca="1">IF(Selected=$A26,SUM('LOS AMI Cell'!Q$73,'LOS AMI Cell'!Q$76:Q$87,'LOS AMI Cell'!Q$97:Q$108),CompCapex!Q26)</f>
        <v>12057</v>
      </c>
      <c r="R26" s="21">
        <f ca="1">IF(Selected=$A26,SUM('LOS AMI Cell'!R$73,'LOS AMI Cell'!R$76:R$87,'LOS AMI Cell'!R$97:R$108),CompCapex!R26)</f>
        <v>1578</v>
      </c>
      <c r="S26" s="21">
        <f ca="1">IF(Selected=$A26,SUM('LOS AMI Cell'!S$73,'LOS AMI Cell'!S$76:S$87,'LOS AMI Cell'!S$97:S$108),CompCapex!S26)</f>
        <v>6903</v>
      </c>
      <c r="T26" s="21">
        <f ca="1">IF(Selected=$A26,SUM('LOS AMI Cell'!T$73,'LOS AMI Cell'!T$76:T$87,'LOS AMI Cell'!T$97:T$108),CompCapex!T26)</f>
        <v>6326</v>
      </c>
      <c r="U26" s="21">
        <f ca="1">IF(Selected=$A26,SUM('LOS AMI Cell'!U$73,'LOS AMI Cell'!U$76:U$87,'LOS AMI Cell'!U$97:U$108),CompCapex!U26)</f>
        <v>17347</v>
      </c>
      <c r="V26" s="21">
        <f ca="1">IF(Selected=$A26,SUM('LOS AMI Cell'!V$73,'LOS AMI Cell'!V$76:V$87,'LOS AMI Cell'!V$97:V$108),CompCapex!V26)</f>
        <v>31655</v>
      </c>
      <c r="W26" s="21">
        <f ca="1">IF(Selected=$A26,SUM('LOS AMI Cell'!W$73,'LOS AMI Cell'!W$76:W$87,'LOS AMI Cell'!W$97:W$108),CompCapex!W26)</f>
        <v>16000</v>
      </c>
    </row>
    <row r="27" spans="1:26" x14ac:dyDescent="0.35">
      <c r="A27" s="57">
        <v>5</v>
      </c>
      <c r="B27" s="19" t="str" cm="1">
        <f t="array" ref="B27">INDEX(Scenarios,$A27)&amp;" "&amp;C27</f>
        <v xml:space="preserve">Average 
Cost* </v>
      </c>
      <c r="D27" s="21">
        <f>IF(Selected=$A27,SUM('LOS AMI Cell'!D$73,'LOS AMI Cell'!D$76:D$87,'LOS AMI Cell'!D$97:D$108),CompCapex!D27)</f>
        <v>17246</v>
      </c>
      <c r="E27" s="21">
        <f>IF(Selected=$A27,SUM('LOS AMI Cell'!E$73,'LOS AMI Cell'!E$76:E$87,'LOS AMI Cell'!E$97:E$108),CompCapex!E27)</f>
        <v>18563</v>
      </c>
      <c r="F27" s="21">
        <f>IF(Selected=$A27,SUM('LOS AMI Cell'!F$73,'LOS AMI Cell'!F$76:F$87,'LOS AMI Cell'!F$97:F$108),CompCapex!F27)</f>
        <v>15825</v>
      </c>
      <c r="G27" s="21">
        <f>IF(Selected=$A27,SUM('LOS AMI Cell'!G$73,'LOS AMI Cell'!G$76:G$87,'LOS AMI Cell'!G$97:G$108),CompCapex!G27)</f>
        <v>12057</v>
      </c>
      <c r="H27" s="21">
        <f>IF(Selected=$A27,SUM('LOS AMI Cell'!H$73,'LOS AMI Cell'!H$76:H$87,'LOS AMI Cell'!H$97:H$108),CompCapex!H27)</f>
        <v>1578</v>
      </c>
      <c r="I27" s="21">
        <f>IF(Selected=$A27,SUM('LOS AMI Cell'!I$73,'LOS AMI Cell'!I$76:I$87,'LOS AMI Cell'!I$97:I$108),CompCapex!I27)</f>
        <v>6903</v>
      </c>
      <c r="J27" s="21">
        <f>IF(Selected=$A27,SUM('LOS AMI Cell'!J$73,'LOS AMI Cell'!J$76:J$87,'LOS AMI Cell'!J$97:J$108),CompCapex!J27)</f>
        <v>6326</v>
      </c>
      <c r="K27" s="21">
        <f>IF(Selected=$A27,SUM('LOS AMI Cell'!K$73,'LOS AMI Cell'!K$76:K$87,'LOS AMI Cell'!K$97:K$108),CompCapex!K27)</f>
        <v>17347</v>
      </c>
      <c r="L27" s="21">
        <f>IF(Selected=$A27,SUM('LOS AMI Cell'!L$73,'LOS AMI Cell'!L$76:L$87,'LOS AMI Cell'!L$97:L$108),CompCapex!L27)</f>
        <v>31655</v>
      </c>
      <c r="M27" s="21">
        <f>IF(Selected=$A27,SUM('LOS AMI Cell'!M$73,'LOS AMI Cell'!M$76:M$87,'LOS AMI Cell'!M$97:M$108),CompCapex!M27)</f>
        <v>16000</v>
      </c>
      <c r="N27" s="21">
        <f>IF(Selected=$A27,SUM('LOS AMI Cell'!N$73,'LOS AMI Cell'!N$76:N$87,'LOS AMI Cell'!N$97:N$108),CompCapex!N27)</f>
        <v>17245.999999999996</v>
      </c>
      <c r="O27" s="21">
        <f>IF(Selected=$A27,SUM('LOS AMI Cell'!O$73,'LOS AMI Cell'!O$76:O$87,'LOS AMI Cell'!O$97:O$108),CompCapex!O27)</f>
        <v>18563</v>
      </c>
      <c r="P27" s="21">
        <f>IF(Selected=$A27,SUM('LOS AMI Cell'!P$73,'LOS AMI Cell'!P$76:P$87,'LOS AMI Cell'!P$97:P$108),CompCapex!P27)</f>
        <v>15825</v>
      </c>
      <c r="Q27" s="21">
        <f>IF(Selected=$A27,SUM('LOS AMI Cell'!Q$73,'LOS AMI Cell'!Q$76:Q$87,'LOS AMI Cell'!Q$97:Q$108),CompCapex!Q27)</f>
        <v>12057</v>
      </c>
      <c r="R27" s="21">
        <f>IF(Selected=$A27,SUM('LOS AMI Cell'!R$73,'LOS AMI Cell'!R$76:R$87,'LOS AMI Cell'!R$97:R$108),CompCapex!R27)</f>
        <v>1578</v>
      </c>
      <c r="S27" s="21">
        <f>IF(Selected=$A27,SUM('LOS AMI Cell'!S$73,'LOS AMI Cell'!S$76:S$87,'LOS AMI Cell'!S$97:S$108),CompCapex!S27)</f>
        <v>6903</v>
      </c>
      <c r="T27" s="21">
        <f>IF(Selected=$A27,SUM('LOS AMI Cell'!T$73,'LOS AMI Cell'!T$76:T$87,'LOS AMI Cell'!T$97:T$108),CompCapex!T27)</f>
        <v>6326</v>
      </c>
      <c r="U27" s="21">
        <f>IF(Selected=$A27,SUM('LOS AMI Cell'!U$73,'LOS AMI Cell'!U$76:U$87,'LOS AMI Cell'!U$97:U$108),CompCapex!U27)</f>
        <v>17347</v>
      </c>
      <c r="V27" s="21">
        <f>IF(Selected=$A27,SUM('LOS AMI Cell'!V$73,'LOS AMI Cell'!V$76:V$87,'LOS AMI Cell'!V$97:V$108),CompCapex!V27)</f>
        <v>31655</v>
      </c>
      <c r="W27" s="21">
        <f>IF(Selected=$A27,SUM('LOS AMI Cell'!W$73,'LOS AMI Cell'!W$76:W$87,'LOS AMI Cell'!W$97:W$108),CompCapex!W27)</f>
        <v>16000</v>
      </c>
    </row>
    <row r="28" spans="1:26" x14ac:dyDescent="0.35">
      <c r="A28" s="57"/>
      <c r="B28" s="19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6" x14ac:dyDescent="0.35">
      <c r="A29" t="s">
        <v>227</v>
      </c>
    </row>
    <row r="30" spans="1:26" x14ac:dyDescent="0.35">
      <c r="A30">
        <f>A25</f>
        <v>1</v>
      </c>
      <c r="D30" s="12">
        <f ca="1">SUM($D25:D25)/143500</f>
        <v>0.12018118466898954</v>
      </c>
      <c r="E30" s="12">
        <f ca="1">SUM($D25:E25)/143500</f>
        <v>0.24954006968641115</v>
      </c>
      <c r="F30" s="12">
        <f ca="1">SUM($D25:F25)/143500</f>
        <v>0.35981881533101046</v>
      </c>
      <c r="G30" s="12">
        <f ca="1">SUM($D25:G25)/143500</f>
        <v>0.44383972125435539</v>
      </c>
      <c r="H30" s="12">
        <f ca="1">SUM($D25:H25)/143500</f>
        <v>0.45483623693379793</v>
      </c>
      <c r="I30" s="12">
        <f ca="1">SUM($D25:I25)/143500</f>
        <v>0.50294076655052267</v>
      </c>
      <c r="J30" s="12">
        <f ca="1">SUM($D25:J25)/143500</f>
        <v>0.54702439024390248</v>
      </c>
      <c r="K30" s="12">
        <f ca="1">SUM($D25:K25)/143500</f>
        <v>0.66790940766550522</v>
      </c>
      <c r="L30" s="12">
        <f ca="1">SUM($D25:L25)/143500</f>
        <v>0.88850174216027877</v>
      </c>
      <c r="M30" s="12">
        <f ca="1">SUM($D25:M25)/143500</f>
        <v>1</v>
      </c>
      <c r="N30" s="12">
        <f ca="1">SUM($D25:N25)/143500</f>
        <v>1.1201811846689895</v>
      </c>
      <c r="O30" s="12">
        <f ca="1">SUM($D25:O25)/143500</f>
        <v>1.2495400696864112</v>
      </c>
      <c r="P30" s="12">
        <f ca="1">SUM($D25:P25)/143500</f>
        <v>1.3598188153310105</v>
      </c>
      <c r="Q30" s="12">
        <f ca="1">SUM($D25:Q25)/143500</f>
        <v>1.4438397212543554</v>
      </c>
      <c r="R30" s="12">
        <f ca="1">SUM($D25:R25)/143500</f>
        <v>1.4548362369337979</v>
      </c>
      <c r="S30" s="12">
        <f ca="1">SUM($D25:S25)/143500</f>
        <v>1.5029407665505226</v>
      </c>
      <c r="T30" s="12">
        <f ca="1">SUM($D25:T25)/143500</f>
        <v>1.5470243902439025</v>
      </c>
      <c r="U30" s="12">
        <f ca="1">SUM($D25:U25)/143500</f>
        <v>1.6679094076655052</v>
      </c>
      <c r="V30" s="12">
        <f ca="1">SUM($D25:V25)/143500</f>
        <v>1.8885017421602788</v>
      </c>
      <c r="W30" s="12">
        <f ca="1">SUM($D25:W25)/143500</f>
        <v>2</v>
      </c>
    </row>
    <row r="31" spans="1:26" x14ac:dyDescent="0.35">
      <c r="A31">
        <f t="shared" ref="A31:A32" si="3">A26</f>
        <v>2</v>
      </c>
      <c r="D31" s="12">
        <f ca="1">SUM($D26:D26)/143500</f>
        <v>0.12018118466898954</v>
      </c>
      <c r="E31" s="12">
        <f ca="1">SUM($D26:E26)/143500</f>
        <v>0.24954006968641115</v>
      </c>
      <c r="F31" s="12">
        <f ca="1">SUM($D26:F26)/143500</f>
        <v>0.35981881533101046</v>
      </c>
      <c r="G31" s="12">
        <f ca="1">SUM($D26:G26)/143500</f>
        <v>0.44383972125435539</v>
      </c>
      <c r="H31" s="12">
        <f ca="1">SUM($D26:H26)/143500</f>
        <v>0.45483623693379793</v>
      </c>
      <c r="I31" s="12">
        <f ca="1">SUM($D26:I26)/143500</f>
        <v>0.50294076655052267</v>
      </c>
      <c r="J31" s="12">
        <f ca="1">SUM($D26:J26)/143500</f>
        <v>0.54702439024390248</v>
      </c>
      <c r="K31" s="12">
        <f ca="1">SUM($D26:K26)/143500</f>
        <v>0.66790940766550522</v>
      </c>
      <c r="L31" s="12">
        <f ca="1">SUM($D26:L26)/143500</f>
        <v>0.88850174216027877</v>
      </c>
      <c r="M31" s="12">
        <f ca="1">SUM($D26:M26)/143500</f>
        <v>1</v>
      </c>
      <c r="N31" s="12">
        <f ca="1">SUM($D26:N26)/143500</f>
        <v>1.1201811846689895</v>
      </c>
      <c r="O31" s="12">
        <f ca="1">SUM($D26:O26)/143500</f>
        <v>1.2495400696864112</v>
      </c>
      <c r="P31" s="12">
        <f ca="1">SUM($D26:P26)/143500</f>
        <v>1.3598188153310105</v>
      </c>
      <c r="Q31" s="12">
        <f ca="1">SUM($D26:Q26)/143500</f>
        <v>1.4438397212543554</v>
      </c>
      <c r="R31" s="12">
        <f ca="1">SUM($D26:R26)/143500</f>
        <v>1.4548362369337979</v>
      </c>
      <c r="S31" s="12">
        <f ca="1">SUM($D26:S26)/143500</f>
        <v>1.5029407665505226</v>
      </c>
      <c r="T31" s="12">
        <f ca="1">SUM($D26:T26)/143500</f>
        <v>1.5470243902439025</v>
      </c>
      <c r="U31" s="12">
        <f ca="1">SUM($D26:U26)/143500</f>
        <v>1.6679094076655052</v>
      </c>
      <c r="V31" s="12">
        <f ca="1">SUM($D26:V26)/143500</f>
        <v>1.8885017421602788</v>
      </c>
      <c r="W31" s="12">
        <f ca="1">SUM($D26:W26)/143500</f>
        <v>2</v>
      </c>
    </row>
    <row r="32" spans="1:26" x14ac:dyDescent="0.35">
      <c r="A32">
        <f t="shared" si="3"/>
        <v>5</v>
      </c>
      <c r="D32" s="12">
        <f>SUM($D27:D27)/143500</f>
        <v>0.12018118466898954</v>
      </c>
      <c r="E32" s="12">
        <f>SUM($D27:E27)/143500</f>
        <v>0.24954006968641115</v>
      </c>
      <c r="F32" s="12">
        <f>SUM($D27:F27)/143500</f>
        <v>0.35981881533101046</v>
      </c>
      <c r="G32" s="12">
        <f>SUM($D27:G27)/143500</f>
        <v>0.44383972125435539</v>
      </c>
      <c r="H32" s="12">
        <f>SUM($D27:H27)/143500</f>
        <v>0.45483623693379793</v>
      </c>
      <c r="I32" s="12">
        <f>SUM($D27:I27)/143500</f>
        <v>0.50294076655052267</v>
      </c>
      <c r="J32" s="12">
        <f>SUM($D27:J27)/143500</f>
        <v>0.54702439024390248</v>
      </c>
      <c r="K32" s="12">
        <f>SUM($D27:K27)/143500</f>
        <v>0.66790940766550522</v>
      </c>
      <c r="L32" s="12">
        <f>SUM($D27:L27)/143500</f>
        <v>0.88850174216027877</v>
      </c>
      <c r="M32" s="12">
        <f>SUM($D27:M27)/143500</f>
        <v>1</v>
      </c>
      <c r="N32" s="12">
        <f>SUM($D27:N27)/143500</f>
        <v>1.1201811846689895</v>
      </c>
      <c r="O32" s="12">
        <f>SUM($D27:O27)/143500</f>
        <v>1.2495400696864112</v>
      </c>
      <c r="P32" s="12">
        <f>SUM($D27:P27)/143500</f>
        <v>1.3598188153310105</v>
      </c>
      <c r="Q32" s="12">
        <f>SUM($D27:Q27)/143500</f>
        <v>1.4438397212543554</v>
      </c>
      <c r="R32" s="12">
        <f>SUM($D27:R27)/143500</f>
        <v>1.4548362369337979</v>
      </c>
      <c r="S32" s="12">
        <f>SUM($D27:S27)/143500</f>
        <v>1.5029407665505226</v>
      </c>
      <c r="T32" s="12">
        <f>SUM($D27:T27)/143500</f>
        <v>1.5470243902439025</v>
      </c>
      <c r="U32" s="12">
        <f>SUM($D27:U27)/143500</f>
        <v>1.6679094076655052</v>
      </c>
      <c r="V32" s="12">
        <f>SUM($D27:V27)/143500</f>
        <v>1.8885017421602788</v>
      </c>
      <c r="W32" s="12">
        <f>SUM($D27:W27)/143500</f>
        <v>2</v>
      </c>
    </row>
    <row r="33" spans="1:23" x14ac:dyDescent="0.35"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x14ac:dyDescent="0.35">
      <c r="A34" t="s">
        <v>226</v>
      </c>
    </row>
    <row r="36" spans="1:23" x14ac:dyDescent="0.35">
      <c r="D36">
        <v>2026</v>
      </c>
      <c r="E36">
        <v>2027</v>
      </c>
      <c r="F36">
        <v>2028</v>
      </c>
      <c r="G36">
        <v>2029</v>
      </c>
      <c r="H36">
        <v>2030</v>
      </c>
      <c r="I36">
        <v>2031</v>
      </c>
      <c r="J36">
        <v>2032</v>
      </c>
      <c r="K36">
        <v>2033</v>
      </c>
      <c r="L36">
        <v>2034</v>
      </c>
      <c r="M36">
        <v>2035</v>
      </c>
      <c r="N36">
        <v>2036</v>
      </c>
      <c r="O36">
        <v>2037</v>
      </c>
      <c r="P36">
        <v>2038</v>
      </c>
      <c r="Q36">
        <v>2039</v>
      </c>
      <c r="R36">
        <v>2040</v>
      </c>
      <c r="S36">
        <v>2041</v>
      </c>
      <c r="T36">
        <v>2042</v>
      </c>
      <c r="U36">
        <v>2043</v>
      </c>
      <c r="V36">
        <v>2044</v>
      </c>
      <c r="W36">
        <v>2045</v>
      </c>
    </row>
    <row r="37" spans="1:23" x14ac:dyDescent="0.35">
      <c r="B37" t="s">
        <v>228</v>
      </c>
    </row>
    <row r="38" spans="1:23" x14ac:dyDescent="0.35">
      <c r="B38" t="s">
        <v>229</v>
      </c>
      <c r="C38" s="21"/>
      <c r="D38" s="21">
        <f ca="1">'0-Inputs'!B46*D25</f>
        <v>5842.6309342623354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</row>
    <row r="39" spans="1:23" x14ac:dyDescent="0.35">
      <c r="B39" t="s">
        <v>184</v>
      </c>
      <c r="D39" s="13">
        <f t="shared" ref="D39:M39" ca="1" si="4">D25</f>
        <v>17246</v>
      </c>
      <c r="E39" s="13">
        <f t="shared" ca="1" si="4"/>
        <v>18563</v>
      </c>
      <c r="F39" s="13">
        <f t="shared" ca="1" si="4"/>
        <v>15825</v>
      </c>
      <c r="G39" s="13">
        <f t="shared" ca="1" si="4"/>
        <v>12057</v>
      </c>
      <c r="H39" s="13">
        <f t="shared" ca="1" si="4"/>
        <v>1578</v>
      </c>
      <c r="I39" s="13">
        <f t="shared" ca="1" si="4"/>
        <v>6903</v>
      </c>
      <c r="J39" s="13">
        <f t="shared" ca="1" si="4"/>
        <v>6326</v>
      </c>
      <c r="K39" s="13">
        <f t="shared" ca="1" si="4"/>
        <v>17347</v>
      </c>
      <c r="L39" s="13">
        <f t="shared" ca="1" si="4"/>
        <v>31655</v>
      </c>
      <c r="M39" s="13">
        <f t="shared" ca="1" si="4"/>
        <v>16000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5558-06F5-436B-955E-F2ADA72D1AA2}">
  <sheetPr>
    <tabColor theme="1" tint="0.249977111117893"/>
  </sheetPr>
  <dimension ref="A1:AC57"/>
  <sheetViews>
    <sheetView workbookViewId="0">
      <selection activeCell="C2" sqref="C2"/>
    </sheetView>
  </sheetViews>
  <sheetFormatPr defaultRowHeight="14.5" x14ac:dyDescent="0.35"/>
  <cols>
    <col min="2" max="2" width="20.1796875" customWidth="1"/>
    <col min="3" max="3" width="12.1796875" bestFit="1" customWidth="1"/>
    <col min="4" max="23" width="15.26953125" customWidth="1"/>
    <col min="24" max="26" width="17.26953125" customWidth="1"/>
    <col min="29" max="29" width="14.26953125" bestFit="1" customWidth="1"/>
  </cols>
  <sheetData>
    <row r="1" spans="1:29" x14ac:dyDescent="0.35">
      <c r="A1" t="s">
        <v>230</v>
      </c>
      <c r="C1" s="296" t="s">
        <v>1107</v>
      </c>
    </row>
    <row r="3" spans="1:29" x14ac:dyDescent="0.35">
      <c r="A3" s="19" t="s">
        <v>184</v>
      </c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  <c r="N3">
        <v>11</v>
      </c>
      <c r="O3">
        <v>12</v>
      </c>
      <c r="P3">
        <v>13</v>
      </c>
      <c r="Q3">
        <v>14</v>
      </c>
      <c r="R3">
        <v>15</v>
      </c>
      <c r="S3">
        <v>16</v>
      </c>
      <c r="T3">
        <v>17</v>
      </c>
      <c r="U3">
        <v>18</v>
      </c>
      <c r="V3">
        <v>19</v>
      </c>
      <c r="W3">
        <v>20</v>
      </c>
      <c r="X3">
        <v>22</v>
      </c>
      <c r="Y3">
        <v>23</v>
      </c>
      <c r="Z3">
        <v>24</v>
      </c>
    </row>
    <row r="4" spans="1:29" x14ac:dyDescent="0.35">
      <c r="A4" s="25" t="s">
        <v>185</v>
      </c>
      <c r="D4" s="120">
        <f>YearOne</f>
        <v>2026</v>
      </c>
      <c r="E4" s="120">
        <f t="shared" ref="E4:W4" si="0">YearOne+E3-1</f>
        <v>2027</v>
      </c>
      <c r="F4" s="120">
        <f t="shared" si="0"/>
        <v>2028</v>
      </c>
      <c r="G4" s="120">
        <f t="shared" si="0"/>
        <v>2029</v>
      </c>
      <c r="H4" s="120">
        <f t="shared" si="0"/>
        <v>2030</v>
      </c>
      <c r="I4" s="120">
        <f t="shared" si="0"/>
        <v>2031</v>
      </c>
      <c r="J4" s="120">
        <f t="shared" si="0"/>
        <v>2032</v>
      </c>
      <c r="K4" s="120">
        <f t="shared" si="0"/>
        <v>2033</v>
      </c>
      <c r="L4" s="120">
        <f t="shared" si="0"/>
        <v>2034</v>
      </c>
      <c r="M4" s="120">
        <f t="shared" si="0"/>
        <v>2035</v>
      </c>
      <c r="N4" s="120">
        <f t="shared" si="0"/>
        <v>2036</v>
      </c>
      <c r="O4" s="120">
        <f t="shared" si="0"/>
        <v>2037</v>
      </c>
      <c r="P4" s="120">
        <f t="shared" si="0"/>
        <v>2038</v>
      </c>
      <c r="Q4" s="120">
        <f t="shared" si="0"/>
        <v>2039</v>
      </c>
      <c r="R4" s="120">
        <f t="shared" si="0"/>
        <v>2040</v>
      </c>
      <c r="S4" s="120">
        <f t="shared" si="0"/>
        <v>2041</v>
      </c>
      <c r="T4" s="120">
        <f t="shared" si="0"/>
        <v>2042</v>
      </c>
      <c r="U4" s="120">
        <f t="shared" si="0"/>
        <v>2043</v>
      </c>
      <c r="V4" s="120">
        <f t="shared" si="0"/>
        <v>2044</v>
      </c>
      <c r="W4" s="120">
        <f t="shared" si="0"/>
        <v>2045</v>
      </c>
      <c r="X4" s="121" t="s">
        <v>203</v>
      </c>
      <c r="Y4" s="121" t="s">
        <v>204</v>
      </c>
      <c r="Z4" s="121" t="s">
        <v>186</v>
      </c>
    </row>
    <row r="5" spans="1:29" s="19" customFormat="1" x14ac:dyDescent="0.35">
      <c r="A5" s="56">
        <v>1</v>
      </c>
      <c r="B5" s="19" t="str">
        <f ca="1">IF(Selected=A5,'0-Inputs'!$B$5,B5)</f>
        <v>Badger
Veriz or ATT</v>
      </c>
      <c r="C5" s="19" t="s">
        <v>184</v>
      </c>
      <c r="D5" s="305">
        <f ca="1">IF(Selected=$A5,SUM('LOS AMI Cell'!D$181),D5)</f>
        <v>-4214864.2684791917</v>
      </c>
      <c r="E5" s="305">
        <f ca="1">IF(Selected=$A5,SUM('LOS AMI Cell'!E$181),E5)</f>
        <v>-4666428.1718261512</v>
      </c>
      <c r="F5" s="305">
        <f ca="1">IF(Selected=$A5,SUM('LOS AMI Cell'!F$181),F5)</f>
        <v>-4091865.7246009596</v>
      </c>
      <c r="G5" s="305">
        <f ca="1">IF(Selected=$A5,SUM('LOS AMI Cell'!G$181),G5)</f>
        <v>-3252432.6066563213</v>
      </c>
      <c r="H5" s="305">
        <f ca="1">IF(Selected=$A5,SUM('LOS AMI Cell'!H$181),H5)</f>
        <v>-437841.91050587199</v>
      </c>
      <c r="I5" s="305">
        <f ca="1">IF(Selected=$A5,SUM('LOS AMI Cell'!I$181),I5)</f>
        <v>-1970105.6489413262</v>
      </c>
      <c r="J5" s="305">
        <f ca="1">IF(Selected=$A5,SUM('LOS AMI Cell'!J$181),J5)</f>
        <v>-1857043.8887845802</v>
      </c>
      <c r="K5" s="305">
        <f ca="1">IF(Selected=$A5,SUM('LOS AMI Cell'!K$181),K5)</f>
        <v>-5237918.3220806085</v>
      </c>
      <c r="L5" s="305">
        <f ca="1">IF(Selected=$A5,SUM('LOS AMI Cell'!L$181),L5)</f>
        <v>-9831460.7639726773</v>
      </c>
      <c r="M5" s="305">
        <f ca="1">IF(Selected=$A5,SUM('LOS AMI Cell'!M$181),M5)</f>
        <v>-5111367.7688414119</v>
      </c>
      <c r="N5" s="305">
        <f ca="1">IF(Selected=$A5,SUM('LOS AMI Cell'!N$181),N5)</f>
        <v>-5807419.2533432944</v>
      </c>
      <c r="O5" s="305">
        <f ca="1">IF(Selected=$A5,SUM('LOS AMI Cell'!O$181),O5)</f>
        <v>-6429552.0741238603</v>
      </c>
      <c r="P5" s="305">
        <f ca="1">IF(Selected=$A5,SUM('LOS AMI Cell'!P$181),P5)</f>
        <v>-5637650.976575871</v>
      </c>
      <c r="Q5" s="305">
        <f ca="1">IF(Selected=$A5,SUM('LOS AMI Cell'!Q$181),Q5)</f>
        <v>-4418785.1205435349</v>
      </c>
      <c r="R5" s="305">
        <f ca="1">IF(Selected=$A5,SUM('LOS AMI Cell'!R$181),R5)</f>
        <v>-594768.00909660838</v>
      </c>
      <c r="S5" s="305">
        <f ca="1">IF(Selected=$A5,SUM('LOS AMI Cell'!S$181),S5)</f>
        <v>-2676546.5734107015</v>
      </c>
      <c r="T5" s="305">
        <f ca="1">IF(Selected=$A5,SUM('LOS AMI Cell'!T$181),T5)</f>
        <v>-2523639.2900128653</v>
      </c>
      <c r="U5" s="305">
        <f ca="1">IF(Selected=$A5,SUM('LOS AMI Cell'!U$181),U5)</f>
        <v>-7115053.8021332687</v>
      </c>
      <c r="V5" s="305">
        <f ca="1">IF(Selected=$A5,SUM('LOS AMI Cell'!V$181),V5)</f>
        <v>-13355539.746885482</v>
      </c>
      <c r="W5" s="305">
        <f ca="1">IF(Selected=$A5,SUM('LOS AMI Cell'!W$181),W5)</f>
        <v>-6943670.20691959</v>
      </c>
      <c r="X5" s="305">
        <f ca="1">SUM(D5:H5)</f>
        <v>-16663432.682068497</v>
      </c>
      <c r="Y5" s="305">
        <f ca="1">SUM(D5:M5)</f>
        <v>-40671329.074689105</v>
      </c>
      <c r="Z5" s="305">
        <f ca="1">SUM(D5:W5)</f>
        <v>-96173954.127734169</v>
      </c>
      <c r="AC5" s="304"/>
    </row>
    <row r="6" spans="1:29" s="19" customFormat="1" x14ac:dyDescent="0.35">
      <c r="A6" s="56">
        <f>A5+1</f>
        <v>2</v>
      </c>
      <c r="B6" s="19" t="str">
        <f ca="1">IF(Selected=A6,'0-Inputs'!$B$5,B6)</f>
        <v>Neptune 
FirstNet</v>
      </c>
      <c r="C6" s="19" t="s">
        <v>184</v>
      </c>
      <c r="D6" s="305">
        <f ca="1">IF(Selected=$A6,SUM('LOS AMI Cell'!D$181),D6)</f>
        <v>-4214864.2684791917</v>
      </c>
      <c r="E6" s="305">
        <f ca="1">IF(Selected=$A6,SUM('LOS AMI Cell'!E$181),E6)</f>
        <v>-4666428.1718261512</v>
      </c>
      <c r="F6" s="305">
        <f ca="1">IF(Selected=$A6,SUM('LOS AMI Cell'!F$181),F6)</f>
        <v>-4091865.7246009596</v>
      </c>
      <c r="G6" s="305">
        <f ca="1">IF(Selected=$A6,SUM('LOS AMI Cell'!G$181),G6)</f>
        <v>-3252432.6066563213</v>
      </c>
      <c r="H6" s="305">
        <f ca="1">IF(Selected=$A6,SUM('LOS AMI Cell'!H$181),H6)</f>
        <v>-437841.91050587199</v>
      </c>
      <c r="I6" s="305">
        <f ca="1">IF(Selected=$A6,SUM('LOS AMI Cell'!I$181),I6)</f>
        <v>-1970105.6489413262</v>
      </c>
      <c r="J6" s="305">
        <f ca="1">IF(Selected=$A6,SUM('LOS AMI Cell'!J$181),J6)</f>
        <v>-1857043.8887845802</v>
      </c>
      <c r="K6" s="305">
        <f ca="1">IF(Selected=$A6,SUM('LOS AMI Cell'!K$181),K6)</f>
        <v>-5237918.3220806085</v>
      </c>
      <c r="L6" s="305">
        <f ca="1">IF(Selected=$A6,SUM('LOS AMI Cell'!L$181),L6)</f>
        <v>-9831460.7639726773</v>
      </c>
      <c r="M6" s="305">
        <f ca="1">IF(Selected=$A6,SUM('LOS AMI Cell'!M$181),M6)</f>
        <v>-5111367.7688414119</v>
      </c>
      <c r="N6" s="305">
        <f ca="1">IF(Selected=$A6,SUM('LOS AMI Cell'!N$181),N6)</f>
        <v>-6378680.1802658094</v>
      </c>
      <c r="O6" s="305">
        <f ca="1">IF(Selected=$A6,SUM('LOS AMI Cell'!O$181),O6)</f>
        <v>-7061989.8483659262</v>
      </c>
      <c r="P6" s="305">
        <f ca="1">IF(Selected=$A6,SUM('LOS AMI Cell'!P$181),P6)</f>
        <v>-6192196.0533982636</v>
      </c>
      <c r="Q6" s="305">
        <f ca="1">IF(Selected=$A6,SUM('LOS AMI Cell'!Q$181),Q6)</f>
        <v>-4853351.270784446</v>
      </c>
      <c r="R6" s="305">
        <f ca="1">IF(Selected=$A6,SUM('LOS AMI Cell'!R$181),R6)</f>
        <v>-653266.83249699452</v>
      </c>
      <c r="S6" s="305">
        <f ca="1">IF(Selected=$A6,SUM('LOS AMI Cell'!S$181),S6)</f>
        <v>-2939756.0394033147</v>
      </c>
      <c r="T6" s="305">
        <f ca="1">IF(Selected=$A6,SUM('LOS AMI Cell'!T$181),T6)</f>
        <v>-2771733.3216890837</v>
      </c>
      <c r="U6" s="305">
        <f ca="1">IF(Selected=$A6,SUM('LOS AMI Cell'!U$181),U6)</f>
        <v>-7814791.0717600668</v>
      </c>
      <c r="V6" s="305">
        <f ca="1">IF(Selected=$A6,SUM('LOS AMI Cell'!V$181),V6)</f>
        <v>-14668877.546059933</v>
      </c>
      <c r="W6" s="305">
        <f ca="1">IF(Selected=$A6,SUM('LOS AMI Cell'!W$181),W6)</f>
        <v>-7626445.2009410039</v>
      </c>
      <c r="X6" s="305">
        <f ca="1">SUM(D6:H6)</f>
        <v>-16663432.682068497</v>
      </c>
      <c r="Y6" s="305">
        <f ca="1">SUM(D6:M6)</f>
        <v>-40671329.074689105</v>
      </c>
      <c r="Z6" s="305">
        <f ca="1">SUM(D6:W6)</f>
        <v>-101632416.43985397</v>
      </c>
    </row>
    <row r="7" spans="1:29" x14ac:dyDescent="0.35">
      <c r="A7" s="57">
        <v>5</v>
      </c>
      <c r="B7" t="str">
        <f>IF(Selected=A7,'0-Inputs'!$B$5,B7)</f>
        <v>Average 
Cost*</v>
      </c>
      <c r="C7" t="s">
        <v>184</v>
      </c>
      <c r="D7" s="305">
        <f ca="1">IF(Selected=$A7,SUM('LOS AMI Cell'!D$181),D7)</f>
        <v>0</v>
      </c>
      <c r="E7" s="305">
        <f ca="1">IF(Selected=$A7,SUM('LOS AMI Cell'!E$181),E7)</f>
        <v>0</v>
      </c>
      <c r="F7" s="305">
        <f ca="1">IF(Selected=$A7,SUM('LOS AMI Cell'!F$181),F7)</f>
        <v>0</v>
      </c>
      <c r="G7" s="305">
        <f ca="1">IF(Selected=$A7,SUM('LOS AMI Cell'!G$181),G7)</f>
        <v>0</v>
      </c>
      <c r="H7" s="305">
        <f ca="1">IF(Selected=$A7,SUM('LOS AMI Cell'!H$181),H7)</f>
        <v>0</v>
      </c>
      <c r="I7" s="305">
        <f ca="1">IF(Selected=$A7,SUM('LOS AMI Cell'!I$181),I7)</f>
        <v>0</v>
      </c>
      <c r="J7" s="305">
        <f ca="1">IF(Selected=$A7,SUM('LOS AMI Cell'!J$181),J7)</f>
        <v>0</v>
      </c>
      <c r="K7" s="305">
        <f ca="1">IF(Selected=$A7,SUM('LOS AMI Cell'!K$181),K7)</f>
        <v>0</v>
      </c>
      <c r="L7" s="305">
        <f ca="1">IF(Selected=$A7,SUM('LOS AMI Cell'!L$181),L7)</f>
        <v>0</v>
      </c>
      <c r="M7" s="305">
        <f ca="1">IF(Selected=$A7,SUM('LOS AMI Cell'!M$181),M7)</f>
        <v>0</v>
      </c>
      <c r="N7" s="305">
        <f ca="1">IF(Selected=$A7,SUM('LOS AMI Cell'!N$181),N7)</f>
        <v>0</v>
      </c>
      <c r="O7" s="305">
        <f ca="1">IF(Selected=$A7,SUM('LOS AMI Cell'!O$181),O7)</f>
        <v>0</v>
      </c>
      <c r="P7" s="305">
        <f ca="1">IF(Selected=$A7,SUM('LOS AMI Cell'!P$181),P7)</f>
        <v>0</v>
      </c>
      <c r="Q7" s="305">
        <f ca="1">IF(Selected=$A7,SUM('LOS AMI Cell'!Q$181),Q7)</f>
        <v>0</v>
      </c>
      <c r="R7" s="305">
        <f ca="1">IF(Selected=$A7,SUM('LOS AMI Cell'!R$181),R7)</f>
        <v>0</v>
      </c>
      <c r="S7" s="305">
        <f ca="1">IF(Selected=$A7,SUM('LOS AMI Cell'!S$181),S7)</f>
        <v>0</v>
      </c>
      <c r="T7" s="305">
        <f ca="1">IF(Selected=$A7,SUM('LOS AMI Cell'!T$181),T7)</f>
        <v>0</v>
      </c>
      <c r="U7" s="305">
        <f ca="1">IF(Selected=$A7,SUM('LOS AMI Cell'!U$181),U7)</f>
        <v>0</v>
      </c>
      <c r="V7" s="305">
        <f ca="1">IF(Selected=$A7,SUM('LOS AMI Cell'!V$181),V7)</f>
        <v>0</v>
      </c>
      <c r="W7" s="305">
        <f ca="1">IF(Selected=$A7,SUM('LOS AMI Cell'!W$181),W7)</f>
        <v>0</v>
      </c>
      <c r="X7" s="9">
        <f ca="1">SUM(D7:H7)</f>
        <v>0</v>
      </c>
      <c r="Y7" s="9">
        <f ca="1">SUM(D7:M7)</f>
        <v>0</v>
      </c>
      <c r="Z7" s="9">
        <f ca="1">SUM(D7:W7)</f>
        <v>0</v>
      </c>
    </row>
    <row r="8" spans="1:29" x14ac:dyDescent="0.35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x14ac:dyDescent="0.35">
      <c r="A9" s="19" t="s">
        <v>231</v>
      </c>
      <c r="D9">
        <v>1</v>
      </c>
      <c r="E9">
        <v>2</v>
      </c>
      <c r="F9">
        <v>3</v>
      </c>
      <c r="G9">
        <v>4</v>
      </c>
      <c r="H9">
        <v>5</v>
      </c>
      <c r="I9">
        <v>6</v>
      </c>
      <c r="J9">
        <v>7</v>
      </c>
      <c r="K9">
        <v>8</v>
      </c>
      <c r="L9">
        <v>9</v>
      </c>
      <c r="M9">
        <v>10</v>
      </c>
      <c r="N9">
        <v>11</v>
      </c>
      <c r="O9">
        <v>12</v>
      </c>
      <c r="P9">
        <v>13</v>
      </c>
      <c r="Q9">
        <v>14</v>
      </c>
      <c r="R9">
        <v>15</v>
      </c>
      <c r="S9">
        <v>16</v>
      </c>
      <c r="T9">
        <v>17</v>
      </c>
      <c r="U9">
        <v>18</v>
      </c>
      <c r="V9">
        <v>19</v>
      </c>
      <c r="W9">
        <v>20</v>
      </c>
      <c r="X9">
        <v>22</v>
      </c>
      <c r="Y9">
        <v>23</v>
      </c>
      <c r="Z9">
        <v>24</v>
      </c>
    </row>
    <row r="10" spans="1:29" x14ac:dyDescent="0.35">
      <c r="A10" s="25" t="s">
        <v>185</v>
      </c>
      <c r="D10" s="120">
        <f>YearOne</f>
        <v>2026</v>
      </c>
      <c r="E10" s="120">
        <f t="shared" ref="E10:W10" si="1">YearOne+E9-1</f>
        <v>2027</v>
      </c>
      <c r="F10" s="120">
        <f t="shared" si="1"/>
        <v>2028</v>
      </c>
      <c r="G10" s="120">
        <f t="shared" si="1"/>
        <v>2029</v>
      </c>
      <c r="H10" s="120">
        <f t="shared" si="1"/>
        <v>2030</v>
      </c>
      <c r="I10" s="120">
        <f t="shared" si="1"/>
        <v>2031</v>
      </c>
      <c r="J10" s="120">
        <f t="shared" si="1"/>
        <v>2032</v>
      </c>
      <c r="K10" s="120">
        <f t="shared" si="1"/>
        <v>2033</v>
      </c>
      <c r="L10" s="120">
        <f t="shared" si="1"/>
        <v>2034</v>
      </c>
      <c r="M10" s="120">
        <f t="shared" si="1"/>
        <v>2035</v>
      </c>
      <c r="N10" s="120">
        <f t="shared" si="1"/>
        <v>2036</v>
      </c>
      <c r="O10" s="120">
        <f t="shared" si="1"/>
        <v>2037</v>
      </c>
      <c r="P10" s="120">
        <f t="shared" si="1"/>
        <v>2038</v>
      </c>
      <c r="Q10" s="120">
        <f t="shared" si="1"/>
        <v>2039</v>
      </c>
      <c r="R10" s="120">
        <f t="shared" si="1"/>
        <v>2040</v>
      </c>
      <c r="S10" s="120">
        <f t="shared" si="1"/>
        <v>2041</v>
      </c>
      <c r="T10" s="120">
        <f t="shared" si="1"/>
        <v>2042</v>
      </c>
      <c r="U10" s="120">
        <f t="shared" si="1"/>
        <v>2043</v>
      </c>
      <c r="V10" s="120">
        <f t="shared" si="1"/>
        <v>2044</v>
      </c>
      <c r="W10" s="120">
        <f t="shared" si="1"/>
        <v>2045</v>
      </c>
      <c r="X10" s="121" t="s">
        <v>203</v>
      </c>
      <c r="Y10" s="121" t="s">
        <v>204</v>
      </c>
      <c r="Z10" s="121" t="s">
        <v>186</v>
      </c>
    </row>
    <row r="11" spans="1:29" s="19" customFormat="1" x14ac:dyDescent="0.35">
      <c r="A11" s="108">
        <f t="shared" ref="A11:B13" si="2">A5</f>
        <v>1</v>
      </c>
      <c r="B11" s="108" t="str">
        <f t="shared" ca="1" si="2"/>
        <v>Badger
Veriz or ATT</v>
      </c>
      <c r="C11" s="19" t="s">
        <v>222</v>
      </c>
      <c r="D11" s="305">
        <f ca="1">IF(Selected=$A11,SUM('LOS LIke'!D$181),D11)</f>
        <v>-4136245.6185436356</v>
      </c>
      <c r="E11" s="305">
        <f ca="1">IF(Selected=$A11,SUM('LOS LIke'!E$181),E11)</f>
        <v>-4515253.0995574491</v>
      </c>
      <c r="F11" s="305">
        <f ca="1">IF(Selected=$A11,SUM('LOS LIke'!F$181),F11)</f>
        <v>-3623061.5083713131</v>
      </c>
      <c r="G11" s="305">
        <f ca="1">IF(Selected=$A11,SUM('LOS LIke'!G$181),G11)</f>
        <v>-2879817.3099264312</v>
      </c>
      <c r="H11" s="305">
        <f ca="1">IF(Selected=$A11,SUM('LOS LIke'!H$181),H11)</f>
        <v>-387682.55863826687</v>
      </c>
      <c r="I11" s="305">
        <f ca="1">IF(Selected=$A11,SUM('LOS LIke'!I$181),I11)</f>
        <v>-1744418.7812030471</v>
      </c>
      <c r="J11" s="305">
        <f ca="1">IF(Selected=$A11,SUM('LOS LIke'!J$181),J11)</f>
        <v>-1644317.6302421214</v>
      </c>
      <c r="K11" s="305">
        <f ca="1">IF(Selected=$A11,SUM('LOS LIke'!K$181),K11)</f>
        <v>-4637934.1534784026</v>
      </c>
      <c r="L11" s="305">
        <f ca="1">IF(Selected=$A11,SUM('LOS LIke'!L$181),L11)</f>
        <v>-8705349.6909526661</v>
      </c>
      <c r="M11" s="305">
        <f ca="1">IF(Selected=$A11,SUM('LOS LIke'!M$181),M11)</f>
        <v>-5111367.7688414119</v>
      </c>
      <c r="N11" s="305">
        <f ca="1">IF(Selected=$A11,SUM('LOS LIke'!N$181),N11)</f>
        <v>-5664326.9575598622</v>
      </c>
      <c r="O11" s="305">
        <f ca="1">IF(Selected=$A11,SUM('LOS LIke'!O$181),O11)</f>
        <v>-6271622.9457666092</v>
      </c>
      <c r="P11" s="305">
        <f ca="1">IF(Selected=$A11,SUM('LOS LIke'!P$181),P11)</f>
        <v>-5497539.2343487302</v>
      </c>
      <c r="Q11" s="305">
        <f ca="1">IF(Selected=$A11,SUM('LOS LIke'!Q$181),Q11)</f>
        <v>-4309306.5854064208</v>
      </c>
      <c r="R11" s="305">
        <f ca="1">IF(Selected=$A11,SUM('LOS LIke'!R$181),R11)</f>
        <v>-579746.90995715163</v>
      </c>
      <c r="S11" s="305">
        <f ca="1">IF(Selected=$A11,SUM('LOS LIke'!S$181),S11)</f>
        <v>-2610153.9901804458</v>
      </c>
      <c r="T11" s="305">
        <f ca="1">IF(Selected=$A11,SUM('LOS LIke'!T$181),T11)</f>
        <v>-2460612.3653982813</v>
      </c>
      <c r="U11" s="305">
        <f ca="1">IF(Selected=$A11,SUM('LOS LIke'!U$181),U11)</f>
        <v>-6940188.1864518188</v>
      </c>
      <c r="V11" s="305">
        <f ca="1">IF(Selected=$A11,SUM('LOS LIke'!V$181),V11)</f>
        <v>-13026418.65744742</v>
      </c>
      <c r="W11" s="305">
        <f ca="1">IF(Selected=$A11,SUM('LOS LIke'!W$181),W11)</f>
        <v>-6772790.6894817753</v>
      </c>
      <c r="X11" s="305">
        <f ca="1">SUM(D11:H11)</f>
        <v>-15542060.095037095</v>
      </c>
      <c r="Y11" s="305">
        <f ca="1">SUM(D11:M11)</f>
        <v>-37385448.119754747</v>
      </c>
      <c r="Z11" s="305">
        <f ca="1">SUM(D11:W11)</f>
        <v>-91518154.641753271</v>
      </c>
    </row>
    <row r="12" spans="1:29" s="19" customFormat="1" x14ac:dyDescent="0.35">
      <c r="A12" s="108">
        <f t="shared" si="2"/>
        <v>2</v>
      </c>
      <c r="B12" s="108" t="str">
        <f t="shared" ca="1" si="2"/>
        <v>Neptune 
FirstNet</v>
      </c>
      <c r="C12" s="19" t="s">
        <v>222</v>
      </c>
      <c r="D12" s="305">
        <f ca="1">IF(Selected=$A12,SUM('LOS LIke'!D$181),D12)</f>
        <v>-4136245.6185436356</v>
      </c>
      <c r="E12" s="305">
        <f ca="1">IF(Selected=$A12,SUM('LOS LIke'!E$181),E12)</f>
        <v>-4515253.0995574491</v>
      </c>
      <c r="F12" s="305">
        <f ca="1">IF(Selected=$A12,SUM('LOS LIke'!F$181),F12)</f>
        <v>-3623061.5083713131</v>
      </c>
      <c r="G12" s="305">
        <f ca="1">IF(Selected=$A12,SUM('LOS LIke'!G$181),G12)</f>
        <v>-2879817.3099264312</v>
      </c>
      <c r="H12" s="305">
        <f ca="1">IF(Selected=$A12,SUM('LOS LIke'!H$181),H12)</f>
        <v>-387682.55863826687</v>
      </c>
      <c r="I12" s="305">
        <f ca="1">IF(Selected=$A12,SUM('LOS LIke'!I$181),I12)</f>
        <v>-1744418.7812030471</v>
      </c>
      <c r="J12" s="305">
        <f ca="1">IF(Selected=$A12,SUM('LOS LIke'!J$181),J12)</f>
        <v>-1644317.6302421214</v>
      </c>
      <c r="K12" s="305">
        <f ca="1">IF(Selected=$A12,SUM('LOS LIke'!K$181),K12)</f>
        <v>-4637934.1534784026</v>
      </c>
      <c r="L12" s="305">
        <f ca="1">IF(Selected=$A12,SUM('LOS LIke'!L$181),L12)</f>
        <v>-8705349.6909526661</v>
      </c>
      <c r="M12" s="305">
        <f ca="1">IF(Selected=$A12,SUM('LOS LIke'!M$181),M12)</f>
        <v>-5111367.7688414119</v>
      </c>
      <c r="N12" s="305">
        <f ca="1">IF(Selected=$A12,SUM('LOS LIke'!N$181),N12)</f>
        <v>-4575784.9280160163</v>
      </c>
      <c r="O12" s="305">
        <f ca="1">IF(Selected=$A12,SUM('LOS LIke'!O$181),O12)</f>
        <v>-5071911.2428151229</v>
      </c>
      <c r="P12" s="305">
        <f ca="1">IF(Selected=$A12,SUM('LOS LIke'!P$181),P12)</f>
        <v>-4444449.0684586735</v>
      </c>
      <c r="Q12" s="305">
        <f ca="1">IF(Selected=$A12,SUM('LOS LIke'!Q$181),Q12)</f>
        <v>-3480381.6541382144</v>
      </c>
      <c r="R12" s="305">
        <f ca="1">IF(Selected=$A12,SUM('LOS LIke'!R$181),R12)</f>
        <v>-469166.18880721333</v>
      </c>
      <c r="S12" s="305">
        <f ca="1">IF(Selected=$A12,SUM('LOS LIke'!S$181),S12)</f>
        <v>-2109265.793480413</v>
      </c>
      <c r="T12" s="305">
        <f ca="1">IF(Selected=$A12,SUM('LOS LIke'!T$181),T12)</f>
        <v>-1989762.0346144834</v>
      </c>
      <c r="U12" s="305">
        <f ca="1">IF(Selected=$A12,SUM('LOS LIke'!U$181),U12)</f>
        <v>-5609557.3467081329</v>
      </c>
      <c r="V12" s="305">
        <f ca="1">IF(Selected=$A12,SUM('LOS LIke'!V$181),V12)</f>
        <v>-10522779.362730866</v>
      </c>
      <c r="W12" s="305">
        <f ca="1">IF(Selected=$A12,SUM('LOS LIke'!W$181),W12)</f>
        <v>-5469530.0889923554</v>
      </c>
      <c r="X12" s="305">
        <f ca="1">SUM(D12:H12)</f>
        <v>-15542060.095037095</v>
      </c>
      <c r="Y12" s="305">
        <f ca="1">SUM(D12:M12)</f>
        <v>-37385448.119754747</v>
      </c>
      <c r="Z12" s="305">
        <f ca="1">SUM(D12:W12)</f>
        <v>-81128035.82851623</v>
      </c>
    </row>
    <row r="13" spans="1:29" x14ac:dyDescent="0.35">
      <c r="A13" s="41">
        <f t="shared" si="2"/>
        <v>5</v>
      </c>
      <c r="B13" s="41" t="str">
        <f t="shared" si="2"/>
        <v>Average 
Cost*</v>
      </c>
      <c r="C13" t="s">
        <v>222</v>
      </c>
      <c r="D13" s="305">
        <f ca="1">IF(Selected=$A13,SUM('LOS LIke'!D$181),D13)</f>
        <v>0</v>
      </c>
      <c r="E13" s="305">
        <f ca="1">IF(Selected=$A13,SUM('LOS LIke'!E$181),E13)</f>
        <v>0</v>
      </c>
      <c r="F13" s="305">
        <f ca="1">IF(Selected=$A13,SUM('LOS LIke'!F$181),F13)</f>
        <v>0</v>
      </c>
      <c r="G13" s="305">
        <f ca="1">IF(Selected=$A13,SUM('LOS LIke'!G$181),G13)</f>
        <v>0</v>
      </c>
      <c r="H13" s="305">
        <f ca="1">IF(Selected=$A13,SUM('LOS LIke'!H$181),H13)</f>
        <v>0</v>
      </c>
      <c r="I13" s="305">
        <f ca="1">IF(Selected=$A13,SUM('LOS LIke'!I$181),I13)</f>
        <v>0</v>
      </c>
      <c r="J13" s="305">
        <f ca="1">IF(Selected=$A13,SUM('LOS LIke'!J$181),J13)</f>
        <v>0</v>
      </c>
      <c r="K13" s="305">
        <f ca="1">IF(Selected=$A13,SUM('LOS LIke'!K$181),K13)</f>
        <v>0</v>
      </c>
      <c r="L13" s="305">
        <f ca="1">IF(Selected=$A13,SUM('LOS LIke'!L$181),L13)</f>
        <v>0</v>
      </c>
      <c r="M13" s="305">
        <f ca="1">IF(Selected=$A13,SUM('LOS LIke'!M$181),M13)</f>
        <v>0</v>
      </c>
      <c r="N13" s="305">
        <f ca="1">IF(Selected=$A13,SUM('LOS LIke'!N$181),N13)</f>
        <v>0</v>
      </c>
      <c r="O13" s="305">
        <f ca="1">IF(Selected=$A13,SUM('LOS LIke'!O$181),O13)</f>
        <v>0</v>
      </c>
      <c r="P13" s="305">
        <f ca="1">IF(Selected=$A13,SUM('LOS LIke'!P$181),P13)</f>
        <v>0</v>
      </c>
      <c r="Q13" s="305">
        <f ca="1">IF(Selected=$A13,SUM('LOS LIke'!Q$181),Q13)</f>
        <v>0</v>
      </c>
      <c r="R13" s="305">
        <f ca="1">IF(Selected=$A13,SUM('LOS LIke'!R$181),R13)</f>
        <v>0</v>
      </c>
      <c r="S13" s="305">
        <f ca="1">IF(Selected=$A13,SUM('LOS LIke'!S$181),S13)</f>
        <v>0</v>
      </c>
      <c r="T13" s="305">
        <f ca="1">IF(Selected=$A13,SUM('LOS LIke'!T$181),T13)</f>
        <v>0</v>
      </c>
      <c r="U13" s="305">
        <f ca="1">IF(Selected=$A13,SUM('LOS LIke'!U$181),U13)</f>
        <v>0</v>
      </c>
      <c r="V13" s="305">
        <f ca="1">IF(Selected=$A13,SUM('LOS LIke'!V$181),V13)</f>
        <v>0</v>
      </c>
      <c r="W13" s="305">
        <f ca="1">IF(Selected=$A13,SUM('LOS LIke'!W$181),W13)</f>
        <v>0</v>
      </c>
      <c r="X13" s="9">
        <f ca="1">SUM(D13:H13)</f>
        <v>0</v>
      </c>
      <c r="Y13" s="9">
        <f ca="1">SUM(D13:M13)</f>
        <v>0</v>
      </c>
      <c r="Z13" s="9">
        <f ca="1">SUM(D13:W13)</f>
        <v>0</v>
      </c>
    </row>
    <row r="15" spans="1:29" x14ac:dyDescent="0.35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57" spans="3:5" x14ac:dyDescent="0.35">
      <c r="C57" s="21"/>
      <c r="D57" s="21"/>
      <c r="E57" s="2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6090-5B00-42DE-A5AC-0985F82CC8AD}">
  <sheetPr>
    <tabColor theme="1" tint="0.249977111117893"/>
  </sheetPr>
  <dimension ref="A1:AB5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" sqref="C2"/>
    </sheetView>
  </sheetViews>
  <sheetFormatPr defaultRowHeight="14.5" outlineLevelCol="1" x14ac:dyDescent="0.35"/>
  <cols>
    <col min="2" max="2" width="21" customWidth="1"/>
    <col min="3" max="3" width="12.1796875" bestFit="1" customWidth="1"/>
    <col min="4" max="23" width="13.453125" customWidth="1" outlineLevel="1"/>
    <col min="24" max="26" width="13.453125" customWidth="1"/>
    <col min="28" max="28" width="12.54296875" bestFit="1" customWidth="1"/>
  </cols>
  <sheetData>
    <row r="1" spans="1:28" x14ac:dyDescent="0.35">
      <c r="A1" t="s">
        <v>232</v>
      </c>
      <c r="C1" s="296" t="s">
        <v>1107</v>
      </c>
    </row>
    <row r="3" spans="1:28" x14ac:dyDescent="0.35">
      <c r="A3" s="19" t="s">
        <v>184</v>
      </c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  <c r="N3">
        <v>11</v>
      </c>
      <c r="O3">
        <v>12</v>
      </c>
      <c r="P3">
        <v>13</v>
      </c>
      <c r="Q3">
        <v>14</v>
      </c>
      <c r="R3">
        <v>15</v>
      </c>
      <c r="S3">
        <v>16</v>
      </c>
      <c r="T3">
        <v>17</v>
      </c>
      <c r="U3">
        <v>18</v>
      </c>
      <c r="V3">
        <v>19</v>
      </c>
      <c r="W3">
        <v>20</v>
      </c>
      <c r="X3">
        <v>22</v>
      </c>
      <c r="Y3">
        <v>23</v>
      </c>
      <c r="Z3">
        <v>24</v>
      </c>
    </row>
    <row r="4" spans="1:28" x14ac:dyDescent="0.35">
      <c r="A4" s="25" t="s">
        <v>185</v>
      </c>
      <c r="D4" s="120">
        <f>YearOne</f>
        <v>2026</v>
      </c>
      <c r="E4" s="120">
        <f t="shared" ref="E4:W4" si="0">YearOne+E3-1</f>
        <v>2027</v>
      </c>
      <c r="F4" s="120">
        <f t="shared" si="0"/>
        <v>2028</v>
      </c>
      <c r="G4" s="120">
        <f t="shared" si="0"/>
        <v>2029</v>
      </c>
      <c r="H4" s="120">
        <f t="shared" si="0"/>
        <v>2030</v>
      </c>
      <c r="I4" s="120">
        <f t="shared" si="0"/>
        <v>2031</v>
      </c>
      <c r="J4" s="120">
        <f t="shared" si="0"/>
        <v>2032</v>
      </c>
      <c r="K4" s="120">
        <f t="shared" si="0"/>
        <v>2033</v>
      </c>
      <c r="L4" s="120">
        <f t="shared" si="0"/>
        <v>2034</v>
      </c>
      <c r="M4" s="120">
        <f t="shared" si="0"/>
        <v>2035</v>
      </c>
      <c r="N4" s="120">
        <f t="shared" si="0"/>
        <v>2036</v>
      </c>
      <c r="O4" s="120">
        <f t="shared" si="0"/>
        <v>2037</v>
      </c>
      <c r="P4" s="120">
        <f t="shared" si="0"/>
        <v>2038</v>
      </c>
      <c r="Q4" s="120">
        <f t="shared" si="0"/>
        <v>2039</v>
      </c>
      <c r="R4" s="120">
        <f t="shared" si="0"/>
        <v>2040</v>
      </c>
      <c r="S4" s="120">
        <f t="shared" si="0"/>
        <v>2041</v>
      </c>
      <c r="T4" s="120">
        <f t="shared" si="0"/>
        <v>2042</v>
      </c>
      <c r="U4" s="120">
        <f t="shared" si="0"/>
        <v>2043</v>
      </c>
      <c r="V4" s="120">
        <f t="shared" si="0"/>
        <v>2044</v>
      </c>
      <c r="W4" s="120">
        <f t="shared" si="0"/>
        <v>2045</v>
      </c>
      <c r="X4" s="121" t="s">
        <v>203</v>
      </c>
      <c r="Y4" s="121" t="s">
        <v>204</v>
      </c>
      <c r="Z4" s="121" t="s">
        <v>186</v>
      </c>
    </row>
    <row r="5" spans="1:28" s="19" customFormat="1" x14ac:dyDescent="0.35">
      <c r="A5" s="56">
        <v>1</v>
      </c>
      <c r="B5" s="19" t="str" cm="1">
        <f t="array" ref="B5">INDEX(Scenarios,$A5)&amp;" "&amp;C5</f>
        <v>Badger
Veriz or ATT AMI</v>
      </c>
      <c r="C5" s="19" t="s">
        <v>184</v>
      </c>
      <c r="D5" s="305">
        <f ca="1">IF(Selected=$A5,SUM('LOS AMI Cell'!D$19),D5)</f>
        <v>224604.66564768276</v>
      </c>
      <c r="E5" s="305">
        <f ca="1">IF(Selected=$A5,SUM('LOS AMI Cell'!E$19),E5)</f>
        <v>1405710.6924055871</v>
      </c>
      <c r="F5" s="305">
        <f ca="1">IF(Selected=$A5,SUM('LOS AMI Cell'!F$19),F5)</f>
        <v>2552444.7533104774</v>
      </c>
      <c r="G5" s="305">
        <f ca="1">IF(Selected=$A5,SUM('LOS AMI Cell'!G$19),G5)</f>
        <v>2827318.612573857</v>
      </c>
      <c r="H5" s="305">
        <f ca="1">IF(Selected=$A5,SUM('LOS AMI Cell'!H$19),H5)</f>
        <v>2698564.1422921242</v>
      </c>
      <c r="I5" s="305">
        <f ca="1">IF(Selected=$A5,SUM('LOS AMI Cell'!I$19),I5)</f>
        <v>2428905.0231230576</v>
      </c>
      <c r="J5" s="305">
        <f ca="1">IF(Selected=$A5,SUM('LOS AMI Cell'!J$19),J5)</f>
        <v>2299953.1085800845</v>
      </c>
      <c r="K5" s="305">
        <f ca="1">IF(Selected=$A5,SUM('LOS AMI Cell'!K$19),K5)</f>
        <v>2499735.6838334356</v>
      </c>
      <c r="L5" s="305">
        <f ca="1">IF(Selected=$A5,SUM('LOS AMI Cell'!L$19),L5)</f>
        <v>3506732.7974381261</v>
      </c>
      <c r="M5" s="305">
        <f ca="1">IF(Selected=$A5,SUM('LOS AMI Cell'!M$19),M5)</f>
        <v>4465545.3434223421</v>
      </c>
      <c r="N5" s="305">
        <f ca="1">IF(Selected=$A5,SUM('LOS AMI Cell'!N$19),N5)</f>
        <v>4828521.5361370631</v>
      </c>
      <c r="O5" s="305">
        <f ca="1">IF(Selected=$A5,SUM('LOS AMI Cell'!O$19),O5)</f>
        <v>5145922.0591264237</v>
      </c>
      <c r="P5" s="305">
        <f ca="1">IF(Selected=$A5,SUM('LOS AMI Cell'!P$19),P5)</f>
        <v>5431895.2869633911</v>
      </c>
      <c r="Q5" s="305">
        <f ca="1">IF(Selected=$A5,SUM('LOS AMI Cell'!Q$19),Q5)</f>
        <v>5542767.5745843686</v>
      </c>
      <c r="R5" s="305">
        <f ca="1">IF(Selected=$A5,SUM('LOS AMI Cell'!R$19),R5)</f>
        <v>5244477.5187396053</v>
      </c>
      <c r="S5" s="305">
        <f ca="1">IF(Selected=$A5,SUM('LOS AMI Cell'!S$19),S5)</f>
        <v>4802544.5435505547</v>
      </c>
      <c r="T5" s="305">
        <f ca="1">IF(Selected=$A5,SUM('LOS AMI Cell'!T$19),T5)</f>
        <v>4506553.3620206751</v>
      </c>
      <c r="U5" s="305">
        <f ca="1">IF(Selected=$A5,SUM('LOS AMI Cell'!U$19),U5)</f>
        <v>4549840.4553459389</v>
      </c>
      <c r="V5" s="305">
        <f ca="1">IF(Selected=$A5,SUM('LOS AMI Cell'!V$19),V5)</f>
        <v>5425643.1459634649</v>
      </c>
      <c r="W5" s="305">
        <f ca="1">IF(Selected=$A5,SUM('LOS AMI Cell'!W$19),W5)</f>
        <v>6257676.5967090186</v>
      </c>
      <c r="X5" s="305">
        <f ca="1">SUM(D5:H5)</f>
        <v>9708642.8662297279</v>
      </c>
      <c r="Y5" s="305">
        <f ca="1">SUM(D5:M5)</f>
        <v>24909514.822626773</v>
      </c>
      <c r="Z5" s="305">
        <f ca="1">SUM(D5:W5)</f>
        <v>76645356.901767269</v>
      </c>
      <c r="AB5" s="304"/>
    </row>
    <row r="6" spans="1:28" s="19" customFormat="1" x14ac:dyDescent="0.35">
      <c r="A6" s="56">
        <f>A5+1</f>
        <v>2</v>
      </c>
      <c r="B6" s="19" t="str" cm="1">
        <f t="array" ref="B6">INDEX(Scenarios,$A6)&amp;" "&amp;C6</f>
        <v>Neptune 
FirstNet AMI</v>
      </c>
      <c r="C6" s="19" t="s">
        <v>184</v>
      </c>
      <c r="D6" s="305">
        <f ca="1">IF(Selected=$A6,SUM('LOS AMI Cell'!D$19),D6)</f>
        <v>281783.67699355062</v>
      </c>
      <c r="E6" s="305">
        <f ca="1">IF(Selected=$A6,SUM('LOS AMI Cell'!E$19),E6)</f>
        <v>1580763.7281434285</v>
      </c>
      <c r="F6" s="305">
        <f ca="1">IF(Selected=$A6,SUM('LOS AMI Cell'!F$19),F6)</f>
        <v>2838204.7562092147</v>
      </c>
      <c r="G6" s="305">
        <f ca="1">IF(Selected=$A6,SUM('LOS AMI Cell'!G$19),G6)</f>
        <v>3198562.4611923853</v>
      </c>
      <c r="H6" s="305">
        <f ca="1">IF(Selected=$A6,SUM('LOS AMI Cell'!H$19),H6)</f>
        <v>3101126.756911844</v>
      </c>
      <c r="I6" s="305">
        <f ca="1">IF(Selected=$A6,SUM('LOS AMI Cell'!I$19),I6)</f>
        <v>2843384.4136943361</v>
      </c>
      <c r="J6" s="305">
        <f ca="1">IF(Selected=$A6,SUM('LOS AMI Cell'!J$19),J6)</f>
        <v>2743858.0175024085</v>
      </c>
      <c r="K6" s="305">
        <f ca="1">IF(Selected=$A6,SUM('LOS AMI Cell'!K$19),K6)</f>
        <v>3014425.6368122604</v>
      </c>
      <c r="L6" s="305">
        <f ca="1">IF(Selected=$A6,SUM('LOS AMI Cell'!L$19),L6)</f>
        <v>4194504.7565787574</v>
      </c>
      <c r="M6" s="305">
        <f ca="1">IF(Selected=$A6,SUM('LOS AMI Cell'!M$19),M6)</f>
        <v>5315513.4290598631</v>
      </c>
      <c r="N6" s="305">
        <f ca="1">IF(Selected=$A6,SUM('LOS AMI Cell'!N$19),N6)</f>
        <v>5744779.6591751613</v>
      </c>
      <c r="O6" s="305">
        <f ca="1">IF(Selected=$A6,SUM('LOS AMI Cell'!O$19),O6)</f>
        <v>6105608.3020366896</v>
      </c>
      <c r="P6" s="305">
        <f ca="1">IF(Selected=$A6,SUM('LOS AMI Cell'!P$19),P6)</f>
        <v>6431916.9932306092</v>
      </c>
      <c r="Q6" s="305">
        <f ca="1">IF(Selected=$A6,SUM('LOS AMI Cell'!Q$19),Q6)</f>
        <v>6565894.4992345441</v>
      </c>
      <c r="R6" s="305">
        <f ca="1">IF(Selected=$A6,SUM('LOS AMI Cell'!R$19),R6)</f>
        <v>6250462.3015154162</v>
      </c>
      <c r="S6" s="305">
        <f ca="1">IF(Selected=$A6,SUM('LOS AMI Cell'!S$19),S6)</f>
        <v>5777259.3418616727</v>
      </c>
      <c r="T6" s="305">
        <f ca="1">IF(Selected=$A6,SUM('LOS AMI Cell'!T$19),T6)</f>
        <v>5464343.0456462828</v>
      </c>
      <c r="U6" s="305">
        <f ca="1">IF(Selected=$A6,SUM('LOS AMI Cell'!U$19),U6)</f>
        <v>5524073.2908745604</v>
      </c>
      <c r="V6" s="305">
        <f ca="1">IF(Selected=$A6,SUM('LOS AMI Cell'!V$19),V6)</f>
        <v>6498191.4842239488</v>
      </c>
      <c r="W6" s="305">
        <f ca="1">IF(Selected=$A6,SUM('LOS AMI Cell'!W$19),W6)</f>
        <v>7424227.6997573338</v>
      </c>
      <c r="X6" s="305">
        <f ca="1">SUM(D6:H6)</f>
        <v>11000441.379450422</v>
      </c>
      <c r="Y6" s="305">
        <f ca="1">SUM(D6:M6)</f>
        <v>29112127.633098051</v>
      </c>
      <c r="Z6" s="305">
        <f ca="1">SUM(D6:W6)</f>
        <v>90898884.250654265</v>
      </c>
      <c r="AB6" s="304"/>
    </row>
    <row r="7" spans="1:28" s="19" customFormat="1" x14ac:dyDescent="0.35">
      <c r="A7" s="56">
        <v>5</v>
      </c>
      <c r="B7" s="19" t="str" cm="1">
        <f t="array" ref="B7">INDEX(Scenarios,$A7)&amp;" "&amp;C7</f>
        <v>Average 
Cost* AMI</v>
      </c>
      <c r="C7" s="19" t="s">
        <v>184</v>
      </c>
      <c r="D7" s="305">
        <f ca="1">IF(Selected=$A7,SUM('LOS AMI Cell'!D$19),D7)</f>
        <v>-219692.47721781069</v>
      </c>
      <c r="E7" s="305">
        <f ca="1">IF(Selected=$A7,SUM('LOS AMI Cell'!E$19),E7)</f>
        <v>35402.188777204159</v>
      </c>
      <c r="F7" s="305">
        <f ca="1">IF(Selected=$A7,SUM('LOS AMI Cell'!F$19),F7)</f>
        <v>290496.85477221909</v>
      </c>
      <c r="G7" s="305">
        <f ca="1">IF(Selected=$A7,SUM('LOS AMI Cell'!G$19),G7)</f>
        <v>-148888.09966340222</v>
      </c>
      <c r="H7" s="305">
        <f ca="1">IF(Selected=$A7,SUM('LOS AMI Cell'!H$19),H7)</f>
        <v>-588273.05409902334</v>
      </c>
      <c r="I7" s="305">
        <f ca="1">IF(Selected=$A7,SUM('LOS AMI Cell'!I$19),I7)</f>
        <v>-1027658.0085346445</v>
      </c>
      <c r="J7" s="305">
        <f ca="1">IF(Selected=$A7,SUM('LOS AMI Cell'!J$19),J7)</f>
        <v>-1467042.9629702657</v>
      </c>
      <c r="K7" s="305">
        <f ca="1">IF(Selected=$A7,SUM('LOS AMI Cell'!K$19),K7)</f>
        <v>-1906427.917405887</v>
      </c>
      <c r="L7" s="305">
        <f ca="1">IF(Selected=$A7,SUM('LOS AMI Cell'!L$19),L7)</f>
        <v>-2345812.8718415084</v>
      </c>
      <c r="M7" s="305">
        <f ca="1">IF(Selected=$A7,SUM('LOS AMI Cell'!M$19),M7)</f>
        <v>-2785197.8262771303</v>
      </c>
      <c r="N7" s="305">
        <f ca="1">IF(Selected=$A7,SUM('LOS AMI Cell'!N$19),N7)</f>
        <v>-3224582.7807127517</v>
      </c>
      <c r="O7" s="305">
        <f ca="1">IF(Selected=$A7,SUM('LOS AMI Cell'!O$19),O7)</f>
        <v>-3663967.7351483731</v>
      </c>
      <c r="P7" s="305">
        <f ca="1">IF(Selected=$A7,SUM('LOS AMI Cell'!P$19),P7)</f>
        <v>-4103352.689583994</v>
      </c>
      <c r="Q7" s="305">
        <f ca="1">IF(Selected=$A7,SUM('LOS AMI Cell'!Q$19),Q7)</f>
        <v>-4542737.6440196158</v>
      </c>
      <c r="R7" s="305">
        <f ca="1">IF(Selected=$A7,SUM('LOS AMI Cell'!R$19),R7)</f>
        <v>-4982122.5984552372</v>
      </c>
      <c r="S7" s="305">
        <f ca="1">IF(Selected=$A7,SUM('LOS AMI Cell'!S$19),S7)</f>
        <v>-5421507.5528908586</v>
      </c>
      <c r="T7" s="305">
        <f ca="1">IF(Selected=$A7,SUM('LOS AMI Cell'!T$19),T7)</f>
        <v>-5860892.50732648</v>
      </c>
      <c r="U7" s="305">
        <f ca="1">IF(Selected=$A7,SUM('LOS AMI Cell'!U$19),U7)</f>
        <v>-6300277.4617621023</v>
      </c>
      <c r="V7" s="305">
        <f ca="1">IF(Selected=$A7,SUM('LOS AMI Cell'!V$19),V7)</f>
        <v>-6739662.4161977228</v>
      </c>
      <c r="W7" s="305">
        <f ca="1">IF(Selected=$A7,SUM('LOS AMI Cell'!W$19),W7)</f>
        <v>-7179047.3706333451</v>
      </c>
      <c r="X7" s="305">
        <f ca="1">SUM(D7:H7)</f>
        <v>-630954.587430813</v>
      </c>
      <c r="Y7" s="305">
        <f ca="1">SUM(D7:M7)</f>
        <v>-10163094.174460251</v>
      </c>
      <c r="Z7" s="305">
        <f ca="1">SUM(D7:W7)</f>
        <v>-62181244.931190729</v>
      </c>
      <c r="AB7" s="304"/>
    </row>
    <row r="8" spans="1:28" x14ac:dyDescent="0.35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8" x14ac:dyDescent="0.35">
      <c r="A9" s="19" t="s">
        <v>231</v>
      </c>
      <c r="D9">
        <v>1</v>
      </c>
      <c r="E9">
        <v>2</v>
      </c>
      <c r="F9">
        <v>3</v>
      </c>
      <c r="G9">
        <v>4</v>
      </c>
      <c r="H9">
        <v>5</v>
      </c>
      <c r="I9">
        <v>6</v>
      </c>
      <c r="J9">
        <v>7</v>
      </c>
      <c r="K9">
        <v>8</v>
      </c>
      <c r="L9">
        <v>9</v>
      </c>
      <c r="M9">
        <v>10</v>
      </c>
      <c r="N9">
        <v>11</v>
      </c>
      <c r="O9">
        <v>12</v>
      </c>
      <c r="P9">
        <v>13</v>
      </c>
      <c r="Q9">
        <v>14</v>
      </c>
      <c r="R9">
        <v>15</v>
      </c>
      <c r="S9">
        <v>16</v>
      </c>
      <c r="T9">
        <v>17</v>
      </c>
      <c r="U9">
        <v>18</v>
      </c>
      <c r="V9">
        <v>19</v>
      </c>
      <c r="W9">
        <v>20</v>
      </c>
      <c r="X9">
        <v>22</v>
      </c>
      <c r="Y9">
        <v>23</v>
      </c>
      <c r="Z9">
        <v>24</v>
      </c>
    </row>
    <row r="10" spans="1:28" x14ac:dyDescent="0.35">
      <c r="A10" s="25" t="s">
        <v>185</v>
      </c>
      <c r="D10" s="120">
        <f>YearOne</f>
        <v>2026</v>
      </c>
      <c r="E10" s="120">
        <f t="shared" ref="E10:W10" si="1">YearOne+E9-1</f>
        <v>2027</v>
      </c>
      <c r="F10" s="120">
        <f t="shared" si="1"/>
        <v>2028</v>
      </c>
      <c r="G10" s="120">
        <f t="shared" si="1"/>
        <v>2029</v>
      </c>
      <c r="H10" s="120">
        <f t="shared" si="1"/>
        <v>2030</v>
      </c>
      <c r="I10" s="120">
        <f t="shared" si="1"/>
        <v>2031</v>
      </c>
      <c r="J10" s="120">
        <f t="shared" si="1"/>
        <v>2032</v>
      </c>
      <c r="K10" s="120">
        <f t="shared" si="1"/>
        <v>2033</v>
      </c>
      <c r="L10" s="120">
        <f t="shared" si="1"/>
        <v>2034</v>
      </c>
      <c r="M10" s="120">
        <f t="shared" si="1"/>
        <v>2035</v>
      </c>
      <c r="N10" s="120">
        <f t="shared" si="1"/>
        <v>2036</v>
      </c>
      <c r="O10" s="120">
        <f t="shared" si="1"/>
        <v>2037</v>
      </c>
      <c r="P10" s="120">
        <f t="shared" si="1"/>
        <v>2038</v>
      </c>
      <c r="Q10" s="120">
        <f t="shared" si="1"/>
        <v>2039</v>
      </c>
      <c r="R10" s="120">
        <f t="shared" si="1"/>
        <v>2040</v>
      </c>
      <c r="S10" s="120">
        <f t="shared" si="1"/>
        <v>2041</v>
      </c>
      <c r="T10" s="120">
        <f t="shared" si="1"/>
        <v>2042</v>
      </c>
      <c r="U10" s="120">
        <f t="shared" si="1"/>
        <v>2043</v>
      </c>
      <c r="V10" s="120">
        <f t="shared" si="1"/>
        <v>2044</v>
      </c>
      <c r="W10" s="120">
        <f t="shared" si="1"/>
        <v>2045</v>
      </c>
      <c r="X10" s="121" t="s">
        <v>203</v>
      </c>
      <c r="Y10" s="121" t="s">
        <v>204</v>
      </c>
      <c r="Z10" s="121" t="s">
        <v>186</v>
      </c>
    </row>
    <row r="11" spans="1:28" s="19" customFormat="1" x14ac:dyDescent="0.35">
      <c r="A11" s="56">
        <v>1</v>
      </c>
      <c r="B11" s="19" t="str" cm="1">
        <f t="array" ref="B11">INDEX(Scenarios,$A11)&amp;" "&amp;C11</f>
        <v>Badger
Veriz or ATT Existing Tech</v>
      </c>
      <c r="C11" s="19" t="s">
        <v>222</v>
      </c>
      <c r="D11" s="305">
        <f ca="1">IF(Selected=$A11,SUM('LOS LIke'!D$19),D11)</f>
        <v>171501.35831020831</v>
      </c>
      <c r="E11" s="305">
        <f ca="1">IF(Selected=$A11,SUM('LOS LIke'!E$19),E11)</f>
        <v>1246190.3180840332</v>
      </c>
      <c r="F11" s="305">
        <f ca="1">IF(Selected=$A11,SUM('LOS LIke'!F$19),F11)</f>
        <v>2289928.5013336577</v>
      </c>
      <c r="G11" s="305">
        <f ca="1">IF(Selected=$A11,SUM('LOS LIke'!G$19),G11)</f>
        <v>2478898.647943527</v>
      </c>
      <c r="H11" s="305">
        <f ca="1">IF(Selected=$A11,SUM('LOS LIke'!H$19),H11)</f>
        <v>2315016.6112867799</v>
      </c>
      <c r="I11" s="305">
        <f ca="1">IF(Selected=$A11,SUM('LOS LIke'!I$19),I11)</f>
        <v>2027957.6324192076</v>
      </c>
      <c r="J11" s="305">
        <f ca="1">IF(Selected=$A11,SUM('LOS LIke'!J$19),J11)</f>
        <v>1864327.2123419794</v>
      </c>
      <c r="K11" s="305">
        <f ca="1">IF(Selected=$A11,SUM('LOS LIke'!K$19),K11)</f>
        <v>1988288.2728351532</v>
      </c>
      <c r="L11" s="305">
        <f ca="1">IF(Selected=$A11,SUM('LOS LIke'!L$19),L11)</f>
        <v>2818220.6645686324</v>
      </c>
      <c r="M11" s="305">
        <f ca="1">IF(Selected=$A11,SUM('LOS LIke'!M$19),M11)</f>
        <v>3578448.2072962644</v>
      </c>
      <c r="N11" s="305">
        <f ca="1">IF(Selected=$A11,SUM('LOS LIke'!N$19),N11)</f>
        <v>3866244.3081686138</v>
      </c>
      <c r="O11" s="305">
        <f ca="1">IF(Selected=$A11,SUM('LOS LIke'!O$19),O11)</f>
        <v>4194651.3876044098</v>
      </c>
      <c r="P11" s="305">
        <f ca="1">IF(Selected=$A11,SUM('LOS LIke'!P$19),P11)</f>
        <v>4492310.7903893255</v>
      </c>
      <c r="Q11" s="305">
        <f ca="1">IF(Selected=$A11,SUM('LOS LIke'!Q$19),Q11)</f>
        <v>4619099.204302283</v>
      </c>
      <c r="R11" s="305">
        <f ca="1">IF(Selected=$A11,SUM('LOS LIke'!R$19),R11)</f>
        <v>4346874.905919183</v>
      </c>
      <c r="S11" s="305">
        <f ca="1">IF(Selected=$A11,SUM('LOS LIke'!S$19),S11)</f>
        <v>3934560.7715597963</v>
      </c>
      <c r="T11" s="305">
        <f ca="1">IF(Selected=$A11,SUM('LOS LIke'!T$19),T11)</f>
        <v>3664556.221329811</v>
      </c>
      <c r="U11" s="305">
        <f ca="1">IF(Selected=$A11,SUM('LOS LIke'!U$19),U11)</f>
        <v>3725541.7565727965</v>
      </c>
      <c r="V11" s="305">
        <f ca="1">IF(Selected=$A11,SUM('LOS LIke'!V$19),V11)</f>
        <v>4598593.1353608966</v>
      </c>
      <c r="W11" s="305">
        <f ca="1">IF(Selected=$A11,SUM('LOS LIke'!W$19),W11)</f>
        <v>5428934.6299218554</v>
      </c>
      <c r="X11" s="305">
        <f ca="1">SUM(D11:H11)</f>
        <v>8501535.436958205</v>
      </c>
      <c r="Y11" s="305">
        <f ca="1">SUM(D11:M11)</f>
        <v>20778777.426419441</v>
      </c>
      <c r="Z11" s="305">
        <f ca="1">SUM(D11:W11)</f>
        <v>63650144.537548415</v>
      </c>
      <c r="AB11" s="304"/>
    </row>
    <row r="12" spans="1:28" s="19" customFormat="1" x14ac:dyDescent="0.35">
      <c r="A12" s="56">
        <f>A11+1</f>
        <v>2</v>
      </c>
      <c r="B12" s="19" t="str" cm="1">
        <f t="array" ref="B12">INDEX(Scenarios,$A12)&amp;" "&amp;C12</f>
        <v>Neptune 
FirstNet Existing Tech</v>
      </c>
      <c r="C12" s="19" t="s">
        <v>222</v>
      </c>
      <c r="D12" s="305">
        <f ca="1">IF(Selected=$A12,SUM('LOS LIke'!D$19),D12)</f>
        <v>62546.318459944669</v>
      </c>
      <c r="E12" s="305">
        <f ca="1">IF(Selected=$A12,SUM('LOS LIke'!E$19),E12)</f>
        <v>913166.2584756955</v>
      </c>
      <c r="F12" s="305">
        <f ca="1">IF(Selected=$A12,SUM('LOS LIke'!F$19),F12)</f>
        <v>1746827.9441626198</v>
      </c>
      <c r="G12" s="305">
        <f ca="1">IF(Selected=$A12,SUM('LOS LIke'!G$19),G12)</f>
        <v>1773116.8604381322</v>
      </c>
      <c r="H12" s="305">
        <f ca="1">IF(Selected=$A12,SUM('LOS LIke'!H$19),H12)</f>
        <v>1549481.7437660987</v>
      </c>
      <c r="I12" s="305">
        <f ca="1">IF(Selected=$A12,SUM('LOS LIke'!I$19),I12)</f>
        <v>1239791.8393328157</v>
      </c>
      <c r="J12" s="305">
        <f ca="1">IF(Selected=$A12,SUM('LOS LIke'!J$19),J12)</f>
        <v>1020261.0267374142</v>
      </c>
      <c r="K12" s="305">
        <f ca="1">IF(Selected=$A12,SUM('LOS LIke'!K$19),K12)</f>
        <v>1009705.7780612621</v>
      </c>
      <c r="L12" s="305">
        <f ca="1">IF(Selected=$A12,SUM('LOS LIke'!L$19),L12)</f>
        <v>1509876.9807511105</v>
      </c>
      <c r="M12" s="305">
        <f ca="1">IF(Selected=$A12,SUM('LOS LIke'!M$19),M12)</f>
        <v>1960583.2763604121</v>
      </c>
      <c r="N12" s="305">
        <f ca="1">IF(Selected=$A12,SUM('LOS LIke'!N$19),N12)</f>
        <v>2121729.4491273486</v>
      </c>
      <c r="O12" s="305">
        <f ca="1">IF(Selected=$A12,SUM('LOS LIke'!O$19),O12)</f>
        <v>2367705.7155137341</v>
      </c>
      <c r="P12" s="305">
        <f ca="1">IF(Selected=$A12,SUM('LOS LIke'!P$19),P12)</f>
        <v>2589100.7852168502</v>
      </c>
      <c r="Q12" s="305">
        <f ca="1">IF(Selected=$A12,SUM('LOS LIke'!Q$19),Q12)</f>
        <v>2671954.5471229064</v>
      </c>
      <c r="R12" s="305">
        <f ca="1">IF(Selected=$A12,SUM('LOS LIke'!R$19),R12)</f>
        <v>2432271.2783841612</v>
      </c>
      <c r="S12" s="305">
        <f ca="1">IF(Selected=$A12,SUM('LOS LIke'!S$19),S12)</f>
        <v>2079537.2962887078</v>
      </c>
      <c r="T12" s="305">
        <f ca="1">IF(Selected=$A12,SUM('LOS LIke'!T$19),T12)</f>
        <v>1841854.9502668795</v>
      </c>
      <c r="U12" s="305">
        <f ca="1">IF(Selected=$A12,SUM('LOS LIke'!U$19),U12)</f>
        <v>1871736.8056040269</v>
      </c>
      <c r="V12" s="305">
        <f ca="1">IF(Selected=$A12,SUM('LOS LIke'!V$19),V12)</f>
        <v>2557437.9471367132</v>
      </c>
      <c r="W12" s="305">
        <f ca="1">IF(Selected=$A12,SUM('LOS LIke'!W$19),W12)</f>
        <v>3208257.5983571187</v>
      </c>
      <c r="X12" s="305">
        <f ca="1">SUM(D12:H12)</f>
        <v>6045139.1253024917</v>
      </c>
      <c r="Y12" s="305">
        <f ca="1">SUM(D12:M12)</f>
        <v>12785358.026545506</v>
      </c>
      <c r="Z12" s="305">
        <f ca="1">SUM(D12:W12)</f>
        <v>36526944.399563946</v>
      </c>
      <c r="AB12" s="304"/>
    </row>
    <row r="13" spans="1:28" s="19" customFormat="1" x14ac:dyDescent="0.35">
      <c r="A13" s="56">
        <v>5</v>
      </c>
      <c r="B13" s="19" t="str" cm="1">
        <f t="array" ref="B13">INDEX(Scenarios,$A13)&amp;" "&amp;C13</f>
        <v>Average 
Cost* Existing Tech</v>
      </c>
      <c r="C13" s="19" t="s">
        <v>222</v>
      </c>
      <c r="D13" s="305">
        <f ca="1">IF(Selected=$A13,SUM('LOS LIke'!D$19),D13)</f>
        <v>-219692.47721781069</v>
      </c>
      <c r="E13" s="305">
        <f ca="1">IF(Selected=$A13,SUM('LOS LIke'!E$19),E13)</f>
        <v>35402.188777204159</v>
      </c>
      <c r="F13" s="305">
        <f ca="1">IF(Selected=$A13,SUM('LOS LIke'!F$19),F13)</f>
        <v>290496.85477221909</v>
      </c>
      <c r="G13" s="305">
        <f ca="1">IF(Selected=$A13,SUM('LOS LIke'!G$19),G13)</f>
        <v>-148888.09966340222</v>
      </c>
      <c r="H13" s="305">
        <f ca="1">IF(Selected=$A13,SUM('LOS LIke'!H$19),H13)</f>
        <v>-588273.05409902334</v>
      </c>
      <c r="I13" s="305">
        <f ca="1">IF(Selected=$A13,SUM('LOS LIke'!I$19),I13)</f>
        <v>-1027658.0085346445</v>
      </c>
      <c r="J13" s="305">
        <f ca="1">IF(Selected=$A13,SUM('LOS LIke'!J$19),J13)</f>
        <v>-1467042.9629702657</v>
      </c>
      <c r="K13" s="305">
        <f ca="1">IF(Selected=$A13,SUM('LOS LIke'!K$19),K13)</f>
        <v>-1906427.917405887</v>
      </c>
      <c r="L13" s="305">
        <f ca="1">IF(Selected=$A13,SUM('LOS LIke'!L$19),L13)</f>
        <v>-2345812.8718415084</v>
      </c>
      <c r="M13" s="305">
        <f ca="1">IF(Selected=$A13,SUM('LOS LIke'!M$19),M13)</f>
        <v>-2785197.8262771303</v>
      </c>
      <c r="N13" s="305">
        <f ca="1">IF(Selected=$A13,SUM('LOS LIke'!N$19),N13)</f>
        <v>-3224582.7807127517</v>
      </c>
      <c r="O13" s="305">
        <f ca="1">IF(Selected=$A13,SUM('LOS LIke'!O$19),O13)</f>
        <v>-3663967.7351483731</v>
      </c>
      <c r="P13" s="305">
        <f ca="1">IF(Selected=$A13,SUM('LOS LIke'!P$19),P13)</f>
        <v>-4103352.689583994</v>
      </c>
      <c r="Q13" s="305">
        <f ca="1">IF(Selected=$A13,SUM('LOS LIke'!Q$19),Q13)</f>
        <v>-4542737.6440196158</v>
      </c>
      <c r="R13" s="305">
        <f ca="1">IF(Selected=$A13,SUM('LOS LIke'!R$19),R13)</f>
        <v>-4982122.5984552372</v>
      </c>
      <c r="S13" s="305">
        <f ca="1">IF(Selected=$A13,SUM('LOS LIke'!S$19),S13)</f>
        <v>-5421507.5528908586</v>
      </c>
      <c r="T13" s="305">
        <f ca="1">IF(Selected=$A13,SUM('LOS LIke'!T$19),T13)</f>
        <v>-5860892.50732648</v>
      </c>
      <c r="U13" s="305">
        <f ca="1">IF(Selected=$A13,SUM('LOS LIke'!U$19),U13)</f>
        <v>-6300277.4617621023</v>
      </c>
      <c r="V13" s="305">
        <f ca="1">IF(Selected=$A13,SUM('LOS LIke'!V$19),V13)</f>
        <v>-6739662.4161977228</v>
      </c>
      <c r="W13" s="305">
        <f ca="1">IF(Selected=$A13,SUM('LOS LIke'!W$19),W13)</f>
        <v>-7179047.3706333451</v>
      </c>
      <c r="X13" s="305">
        <f ca="1">SUM(D13:H13)</f>
        <v>-630954.587430813</v>
      </c>
      <c r="Y13" s="305">
        <f ca="1">SUM(D13:M13)</f>
        <v>-10163094.174460251</v>
      </c>
      <c r="Z13" s="305">
        <f ca="1">SUM(D13:W13)</f>
        <v>-62181244.931190729</v>
      </c>
      <c r="AB13" s="304"/>
    </row>
    <row r="57" spans="3:5" x14ac:dyDescent="0.35">
      <c r="C57" s="21"/>
      <c r="D57" s="21"/>
      <c r="E57" s="2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BB97-9BDD-4DD1-857D-B420CFAC76E5}">
  <sheetPr>
    <tabColor theme="1" tint="0.249977111117893"/>
  </sheetPr>
  <dimension ref="A1:Z30"/>
  <sheetViews>
    <sheetView zoomScaleNormal="100" workbookViewId="0">
      <selection activeCell="C2" sqref="C2"/>
    </sheetView>
  </sheetViews>
  <sheetFormatPr defaultRowHeight="14.5" outlineLevelCol="1" x14ac:dyDescent="0.35"/>
  <cols>
    <col min="2" max="2" width="26" customWidth="1"/>
    <col min="3" max="3" width="12.1796875" bestFit="1" customWidth="1"/>
    <col min="4" max="7" width="15.26953125" customWidth="1" outlineLevel="1"/>
    <col min="8" max="15" width="18" customWidth="1" outlineLevel="1"/>
    <col min="16" max="23" width="15.26953125" customWidth="1" outlineLevel="1"/>
    <col min="24" max="26" width="17.26953125" customWidth="1"/>
  </cols>
  <sheetData>
    <row r="1" spans="1:26" x14ac:dyDescent="0.35">
      <c r="A1" t="s">
        <v>233</v>
      </c>
      <c r="C1" s="296" t="s">
        <v>1107</v>
      </c>
    </row>
    <row r="3" spans="1:26" x14ac:dyDescent="0.35">
      <c r="A3" s="19" t="s">
        <v>184</v>
      </c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  <c r="N3">
        <v>11</v>
      </c>
      <c r="O3">
        <v>12</v>
      </c>
      <c r="P3">
        <v>13</v>
      </c>
      <c r="Q3">
        <v>14</v>
      </c>
      <c r="R3">
        <v>15</v>
      </c>
      <c r="S3">
        <v>16</v>
      </c>
      <c r="T3">
        <v>17</v>
      </c>
      <c r="U3">
        <v>18</v>
      </c>
      <c r="V3">
        <v>19</v>
      </c>
      <c r="W3">
        <v>20</v>
      </c>
      <c r="X3">
        <v>22</v>
      </c>
      <c r="Y3">
        <v>23</v>
      </c>
      <c r="Z3">
        <v>24</v>
      </c>
    </row>
    <row r="4" spans="1:26" x14ac:dyDescent="0.35">
      <c r="A4" s="25" t="s">
        <v>185</v>
      </c>
      <c r="D4" s="120">
        <f>YearOne</f>
        <v>2026</v>
      </c>
      <c r="E4" s="120">
        <f t="shared" ref="E4:W4" si="0">YearOne+E3-1</f>
        <v>2027</v>
      </c>
      <c r="F4" s="120">
        <f t="shared" si="0"/>
        <v>2028</v>
      </c>
      <c r="G4" s="120">
        <f t="shared" si="0"/>
        <v>2029</v>
      </c>
      <c r="H4" s="120">
        <f t="shared" si="0"/>
        <v>2030</v>
      </c>
      <c r="I4" s="120">
        <f t="shared" si="0"/>
        <v>2031</v>
      </c>
      <c r="J4" s="120">
        <f t="shared" si="0"/>
        <v>2032</v>
      </c>
      <c r="K4" s="120">
        <f t="shared" si="0"/>
        <v>2033</v>
      </c>
      <c r="L4" s="120">
        <f t="shared" si="0"/>
        <v>2034</v>
      </c>
      <c r="M4" s="120">
        <f t="shared" si="0"/>
        <v>2035</v>
      </c>
      <c r="N4" s="120">
        <f t="shared" si="0"/>
        <v>2036</v>
      </c>
      <c r="O4" s="120">
        <f t="shared" si="0"/>
        <v>2037</v>
      </c>
      <c r="P4" s="120">
        <f t="shared" si="0"/>
        <v>2038</v>
      </c>
      <c r="Q4" s="120">
        <f t="shared" si="0"/>
        <v>2039</v>
      </c>
      <c r="R4" s="120">
        <f t="shared" si="0"/>
        <v>2040</v>
      </c>
      <c r="S4" s="120">
        <f t="shared" si="0"/>
        <v>2041</v>
      </c>
      <c r="T4" s="120">
        <f t="shared" si="0"/>
        <v>2042</v>
      </c>
      <c r="U4" s="120">
        <f t="shared" si="0"/>
        <v>2043</v>
      </c>
      <c r="V4" s="120">
        <f t="shared" si="0"/>
        <v>2044</v>
      </c>
      <c r="W4" s="120">
        <f t="shared" si="0"/>
        <v>2045</v>
      </c>
      <c r="X4" s="121" t="s">
        <v>203</v>
      </c>
      <c r="Y4" s="121" t="s">
        <v>204</v>
      </c>
      <c r="Z4" s="121" t="s">
        <v>186</v>
      </c>
    </row>
    <row r="5" spans="1:26" s="19" customFormat="1" x14ac:dyDescent="0.35">
      <c r="A5" s="56">
        <v>1</v>
      </c>
      <c r="B5" s="19" t="str" cm="1">
        <f t="array" ref="B5">INDEX(Scenarios,$A5)&amp;" "&amp;C5</f>
        <v>Badger
Veriz or ATT AMI</v>
      </c>
      <c r="C5" s="19" t="s">
        <v>184</v>
      </c>
      <c r="D5" s="305">
        <f ca="1">IF(Selected=$A5,SUM('LOS AMI Cell'!D$24),D5)</f>
        <v>-50871.034577160317</v>
      </c>
      <c r="E5" s="305">
        <f ca="1">IF(Selected=$A5,SUM('LOS AMI Cell'!E$24),E5)</f>
        <v>-160655.50039989827</v>
      </c>
      <c r="F5" s="305">
        <f ca="1">IF(Selected=$A5,SUM('LOS AMI Cell'!F$24),F5)</f>
        <v>-272006.24741676892</v>
      </c>
      <c r="G5" s="305">
        <f ca="1">IF(Selected=$A5,SUM('LOS AMI Cell'!G$24),G5)</f>
        <v>-368838.63355184108</v>
      </c>
      <c r="H5" s="305">
        <f ca="1">IF(Selected=$A5,SUM('LOS AMI Cell'!H$24),H5)</f>
        <v>-424080.30364711815</v>
      </c>
      <c r="I5" s="305">
        <f ca="1">IF(Selected=$A5,SUM('LOS AMI Cell'!I$24),I5)</f>
        <v>-464615.35648404196</v>
      </c>
      <c r="J5" s="305">
        <f ca="1">IF(Selected=$A5,SUM('LOS AMI Cell'!J$24),J5)</f>
        <v>-523687.48566120805</v>
      </c>
      <c r="K5" s="305">
        <f ca="1">IF(Selected=$A5,SUM('LOS AMI Cell'!K$24),K5)</f>
        <v>-623018.01749389712</v>
      </c>
      <c r="L5" s="305">
        <f ca="1">IF(Selected=$A5,SUM('LOS AMI Cell'!L$24),L5)</f>
        <v>-820851.63666208833</v>
      </c>
      <c r="M5" s="305">
        <f ca="1">IF(Selected=$A5,SUM('LOS AMI Cell'!M$24),M5)</f>
        <v>-1024375.9355205806</v>
      </c>
      <c r="N5" s="305">
        <f ca="1">IF(Selected=$A5,SUM('LOS AMI Cell'!N$24),N5)</f>
        <v>-1635548.3152593486</v>
      </c>
      <c r="O5" s="305">
        <f ca="1">IF(Selected=$A5,SUM('LOS AMI Cell'!O$24),O5)</f>
        <v>-2215822.7572371191</v>
      </c>
      <c r="P5" s="305">
        <f ca="1">IF(Selected=$A5,SUM('LOS AMI Cell'!P$24),P5)</f>
        <v>-2278260.4193729348</v>
      </c>
      <c r="Q5" s="305">
        <f ca="1">IF(Selected=$A5,SUM('LOS AMI Cell'!Q$24),Q5)</f>
        <v>-2342633.3467661007</v>
      </c>
      <c r="R5" s="305">
        <f ca="1">IF(Selected=$A5,SUM('LOS AMI Cell'!R$24),R5)</f>
        <v>-2408776.6680706693</v>
      </c>
      <c r="S5" s="305">
        <f ca="1">IF(Selected=$A5,SUM('LOS AMI Cell'!S$24),S5)</f>
        <v>-2476828.0386858103</v>
      </c>
      <c r="T5" s="305">
        <f ca="1">IF(Selected=$A5,SUM('LOS AMI Cell'!T$24),T5)</f>
        <v>-2547079.7827464389</v>
      </c>
      <c r="U5" s="305">
        <f ca="1">IF(Selected=$A5,SUM('LOS AMI Cell'!U$24),U5)</f>
        <v>-2619041.0839222306</v>
      </c>
      <c r="V5" s="305">
        <f ca="1">IF(Selected=$A5,SUM('LOS AMI Cell'!V$24),V5)</f>
        <v>-2693836.8497295096</v>
      </c>
      <c r="W5" s="305">
        <f ca="1">IF(Selected=$A5,SUM('LOS AMI Cell'!W$24),W5)</f>
        <v>-2770486.1748985224</v>
      </c>
      <c r="X5" s="305">
        <f ca="1">SUM(D5:H5)</f>
        <v>-1276451.7195927869</v>
      </c>
      <c r="Y5" s="305">
        <f ca="1">SUM(D5:M5)</f>
        <v>-4733000.151414603</v>
      </c>
      <c r="Z5" s="305">
        <f ca="1">SUM(D5:W5)</f>
        <v>-28721313.588103287</v>
      </c>
    </row>
    <row r="6" spans="1:26" s="19" customFormat="1" x14ac:dyDescent="0.35">
      <c r="A6" s="56">
        <f>A5+1</f>
        <v>2</v>
      </c>
      <c r="B6" s="19" t="str" cm="1">
        <f t="array" ref="B6">INDEX(Scenarios,$A6)&amp;" "&amp;C6</f>
        <v>Neptune 
FirstNet AMI</v>
      </c>
      <c r="C6" s="19" t="s">
        <v>184</v>
      </c>
      <c r="D6" s="305">
        <f ca="1">IF(Selected=$A6,SUM('LOS AMI Cell'!D$24),D6)</f>
        <v>-50871.034577160317</v>
      </c>
      <c r="E6" s="305">
        <f ca="1">IF(Selected=$A6,SUM('LOS AMI Cell'!E$24),E6)</f>
        <v>-160655.50039989827</v>
      </c>
      <c r="F6" s="305">
        <f ca="1">IF(Selected=$A6,SUM('LOS AMI Cell'!F$24),F6)</f>
        <v>-272006.24741676892</v>
      </c>
      <c r="G6" s="305">
        <f ca="1">IF(Selected=$A6,SUM('LOS AMI Cell'!G$24),G6)</f>
        <v>-368838.63355184108</v>
      </c>
      <c r="H6" s="305">
        <f ca="1">IF(Selected=$A6,SUM('LOS AMI Cell'!H$24),H6)</f>
        <v>-424080.30364711815</v>
      </c>
      <c r="I6" s="305">
        <f ca="1">IF(Selected=$A6,SUM('LOS AMI Cell'!I$24),I6)</f>
        <v>-464615.35648404196</v>
      </c>
      <c r="J6" s="305">
        <f ca="1">IF(Selected=$A6,SUM('LOS AMI Cell'!J$24),J6)</f>
        <v>-523687.48566120805</v>
      </c>
      <c r="K6" s="305">
        <f ca="1">IF(Selected=$A6,SUM('LOS AMI Cell'!K$24),K6)</f>
        <v>-623018.01749389712</v>
      </c>
      <c r="L6" s="305">
        <f ca="1">IF(Selected=$A6,SUM('LOS AMI Cell'!L$24),L6)</f>
        <v>-820851.63666208833</v>
      </c>
      <c r="M6" s="305">
        <f ca="1">IF(Selected=$A6,SUM('LOS AMI Cell'!M$24),M6)</f>
        <v>-1024375.9355205806</v>
      </c>
      <c r="N6" s="305">
        <f ca="1">IF(Selected=$A6,SUM('LOS AMI Cell'!N$24),N6)</f>
        <v>-1635548.3152593486</v>
      </c>
      <c r="O6" s="305">
        <f ca="1">IF(Selected=$A6,SUM('LOS AMI Cell'!O$24),O6)</f>
        <v>-2215822.7572371191</v>
      </c>
      <c r="P6" s="305">
        <f ca="1">IF(Selected=$A6,SUM('LOS AMI Cell'!P$24),P6)</f>
        <v>-2278260.4193729348</v>
      </c>
      <c r="Q6" s="305">
        <f ca="1">IF(Selected=$A6,SUM('LOS AMI Cell'!Q$24),Q6)</f>
        <v>-2342633.3467661007</v>
      </c>
      <c r="R6" s="305">
        <f ca="1">IF(Selected=$A6,SUM('LOS AMI Cell'!R$24),R6)</f>
        <v>-2408776.6680706693</v>
      </c>
      <c r="S6" s="305">
        <f ca="1">IF(Selected=$A6,SUM('LOS AMI Cell'!S$24),S6)</f>
        <v>-2476828.0386858103</v>
      </c>
      <c r="T6" s="305">
        <f ca="1">IF(Selected=$A6,SUM('LOS AMI Cell'!T$24),T6)</f>
        <v>-2547079.7827464389</v>
      </c>
      <c r="U6" s="305">
        <f ca="1">IF(Selected=$A6,SUM('LOS AMI Cell'!U$24),U6)</f>
        <v>-2619041.0839222306</v>
      </c>
      <c r="V6" s="305">
        <f ca="1">IF(Selected=$A6,SUM('LOS AMI Cell'!V$24),V6)</f>
        <v>-2693836.8497295096</v>
      </c>
      <c r="W6" s="305">
        <f ca="1">IF(Selected=$A6,SUM('LOS AMI Cell'!W$24),W6)</f>
        <v>-2770486.1748985224</v>
      </c>
      <c r="X6" s="305">
        <f ca="1">SUM(D6:H6)</f>
        <v>-1276451.7195927869</v>
      </c>
      <c r="Y6" s="305">
        <f ca="1">SUM(D6:M6)</f>
        <v>-4733000.151414603</v>
      </c>
      <c r="Z6" s="305">
        <f ca="1">SUM(D6:W6)</f>
        <v>-28721313.588103287</v>
      </c>
    </row>
    <row r="7" spans="1:26" x14ac:dyDescent="0.35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35">
      <c r="A8" s="19" t="s">
        <v>231</v>
      </c>
      <c r="D8">
        <v>1</v>
      </c>
      <c r="E8">
        <v>2</v>
      </c>
      <c r="F8">
        <v>3</v>
      </c>
      <c r="G8">
        <v>4</v>
      </c>
      <c r="H8">
        <v>5</v>
      </c>
      <c r="I8">
        <v>6</v>
      </c>
      <c r="J8">
        <v>7</v>
      </c>
      <c r="K8">
        <v>8</v>
      </c>
      <c r="L8">
        <v>9</v>
      </c>
      <c r="M8">
        <v>10</v>
      </c>
      <c r="N8">
        <v>11</v>
      </c>
      <c r="O8">
        <v>12</v>
      </c>
      <c r="P8">
        <v>13</v>
      </c>
      <c r="Q8">
        <v>14</v>
      </c>
      <c r="R8">
        <v>15</v>
      </c>
      <c r="S8">
        <v>16</v>
      </c>
      <c r="T8">
        <v>17</v>
      </c>
      <c r="U8">
        <v>18</v>
      </c>
      <c r="V8">
        <v>19</v>
      </c>
      <c r="W8">
        <v>20</v>
      </c>
      <c r="X8">
        <v>22</v>
      </c>
      <c r="Y8">
        <v>23</v>
      </c>
      <c r="Z8">
        <v>24</v>
      </c>
    </row>
    <row r="9" spans="1:26" x14ac:dyDescent="0.35">
      <c r="A9" s="25" t="s">
        <v>185</v>
      </c>
      <c r="D9" s="120">
        <f>YearOne</f>
        <v>2026</v>
      </c>
      <c r="E9" s="120">
        <f t="shared" ref="E9:W9" si="1">YearOne+E8-1</f>
        <v>2027</v>
      </c>
      <c r="F9" s="120">
        <f t="shared" si="1"/>
        <v>2028</v>
      </c>
      <c r="G9" s="120">
        <f t="shared" si="1"/>
        <v>2029</v>
      </c>
      <c r="H9" s="120">
        <f t="shared" si="1"/>
        <v>2030</v>
      </c>
      <c r="I9" s="120">
        <f t="shared" si="1"/>
        <v>2031</v>
      </c>
      <c r="J9" s="120">
        <f t="shared" si="1"/>
        <v>2032</v>
      </c>
      <c r="K9" s="120">
        <f t="shared" si="1"/>
        <v>2033</v>
      </c>
      <c r="L9" s="120">
        <f t="shared" si="1"/>
        <v>2034</v>
      </c>
      <c r="M9" s="120">
        <f t="shared" si="1"/>
        <v>2035</v>
      </c>
      <c r="N9" s="120">
        <f t="shared" si="1"/>
        <v>2036</v>
      </c>
      <c r="O9" s="120">
        <f t="shared" si="1"/>
        <v>2037</v>
      </c>
      <c r="P9" s="120">
        <f t="shared" si="1"/>
        <v>2038</v>
      </c>
      <c r="Q9" s="120">
        <f t="shared" si="1"/>
        <v>2039</v>
      </c>
      <c r="R9" s="120">
        <f t="shared" si="1"/>
        <v>2040</v>
      </c>
      <c r="S9" s="120">
        <f t="shared" si="1"/>
        <v>2041</v>
      </c>
      <c r="T9" s="120">
        <f t="shared" si="1"/>
        <v>2042</v>
      </c>
      <c r="U9" s="120">
        <f t="shared" si="1"/>
        <v>2043</v>
      </c>
      <c r="V9" s="120">
        <f t="shared" si="1"/>
        <v>2044</v>
      </c>
      <c r="W9" s="120">
        <f t="shared" si="1"/>
        <v>2045</v>
      </c>
      <c r="X9" s="121" t="s">
        <v>203</v>
      </c>
      <c r="Y9" s="121" t="s">
        <v>204</v>
      </c>
      <c r="Z9" s="121" t="s">
        <v>186</v>
      </c>
    </row>
    <row r="10" spans="1:26" s="19" customFormat="1" x14ac:dyDescent="0.35">
      <c r="A10" s="56">
        <v>1</v>
      </c>
      <c r="B10" s="19" t="str" cm="1">
        <f t="array" ref="B10">INDEX(Scenarios,$A10)&amp;" "&amp;C10</f>
        <v>Badger
Veriz or ATT Existing Tech</v>
      </c>
      <c r="C10" s="19" t="s">
        <v>222</v>
      </c>
      <c r="D10" s="305">
        <f ca="1">IF(Selected=$A10,SUM('LOS LIke'!D$24),D10)</f>
        <v>0</v>
      </c>
      <c r="E10" s="305">
        <f ca="1">IF(Selected=$A10,SUM('LOS LIke'!E$24),E10)</f>
        <v>0</v>
      </c>
      <c r="F10" s="305">
        <f ca="1">IF(Selected=$A10,SUM('LOS LIke'!F$24),F10)</f>
        <v>0</v>
      </c>
      <c r="G10" s="305">
        <f ca="1">IF(Selected=$A10,SUM('LOS LIke'!G$24),G10)</f>
        <v>0</v>
      </c>
      <c r="H10" s="305">
        <f ca="1">IF(Selected=$A10,SUM('LOS LIke'!H$24),H10)</f>
        <v>0</v>
      </c>
      <c r="I10" s="305">
        <f ca="1">IF(Selected=$A10,SUM('LOS LIke'!I$24),I10)</f>
        <v>0</v>
      </c>
      <c r="J10" s="305">
        <f ca="1">IF(Selected=$A10,SUM('LOS LIke'!J$24),J10)</f>
        <v>0</v>
      </c>
      <c r="K10" s="305">
        <f ca="1">IF(Selected=$A10,SUM('LOS LIke'!K$24),K10)</f>
        <v>0</v>
      </c>
      <c r="L10" s="305">
        <f ca="1">IF(Selected=$A10,SUM('LOS LIke'!L$24),L10)</f>
        <v>0</v>
      </c>
      <c r="M10" s="305">
        <f ca="1">IF(Selected=$A10,SUM('LOS LIke'!M$24),M10)</f>
        <v>0</v>
      </c>
      <c r="N10" s="305">
        <f ca="1">IF(Selected=$A10,SUM('LOS LIke'!N$24),N10)</f>
        <v>0</v>
      </c>
      <c r="O10" s="305">
        <f ca="1">IF(Selected=$A10,SUM('LOS LIke'!O$24),O10)</f>
        <v>0</v>
      </c>
      <c r="P10" s="305">
        <f ca="1">IF(Selected=$A10,SUM('LOS LIke'!P$24),P10)</f>
        <v>0</v>
      </c>
      <c r="Q10" s="305">
        <f ca="1">IF(Selected=$A10,SUM('LOS LIke'!Q$24),Q10)</f>
        <v>0</v>
      </c>
      <c r="R10" s="305">
        <f ca="1">IF(Selected=$A10,SUM('LOS LIke'!R$24),R10)</f>
        <v>0</v>
      </c>
      <c r="S10" s="305">
        <f ca="1">IF(Selected=$A10,SUM('LOS LIke'!S$24),S10)</f>
        <v>0</v>
      </c>
      <c r="T10" s="305">
        <f ca="1">IF(Selected=$A10,SUM('LOS LIke'!T$24),T10)</f>
        <v>0</v>
      </c>
      <c r="U10" s="305">
        <f ca="1">IF(Selected=$A10,SUM('LOS LIke'!U$24),U10)</f>
        <v>0</v>
      </c>
      <c r="V10" s="305">
        <f ca="1">IF(Selected=$A10,SUM('LOS LIke'!V$24),V10)</f>
        <v>0</v>
      </c>
      <c r="W10" s="305">
        <f ca="1">IF(Selected=$A10,SUM('LOS LIke'!W$24),W10)</f>
        <v>0</v>
      </c>
      <c r="X10" s="305">
        <f ca="1">SUM(D10:H10)</f>
        <v>0</v>
      </c>
      <c r="Y10" s="305">
        <f ca="1">SUM(D10:M10)</f>
        <v>0</v>
      </c>
      <c r="Z10" s="305">
        <f ca="1">SUM(D10:W10)</f>
        <v>0</v>
      </c>
    </row>
    <row r="11" spans="1:26" s="19" customFormat="1" x14ac:dyDescent="0.35">
      <c r="A11" s="56">
        <f>A10+1</f>
        <v>2</v>
      </c>
      <c r="B11" s="19" t="str" cm="1">
        <f t="array" ref="B11">INDEX(Scenarios,$A11)&amp;" "&amp;C11</f>
        <v>Neptune 
FirstNet Existing Tech</v>
      </c>
      <c r="C11" s="19" t="s">
        <v>222</v>
      </c>
      <c r="D11" s="305">
        <f ca="1">IF(Selected=$A11,SUM('LOS LIke'!D$24),D11)</f>
        <v>0</v>
      </c>
      <c r="E11" s="305">
        <f ca="1">IF(Selected=$A11,SUM('LOS LIke'!E$24),E11)</f>
        <v>0</v>
      </c>
      <c r="F11" s="305">
        <f ca="1">IF(Selected=$A11,SUM('LOS LIke'!F$24),F11)</f>
        <v>0</v>
      </c>
      <c r="G11" s="305">
        <f ca="1">IF(Selected=$A11,SUM('LOS LIke'!G$24),G11)</f>
        <v>0</v>
      </c>
      <c r="H11" s="305">
        <f ca="1">IF(Selected=$A11,SUM('LOS LIke'!H$24),H11)</f>
        <v>0</v>
      </c>
      <c r="I11" s="305">
        <f ca="1">IF(Selected=$A11,SUM('LOS LIke'!I$24),I11)</f>
        <v>0</v>
      </c>
      <c r="J11" s="305">
        <f ca="1">IF(Selected=$A11,SUM('LOS LIke'!J$24),J11)</f>
        <v>0</v>
      </c>
      <c r="K11" s="305">
        <f ca="1">IF(Selected=$A11,SUM('LOS LIke'!K$24),K11)</f>
        <v>0</v>
      </c>
      <c r="L11" s="305">
        <f ca="1">IF(Selected=$A11,SUM('LOS LIke'!L$24),L11)</f>
        <v>0</v>
      </c>
      <c r="M11" s="305">
        <f ca="1">IF(Selected=$A11,SUM('LOS LIke'!M$24),M11)</f>
        <v>0</v>
      </c>
      <c r="N11" s="305">
        <f ca="1">IF(Selected=$A11,SUM('LOS LIke'!N$24),N11)</f>
        <v>0</v>
      </c>
      <c r="O11" s="305">
        <f ca="1">IF(Selected=$A11,SUM('LOS LIke'!O$24),O11)</f>
        <v>0</v>
      </c>
      <c r="P11" s="305">
        <f ca="1">IF(Selected=$A11,SUM('LOS LIke'!P$24),P11)</f>
        <v>0</v>
      </c>
      <c r="Q11" s="305">
        <f ca="1">IF(Selected=$A11,SUM('LOS LIke'!Q$24),Q11)</f>
        <v>0</v>
      </c>
      <c r="R11" s="305">
        <f ca="1">IF(Selected=$A11,SUM('LOS LIke'!R$24),R11)</f>
        <v>0</v>
      </c>
      <c r="S11" s="305">
        <f ca="1">IF(Selected=$A11,SUM('LOS LIke'!S$24),S11)</f>
        <v>0</v>
      </c>
      <c r="T11" s="305">
        <f ca="1">IF(Selected=$A11,SUM('LOS LIke'!T$24),T11)</f>
        <v>0</v>
      </c>
      <c r="U11" s="305">
        <f ca="1">IF(Selected=$A11,SUM('LOS LIke'!U$24),U11)</f>
        <v>0</v>
      </c>
      <c r="V11" s="305">
        <f ca="1">IF(Selected=$A11,SUM('LOS LIke'!V$24),V11)</f>
        <v>0</v>
      </c>
      <c r="W11" s="305">
        <f ca="1">IF(Selected=$A11,SUM('LOS LIke'!W$24),W11)</f>
        <v>0</v>
      </c>
      <c r="X11" s="305">
        <f ca="1">SUM(D11:H11)</f>
        <v>0</v>
      </c>
      <c r="Y11" s="305">
        <f ca="1">SUM(D11:M11)</f>
        <v>0</v>
      </c>
      <c r="Z11" s="305">
        <f ca="1">SUM(D11:W11)</f>
        <v>0</v>
      </c>
    </row>
    <row r="12" spans="1:26" x14ac:dyDescent="0.35"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4" spans="1:26" x14ac:dyDescent="0.35">
      <c r="A14" s="19"/>
    </row>
    <row r="15" spans="1:26" x14ac:dyDescent="0.35">
      <c r="X15" s="1"/>
      <c r="Y15" s="1"/>
      <c r="Z15" s="1"/>
    </row>
    <row r="16" spans="1:26" s="469" customFormat="1" x14ac:dyDescent="0.35">
      <c r="A16"/>
      <c r="B16" s="19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3" x14ac:dyDescent="0.35"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9" spans="1:23" x14ac:dyDescent="0.35">
      <c r="A19" t="s">
        <v>234</v>
      </c>
    </row>
    <row r="20" spans="1:23" x14ac:dyDescent="0.35">
      <c r="B20" t="str">
        <f>B5</f>
        <v>Badger
Veriz or ATT AMI</v>
      </c>
      <c r="D20" s="14">
        <f ca="1">SUM(D5:W5)</f>
        <v>-28721313.588103287</v>
      </c>
    </row>
    <row r="21" spans="1:23" x14ac:dyDescent="0.35">
      <c r="B21" t="str">
        <f>B10</f>
        <v>Badger
Veriz or ATT Existing Tech</v>
      </c>
      <c r="D21" s="14">
        <f ca="1">SUM(D10:W10)</f>
        <v>0</v>
      </c>
    </row>
    <row r="22" spans="1:23" x14ac:dyDescent="0.35">
      <c r="B22" t="str">
        <f t="shared" ref="B22" si="2">B6</f>
        <v>Neptune 
FirstNet AMI</v>
      </c>
      <c r="D22" s="14">
        <f t="shared" ref="D22" ca="1" si="3">SUM(D6:W6)</f>
        <v>-28721313.588103287</v>
      </c>
    </row>
    <row r="23" spans="1:23" x14ac:dyDescent="0.35">
      <c r="B23" t="str">
        <f>B11</f>
        <v>Neptune 
FirstNet Existing Tech</v>
      </c>
      <c r="D23" s="14">
        <f ca="1">SUM(D11:W11)</f>
        <v>0</v>
      </c>
    </row>
    <row r="24" spans="1:23" x14ac:dyDescent="0.35">
      <c r="D24" s="14">
        <f>SUM(D16:W16)</f>
        <v>0</v>
      </c>
    </row>
    <row r="28" spans="1:23" x14ac:dyDescent="0.35">
      <c r="A28" t="s">
        <v>235</v>
      </c>
    </row>
    <row r="29" spans="1:23" x14ac:dyDescent="0.35">
      <c r="A29">
        <v>1</v>
      </c>
      <c r="B29" t="s">
        <v>236</v>
      </c>
      <c r="D29" s="2">
        <f ca="1">IF(Selected=$A29,'LOS AMI Cell'!D$252,D29)</f>
        <v>6.0135573815125347E-2</v>
      </c>
      <c r="E29" s="2">
        <f ca="1">IF(Selected=$A29,'LOS AMI Cell'!E$252,E29)</f>
        <v>0.18480833269339514</v>
      </c>
      <c r="F29" s="2">
        <f ca="1">IF(Selected=$A29,'LOS AMI Cell'!F252,F29)</f>
        <v>0.30442674336616798</v>
      </c>
      <c r="G29" s="2">
        <f ca="1">IF(Selected=$A29,'LOS AMI Cell'!G252,G29)</f>
        <v>0.40158681401534457</v>
      </c>
      <c r="H29" s="2">
        <f ca="1">IF(Selected=$A29,'LOS AMI Cell'!H252,H29)</f>
        <v>0.4491458570401346</v>
      </c>
      <c r="I29" s="2">
        <f ca="1">IF(Selected=$A29,'LOS AMI Cell'!I252,I29)</f>
        <v>0.4786830770089987</v>
      </c>
      <c r="J29" s="2">
        <f ca="1">IF(Selected=$A29,'LOS AMI Cell'!J252,J29)</f>
        <v>0.52475513637664672</v>
      </c>
      <c r="K29" s="2">
        <f ca="1">IF(Selected=$A29,'LOS AMI Cell'!K252,K29)</f>
        <v>0.60717452161711227</v>
      </c>
      <c r="L29" s="2">
        <f ca="1">IF(Selected=$A29,'LOS AMI Cell'!L252,L29)</f>
        <v>0.77798915130233248</v>
      </c>
      <c r="M29" s="2">
        <f ca="1">IF(Selected=$A29,'LOS AMI Cell'!M252,M29)</f>
        <v>0.94419273542162618</v>
      </c>
      <c r="N29" s="2">
        <f ca="1">IF(Selected=$A29,'LOS AMI Cell'!N252,N29)</f>
        <v>0.99998603771213945</v>
      </c>
      <c r="O29" s="2">
        <f ca="1">IF(Selected=$A29,'LOS AMI Cell'!O252,O29)</f>
        <v>0.99998603771213945</v>
      </c>
      <c r="P29" s="2">
        <f ca="1">IF(Selected=$A29,'LOS AMI Cell'!P252,P29)</f>
        <v>0.99998603771213945</v>
      </c>
      <c r="Q29" s="2">
        <f ca="1">IF(Selected=$A29,'LOS AMI Cell'!Q252,Q29)</f>
        <v>0.99998603771213945</v>
      </c>
      <c r="R29" s="2">
        <f ca="1">IF(Selected=$A29,'LOS AMI Cell'!R252,R29)</f>
        <v>0.99998603771213945</v>
      </c>
      <c r="S29" s="2">
        <f ca="1">IF(Selected=$A29,'LOS AMI Cell'!S252,S29)</f>
        <v>0.99998603771213945</v>
      </c>
      <c r="T29" s="2">
        <f ca="1">IF(Selected=$A29,'LOS AMI Cell'!T252,T29)</f>
        <v>0.99998603771213945</v>
      </c>
      <c r="U29" s="2">
        <f ca="1">IF(Selected=$A29,'LOS AMI Cell'!U252,U29)</f>
        <v>0.99998603771213945</v>
      </c>
      <c r="V29" s="2">
        <f ca="1">IF(Selected=$A29,'LOS AMI Cell'!V252,V29)</f>
        <v>0.99998603771213945</v>
      </c>
      <c r="W29" s="2">
        <f ca="1">IF(Selected=$A29,'LOS AMI Cell'!W252,W29)</f>
        <v>0.99998603771213945</v>
      </c>
    </row>
    <row r="30" spans="1:23" x14ac:dyDescent="0.35">
      <c r="A30">
        <v>2</v>
      </c>
      <c r="B30" t="s">
        <v>1099</v>
      </c>
      <c r="D30" s="2">
        <f ca="1">IF(Selected=$A30,'LOS AMI Cell'!D$252,D30)</f>
        <v>6.0135573815125347E-2</v>
      </c>
      <c r="E30" s="2">
        <f ca="1">IF(Selected=$A30,'LOS AMI Cell'!E$252,E30)</f>
        <v>0.18480833269339514</v>
      </c>
      <c r="F30" s="2">
        <f ca="1">IF(Selected=$A30,'LOS AMI Cell'!F$252,F30)</f>
        <v>0.30442674336616798</v>
      </c>
      <c r="G30" s="2">
        <f ca="1">IF(Selected=$A30,'LOS AMI Cell'!G$252,G30)</f>
        <v>0.40158681401534457</v>
      </c>
      <c r="H30" s="2">
        <f ca="1">IF(Selected=$A30,'LOS AMI Cell'!H$252,H30)</f>
        <v>0.4491458570401346</v>
      </c>
      <c r="I30" s="2">
        <f ca="1">IF(Selected=$A30,'LOS AMI Cell'!I$252,I30)</f>
        <v>0.4786830770089987</v>
      </c>
      <c r="J30" s="2">
        <f ca="1">IF(Selected=$A30,'LOS AMI Cell'!J$252,J30)</f>
        <v>0.52475513637664672</v>
      </c>
      <c r="K30" s="2">
        <f ca="1">IF(Selected=$A30,'LOS AMI Cell'!K$252,K30)</f>
        <v>0.60717452161711227</v>
      </c>
      <c r="L30" s="2">
        <f ca="1">IF(Selected=$A30,'LOS AMI Cell'!L$252,L30)</f>
        <v>0.77798915130233248</v>
      </c>
      <c r="M30" s="2">
        <f ca="1">IF(Selected=$A30,'LOS AMI Cell'!M$252,M30)</f>
        <v>0.94419273542162618</v>
      </c>
      <c r="N30" s="2">
        <f ca="1">IF(Selected=$A30,'LOS AMI Cell'!N$252,N30)</f>
        <v>0.99998603771213945</v>
      </c>
      <c r="O30" s="2">
        <f ca="1">IF(Selected=$A30,'LOS AMI Cell'!O$252,O30)</f>
        <v>0.99998603771213945</v>
      </c>
      <c r="P30" s="2">
        <f ca="1">IF(Selected=$A30,'LOS AMI Cell'!P$252,P30)</f>
        <v>0.99998603771213945</v>
      </c>
      <c r="Q30" s="2">
        <f ca="1">IF(Selected=$A30,'LOS AMI Cell'!Q$252,Q30)</f>
        <v>0.99998603771213945</v>
      </c>
      <c r="R30" s="2">
        <f ca="1">IF(Selected=$A30,'LOS AMI Cell'!R$252,R30)</f>
        <v>0.99998603771213945</v>
      </c>
      <c r="S30" s="2">
        <f ca="1">IF(Selected=$A30,'LOS AMI Cell'!S$252,S30)</f>
        <v>0.99998603771213945</v>
      </c>
      <c r="T30" s="2">
        <f ca="1">IF(Selected=$A30,'LOS AMI Cell'!T$252,T30)</f>
        <v>0.99998603771213945</v>
      </c>
      <c r="U30" s="2">
        <f ca="1">IF(Selected=$A30,'LOS AMI Cell'!U$252,U30)</f>
        <v>0.99998603771213945</v>
      </c>
      <c r="V30" s="2">
        <f ca="1">IF(Selected=$A30,'LOS AMI Cell'!V$252,V30)</f>
        <v>0.99998603771213945</v>
      </c>
      <c r="W30" s="2">
        <f ca="1">IF(Selected=$A30,'LOS AMI Cell'!W$252,W30)</f>
        <v>0.99998603771213945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CBB2D-C596-437D-ACD8-0B627901E49B}">
  <sheetPr>
    <tabColor theme="2" tint="-0.499984740745262"/>
  </sheetPr>
  <dimension ref="C273:X283"/>
  <sheetViews>
    <sheetView workbookViewId="0"/>
  </sheetViews>
  <sheetFormatPr defaultRowHeight="14.5" x14ac:dyDescent="0.35"/>
  <sheetData>
    <row r="273" spans="3:24" x14ac:dyDescent="0.35">
      <c r="D273">
        <f>((C179-$C179)+0.5*(D179-C179))/(1-$C179)</f>
        <v>0</v>
      </c>
    </row>
    <row r="282" spans="3:24" x14ac:dyDescent="0.35"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</row>
    <row r="283" spans="3:24" x14ac:dyDescent="0.35"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DF1E-B7FC-44EB-8C0C-BF36E7B7784C}">
  <sheetPr>
    <tabColor theme="2" tint="-0.499984740745262"/>
  </sheetPr>
  <dimension ref="A1:W312"/>
  <sheetViews>
    <sheetView zoomScale="80" zoomScaleNormal="80" workbookViewId="0">
      <selection activeCell="D2" sqref="D2"/>
    </sheetView>
  </sheetViews>
  <sheetFormatPr defaultColWidth="9.26953125" defaultRowHeight="14.5" outlineLevelRow="1" x14ac:dyDescent="0.35"/>
  <cols>
    <col min="1" max="1" width="47" customWidth="1"/>
    <col min="2" max="2" width="23.81640625" customWidth="1"/>
    <col min="3" max="3" width="15.54296875" customWidth="1"/>
    <col min="4" max="4" width="22.81640625" customWidth="1"/>
    <col min="5" max="5" width="13.453125" bestFit="1" customWidth="1"/>
    <col min="6" max="14" width="14.26953125" bestFit="1" customWidth="1"/>
    <col min="15" max="16" width="15.453125" bestFit="1" customWidth="1"/>
    <col min="17" max="17" width="14.54296875" bestFit="1" customWidth="1"/>
    <col min="18" max="18" width="15.453125" bestFit="1" customWidth="1"/>
    <col min="19" max="23" width="14.54296875" bestFit="1" customWidth="1"/>
    <col min="24" max="24" width="10.54296875" bestFit="1" customWidth="1"/>
    <col min="25" max="25" width="7.1796875" bestFit="1" customWidth="1"/>
    <col min="26" max="26" width="10.54296875" bestFit="1" customWidth="1"/>
    <col min="27" max="27" width="7.1796875" bestFit="1" customWidth="1"/>
    <col min="28" max="28" width="10.54296875" bestFit="1" customWidth="1"/>
    <col min="29" max="29" width="11.54296875" bestFit="1" customWidth="1"/>
  </cols>
  <sheetData>
    <row r="1" spans="1:23" ht="21" x14ac:dyDescent="0.5">
      <c r="A1" s="59" t="str">
        <f>"Cost Benefit Analysis- Length of Service Basis "&amp;B2&amp;" Program"</f>
        <v>Cost Benefit Analysis- Length of Service Basis Like Program</v>
      </c>
      <c r="B1" s="60"/>
      <c r="D1" s="296" t="s">
        <v>1107</v>
      </c>
    </row>
    <row r="2" spans="1:23" ht="21" x14ac:dyDescent="0.5">
      <c r="A2" s="60" t="s">
        <v>238</v>
      </c>
      <c r="B2" s="61" t="s">
        <v>187</v>
      </c>
    </row>
    <row r="3" spans="1:23" ht="21" x14ac:dyDescent="0.5">
      <c r="A3" s="60"/>
      <c r="B3" s="61" t="s">
        <v>239</v>
      </c>
      <c r="C3" s="60"/>
      <c r="D3" s="178"/>
    </row>
    <row r="4" spans="1:23" ht="21" x14ac:dyDescent="0.5">
      <c r="A4" s="60"/>
      <c r="B4" s="178"/>
      <c r="C4" s="60"/>
      <c r="D4" s="178"/>
    </row>
    <row r="5" spans="1:23" ht="21" x14ac:dyDescent="0.5">
      <c r="A5" s="60" t="s">
        <v>240</v>
      </c>
      <c r="B5" s="179">
        <f>Selected</f>
        <v>5</v>
      </c>
      <c r="D5" s="178"/>
    </row>
    <row r="6" spans="1:23" ht="26.25" customHeight="1" x14ac:dyDescent="0.5">
      <c r="A6" s="60" t="s">
        <v>241</v>
      </c>
      <c r="B6" s="180" t="str">
        <f>'0-Inputs'!B5</f>
        <v>Average 
Cost*</v>
      </c>
      <c r="C6" s="60"/>
      <c r="D6" s="178"/>
    </row>
    <row r="7" spans="1:23" ht="20.25" customHeight="1" x14ac:dyDescent="0.35">
      <c r="C7">
        <v>0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  <c r="P7">
        <v>13</v>
      </c>
      <c r="Q7">
        <v>14</v>
      </c>
      <c r="R7">
        <v>15</v>
      </c>
      <c r="S7">
        <v>16</v>
      </c>
      <c r="T7">
        <v>17</v>
      </c>
      <c r="U7">
        <v>18</v>
      </c>
      <c r="V7">
        <v>19</v>
      </c>
      <c r="W7">
        <v>20</v>
      </c>
    </row>
    <row r="8" spans="1:23" x14ac:dyDescent="0.35">
      <c r="D8" s="27">
        <f t="shared" ref="D8:W8" si="0">YearOne+D$7-1</f>
        <v>2026</v>
      </c>
      <c r="E8" s="27">
        <f t="shared" si="0"/>
        <v>2027</v>
      </c>
      <c r="F8" s="27">
        <f t="shared" si="0"/>
        <v>2028</v>
      </c>
      <c r="G8" s="27">
        <f t="shared" si="0"/>
        <v>2029</v>
      </c>
      <c r="H8" s="27">
        <f t="shared" si="0"/>
        <v>2030</v>
      </c>
      <c r="I8" s="27">
        <f t="shared" si="0"/>
        <v>2031</v>
      </c>
      <c r="J8" s="27">
        <f t="shared" si="0"/>
        <v>2032</v>
      </c>
      <c r="K8" s="27">
        <f t="shared" si="0"/>
        <v>2033</v>
      </c>
      <c r="L8" s="27">
        <f t="shared" si="0"/>
        <v>2034</v>
      </c>
      <c r="M8" s="27">
        <f t="shared" si="0"/>
        <v>2035</v>
      </c>
      <c r="N8" s="27">
        <f t="shared" si="0"/>
        <v>2036</v>
      </c>
      <c r="O8" s="27">
        <f t="shared" si="0"/>
        <v>2037</v>
      </c>
      <c r="P8" s="27">
        <f t="shared" si="0"/>
        <v>2038</v>
      </c>
      <c r="Q8" s="27">
        <f t="shared" si="0"/>
        <v>2039</v>
      </c>
      <c r="R8" s="27">
        <f t="shared" si="0"/>
        <v>2040</v>
      </c>
      <c r="S8" s="27">
        <f t="shared" si="0"/>
        <v>2041</v>
      </c>
      <c r="T8" s="27">
        <f t="shared" si="0"/>
        <v>2042</v>
      </c>
      <c r="U8" s="27">
        <f t="shared" si="0"/>
        <v>2043</v>
      </c>
      <c r="V8" s="27">
        <f t="shared" si="0"/>
        <v>2044</v>
      </c>
      <c r="W8" s="27">
        <f t="shared" si="0"/>
        <v>2045</v>
      </c>
    </row>
    <row r="9" spans="1:23" ht="21" x14ac:dyDescent="0.5">
      <c r="A9" s="93" t="s">
        <v>242</v>
      </c>
      <c r="B9" s="1"/>
    </row>
    <row r="10" spans="1:23" ht="15" customHeight="1" x14ac:dyDescent="0.35">
      <c r="A10" s="8" t="s">
        <v>243</v>
      </c>
      <c r="B10" s="1"/>
      <c r="D10" s="14">
        <f ca="1">SUM(D169:D172)</f>
        <v>0</v>
      </c>
      <c r="E10" s="14">
        <f ca="1">SUM(E169:E172)</f>
        <v>0</v>
      </c>
      <c r="F10" s="14">
        <f t="shared" ref="F10:W10" ca="1" si="1">SUM(F169:F172)</f>
        <v>0</v>
      </c>
      <c r="G10" s="14">
        <f t="shared" ca="1" si="1"/>
        <v>0</v>
      </c>
      <c r="H10" s="14">
        <f t="shared" ca="1" si="1"/>
        <v>0</v>
      </c>
      <c r="I10" s="14">
        <f t="shared" ca="1" si="1"/>
        <v>0</v>
      </c>
      <c r="J10" s="14">
        <f t="shared" ca="1" si="1"/>
        <v>0</v>
      </c>
      <c r="K10" s="14">
        <f t="shared" ca="1" si="1"/>
        <v>0</v>
      </c>
      <c r="L10" s="14">
        <f t="shared" ca="1" si="1"/>
        <v>0</v>
      </c>
      <c r="M10" s="14">
        <f t="shared" ca="1" si="1"/>
        <v>0</v>
      </c>
      <c r="N10" s="14">
        <f t="shared" ca="1" si="1"/>
        <v>0</v>
      </c>
      <c r="O10" s="14">
        <f t="shared" ca="1" si="1"/>
        <v>0</v>
      </c>
      <c r="P10" s="14">
        <f t="shared" ca="1" si="1"/>
        <v>0</v>
      </c>
      <c r="Q10" s="14">
        <f t="shared" ca="1" si="1"/>
        <v>0</v>
      </c>
      <c r="R10" s="14">
        <f t="shared" ca="1" si="1"/>
        <v>0</v>
      </c>
      <c r="S10" s="14">
        <f t="shared" ca="1" si="1"/>
        <v>0</v>
      </c>
      <c r="T10" s="14">
        <f t="shared" ca="1" si="1"/>
        <v>0</v>
      </c>
      <c r="U10" s="14">
        <f t="shared" ca="1" si="1"/>
        <v>0</v>
      </c>
      <c r="V10" s="14">
        <f t="shared" ca="1" si="1"/>
        <v>0</v>
      </c>
      <c r="W10" s="14">
        <f t="shared" ca="1" si="1"/>
        <v>0</v>
      </c>
    </row>
    <row r="11" spans="1:23" ht="15" customHeight="1" x14ac:dyDescent="0.35">
      <c r="A11" s="8" t="s">
        <v>244</v>
      </c>
      <c r="B11" s="1"/>
      <c r="D11" s="102">
        <f ca="1">D181</f>
        <v>0</v>
      </c>
      <c r="E11" s="102">
        <f t="shared" ref="E11:W11" ca="1" si="2">E181</f>
        <v>0</v>
      </c>
      <c r="F11" s="102">
        <f t="shared" ca="1" si="2"/>
        <v>0</v>
      </c>
      <c r="G11" s="102">
        <f t="shared" ca="1" si="2"/>
        <v>0</v>
      </c>
      <c r="H11" s="102">
        <f t="shared" ca="1" si="2"/>
        <v>0</v>
      </c>
      <c r="I11" s="102">
        <f t="shared" ca="1" si="2"/>
        <v>0</v>
      </c>
      <c r="J11" s="102">
        <f t="shared" ca="1" si="2"/>
        <v>0</v>
      </c>
      <c r="K11" s="102">
        <f t="shared" ca="1" si="2"/>
        <v>0</v>
      </c>
      <c r="L11" s="102">
        <f t="shared" ca="1" si="2"/>
        <v>0</v>
      </c>
      <c r="M11" s="102">
        <f t="shared" ca="1" si="2"/>
        <v>0</v>
      </c>
      <c r="N11" s="102">
        <f t="shared" ca="1" si="2"/>
        <v>0</v>
      </c>
      <c r="O11" s="102">
        <f t="shared" ca="1" si="2"/>
        <v>0</v>
      </c>
      <c r="P11" s="102">
        <f t="shared" ca="1" si="2"/>
        <v>0</v>
      </c>
      <c r="Q11" s="102">
        <f t="shared" ca="1" si="2"/>
        <v>0</v>
      </c>
      <c r="R11" s="102">
        <f t="shared" ca="1" si="2"/>
        <v>0</v>
      </c>
      <c r="S11" s="102">
        <f t="shared" ca="1" si="2"/>
        <v>0</v>
      </c>
      <c r="T11" s="102">
        <f t="shared" ca="1" si="2"/>
        <v>0</v>
      </c>
      <c r="U11" s="102">
        <f t="shared" ca="1" si="2"/>
        <v>0</v>
      </c>
      <c r="V11" s="102">
        <f t="shared" ca="1" si="2"/>
        <v>0</v>
      </c>
      <c r="W11" s="102">
        <f t="shared" ca="1" si="2"/>
        <v>0</v>
      </c>
    </row>
    <row r="12" spans="1:23" x14ac:dyDescent="0.35">
      <c r="B12" s="1"/>
      <c r="D12" s="1"/>
    </row>
    <row r="13" spans="1:23" ht="22.5" customHeight="1" x14ac:dyDescent="0.5">
      <c r="A13" s="93" t="s">
        <v>245</v>
      </c>
      <c r="B13" s="1"/>
      <c r="D13" s="27">
        <f t="shared" ref="D13:W13" si="3">YearOne+D$7-1</f>
        <v>2026</v>
      </c>
      <c r="E13" s="27">
        <f t="shared" si="3"/>
        <v>2027</v>
      </c>
      <c r="F13" s="27">
        <f t="shared" si="3"/>
        <v>2028</v>
      </c>
      <c r="G13" s="27">
        <f t="shared" si="3"/>
        <v>2029</v>
      </c>
      <c r="H13" s="27">
        <f t="shared" si="3"/>
        <v>2030</v>
      </c>
      <c r="I13" s="27">
        <f t="shared" si="3"/>
        <v>2031</v>
      </c>
      <c r="J13" s="27">
        <f t="shared" si="3"/>
        <v>2032</v>
      </c>
      <c r="K13" s="27">
        <f t="shared" si="3"/>
        <v>2033</v>
      </c>
      <c r="L13" s="27">
        <f t="shared" si="3"/>
        <v>2034</v>
      </c>
      <c r="M13" s="27">
        <f t="shared" si="3"/>
        <v>2035</v>
      </c>
      <c r="N13" s="27">
        <f t="shared" si="3"/>
        <v>2036</v>
      </c>
      <c r="O13" s="27">
        <f t="shared" si="3"/>
        <v>2037</v>
      </c>
      <c r="P13" s="27">
        <f t="shared" si="3"/>
        <v>2038</v>
      </c>
      <c r="Q13" s="27">
        <f t="shared" si="3"/>
        <v>2039</v>
      </c>
      <c r="R13" s="27">
        <f t="shared" si="3"/>
        <v>2040</v>
      </c>
      <c r="S13" s="27">
        <f t="shared" si="3"/>
        <v>2041</v>
      </c>
      <c r="T13" s="27">
        <f t="shared" si="3"/>
        <v>2042</v>
      </c>
      <c r="U13" s="27">
        <f t="shared" si="3"/>
        <v>2043</v>
      </c>
      <c r="V13" s="27">
        <f t="shared" si="3"/>
        <v>2044</v>
      </c>
      <c r="W13" s="27">
        <f t="shared" si="3"/>
        <v>2045</v>
      </c>
    </row>
    <row r="14" spans="1:23" ht="22.5" customHeight="1" x14ac:dyDescent="0.35">
      <c r="A14" s="83" t="s">
        <v>246</v>
      </c>
      <c r="B14" s="1"/>
      <c r="D14" s="202">
        <f t="shared" ref="D14:W14" ca="1" si="4">D146+D161+D164</f>
        <v>0</v>
      </c>
      <c r="E14" s="202">
        <f t="shared" ca="1" si="4"/>
        <v>0</v>
      </c>
      <c r="F14" s="202">
        <f t="shared" ca="1" si="4"/>
        <v>0</v>
      </c>
      <c r="G14" s="202">
        <f t="shared" ca="1" si="4"/>
        <v>0</v>
      </c>
      <c r="H14" s="202">
        <f t="shared" ca="1" si="4"/>
        <v>0</v>
      </c>
      <c r="I14" s="202">
        <f t="shared" ca="1" si="4"/>
        <v>0</v>
      </c>
      <c r="J14" s="202">
        <f t="shared" ca="1" si="4"/>
        <v>0</v>
      </c>
      <c r="K14" s="202">
        <f t="shared" ca="1" si="4"/>
        <v>0</v>
      </c>
      <c r="L14" s="202">
        <f t="shared" ca="1" si="4"/>
        <v>0</v>
      </c>
      <c r="M14" s="202">
        <f t="shared" ca="1" si="4"/>
        <v>0</v>
      </c>
      <c r="N14" s="202">
        <f t="shared" ca="1" si="4"/>
        <v>0</v>
      </c>
      <c r="O14" s="202">
        <f t="shared" ca="1" si="4"/>
        <v>0</v>
      </c>
      <c r="P14" s="202">
        <f t="shared" ca="1" si="4"/>
        <v>0</v>
      </c>
      <c r="Q14" s="202">
        <f t="shared" ca="1" si="4"/>
        <v>0</v>
      </c>
      <c r="R14" s="202">
        <f t="shared" ca="1" si="4"/>
        <v>0</v>
      </c>
      <c r="S14" s="202">
        <f t="shared" ca="1" si="4"/>
        <v>0</v>
      </c>
      <c r="T14" s="202">
        <f t="shared" ca="1" si="4"/>
        <v>0</v>
      </c>
      <c r="U14" s="202">
        <f t="shared" ca="1" si="4"/>
        <v>0</v>
      </c>
      <c r="V14" s="202">
        <f t="shared" ca="1" si="4"/>
        <v>0</v>
      </c>
      <c r="W14" s="202">
        <f t="shared" ca="1" si="4"/>
        <v>0</v>
      </c>
    </row>
    <row r="15" spans="1:23" ht="22.5" customHeight="1" x14ac:dyDescent="0.35">
      <c r="A15" s="83" t="s">
        <v>206</v>
      </c>
      <c r="B15" s="1"/>
      <c r="D15" s="202">
        <f>D238+D240</f>
        <v>0</v>
      </c>
      <c r="E15" s="202">
        <f t="shared" ref="E15:W15" si="5">E238+E240</f>
        <v>0</v>
      </c>
      <c r="F15" s="202">
        <f t="shared" si="5"/>
        <v>0</v>
      </c>
      <c r="G15" s="202">
        <f t="shared" si="5"/>
        <v>0</v>
      </c>
      <c r="H15" s="202">
        <f t="shared" si="5"/>
        <v>0</v>
      </c>
      <c r="I15" s="202">
        <f t="shared" si="5"/>
        <v>0</v>
      </c>
      <c r="J15" s="202">
        <f t="shared" si="5"/>
        <v>0</v>
      </c>
      <c r="K15" s="202">
        <f t="shared" si="5"/>
        <v>0</v>
      </c>
      <c r="L15" s="202">
        <f t="shared" si="5"/>
        <v>0</v>
      </c>
      <c r="M15" s="202">
        <f t="shared" si="5"/>
        <v>0</v>
      </c>
      <c r="N15" s="202">
        <f t="shared" si="5"/>
        <v>0</v>
      </c>
      <c r="O15" s="202">
        <f t="shared" si="5"/>
        <v>0</v>
      </c>
      <c r="P15" s="202">
        <f t="shared" si="5"/>
        <v>0</v>
      </c>
      <c r="Q15" s="202">
        <f t="shared" si="5"/>
        <v>0</v>
      </c>
      <c r="R15" s="202">
        <f t="shared" si="5"/>
        <v>0</v>
      </c>
      <c r="S15" s="202">
        <f t="shared" si="5"/>
        <v>0</v>
      </c>
      <c r="T15" s="202">
        <f t="shared" si="5"/>
        <v>0</v>
      </c>
      <c r="U15" s="202">
        <f t="shared" si="5"/>
        <v>0</v>
      </c>
      <c r="V15" s="202">
        <f t="shared" si="5"/>
        <v>0</v>
      </c>
      <c r="W15" s="202">
        <f t="shared" si="5"/>
        <v>0</v>
      </c>
    </row>
    <row r="16" spans="1:23" ht="15" customHeight="1" x14ac:dyDescent="0.35">
      <c r="A16" s="83" t="s">
        <v>207</v>
      </c>
      <c r="B16" s="1"/>
      <c r="D16" s="14">
        <f ca="1">D191</f>
        <v>0</v>
      </c>
      <c r="E16" s="14">
        <f t="shared" ref="E16:W16" ca="1" si="6">E191</f>
        <v>0</v>
      </c>
      <c r="F16" s="14">
        <f t="shared" ca="1" si="6"/>
        <v>0</v>
      </c>
      <c r="G16" s="14">
        <f t="shared" ca="1" si="6"/>
        <v>0</v>
      </c>
      <c r="H16" s="14">
        <f t="shared" ca="1" si="6"/>
        <v>0</v>
      </c>
      <c r="I16" s="14">
        <f t="shared" ca="1" si="6"/>
        <v>0</v>
      </c>
      <c r="J16" s="14">
        <f t="shared" ca="1" si="6"/>
        <v>0</v>
      </c>
      <c r="K16" s="14">
        <f t="shared" ca="1" si="6"/>
        <v>0</v>
      </c>
      <c r="L16" s="14">
        <f t="shared" ca="1" si="6"/>
        <v>0</v>
      </c>
      <c r="M16" s="14">
        <f t="shared" ca="1" si="6"/>
        <v>0</v>
      </c>
      <c r="N16" s="14">
        <f t="shared" ca="1" si="6"/>
        <v>0</v>
      </c>
      <c r="O16" s="14">
        <f t="shared" ca="1" si="6"/>
        <v>0</v>
      </c>
      <c r="P16" s="14">
        <f t="shared" ca="1" si="6"/>
        <v>0</v>
      </c>
      <c r="Q16" s="14">
        <f t="shared" ca="1" si="6"/>
        <v>0</v>
      </c>
      <c r="R16" s="14">
        <f t="shared" ca="1" si="6"/>
        <v>0</v>
      </c>
      <c r="S16" s="14">
        <f t="shared" ca="1" si="6"/>
        <v>0</v>
      </c>
      <c r="T16" s="14">
        <f t="shared" ca="1" si="6"/>
        <v>0</v>
      </c>
      <c r="U16" s="14">
        <f t="shared" ca="1" si="6"/>
        <v>0</v>
      </c>
      <c r="V16" s="14">
        <f t="shared" ca="1" si="6"/>
        <v>0</v>
      </c>
      <c r="W16" s="14">
        <f t="shared" ca="1" si="6"/>
        <v>0</v>
      </c>
    </row>
    <row r="17" spans="1:23" ht="15" customHeight="1" x14ac:dyDescent="0.35">
      <c r="A17" s="83" t="s">
        <v>208</v>
      </c>
      <c r="B17" s="1"/>
      <c r="D17" s="14">
        <f ca="1">D213</f>
        <v>-39503.876579999924</v>
      </c>
      <c r="E17" s="14">
        <f t="shared" ref="E17:W17" ca="1" si="7">E213</f>
        <v>-20388.954339999938</v>
      </c>
      <c r="F17" s="14">
        <f t="shared" ca="1" si="7"/>
        <v>-1274.0320999999531</v>
      </c>
      <c r="G17" s="14">
        <f t="shared" ca="1" si="7"/>
        <v>-80281.785259999975</v>
      </c>
      <c r="H17" s="14">
        <f t="shared" ca="1" si="7"/>
        <v>-159289.53841999994</v>
      </c>
      <c r="I17" s="14">
        <f t="shared" ca="1" si="7"/>
        <v>-238297.29157999996</v>
      </c>
      <c r="J17" s="14">
        <f t="shared" ca="1" si="7"/>
        <v>-317305.04473999992</v>
      </c>
      <c r="K17" s="14">
        <f t="shared" ca="1" si="7"/>
        <v>-396312.79790000001</v>
      </c>
      <c r="L17" s="14">
        <f t="shared" ca="1" si="7"/>
        <v>-475320.55106000003</v>
      </c>
      <c r="M17" s="14">
        <f t="shared" ca="1" si="7"/>
        <v>-554328.30422000005</v>
      </c>
      <c r="N17" s="14">
        <f t="shared" ca="1" si="7"/>
        <v>-633336.05738000013</v>
      </c>
      <c r="O17" s="14">
        <f t="shared" ca="1" si="7"/>
        <v>-712343.81054000021</v>
      </c>
      <c r="P17" s="14">
        <f t="shared" ca="1" si="7"/>
        <v>-791351.56370000017</v>
      </c>
      <c r="Q17" s="14">
        <f t="shared" ca="1" si="7"/>
        <v>-870359.31686000025</v>
      </c>
      <c r="R17" s="14">
        <f t="shared" ca="1" si="7"/>
        <v>-949367.0700200001</v>
      </c>
      <c r="S17" s="14">
        <f t="shared" ca="1" si="7"/>
        <v>-1028374.8231800003</v>
      </c>
      <c r="T17" s="14">
        <f t="shared" ca="1" si="7"/>
        <v>-1107382.5763400001</v>
      </c>
      <c r="U17" s="14">
        <f t="shared" ca="1" si="7"/>
        <v>-1186390.3295000005</v>
      </c>
      <c r="V17" s="14">
        <f t="shared" ca="1" si="7"/>
        <v>-1265398.0826600003</v>
      </c>
      <c r="W17" s="14">
        <f t="shared" ca="1" si="7"/>
        <v>-1344405.8358200006</v>
      </c>
    </row>
    <row r="18" spans="1:23" ht="15" customHeight="1" x14ac:dyDescent="0.35">
      <c r="A18" s="83" t="s">
        <v>209</v>
      </c>
      <c r="B18" s="1"/>
      <c r="D18" s="14">
        <f ca="1">D223+D226+D229</f>
        <v>-180188.60063781077</v>
      </c>
      <c r="E18" s="14">
        <f t="shared" ref="E18:W18" ca="1" si="8">E223+E226+E229</f>
        <v>55791.143117204098</v>
      </c>
      <c r="F18" s="14">
        <f t="shared" ca="1" si="8"/>
        <v>291770.88687221904</v>
      </c>
      <c r="G18" s="14">
        <f t="shared" ca="1" si="8"/>
        <v>-68606.314403402241</v>
      </c>
      <c r="H18" s="14">
        <f t="shared" ca="1" si="8"/>
        <v>-428983.51567902335</v>
      </c>
      <c r="I18" s="14">
        <f t="shared" ca="1" si="8"/>
        <v>-789360.71695464454</v>
      </c>
      <c r="J18" s="14">
        <f t="shared" ca="1" si="8"/>
        <v>-1149737.9182302656</v>
      </c>
      <c r="K18" s="14">
        <f t="shared" ca="1" si="8"/>
        <v>-1510115.1195058869</v>
      </c>
      <c r="L18" s="14">
        <f t="shared" ca="1" si="8"/>
        <v>-1870492.3207815085</v>
      </c>
      <c r="M18" s="14">
        <f t="shared" ca="1" si="8"/>
        <v>-2230869.52205713</v>
      </c>
      <c r="N18" s="14">
        <f t="shared" ca="1" si="8"/>
        <v>-2591246.7233327515</v>
      </c>
      <c r="O18" s="14">
        <f ca="1">O223+O226+O229</f>
        <v>-2951623.9246083731</v>
      </c>
      <c r="P18" s="14">
        <f t="shared" ca="1" si="8"/>
        <v>-3312001.1258839937</v>
      </c>
      <c r="Q18" s="14">
        <f t="shared" ca="1" si="8"/>
        <v>-3672378.3271596152</v>
      </c>
      <c r="R18" s="14">
        <f t="shared" ca="1" si="8"/>
        <v>-4032755.5284352368</v>
      </c>
      <c r="S18" s="14">
        <f t="shared" ca="1" si="8"/>
        <v>-4393132.7297108583</v>
      </c>
      <c r="T18" s="14">
        <f t="shared" ca="1" si="8"/>
        <v>-4753509.9309864799</v>
      </c>
      <c r="U18" s="14">
        <f t="shared" ca="1" si="8"/>
        <v>-5113887.1322621014</v>
      </c>
      <c r="V18" s="14">
        <f t="shared" ca="1" si="8"/>
        <v>-5474264.333537722</v>
      </c>
      <c r="W18" s="14">
        <f t="shared" ca="1" si="8"/>
        <v>-5834641.5348133445</v>
      </c>
    </row>
    <row r="19" spans="1:23" ht="15" customHeight="1" x14ac:dyDescent="0.35">
      <c r="A19" s="83" t="s">
        <v>247</v>
      </c>
      <c r="B19" s="1"/>
      <c r="D19" s="117">
        <f ca="1">SUM(D14:D18)</f>
        <v>-219692.47721781069</v>
      </c>
      <c r="E19" s="117">
        <f t="shared" ref="E19:W19" ca="1" si="9">SUM(E14:E18)</f>
        <v>35402.188777204159</v>
      </c>
      <c r="F19" s="117">
        <f t="shared" ca="1" si="9"/>
        <v>290496.85477221909</v>
      </c>
      <c r="G19" s="117">
        <f t="shared" ca="1" si="9"/>
        <v>-148888.09966340222</v>
      </c>
      <c r="H19" s="117">
        <f t="shared" ca="1" si="9"/>
        <v>-588273.05409902334</v>
      </c>
      <c r="I19" s="117">
        <f t="shared" ca="1" si="9"/>
        <v>-1027658.0085346445</v>
      </c>
      <c r="J19" s="117">
        <f t="shared" ca="1" si="9"/>
        <v>-1467042.9629702657</v>
      </c>
      <c r="K19" s="117">
        <f t="shared" ca="1" si="9"/>
        <v>-1906427.917405887</v>
      </c>
      <c r="L19" s="117">
        <f t="shared" ca="1" si="9"/>
        <v>-2345812.8718415084</v>
      </c>
      <c r="M19" s="117">
        <f t="shared" ca="1" si="9"/>
        <v>-2785197.8262771303</v>
      </c>
      <c r="N19" s="117">
        <f t="shared" ca="1" si="9"/>
        <v>-3224582.7807127517</v>
      </c>
      <c r="O19" s="117">
        <f t="shared" ca="1" si="9"/>
        <v>-3663967.7351483731</v>
      </c>
      <c r="P19" s="117">
        <f t="shared" ca="1" si="9"/>
        <v>-4103352.689583994</v>
      </c>
      <c r="Q19" s="117">
        <f t="shared" ca="1" si="9"/>
        <v>-4542737.6440196158</v>
      </c>
      <c r="R19" s="117">
        <f t="shared" ca="1" si="9"/>
        <v>-4982122.5984552372</v>
      </c>
      <c r="S19" s="117">
        <f t="shared" ca="1" si="9"/>
        <v>-5421507.5528908586</v>
      </c>
      <c r="T19" s="117">
        <f t="shared" ca="1" si="9"/>
        <v>-5860892.50732648</v>
      </c>
      <c r="U19" s="117">
        <f t="shared" ca="1" si="9"/>
        <v>-6300277.4617621023</v>
      </c>
      <c r="V19" s="117">
        <f t="shared" ca="1" si="9"/>
        <v>-6739662.4161977228</v>
      </c>
      <c r="W19" s="117">
        <f t="shared" ca="1" si="9"/>
        <v>-7179047.3706333451</v>
      </c>
    </row>
    <row r="20" spans="1:23" ht="15" customHeight="1" x14ac:dyDescent="0.35">
      <c r="A20" s="83"/>
      <c r="B20" s="1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5" customHeight="1" x14ac:dyDescent="0.35">
      <c r="A21" s="83" t="s">
        <v>248</v>
      </c>
      <c r="B21" s="1"/>
      <c r="D21" s="14" t="e">
        <f>D268</f>
        <v>#DIV/0!</v>
      </c>
      <c r="E21" s="14" t="e">
        <f t="shared" ref="E21:W21" si="10">E268</f>
        <v>#DIV/0!</v>
      </c>
      <c r="F21" s="14" t="e">
        <f t="shared" si="10"/>
        <v>#DIV/0!</v>
      </c>
      <c r="G21" s="14" t="e">
        <f t="shared" si="10"/>
        <v>#DIV/0!</v>
      </c>
      <c r="H21" s="14" t="e">
        <f t="shared" si="10"/>
        <v>#DIV/0!</v>
      </c>
      <c r="I21" s="14" t="e">
        <f t="shared" si="10"/>
        <v>#DIV/0!</v>
      </c>
      <c r="J21" s="14" t="e">
        <f t="shared" si="10"/>
        <v>#DIV/0!</v>
      </c>
      <c r="K21" s="14" t="e">
        <f t="shared" si="10"/>
        <v>#DIV/0!</v>
      </c>
      <c r="L21" s="14" t="e">
        <f t="shared" si="10"/>
        <v>#DIV/0!</v>
      </c>
      <c r="M21" s="14" t="e">
        <f t="shared" si="10"/>
        <v>#DIV/0!</v>
      </c>
      <c r="N21" s="14" t="e">
        <f t="shared" si="10"/>
        <v>#DIV/0!</v>
      </c>
      <c r="O21" s="14" t="e">
        <f t="shared" si="10"/>
        <v>#DIV/0!</v>
      </c>
      <c r="P21" s="14" t="e">
        <f t="shared" si="10"/>
        <v>#DIV/0!</v>
      </c>
      <c r="Q21" s="14" t="e">
        <f t="shared" si="10"/>
        <v>#DIV/0!</v>
      </c>
      <c r="R21" s="14" t="e">
        <f t="shared" si="10"/>
        <v>#DIV/0!</v>
      </c>
      <c r="S21" s="14" t="e">
        <f t="shared" si="10"/>
        <v>#DIV/0!</v>
      </c>
      <c r="T21" s="14" t="e">
        <f t="shared" si="10"/>
        <v>#DIV/0!</v>
      </c>
      <c r="U21" s="14" t="e">
        <f t="shared" si="10"/>
        <v>#DIV/0!</v>
      </c>
      <c r="V21" s="14" t="e">
        <f t="shared" si="10"/>
        <v>#DIV/0!</v>
      </c>
      <c r="W21" s="14" t="e">
        <f t="shared" si="10"/>
        <v>#DIV/0!</v>
      </c>
    </row>
    <row r="22" spans="1:23" ht="15" customHeight="1" x14ac:dyDescent="0.35">
      <c r="A22" s="83" t="s">
        <v>249</v>
      </c>
      <c r="B22" s="1"/>
      <c r="D22" s="14" t="e">
        <f>D289</f>
        <v>#DIV/0!</v>
      </c>
      <c r="E22" s="14" t="e">
        <f t="shared" ref="E22:W22" si="11">E289</f>
        <v>#DIV/0!</v>
      </c>
      <c r="F22" s="14" t="e">
        <f t="shared" si="11"/>
        <v>#DIV/0!</v>
      </c>
      <c r="G22" s="14" t="e">
        <f t="shared" si="11"/>
        <v>#DIV/0!</v>
      </c>
      <c r="H22" s="14" t="e">
        <f t="shared" si="11"/>
        <v>#DIV/0!</v>
      </c>
      <c r="I22" s="14" t="e">
        <f t="shared" si="11"/>
        <v>#DIV/0!</v>
      </c>
      <c r="J22" s="14" t="e">
        <f t="shared" si="11"/>
        <v>#DIV/0!</v>
      </c>
      <c r="K22" s="14" t="e">
        <f t="shared" si="11"/>
        <v>#DIV/0!</v>
      </c>
      <c r="L22" s="14" t="e">
        <f t="shared" si="11"/>
        <v>#DIV/0!</v>
      </c>
      <c r="M22" s="14" t="e">
        <f t="shared" si="11"/>
        <v>#DIV/0!</v>
      </c>
      <c r="N22" s="14" t="e">
        <f t="shared" si="11"/>
        <v>#DIV/0!</v>
      </c>
      <c r="O22" s="14" t="e">
        <f t="shared" si="11"/>
        <v>#DIV/0!</v>
      </c>
      <c r="P22" s="14" t="e">
        <f t="shared" si="11"/>
        <v>#DIV/0!</v>
      </c>
      <c r="Q22" s="14" t="e">
        <f t="shared" si="11"/>
        <v>#DIV/0!</v>
      </c>
      <c r="R22" s="14" t="e">
        <f t="shared" si="11"/>
        <v>#DIV/0!</v>
      </c>
      <c r="S22" s="14" t="e">
        <f t="shared" si="11"/>
        <v>#DIV/0!</v>
      </c>
      <c r="T22" s="14" t="e">
        <f t="shared" si="11"/>
        <v>#DIV/0!</v>
      </c>
      <c r="U22" s="14" t="e">
        <f t="shared" si="11"/>
        <v>#DIV/0!</v>
      </c>
      <c r="V22" s="14" t="e">
        <f t="shared" si="11"/>
        <v>#DIV/0!</v>
      </c>
      <c r="W22" s="14" t="e">
        <f t="shared" si="11"/>
        <v>#DIV/0!</v>
      </c>
    </row>
    <row r="23" spans="1:23" ht="15" customHeight="1" x14ac:dyDescent="0.35">
      <c r="A23" s="83" t="s">
        <v>250</v>
      </c>
      <c r="B23" s="1"/>
      <c r="D23" s="14">
        <f ca="1">D311</f>
        <v>0</v>
      </c>
      <c r="E23" s="14">
        <f t="shared" ref="E23:W23" ca="1" si="12">E311</f>
        <v>0</v>
      </c>
      <c r="F23" s="14">
        <f t="shared" ca="1" si="12"/>
        <v>0</v>
      </c>
      <c r="G23" s="14">
        <f t="shared" ca="1" si="12"/>
        <v>0</v>
      </c>
      <c r="H23" s="14">
        <f t="shared" ca="1" si="12"/>
        <v>0</v>
      </c>
      <c r="I23" s="14">
        <f t="shared" ca="1" si="12"/>
        <v>0</v>
      </c>
      <c r="J23" s="14">
        <f t="shared" ca="1" si="12"/>
        <v>0</v>
      </c>
      <c r="K23" s="14">
        <f t="shared" ca="1" si="12"/>
        <v>0</v>
      </c>
      <c r="L23" s="14">
        <f t="shared" ca="1" si="12"/>
        <v>0</v>
      </c>
      <c r="M23" s="14">
        <f t="shared" ca="1" si="12"/>
        <v>0</v>
      </c>
      <c r="N23" s="14">
        <f t="shared" ca="1" si="12"/>
        <v>0</v>
      </c>
      <c r="O23" s="14">
        <f t="shared" ca="1" si="12"/>
        <v>0</v>
      </c>
      <c r="P23" s="14">
        <f t="shared" ca="1" si="12"/>
        <v>0</v>
      </c>
      <c r="Q23" s="14">
        <f t="shared" ca="1" si="12"/>
        <v>0</v>
      </c>
      <c r="R23" s="14">
        <f t="shared" ca="1" si="12"/>
        <v>0</v>
      </c>
      <c r="S23" s="14">
        <f t="shared" ca="1" si="12"/>
        <v>0</v>
      </c>
      <c r="T23" s="14">
        <f t="shared" ca="1" si="12"/>
        <v>0</v>
      </c>
      <c r="U23" s="14">
        <f t="shared" ca="1" si="12"/>
        <v>0</v>
      </c>
      <c r="V23" s="14">
        <f t="shared" ca="1" si="12"/>
        <v>0</v>
      </c>
      <c r="W23" s="14">
        <f t="shared" ca="1" si="12"/>
        <v>0</v>
      </c>
    </row>
    <row r="24" spans="1:23" ht="15" customHeight="1" x14ac:dyDescent="0.35">
      <c r="A24" s="83" t="s">
        <v>251</v>
      </c>
      <c r="B24" s="1"/>
      <c r="D24" s="74" t="e">
        <f t="shared" ref="D24:W24" si="13">SUM(D21:D23)</f>
        <v>#DIV/0!</v>
      </c>
      <c r="E24" s="74" t="e">
        <f t="shared" si="13"/>
        <v>#DIV/0!</v>
      </c>
      <c r="F24" s="74" t="e">
        <f t="shared" si="13"/>
        <v>#DIV/0!</v>
      </c>
      <c r="G24" s="74" t="e">
        <f t="shared" si="13"/>
        <v>#DIV/0!</v>
      </c>
      <c r="H24" s="74" t="e">
        <f t="shared" si="13"/>
        <v>#DIV/0!</v>
      </c>
      <c r="I24" s="74" t="e">
        <f t="shared" si="13"/>
        <v>#DIV/0!</v>
      </c>
      <c r="J24" s="74" t="e">
        <f t="shared" si="13"/>
        <v>#DIV/0!</v>
      </c>
      <c r="K24" s="74" t="e">
        <f t="shared" si="13"/>
        <v>#DIV/0!</v>
      </c>
      <c r="L24" s="74" t="e">
        <f t="shared" si="13"/>
        <v>#DIV/0!</v>
      </c>
      <c r="M24" s="74" t="e">
        <f t="shared" si="13"/>
        <v>#DIV/0!</v>
      </c>
      <c r="N24" s="74" t="e">
        <f t="shared" si="13"/>
        <v>#DIV/0!</v>
      </c>
      <c r="O24" s="74" t="e">
        <f t="shared" si="13"/>
        <v>#DIV/0!</v>
      </c>
      <c r="P24" s="74" t="e">
        <f t="shared" si="13"/>
        <v>#DIV/0!</v>
      </c>
      <c r="Q24" s="74" t="e">
        <f t="shared" si="13"/>
        <v>#DIV/0!</v>
      </c>
      <c r="R24" s="74" t="e">
        <f t="shared" si="13"/>
        <v>#DIV/0!</v>
      </c>
      <c r="S24" s="74" t="e">
        <f t="shared" si="13"/>
        <v>#DIV/0!</v>
      </c>
      <c r="T24" s="74" t="e">
        <f t="shared" si="13"/>
        <v>#DIV/0!</v>
      </c>
      <c r="U24" s="74" t="e">
        <f t="shared" si="13"/>
        <v>#DIV/0!</v>
      </c>
      <c r="V24" s="74" t="e">
        <f t="shared" si="13"/>
        <v>#DIV/0!</v>
      </c>
      <c r="W24" s="74" t="e">
        <f t="shared" si="13"/>
        <v>#DIV/0!</v>
      </c>
    </row>
    <row r="25" spans="1:23" ht="15" customHeight="1" x14ac:dyDescent="0.35">
      <c r="A25" s="83"/>
      <c r="B25" s="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5" customHeight="1" x14ac:dyDescent="0.35">
      <c r="A26" s="83" t="s">
        <v>252</v>
      </c>
      <c r="B26" s="52" t="s">
        <v>253</v>
      </c>
      <c r="D26" s="14" t="e">
        <f ca="1">D19+D24</f>
        <v>#DIV/0!</v>
      </c>
      <c r="E26" s="14" t="e">
        <f t="shared" ref="E26:W26" ca="1" si="14">E19+E24</f>
        <v>#DIV/0!</v>
      </c>
      <c r="F26" s="14" t="e">
        <f t="shared" ca="1" si="14"/>
        <v>#DIV/0!</v>
      </c>
      <c r="G26" s="14" t="e">
        <f t="shared" ca="1" si="14"/>
        <v>#DIV/0!</v>
      </c>
      <c r="H26" s="14" t="e">
        <f t="shared" ca="1" si="14"/>
        <v>#DIV/0!</v>
      </c>
      <c r="I26" s="14" t="e">
        <f t="shared" ca="1" si="14"/>
        <v>#DIV/0!</v>
      </c>
      <c r="J26" s="14" t="e">
        <f t="shared" ca="1" si="14"/>
        <v>#DIV/0!</v>
      </c>
      <c r="K26" s="14" t="e">
        <f t="shared" ca="1" si="14"/>
        <v>#DIV/0!</v>
      </c>
      <c r="L26" s="14" t="e">
        <f t="shared" ca="1" si="14"/>
        <v>#DIV/0!</v>
      </c>
      <c r="M26" s="14" t="e">
        <f t="shared" ca="1" si="14"/>
        <v>#DIV/0!</v>
      </c>
      <c r="N26" s="14" t="e">
        <f t="shared" ca="1" si="14"/>
        <v>#DIV/0!</v>
      </c>
      <c r="O26" s="14" t="e">
        <f t="shared" ca="1" si="14"/>
        <v>#DIV/0!</v>
      </c>
      <c r="P26" s="14" t="e">
        <f t="shared" ca="1" si="14"/>
        <v>#DIV/0!</v>
      </c>
      <c r="Q26" s="14" t="e">
        <f t="shared" ca="1" si="14"/>
        <v>#DIV/0!</v>
      </c>
      <c r="R26" s="14" t="e">
        <f t="shared" ca="1" si="14"/>
        <v>#DIV/0!</v>
      </c>
      <c r="S26" s="14" t="e">
        <f t="shared" ca="1" si="14"/>
        <v>#DIV/0!</v>
      </c>
      <c r="T26" s="14" t="e">
        <f t="shared" ca="1" si="14"/>
        <v>#DIV/0!</v>
      </c>
      <c r="U26" s="14" t="e">
        <f t="shared" ca="1" si="14"/>
        <v>#DIV/0!</v>
      </c>
      <c r="V26" s="14" t="e">
        <f t="shared" ca="1" si="14"/>
        <v>#DIV/0!</v>
      </c>
      <c r="W26" s="14" t="e">
        <f t="shared" ca="1" si="14"/>
        <v>#DIV/0!</v>
      </c>
    </row>
    <row r="27" spans="1:23" ht="15" customHeight="1" x14ac:dyDescent="0.35">
      <c r="A27" s="8" t="s">
        <v>131</v>
      </c>
      <c r="B27" s="1">
        <f>'0-Inputs'!B173</f>
        <v>6.2199999999999998E-3</v>
      </c>
      <c r="D27" s="77" t="e">
        <f ca="1">D26*$B$27</f>
        <v>#DIV/0!</v>
      </c>
      <c r="E27" s="77" t="e">
        <f t="shared" ref="E27:W27" ca="1" si="15">E26*$B$27</f>
        <v>#DIV/0!</v>
      </c>
      <c r="F27" s="77" t="e">
        <f t="shared" ca="1" si="15"/>
        <v>#DIV/0!</v>
      </c>
      <c r="G27" s="77" t="e">
        <f t="shared" ca="1" si="15"/>
        <v>#DIV/0!</v>
      </c>
      <c r="H27" s="77" t="e">
        <f t="shared" ca="1" si="15"/>
        <v>#DIV/0!</v>
      </c>
      <c r="I27" s="77" t="e">
        <f t="shared" ca="1" si="15"/>
        <v>#DIV/0!</v>
      </c>
      <c r="J27" s="77" t="e">
        <f t="shared" ca="1" si="15"/>
        <v>#DIV/0!</v>
      </c>
      <c r="K27" s="77" t="e">
        <f t="shared" ca="1" si="15"/>
        <v>#DIV/0!</v>
      </c>
      <c r="L27" s="77" t="e">
        <f t="shared" ca="1" si="15"/>
        <v>#DIV/0!</v>
      </c>
      <c r="M27" s="77" t="e">
        <f t="shared" ca="1" si="15"/>
        <v>#DIV/0!</v>
      </c>
      <c r="N27" s="77" t="e">
        <f t="shared" ca="1" si="15"/>
        <v>#DIV/0!</v>
      </c>
      <c r="O27" s="77" t="e">
        <f t="shared" ca="1" si="15"/>
        <v>#DIV/0!</v>
      </c>
      <c r="P27" s="77" t="e">
        <f t="shared" ca="1" si="15"/>
        <v>#DIV/0!</v>
      </c>
      <c r="Q27" s="77" t="e">
        <f t="shared" ca="1" si="15"/>
        <v>#DIV/0!</v>
      </c>
      <c r="R27" s="77" t="e">
        <f t="shared" ca="1" si="15"/>
        <v>#DIV/0!</v>
      </c>
      <c r="S27" s="77" t="e">
        <f t="shared" ca="1" si="15"/>
        <v>#DIV/0!</v>
      </c>
      <c r="T27" s="77" t="e">
        <f t="shared" ca="1" si="15"/>
        <v>#DIV/0!</v>
      </c>
      <c r="U27" s="77" t="e">
        <f t="shared" ca="1" si="15"/>
        <v>#DIV/0!</v>
      </c>
      <c r="V27" s="77" t="e">
        <f t="shared" ca="1" si="15"/>
        <v>#DIV/0!</v>
      </c>
      <c r="W27" s="77" t="e">
        <f t="shared" ca="1" si="15"/>
        <v>#DIV/0!</v>
      </c>
    </row>
    <row r="28" spans="1:23" ht="15" customHeight="1" x14ac:dyDescent="0.35">
      <c r="A28" s="83" t="s">
        <v>254</v>
      </c>
      <c r="B28" s="1"/>
      <c r="D28" s="14" t="e">
        <f ca="1">SUM(D26:D27)</f>
        <v>#DIV/0!</v>
      </c>
      <c r="E28" s="14" t="e">
        <f t="shared" ref="E28:W28" ca="1" si="16">SUM(E26:E27)</f>
        <v>#DIV/0!</v>
      </c>
      <c r="F28" s="14" t="e">
        <f t="shared" ca="1" si="16"/>
        <v>#DIV/0!</v>
      </c>
      <c r="G28" s="14" t="e">
        <f t="shared" ca="1" si="16"/>
        <v>#DIV/0!</v>
      </c>
      <c r="H28" s="14" t="e">
        <f t="shared" ca="1" si="16"/>
        <v>#DIV/0!</v>
      </c>
      <c r="I28" s="14" t="e">
        <f t="shared" ca="1" si="16"/>
        <v>#DIV/0!</v>
      </c>
      <c r="J28" s="14" t="e">
        <f t="shared" ca="1" si="16"/>
        <v>#DIV/0!</v>
      </c>
      <c r="K28" s="14" t="e">
        <f t="shared" ca="1" si="16"/>
        <v>#DIV/0!</v>
      </c>
      <c r="L28" s="14" t="e">
        <f t="shared" ca="1" si="16"/>
        <v>#DIV/0!</v>
      </c>
      <c r="M28" s="14" t="e">
        <f t="shared" ca="1" si="16"/>
        <v>#DIV/0!</v>
      </c>
      <c r="N28" s="14" t="e">
        <f t="shared" ca="1" si="16"/>
        <v>#DIV/0!</v>
      </c>
      <c r="O28" s="14" t="e">
        <f t="shared" ca="1" si="16"/>
        <v>#DIV/0!</v>
      </c>
      <c r="P28" s="14" t="e">
        <f t="shared" ca="1" si="16"/>
        <v>#DIV/0!</v>
      </c>
      <c r="Q28" s="14" t="e">
        <f t="shared" ca="1" si="16"/>
        <v>#DIV/0!</v>
      </c>
      <c r="R28" s="14" t="e">
        <f t="shared" ca="1" si="16"/>
        <v>#DIV/0!</v>
      </c>
      <c r="S28" s="14" t="e">
        <f t="shared" ca="1" si="16"/>
        <v>#DIV/0!</v>
      </c>
      <c r="T28" s="14" t="e">
        <f t="shared" ca="1" si="16"/>
        <v>#DIV/0!</v>
      </c>
      <c r="U28" s="14" t="e">
        <f t="shared" ca="1" si="16"/>
        <v>#DIV/0!</v>
      </c>
      <c r="V28" s="14" t="e">
        <f t="shared" ca="1" si="16"/>
        <v>#DIV/0!</v>
      </c>
      <c r="W28" s="14" t="e">
        <f t="shared" ca="1" si="16"/>
        <v>#DIV/0!</v>
      </c>
    </row>
    <row r="29" spans="1:23" ht="15" customHeight="1" x14ac:dyDescent="0.35">
      <c r="A29" s="83"/>
      <c r="B29" s="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5" customHeight="1" x14ac:dyDescent="0.35">
      <c r="A30" s="448"/>
      <c r="B30" s="1"/>
      <c r="C30" s="1"/>
    </row>
    <row r="31" spans="1:23" ht="15" customHeight="1" x14ac:dyDescent="0.35">
      <c r="A31" s="116"/>
      <c r="B31" s="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21.75" customHeight="1" x14ac:dyDescent="0.5">
      <c r="A32" s="95" t="s">
        <v>255</v>
      </c>
      <c r="B32" s="1"/>
      <c r="D32" s="25">
        <f t="shared" ref="D32:W32" si="17">D8</f>
        <v>2026</v>
      </c>
      <c r="E32" s="25">
        <f t="shared" si="17"/>
        <v>2027</v>
      </c>
      <c r="F32" s="25">
        <f t="shared" si="17"/>
        <v>2028</v>
      </c>
      <c r="G32" s="25">
        <f t="shared" si="17"/>
        <v>2029</v>
      </c>
      <c r="H32" s="25">
        <f t="shared" si="17"/>
        <v>2030</v>
      </c>
      <c r="I32" s="25">
        <f t="shared" si="17"/>
        <v>2031</v>
      </c>
      <c r="J32" s="25">
        <f t="shared" si="17"/>
        <v>2032</v>
      </c>
      <c r="K32" s="25">
        <f t="shared" si="17"/>
        <v>2033</v>
      </c>
      <c r="L32" s="25">
        <f t="shared" si="17"/>
        <v>2034</v>
      </c>
      <c r="M32" s="25">
        <f t="shared" si="17"/>
        <v>2035</v>
      </c>
      <c r="N32" s="25">
        <f t="shared" si="17"/>
        <v>2036</v>
      </c>
      <c r="O32" s="25">
        <f t="shared" si="17"/>
        <v>2037</v>
      </c>
      <c r="P32" s="25">
        <f t="shared" si="17"/>
        <v>2038</v>
      </c>
      <c r="Q32" s="25">
        <f t="shared" si="17"/>
        <v>2039</v>
      </c>
      <c r="R32" s="25">
        <f t="shared" si="17"/>
        <v>2040</v>
      </c>
      <c r="S32" s="25">
        <f t="shared" si="17"/>
        <v>2041</v>
      </c>
      <c r="T32" s="25">
        <f t="shared" si="17"/>
        <v>2042</v>
      </c>
      <c r="U32" s="25">
        <f t="shared" si="17"/>
        <v>2043</v>
      </c>
      <c r="V32" s="25">
        <f t="shared" si="17"/>
        <v>2044</v>
      </c>
      <c r="W32" s="25">
        <f t="shared" si="17"/>
        <v>2045</v>
      </c>
    </row>
    <row r="33" spans="1:23" ht="15" customHeight="1" x14ac:dyDescent="0.35">
      <c r="A33" s="446"/>
      <c r="B33" s="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5" customHeight="1" x14ac:dyDescent="0.45">
      <c r="A34" s="199" t="s">
        <v>256</v>
      </c>
      <c r="B34" s="1"/>
    </row>
    <row r="35" spans="1:23" ht="15" customHeight="1" x14ac:dyDescent="0.45">
      <c r="A35" s="191"/>
      <c r="B35" s="1"/>
    </row>
    <row r="36" spans="1:23" x14ac:dyDescent="0.35">
      <c r="A36" s="16" t="s">
        <v>257</v>
      </c>
      <c r="D36" s="16" t="s">
        <v>258</v>
      </c>
    </row>
    <row r="37" spans="1:23" x14ac:dyDescent="0.35">
      <c r="A37" s="16" t="s">
        <v>259</v>
      </c>
      <c r="B37" s="16" t="s">
        <v>260</v>
      </c>
      <c r="C37" s="16" t="s">
        <v>261</v>
      </c>
      <c r="D37">
        <v>2025</v>
      </c>
      <c r="E37">
        <v>2026</v>
      </c>
      <c r="F37">
        <v>2027</v>
      </c>
      <c r="G37">
        <v>2028</v>
      </c>
      <c r="H37">
        <v>2029</v>
      </c>
      <c r="I37">
        <v>2030</v>
      </c>
      <c r="J37">
        <v>2031</v>
      </c>
      <c r="K37">
        <v>2032</v>
      </c>
      <c r="L37">
        <v>2033</v>
      </c>
      <c r="M37">
        <v>2034</v>
      </c>
      <c r="N37" t="s">
        <v>262</v>
      </c>
    </row>
    <row r="38" spans="1:23" x14ac:dyDescent="0.35">
      <c r="A38" t="s">
        <v>184</v>
      </c>
      <c r="B38" t="s">
        <v>263</v>
      </c>
      <c r="C38" t="s">
        <v>264</v>
      </c>
      <c r="D38" s="18">
        <v>0</v>
      </c>
      <c r="E38" s="18"/>
      <c r="F38" s="18"/>
      <c r="G38" s="18"/>
      <c r="H38" s="18"/>
      <c r="I38" s="18"/>
      <c r="J38" s="18"/>
      <c r="K38" s="18"/>
      <c r="L38" s="18"/>
      <c r="M38" s="18"/>
      <c r="N38" s="18">
        <v>0</v>
      </c>
    </row>
    <row r="39" spans="1:23" x14ac:dyDescent="0.35">
      <c r="C39" t="s">
        <v>265</v>
      </c>
      <c r="D39" s="18">
        <v>0</v>
      </c>
      <c r="E39" s="18"/>
      <c r="F39" s="18"/>
      <c r="G39" s="18"/>
      <c r="H39" s="18"/>
      <c r="I39" s="18"/>
      <c r="J39" s="18"/>
      <c r="K39" s="18"/>
      <c r="L39" s="18"/>
      <c r="M39" s="18"/>
      <c r="N39" s="18">
        <v>0</v>
      </c>
    </row>
    <row r="40" spans="1:23" x14ac:dyDescent="0.35">
      <c r="B40" t="s">
        <v>266</v>
      </c>
      <c r="C40" t="s">
        <v>264</v>
      </c>
      <c r="D40" s="18">
        <v>0</v>
      </c>
      <c r="E40" s="18">
        <v>3</v>
      </c>
      <c r="F40" s="18">
        <v>1</v>
      </c>
      <c r="G40" s="18">
        <v>3</v>
      </c>
      <c r="H40" s="18"/>
      <c r="I40" s="18">
        <v>1</v>
      </c>
      <c r="J40" s="18"/>
      <c r="K40" s="18">
        <v>4</v>
      </c>
      <c r="L40" s="18">
        <v>7</v>
      </c>
      <c r="M40" s="18">
        <v>6</v>
      </c>
      <c r="N40" s="18">
        <v>25</v>
      </c>
    </row>
    <row r="41" spans="1:23" x14ac:dyDescent="0.35">
      <c r="C41" t="s">
        <v>265</v>
      </c>
      <c r="D41" s="18">
        <v>14</v>
      </c>
      <c r="E41" s="18">
        <v>15</v>
      </c>
      <c r="F41" s="18">
        <v>73</v>
      </c>
      <c r="G41" s="18">
        <v>42</v>
      </c>
      <c r="H41" s="18">
        <v>2</v>
      </c>
      <c r="I41" s="18">
        <v>7</v>
      </c>
      <c r="J41" s="18">
        <v>11</v>
      </c>
      <c r="K41" s="18">
        <v>15</v>
      </c>
      <c r="L41" s="18">
        <v>35</v>
      </c>
      <c r="M41" s="18">
        <v>18</v>
      </c>
      <c r="N41" s="18">
        <v>232</v>
      </c>
    </row>
    <row r="42" spans="1:23" x14ac:dyDescent="0.35">
      <c r="A42" t="s">
        <v>229</v>
      </c>
      <c r="B42" t="s">
        <v>263</v>
      </c>
      <c r="C42" t="s">
        <v>264</v>
      </c>
      <c r="D42" s="18">
        <v>0</v>
      </c>
      <c r="E42" s="18"/>
      <c r="F42" s="18"/>
      <c r="G42" s="18"/>
      <c r="H42" s="18"/>
      <c r="I42" s="18"/>
      <c r="J42" s="18"/>
      <c r="K42" s="18"/>
      <c r="L42" s="18"/>
      <c r="M42" s="18"/>
      <c r="N42" s="18">
        <v>0</v>
      </c>
    </row>
    <row r="43" spans="1:23" x14ac:dyDescent="0.35">
      <c r="C43" t="s">
        <v>265</v>
      </c>
      <c r="D43" s="18">
        <v>0</v>
      </c>
      <c r="E43" s="18"/>
      <c r="F43" s="18"/>
      <c r="G43" s="18"/>
      <c r="H43" s="18"/>
      <c r="I43" s="18"/>
      <c r="J43" s="18"/>
      <c r="K43" s="18"/>
      <c r="L43" s="18"/>
      <c r="M43" s="18"/>
      <c r="N43" s="18">
        <v>0</v>
      </c>
    </row>
    <row r="44" spans="1:23" x14ac:dyDescent="0.35">
      <c r="B44" t="s">
        <v>266</v>
      </c>
      <c r="C44" t="s">
        <v>264</v>
      </c>
      <c r="D44" s="18">
        <v>369</v>
      </c>
      <c r="E44" s="18">
        <v>33</v>
      </c>
      <c r="F44" s="18">
        <v>64</v>
      </c>
      <c r="G44" s="18">
        <v>111</v>
      </c>
      <c r="H44" s="18">
        <v>150</v>
      </c>
      <c r="I44" s="18">
        <v>11</v>
      </c>
      <c r="J44" s="18">
        <v>81</v>
      </c>
      <c r="K44" s="18">
        <v>126</v>
      </c>
      <c r="L44" s="18">
        <v>111</v>
      </c>
      <c r="M44" s="18">
        <v>266</v>
      </c>
      <c r="N44" s="18">
        <v>1322</v>
      </c>
    </row>
    <row r="45" spans="1:23" x14ac:dyDescent="0.35">
      <c r="C45" t="s">
        <v>265</v>
      </c>
      <c r="D45" s="18">
        <v>39240</v>
      </c>
      <c r="E45" s="18">
        <v>4193</v>
      </c>
      <c r="F45" s="18">
        <v>7798</v>
      </c>
      <c r="G45" s="18">
        <v>15657</v>
      </c>
      <c r="H45" s="18">
        <v>11900</v>
      </c>
      <c r="I45" s="18">
        <v>1556</v>
      </c>
      <c r="J45" s="18">
        <v>6807</v>
      </c>
      <c r="K45" s="18">
        <v>6174</v>
      </c>
      <c r="L45" s="18">
        <v>17193</v>
      </c>
      <c r="M45" s="18">
        <v>31361</v>
      </c>
      <c r="N45" s="18">
        <v>141879</v>
      </c>
    </row>
    <row r="46" spans="1:23" x14ac:dyDescent="0.35">
      <c r="A46" t="s">
        <v>267</v>
      </c>
      <c r="B46" t="s">
        <v>263</v>
      </c>
      <c r="C46" t="s">
        <v>264</v>
      </c>
      <c r="D46" s="18">
        <v>0</v>
      </c>
      <c r="E46" s="18"/>
      <c r="F46" s="18"/>
      <c r="G46" s="18"/>
      <c r="H46" s="18"/>
      <c r="I46" s="18"/>
      <c r="J46" s="18"/>
      <c r="K46" s="18"/>
      <c r="L46" s="18"/>
      <c r="M46" s="18"/>
      <c r="N46" s="18">
        <v>0</v>
      </c>
    </row>
    <row r="47" spans="1:23" x14ac:dyDescent="0.35">
      <c r="C47" t="s">
        <v>265</v>
      </c>
      <c r="D47" s="18">
        <v>0</v>
      </c>
      <c r="E47" s="18"/>
      <c r="F47" s="18"/>
      <c r="G47" s="18"/>
      <c r="H47" s="18"/>
      <c r="I47" s="18"/>
      <c r="J47" s="18"/>
      <c r="K47" s="18"/>
      <c r="L47" s="18"/>
      <c r="M47" s="18"/>
      <c r="N47" s="18">
        <v>0</v>
      </c>
    </row>
    <row r="48" spans="1:23" x14ac:dyDescent="0.35">
      <c r="B48" t="s">
        <v>266</v>
      </c>
      <c r="C48" t="s">
        <v>264</v>
      </c>
      <c r="D48" s="18">
        <v>1</v>
      </c>
      <c r="E48" s="18"/>
      <c r="F48" s="18"/>
      <c r="G48" s="18">
        <v>2</v>
      </c>
      <c r="H48" s="18"/>
      <c r="I48" s="18"/>
      <c r="J48" s="18"/>
      <c r="K48" s="18">
        <v>1</v>
      </c>
      <c r="L48" s="18"/>
      <c r="M48" s="18"/>
      <c r="N48" s="18">
        <v>4</v>
      </c>
    </row>
    <row r="49" spans="1:23" x14ac:dyDescent="0.35">
      <c r="C49" t="s">
        <v>265</v>
      </c>
      <c r="D49" s="18">
        <v>1</v>
      </c>
      <c r="E49" s="18">
        <v>2</v>
      </c>
      <c r="F49" s="18">
        <v>2</v>
      </c>
      <c r="G49" s="18">
        <v>10</v>
      </c>
      <c r="H49" s="18">
        <v>5</v>
      </c>
      <c r="I49" s="18">
        <v>3</v>
      </c>
      <c r="J49" s="18">
        <v>4</v>
      </c>
      <c r="K49" s="18">
        <v>6</v>
      </c>
      <c r="L49" s="18">
        <v>1</v>
      </c>
      <c r="M49" s="18">
        <v>4</v>
      </c>
      <c r="N49" s="18">
        <v>38</v>
      </c>
    </row>
    <row r="50" spans="1:23" x14ac:dyDescent="0.35">
      <c r="A50" t="s">
        <v>262</v>
      </c>
      <c r="D50" s="18">
        <v>39625</v>
      </c>
      <c r="E50" s="18">
        <v>4246</v>
      </c>
      <c r="F50" s="18">
        <v>7938</v>
      </c>
      <c r="G50" s="18">
        <v>15825</v>
      </c>
      <c r="H50" s="18">
        <v>12057</v>
      </c>
      <c r="I50" s="18">
        <v>1578</v>
      </c>
      <c r="J50" s="18">
        <v>6903</v>
      </c>
      <c r="K50" s="18">
        <v>6326</v>
      </c>
      <c r="L50" s="18">
        <v>17347</v>
      </c>
      <c r="M50" s="18">
        <v>31655</v>
      </c>
      <c r="N50" s="18">
        <v>143500</v>
      </c>
    </row>
    <row r="54" spans="1:23" outlineLevel="1" x14ac:dyDescent="0.35"/>
    <row r="55" spans="1:23" outlineLevel="1" x14ac:dyDescent="0.35"/>
    <row r="56" spans="1:23" x14ac:dyDescent="0.35">
      <c r="A56" t="s">
        <v>268</v>
      </c>
    </row>
    <row r="58" spans="1:23" ht="18.5" x14ac:dyDescent="0.45">
      <c r="A58" s="199" t="s">
        <v>269</v>
      </c>
      <c r="B58" s="94"/>
      <c r="C58" s="94"/>
      <c r="D58" s="94"/>
    </row>
    <row r="59" spans="1:23" outlineLevel="1" x14ac:dyDescent="0.35">
      <c r="A59" s="273" t="s">
        <v>257</v>
      </c>
      <c r="B59" s="273"/>
      <c r="C59" s="273"/>
      <c r="D59" s="273" t="s">
        <v>258</v>
      </c>
      <c r="E59" s="273"/>
      <c r="F59" s="273"/>
      <c r="G59" s="273"/>
      <c r="H59" s="273"/>
      <c r="I59" s="273"/>
      <c r="J59" s="273"/>
      <c r="K59" s="273"/>
      <c r="L59" s="273"/>
      <c r="R59" s="19"/>
      <c r="W59" s="19"/>
    </row>
    <row r="60" spans="1:23" outlineLevel="1" x14ac:dyDescent="0.35">
      <c r="A60" s="276" t="s">
        <v>259</v>
      </c>
      <c r="B60" s="276" t="s">
        <v>260</v>
      </c>
      <c r="C60" s="276" t="s">
        <v>261</v>
      </c>
      <c r="D60" s="276">
        <v>2026</v>
      </c>
      <c r="E60" s="276">
        <v>2027</v>
      </c>
      <c r="F60" s="276">
        <v>2028</v>
      </c>
      <c r="G60" s="276">
        <v>2029</v>
      </c>
      <c r="H60" s="276">
        <v>2030</v>
      </c>
      <c r="I60" s="276">
        <v>2031</v>
      </c>
      <c r="J60" s="276">
        <v>2032</v>
      </c>
      <c r="K60" s="276">
        <v>2033</v>
      </c>
      <c r="L60" s="276">
        <v>2034</v>
      </c>
      <c r="R60" s="19"/>
      <c r="W60" s="19"/>
    </row>
    <row r="61" spans="1:23" outlineLevel="1" x14ac:dyDescent="0.35">
      <c r="A61" s="19" t="s">
        <v>184</v>
      </c>
      <c r="B61" s="19" t="s">
        <v>263</v>
      </c>
      <c r="C61" t="s">
        <v>264</v>
      </c>
      <c r="D61" s="18"/>
      <c r="E61" s="18"/>
      <c r="F61" s="18"/>
      <c r="G61" s="18"/>
      <c r="H61" s="18"/>
      <c r="I61" s="18"/>
      <c r="J61" s="18"/>
      <c r="K61" s="18"/>
      <c r="L61" s="18"/>
      <c r="N61" s="18"/>
      <c r="O61" s="18"/>
      <c r="P61" s="18"/>
      <c r="Q61" s="18"/>
      <c r="R61" s="18"/>
      <c r="S61" s="18"/>
      <c r="W61" s="18"/>
    </row>
    <row r="62" spans="1:23" outlineLevel="1" x14ac:dyDescent="0.35">
      <c r="A62" s="19"/>
      <c r="B62" s="19"/>
      <c r="C62" t="s">
        <v>265</v>
      </c>
      <c r="D62" s="18"/>
      <c r="E62" s="18"/>
      <c r="F62" s="18"/>
      <c r="G62" s="18"/>
      <c r="H62" s="18"/>
      <c r="I62" s="18"/>
      <c r="J62" s="18"/>
      <c r="K62" s="18"/>
      <c r="L62" s="18"/>
      <c r="N62" s="18"/>
      <c r="O62" s="18"/>
      <c r="P62" s="18"/>
      <c r="Q62" s="18"/>
      <c r="R62" s="18"/>
      <c r="S62" s="18"/>
      <c r="W62" s="18"/>
    </row>
    <row r="63" spans="1:23" outlineLevel="1" x14ac:dyDescent="0.35">
      <c r="A63" s="19"/>
      <c r="B63" s="19" t="s">
        <v>266</v>
      </c>
      <c r="C63" t="s">
        <v>264</v>
      </c>
      <c r="D63" s="18">
        <v>3</v>
      </c>
      <c r="E63" s="18">
        <v>1</v>
      </c>
      <c r="F63" s="18">
        <v>3</v>
      </c>
      <c r="G63" s="18"/>
      <c r="H63" s="18">
        <v>1</v>
      </c>
      <c r="I63" s="18"/>
      <c r="J63" s="18">
        <v>4</v>
      </c>
      <c r="K63" s="18">
        <v>7</v>
      </c>
      <c r="L63" s="18">
        <v>6</v>
      </c>
      <c r="N63" s="18"/>
      <c r="O63" s="18"/>
      <c r="P63" s="18"/>
      <c r="Q63" s="18"/>
      <c r="R63" s="18"/>
      <c r="S63" s="18"/>
      <c r="W63" s="18"/>
    </row>
    <row r="64" spans="1:23" outlineLevel="1" x14ac:dyDescent="0.35">
      <c r="A64" s="274"/>
      <c r="B64" s="19"/>
      <c r="C64" t="s">
        <v>265</v>
      </c>
      <c r="D64" s="18">
        <v>15</v>
      </c>
      <c r="E64" s="18">
        <v>73</v>
      </c>
      <c r="F64" s="18">
        <v>42</v>
      </c>
      <c r="G64" s="18">
        <v>2</v>
      </c>
      <c r="H64" s="18">
        <v>7</v>
      </c>
      <c r="I64" s="18">
        <v>11</v>
      </c>
      <c r="J64" s="18">
        <v>15</v>
      </c>
      <c r="K64" s="18">
        <v>35</v>
      </c>
      <c r="L64" s="18">
        <v>18</v>
      </c>
      <c r="N64" s="18"/>
      <c r="O64" s="18"/>
      <c r="P64" s="18"/>
      <c r="Q64" s="18"/>
      <c r="R64" s="18"/>
      <c r="S64" s="18"/>
      <c r="W64" s="18"/>
    </row>
    <row r="65" spans="1:23" outlineLevel="1" x14ac:dyDescent="0.35">
      <c r="A65" s="19" t="s">
        <v>229</v>
      </c>
      <c r="B65" s="19" t="s">
        <v>263</v>
      </c>
      <c r="C65" t="s">
        <v>264</v>
      </c>
      <c r="D65" s="18"/>
      <c r="E65" s="18"/>
      <c r="F65" s="18"/>
      <c r="G65" s="18"/>
      <c r="H65" s="18"/>
      <c r="I65" s="18"/>
      <c r="J65" s="18"/>
      <c r="K65" s="18"/>
      <c r="L65" s="18"/>
      <c r="N65" s="18"/>
      <c r="O65" s="18"/>
      <c r="P65" s="18"/>
      <c r="Q65" s="18"/>
      <c r="R65" s="18"/>
      <c r="S65" s="18"/>
      <c r="W65" s="18"/>
    </row>
    <row r="66" spans="1:23" outlineLevel="1" x14ac:dyDescent="0.35">
      <c r="A66" s="19"/>
      <c r="B66" s="19"/>
      <c r="C66" t="s">
        <v>265</v>
      </c>
      <c r="D66" s="18"/>
      <c r="E66" s="18"/>
      <c r="F66" s="18"/>
      <c r="G66" s="18"/>
      <c r="H66" s="18"/>
      <c r="I66" s="18"/>
      <c r="J66" s="18"/>
      <c r="K66" s="18"/>
      <c r="L66" s="18"/>
      <c r="N66" s="18"/>
      <c r="O66" s="18"/>
      <c r="P66" s="18"/>
      <c r="Q66" s="18"/>
      <c r="R66" s="18"/>
      <c r="S66" s="18"/>
      <c r="W66" s="18"/>
    </row>
    <row r="67" spans="1:23" outlineLevel="1" x14ac:dyDescent="0.35">
      <c r="A67" s="19"/>
      <c r="B67" s="19" t="s">
        <v>266</v>
      </c>
      <c r="C67" t="s">
        <v>264</v>
      </c>
      <c r="D67" s="18">
        <v>33</v>
      </c>
      <c r="E67" s="18">
        <v>64</v>
      </c>
      <c r="F67" s="18">
        <v>111</v>
      </c>
      <c r="G67" s="18">
        <v>150</v>
      </c>
      <c r="H67" s="18">
        <v>11</v>
      </c>
      <c r="I67" s="18">
        <v>81</v>
      </c>
      <c r="J67" s="18">
        <v>126</v>
      </c>
      <c r="K67" s="18">
        <v>111</v>
      </c>
      <c r="L67" s="18">
        <v>266</v>
      </c>
      <c r="N67" s="18"/>
      <c r="O67" s="18"/>
      <c r="P67" s="18"/>
      <c r="Q67" s="18"/>
      <c r="R67" s="18"/>
      <c r="S67" s="18"/>
      <c r="W67" s="18"/>
    </row>
    <row r="68" spans="1:23" outlineLevel="1" x14ac:dyDescent="0.35">
      <c r="A68" s="274"/>
      <c r="B68" s="19"/>
      <c r="C68" t="s">
        <v>265</v>
      </c>
      <c r="D68" s="18">
        <v>4193</v>
      </c>
      <c r="E68" s="18">
        <v>7798</v>
      </c>
      <c r="F68" s="18">
        <v>15657</v>
      </c>
      <c r="G68" s="18">
        <v>11900</v>
      </c>
      <c r="H68" s="18">
        <v>1556</v>
      </c>
      <c r="I68" s="18">
        <v>6807</v>
      </c>
      <c r="J68" s="18">
        <v>6174</v>
      </c>
      <c r="K68" s="18">
        <v>17193</v>
      </c>
      <c r="L68" s="18">
        <v>31361</v>
      </c>
      <c r="N68" s="18"/>
      <c r="O68" s="18"/>
      <c r="P68" s="18"/>
      <c r="Q68" s="18"/>
      <c r="R68" s="18"/>
      <c r="S68" s="18"/>
      <c r="W68" s="18"/>
    </row>
    <row r="69" spans="1:23" outlineLevel="1" x14ac:dyDescent="0.35">
      <c r="A69" s="19" t="s">
        <v>267</v>
      </c>
      <c r="B69" s="19" t="s">
        <v>263</v>
      </c>
      <c r="C69" t="s">
        <v>264</v>
      </c>
      <c r="D69" s="18"/>
      <c r="E69" s="18"/>
      <c r="F69" s="18"/>
      <c r="G69" s="18"/>
      <c r="H69" s="18"/>
      <c r="I69" s="18"/>
      <c r="J69" s="18"/>
      <c r="K69" s="18"/>
      <c r="L69" s="18"/>
      <c r="N69" s="18"/>
      <c r="O69" s="18"/>
      <c r="P69" s="18"/>
      <c r="Q69" s="18"/>
      <c r="R69" s="18"/>
      <c r="S69" s="18"/>
      <c r="W69" s="18"/>
    </row>
    <row r="70" spans="1:23" outlineLevel="1" x14ac:dyDescent="0.35">
      <c r="A70" s="19"/>
      <c r="B70" s="19"/>
      <c r="C70" t="s">
        <v>265</v>
      </c>
      <c r="D70" s="18"/>
      <c r="E70" s="18"/>
      <c r="F70" s="18"/>
      <c r="G70" s="18"/>
      <c r="H70" s="18"/>
      <c r="I70" s="18"/>
      <c r="J70" s="18"/>
      <c r="K70" s="18"/>
      <c r="L70" s="18"/>
      <c r="N70" s="18"/>
      <c r="O70" s="18"/>
      <c r="P70" s="18"/>
      <c r="Q70" s="18"/>
      <c r="R70" s="18"/>
      <c r="S70" s="18"/>
      <c r="W70" s="18"/>
    </row>
    <row r="71" spans="1:23" outlineLevel="1" x14ac:dyDescent="0.35">
      <c r="A71" s="19"/>
      <c r="B71" s="19" t="s">
        <v>266</v>
      </c>
      <c r="C71" t="s">
        <v>264</v>
      </c>
      <c r="D71" s="18"/>
      <c r="E71" s="18"/>
      <c r="F71" s="18">
        <v>2</v>
      </c>
      <c r="G71" s="18"/>
      <c r="H71" s="18"/>
      <c r="I71" s="18"/>
      <c r="J71" s="18">
        <v>1</v>
      </c>
      <c r="K71" s="18"/>
      <c r="L71" s="18"/>
      <c r="N71" s="18"/>
      <c r="O71" s="18"/>
      <c r="P71" s="18"/>
      <c r="Q71" s="18"/>
      <c r="R71" s="18"/>
      <c r="S71" s="18"/>
      <c r="W71" s="18"/>
    </row>
    <row r="72" spans="1:23" outlineLevel="1" x14ac:dyDescent="0.35">
      <c r="A72" s="274"/>
      <c r="B72" s="19"/>
      <c r="C72" t="s">
        <v>265</v>
      </c>
      <c r="D72" s="18">
        <v>2</v>
      </c>
      <c r="E72" s="18">
        <v>2</v>
      </c>
      <c r="F72" s="18">
        <v>10</v>
      </c>
      <c r="G72" s="18">
        <v>5</v>
      </c>
      <c r="H72" s="18">
        <v>3</v>
      </c>
      <c r="I72" s="18">
        <v>4</v>
      </c>
      <c r="J72" s="18">
        <v>6</v>
      </c>
      <c r="K72" s="18">
        <v>1</v>
      </c>
      <c r="L72" s="18">
        <v>4</v>
      </c>
      <c r="N72" s="18"/>
      <c r="O72" s="18"/>
      <c r="P72" s="18"/>
      <c r="Q72" s="18"/>
      <c r="R72" s="18"/>
      <c r="S72" s="18"/>
      <c r="W72" s="18"/>
    </row>
    <row r="73" spans="1:23" outlineLevel="1" x14ac:dyDescent="0.35">
      <c r="A73" s="275" t="s">
        <v>262</v>
      </c>
      <c r="B73" s="275"/>
      <c r="C73" s="275"/>
      <c r="D73" s="278">
        <v>4246</v>
      </c>
      <c r="E73" s="278">
        <v>7938</v>
      </c>
      <c r="F73" s="278">
        <v>15825</v>
      </c>
      <c r="G73" s="278">
        <v>12057</v>
      </c>
      <c r="H73" s="278">
        <v>1578</v>
      </c>
      <c r="I73" s="278">
        <v>6903</v>
      </c>
      <c r="J73" s="278">
        <v>6326</v>
      </c>
      <c r="K73" s="278">
        <v>17347</v>
      </c>
      <c r="L73" s="278">
        <v>31655</v>
      </c>
      <c r="N73" s="18"/>
      <c r="O73" s="18"/>
      <c r="P73" s="18"/>
      <c r="Q73" s="18"/>
      <c r="R73" s="366"/>
      <c r="S73" s="18"/>
      <c r="W73" s="366"/>
    </row>
    <row r="74" spans="1:23" ht="18.5" x14ac:dyDescent="0.45">
      <c r="A74" s="199"/>
      <c r="C74" s="218"/>
    </row>
    <row r="75" spans="1:23" ht="29" x14ac:dyDescent="0.35">
      <c r="C75" t="s">
        <v>270</v>
      </c>
      <c r="D75" s="53" t="s">
        <v>271</v>
      </c>
      <c r="E75" s="53" t="s">
        <v>271</v>
      </c>
      <c r="F75" s="53" t="s">
        <v>271</v>
      </c>
      <c r="G75" s="53" t="s">
        <v>271</v>
      </c>
      <c r="H75" s="53" t="s">
        <v>271</v>
      </c>
      <c r="I75" s="53" t="s">
        <v>271</v>
      </c>
      <c r="J75" s="53" t="s">
        <v>271</v>
      </c>
      <c r="K75" s="53" t="s">
        <v>271</v>
      </c>
      <c r="L75" s="53" t="s">
        <v>271</v>
      </c>
      <c r="M75" s="53" t="s">
        <v>271</v>
      </c>
      <c r="N75" s="53" t="s">
        <v>271</v>
      </c>
      <c r="O75" s="53" t="s">
        <v>271</v>
      </c>
      <c r="P75" s="53" t="s">
        <v>271</v>
      </c>
      <c r="Q75" s="53" t="s">
        <v>271</v>
      </c>
      <c r="R75" s="53" t="s">
        <v>271</v>
      </c>
      <c r="W75" s="122"/>
    </row>
    <row r="76" spans="1:23" x14ac:dyDescent="0.35">
      <c r="A76" t="s">
        <v>272</v>
      </c>
      <c r="B76" t="s">
        <v>273</v>
      </c>
      <c r="C76" s="63">
        <f>MeterEnds!$I$9</f>
        <v>9.727626459143969E-2</v>
      </c>
      <c r="D76" s="68">
        <f>IF(MeterAndOrEndpoint="Endpoint",'0-Inputs'!$B$58*$C$76,0)</f>
        <v>0</v>
      </c>
      <c r="E76" s="68">
        <f>IF(MeterAndOrEndpoint="Endpoint",'0-Inputs'!$B$62*$C76,0)</f>
        <v>0</v>
      </c>
      <c r="F76" s="68">
        <f>IF(MeterAndOrEndpoint="Endpoint",'0-Inputs'!$B$66*$C76,0)</f>
        <v>0</v>
      </c>
      <c r="G76" s="68">
        <f>IF(MeterAndOrEndpoint="Endpoint",'0-Inputs'!$B$70*$C76,0)</f>
        <v>0</v>
      </c>
      <c r="H76" s="68">
        <f>IF(MeterAndOrEndpoint="Endpoint",'0-Inputs'!$B$74*$C76,0)</f>
        <v>0</v>
      </c>
      <c r="I76" s="68">
        <f>IF(MeterAndOrEndpoint="Endpoint",'0-Inputs'!$B$78*$C76,0)</f>
        <v>0</v>
      </c>
      <c r="J76" s="68">
        <f>IF(MeterAndOrEndpoint="Endpoint",'0-Inputs'!$B$82*$C76,0)</f>
        <v>0</v>
      </c>
      <c r="K76" s="68">
        <f>IF(MeterAndOrEndpoint="Endpoint",'0-Inputs'!$B$86*$C76,0)</f>
        <v>0</v>
      </c>
      <c r="L76" s="68">
        <f>IF(MeterAndOrEndpoint="Endpoint",'0-Inputs'!$B$90*$C76,0)</f>
        <v>0</v>
      </c>
      <c r="M76" s="68">
        <f>IF(MeterAndOrEndpoint="Endpoint",'0-Inputs'!$B$94*$C76,0)</f>
        <v>0</v>
      </c>
      <c r="N76" s="68">
        <f>IF(MeterAndOrEndpoint="Endpoint",'0-Inputs'!$B$98*$C76,0)</f>
        <v>0</v>
      </c>
      <c r="O76" s="68">
        <f>IF(MeterAndOrEndpoint="Endpoint",'0-Inputs'!$B$102*$C76,0)</f>
        <v>0</v>
      </c>
      <c r="P76" s="68">
        <f>IF(MeterAndOrEndpoint="Endpoint",'0-Inputs'!$B$106*$C76,0)</f>
        <v>0</v>
      </c>
      <c r="Q76" s="68">
        <f>IF(MeterAndOrEndpoint="Endpoint",'0-Inputs'!$B$110*$C76,0)</f>
        <v>0</v>
      </c>
      <c r="R76" s="68">
        <f>IF(MeterAndOrEndpoint="Endpoint",'0-Inputs'!$B$114*$C76,0)</f>
        <v>0</v>
      </c>
      <c r="S76" s="21"/>
      <c r="T76" s="21"/>
      <c r="U76" s="21"/>
      <c r="V76" s="21"/>
      <c r="W76" s="92"/>
    </row>
    <row r="77" spans="1:23" x14ac:dyDescent="0.35">
      <c r="B77" t="s">
        <v>274</v>
      </c>
      <c r="C77" s="63">
        <f>1-C76</f>
        <v>0.90272373540856032</v>
      </c>
      <c r="D77" s="68">
        <f>IF(MeterAndOrEndpoint="Endpoint",'0-Inputs'!$B$58*$C$77,0)</f>
        <v>0</v>
      </c>
      <c r="E77" s="68">
        <f>IF(MeterAndOrEndpoint="Endpoint",'0-Inputs'!$B$62*$C77,0)</f>
        <v>0</v>
      </c>
      <c r="F77" s="68">
        <f>IF(MeterAndOrEndpoint="Endpoint",'0-Inputs'!$B$66*$C77,0)</f>
        <v>0</v>
      </c>
      <c r="G77" s="68">
        <f>IF(MeterAndOrEndpoint="Endpoint",'0-Inputs'!$B$70*$C77,0)</f>
        <v>0</v>
      </c>
      <c r="H77" s="68">
        <f>IF(MeterAndOrEndpoint="Endpoint",'0-Inputs'!$B$74*$C77,0)</f>
        <v>0</v>
      </c>
      <c r="I77" s="68">
        <f>IF(MeterAndOrEndpoint="Endpoint",'0-Inputs'!$B$78*$C77,0)</f>
        <v>0</v>
      </c>
      <c r="J77" s="68">
        <f>IF(MeterAndOrEndpoint="Endpoint",'0-Inputs'!$B$82*$C77,0)</f>
        <v>0</v>
      </c>
      <c r="K77" s="68">
        <f>IF(MeterAndOrEndpoint="Endpoint",'0-Inputs'!$B$86*$C77,0)</f>
        <v>0</v>
      </c>
      <c r="L77" s="68">
        <f>IF(MeterAndOrEndpoint="Endpoint",'0-Inputs'!$B$90*$C77,0)</f>
        <v>0</v>
      </c>
      <c r="M77" s="68">
        <f>IF(MeterAndOrEndpoint="Endpoint",'0-Inputs'!$B$94*$C77,0)</f>
        <v>0</v>
      </c>
      <c r="N77" s="68">
        <f>IF(MeterAndOrEndpoint="Endpoint",'0-Inputs'!$B$98*$C77,0)</f>
        <v>0</v>
      </c>
      <c r="O77" s="68">
        <f>IF(MeterAndOrEndpoint="Endpoint",'0-Inputs'!$B$102*$C77,0)</f>
        <v>0</v>
      </c>
      <c r="P77" s="68">
        <f>IF(MeterAndOrEndpoint="Endpoint",'0-Inputs'!$B$106*$C77,0)</f>
        <v>0</v>
      </c>
      <c r="Q77" s="68">
        <f>IF(MeterAndOrEndpoint="Endpoint",'0-Inputs'!$B$110*$C77,0)</f>
        <v>0</v>
      </c>
      <c r="R77" s="68">
        <f>IF(MeterAndOrEndpoint="Endpoint",'0-Inputs'!$B$114*$C77,0)</f>
        <v>0</v>
      </c>
      <c r="S77" s="21"/>
      <c r="T77" s="21"/>
      <c r="U77" s="21"/>
      <c r="V77" s="21"/>
      <c r="W77" s="92"/>
    </row>
    <row r="78" spans="1:23" x14ac:dyDescent="0.35">
      <c r="B78" t="s">
        <v>275</v>
      </c>
      <c r="C78" s="63">
        <f>MeterEnds!$I$9</f>
        <v>9.727626459143969E-2</v>
      </c>
      <c r="D78" s="68">
        <f>IF(MeterAndOrEndpoint="Meter and Endpoint",'0-Inputs'!$B$58*$C$78,0)</f>
        <v>0</v>
      </c>
      <c r="E78" s="68">
        <f>IF(MeterAndOrEndpoint="Meter and Endpoint",'0-Inputs'!$B$62*$C78,0)</f>
        <v>0</v>
      </c>
      <c r="F78" s="68">
        <f>IF(MeterAndOrEndpoint="Meter and Endpoint",'0-Inputs'!$B$66*$C78,0)</f>
        <v>0</v>
      </c>
      <c r="G78" s="68">
        <f>IF(MeterAndOrEndpoint="Meter and Endpoint",'0-Inputs'!$B$70*$C78,0)</f>
        <v>0</v>
      </c>
      <c r="H78" s="68">
        <f>IF(MeterAndOrEndpoint="Meter and Endpoint",'0-Inputs'!$B$74*$C78,0)</f>
        <v>0</v>
      </c>
      <c r="I78" s="68">
        <f>IF(MeterAndOrEndpoint="Meter and Endpoint",'0-Inputs'!$B$78*$C78,0)</f>
        <v>0</v>
      </c>
      <c r="J78" s="68">
        <f>IF(MeterAndOrEndpoint="Meter and Endpoint",'0-Inputs'!$B$82*$C78,0)</f>
        <v>0</v>
      </c>
      <c r="K78" s="68">
        <f>IF(MeterAndOrEndpoint="Meter and Endpoint",'0-Inputs'!$B$86*$C78,0)</f>
        <v>0</v>
      </c>
      <c r="L78" s="68">
        <f>IF(MeterAndOrEndpoint="Meter and Endpoint",'0-Inputs'!$B$90*$C78,0)</f>
        <v>0</v>
      </c>
      <c r="M78" s="68">
        <f>IF(MeterAndOrEndpoint="Meter and Endpoint",'0-Inputs'!$B$94*$C78,0)</f>
        <v>0</v>
      </c>
      <c r="N78" s="68">
        <f>IF(MeterAndOrEndpoint="Meter and Endpoint",'0-Inputs'!$B$98*$C78,0)</f>
        <v>0</v>
      </c>
      <c r="O78" s="68">
        <f>IF(MeterAndOrEndpoint="Meter and Endpoint",'0-Inputs'!$B$102*$C78,0)</f>
        <v>0</v>
      </c>
      <c r="P78" s="68">
        <f>IF(MeterAndOrEndpoint="Meter and Endpoint",'0-Inputs'!$B$106*$C78,0)</f>
        <v>0</v>
      </c>
      <c r="Q78" s="68">
        <f>IF(MeterAndOrEndpoint="Meter and Endpoint",'0-Inputs'!$B$110*$C78,0)</f>
        <v>0</v>
      </c>
      <c r="R78" s="68">
        <f>IF(MeterAndOrEndpoint="Meter and Endpoint",'0-Inputs'!$B$114*$C78,0)</f>
        <v>0</v>
      </c>
      <c r="S78" s="21"/>
      <c r="T78" s="21"/>
      <c r="U78" s="21"/>
      <c r="V78" s="21"/>
      <c r="W78" s="92"/>
    </row>
    <row r="79" spans="1:23" x14ac:dyDescent="0.35">
      <c r="B79" t="s">
        <v>276</v>
      </c>
      <c r="C79" s="63">
        <f>1-C78</f>
        <v>0.90272373540856032</v>
      </c>
      <c r="D79" s="68">
        <f>IF(MeterAndOrEndpoint="Meter and Endpoint",'0-Inputs'!$B$58*$C$79,0)</f>
        <v>0</v>
      </c>
      <c r="E79" s="68">
        <f>IF(MeterAndOrEndpoint="Meter and Endpoint",'0-Inputs'!$B$62*$C79,0)</f>
        <v>0</v>
      </c>
      <c r="F79" s="68">
        <f>IF(MeterAndOrEndpoint="Meter and Endpoint",'0-Inputs'!$B$66*$C79,0)</f>
        <v>0</v>
      </c>
      <c r="G79" s="68">
        <f>IF(MeterAndOrEndpoint="Meter and Endpoint",'0-Inputs'!$B$70*$C79,0)</f>
        <v>0</v>
      </c>
      <c r="H79" s="68">
        <f>IF(MeterAndOrEndpoint="Meter and Endpoint",'0-Inputs'!$B$74*$C79,0)</f>
        <v>0</v>
      </c>
      <c r="I79" s="68">
        <f>IF(MeterAndOrEndpoint="Meter and Endpoint",'0-Inputs'!$B$78*$C79,0)</f>
        <v>0</v>
      </c>
      <c r="J79" s="68">
        <f>IF(MeterAndOrEndpoint="Meter and Endpoint",'0-Inputs'!$B$82*$C79,0)</f>
        <v>0</v>
      </c>
      <c r="K79" s="68">
        <f>IF(MeterAndOrEndpoint="Meter and Endpoint",'0-Inputs'!$B$86*$C79,0)</f>
        <v>0</v>
      </c>
      <c r="L79" s="68">
        <f>IF(MeterAndOrEndpoint="Meter and Endpoint",'0-Inputs'!$B$90*$C79,0)</f>
        <v>0</v>
      </c>
      <c r="M79" s="68">
        <f>IF(MeterAndOrEndpoint="Meter and Endpoint",'0-Inputs'!$B$94*$C79,0)</f>
        <v>0</v>
      </c>
      <c r="N79" s="68">
        <f>IF(MeterAndOrEndpoint="Meter and Endpoint",'0-Inputs'!$B$98*$C79,0)</f>
        <v>0</v>
      </c>
      <c r="O79" s="68">
        <f>IF(MeterAndOrEndpoint="Meter and Endpoint",'0-Inputs'!$B$102*$C79,0)</f>
        <v>0</v>
      </c>
      <c r="P79" s="68">
        <f>IF(MeterAndOrEndpoint="Meter and Endpoint",'0-Inputs'!$B$106*$C79,0)</f>
        <v>0</v>
      </c>
      <c r="Q79" s="68">
        <f>IF(MeterAndOrEndpoint="Meter and Endpoint",'0-Inputs'!$B$110*$C79,0)</f>
        <v>0</v>
      </c>
      <c r="R79" s="68">
        <f>IF(MeterAndOrEndpoint="Meter and Endpoint",'0-Inputs'!$B$114*$C79,0)</f>
        <v>0</v>
      </c>
      <c r="S79" s="21"/>
      <c r="T79" s="21"/>
      <c r="U79" s="21"/>
      <c r="V79" s="21"/>
      <c r="W79" s="92"/>
    </row>
    <row r="80" spans="1:23" x14ac:dyDescent="0.35">
      <c r="A80" t="s">
        <v>277</v>
      </c>
      <c r="B80" t="s">
        <v>273</v>
      </c>
      <c r="C80" s="63">
        <f>MeterEnds!$I$8</f>
        <v>9.2317791076877952E-3</v>
      </c>
      <c r="D80" s="68">
        <f>IF(MeterAndOrEndpoint="Endpoint",'0-Inputs'!$B$59*$C80,0)</f>
        <v>0</v>
      </c>
      <c r="E80" s="68">
        <f>IF(MeterAndOrEndpoint="Endpoint",'0-Inputs'!$B$63*$C80,0)</f>
        <v>0</v>
      </c>
      <c r="F80" s="68">
        <f>IF(MeterAndOrEndpoint="Endpoint",'0-Inputs'!$B$67*$C80,0)</f>
        <v>0</v>
      </c>
      <c r="G80" s="68">
        <f>IF(MeterAndOrEndpoint="Endpoint",'0-Inputs'!$B$71*$C80,0)</f>
        <v>0</v>
      </c>
      <c r="H80" s="68">
        <f>IF(MeterAndOrEndpoint="Endpoint",'0-Inputs'!$B$75*$C80,0)</f>
        <v>0</v>
      </c>
      <c r="I80" s="68">
        <f>IF(MeterAndOrEndpoint="Endpoint",'0-Inputs'!$B$79*$C80,0)</f>
        <v>0</v>
      </c>
      <c r="J80" s="68">
        <f>IF(MeterAndOrEndpoint="Endpoint",'0-Inputs'!$B$83*$C80,0)</f>
        <v>0</v>
      </c>
      <c r="K80" s="68">
        <f>IF(MeterAndOrEndpoint="Endpoint",'0-Inputs'!$B$87*$C80,0)</f>
        <v>0</v>
      </c>
      <c r="L80" s="68">
        <f>IF(MeterAndOrEndpoint="Endpoint",'0-Inputs'!$B$91*$C80,0)</f>
        <v>0</v>
      </c>
      <c r="M80" s="68">
        <f>IF(MeterAndOrEndpoint="Endpoint",'0-Inputs'!$B$95*$C80,0)</f>
        <v>0</v>
      </c>
      <c r="N80" s="68">
        <f>IF(MeterAndOrEndpoint="Endpoint",'0-Inputs'!$B$99*$C80,0)</f>
        <v>0</v>
      </c>
      <c r="O80" s="68">
        <f>IF(MeterAndOrEndpoint="Endpoint",'0-Inputs'!$B$103*$C80,0)</f>
        <v>0</v>
      </c>
      <c r="P80" s="68">
        <f>IF(MeterAndOrEndpoint="Endpoint",'0-Inputs'!$B$107*$C80,0)</f>
        <v>0</v>
      </c>
      <c r="Q80" s="68">
        <f>IF(MeterAndOrEndpoint="Endpoint",'0-Inputs'!$B$111*$C80,0)</f>
        <v>0</v>
      </c>
      <c r="R80" s="68">
        <f>IF(MeterAndOrEndpoint="Endpoint",'0-Inputs'!$B$115*$C80,0)</f>
        <v>0</v>
      </c>
      <c r="S80" s="21"/>
      <c r="T80" s="21"/>
      <c r="U80" s="21"/>
      <c r="V80" s="21"/>
      <c r="W80" s="92"/>
    </row>
    <row r="81" spans="1:23" x14ac:dyDescent="0.35">
      <c r="B81" t="s">
        <v>274</v>
      </c>
      <c r="C81" s="63">
        <f>1-C80</f>
        <v>0.9907682208923122</v>
      </c>
      <c r="D81" s="68">
        <f>IF(MeterAndOrEndpoint="Endpoint",'0-Inputs'!$B$59*$C81,0)</f>
        <v>0</v>
      </c>
      <c r="E81" s="68">
        <f>IF(MeterAndOrEndpoint="Endpoint",'0-Inputs'!$B$63*$C81,0)</f>
        <v>0</v>
      </c>
      <c r="F81" s="68">
        <f>IF(MeterAndOrEndpoint="Endpoint",'0-Inputs'!$B$67*$C81,0)</f>
        <v>0</v>
      </c>
      <c r="G81" s="68">
        <f>IF(MeterAndOrEndpoint="Endpoint",'0-Inputs'!$B$71*$C81,0)</f>
        <v>0</v>
      </c>
      <c r="H81" s="92">
        <f>IF(MeterAndOrEndpoint="Endpoint",'0-Inputs'!$B$75*$C81,0)</f>
        <v>0</v>
      </c>
      <c r="I81" s="68">
        <f>IF(MeterAndOrEndpoint="Endpoint",'0-Inputs'!$B$79*$C81,0)</f>
        <v>0</v>
      </c>
      <c r="J81" s="68">
        <f>IF(MeterAndOrEndpoint="Endpoint",'0-Inputs'!$B$83*$C81,0)</f>
        <v>0</v>
      </c>
      <c r="K81" s="68">
        <f>IF(MeterAndOrEndpoint="Endpoint",'0-Inputs'!$B$87*$C81,0)</f>
        <v>0</v>
      </c>
      <c r="L81" s="68">
        <f>IF(MeterAndOrEndpoint="Endpoint",'0-Inputs'!$B$91*$C81,0)</f>
        <v>0</v>
      </c>
      <c r="M81" s="68">
        <f>IF(MeterAndOrEndpoint="Endpoint",'0-Inputs'!$B$95*$C81,0)</f>
        <v>0</v>
      </c>
      <c r="N81" s="68">
        <f>IF(MeterAndOrEndpoint="Endpoint",'0-Inputs'!$B$99*$C81,0)</f>
        <v>0</v>
      </c>
      <c r="O81" s="68">
        <f>IF(MeterAndOrEndpoint="Endpoint",'0-Inputs'!$B$103*$C81,0)</f>
        <v>0</v>
      </c>
      <c r="P81" s="68">
        <f>IF(MeterAndOrEndpoint="Endpoint",'0-Inputs'!$B$107*$C81,0)</f>
        <v>0</v>
      </c>
      <c r="Q81" s="68">
        <f>IF(MeterAndOrEndpoint="Endpoint",'0-Inputs'!$B$111*$C81,0)</f>
        <v>0</v>
      </c>
      <c r="R81" s="68">
        <f>IF(MeterAndOrEndpoint="Endpoint",'0-Inputs'!$B$115*$C81,0)</f>
        <v>0</v>
      </c>
      <c r="S81" s="21"/>
      <c r="T81" s="21"/>
      <c r="U81" s="21"/>
      <c r="V81" s="21"/>
      <c r="W81" s="92"/>
    </row>
    <row r="82" spans="1:23" x14ac:dyDescent="0.35">
      <c r="B82" t="s">
        <v>275</v>
      </c>
      <c r="C82" s="63">
        <f>MeterEnds!$I$8</f>
        <v>9.2317791076877952E-3</v>
      </c>
      <c r="D82" s="68">
        <f>IF(MeterAndOrEndpoint="Meter and Endpoint",'0-Inputs'!$B$59*$C82,0)</f>
        <v>120.01312839994134</v>
      </c>
      <c r="E82" s="68">
        <f>IF(MeterAndOrEndpoint="Meter and Endpoint",'0-Inputs'!$B$63*$C82,0)</f>
        <v>98.087653019182824</v>
      </c>
      <c r="F82" s="68">
        <f>IF(MeterAndOrEndpoint="Meter and Endpoint",'0-Inputs'!$B$67*$C82,0)</f>
        <v>0</v>
      </c>
      <c r="G82" s="68">
        <f>IF(MeterAndOrEndpoint="Meter and Endpoint",'0-Inputs'!$B$71*$C82,0)</f>
        <v>0</v>
      </c>
      <c r="H82" s="68">
        <f>IF(MeterAndOrEndpoint="Meter and Endpoint",'0-Inputs'!$B$71*$C82,0)</f>
        <v>0</v>
      </c>
      <c r="I82" s="68">
        <f>IF(MeterAndOrEndpoint="Meter and Endpoint",'0-Inputs'!$B$79*$C82,0)</f>
        <v>0</v>
      </c>
      <c r="J82" s="68">
        <f>IF(MeterAndOrEndpoint="Meter and Endpoint",'0-Inputs'!$B$83*$C82,0)</f>
        <v>0</v>
      </c>
      <c r="K82" s="68">
        <f>IF(MeterAndOrEndpoint="Meter and Endpoint",'0-Inputs'!$B$87*$C82,0)</f>
        <v>0</v>
      </c>
      <c r="L82" s="68">
        <f>IF(MeterAndOrEndpoint="Meter and Endpoint",'0-Inputs'!$B$91*$C82,0)</f>
        <v>0</v>
      </c>
      <c r="M82" s="68">
        <f>IF(MeterAndOrEndpoint="Meter and Endpoint",'0-Inputs'!$B$95*$C82,0)</f>
        <v>147.70846572300474</v>
      </c>
      <c r="N82" s="68">
        <f>IF(MeterAndOrEndpoint="Meter and Endpoint",'0-Inputs'!$B$99*$C82,0)</f>
        <v>0</v>
      </c>
      <c r="O82" s="68">
        <f>IF(MeterAndOrEndpoint="Meter and Endpoint",'0-Inputs'!$B$103*$C82,0)</f>
        <v>0</v>
      </c>
      <c r="P82" s="68">
        <f>IF(MeterAndOrEndpoint="Meter and Endpoint",'0-Inputs'!$B$107*$C82,0)</f>
        <v>0</v>
      </c>
      <c r="Q82" s="68">
        <f>IF(MeterAndOrEndpoint="Meter and Endpoint",'0-Inputs'!$B$111*$C82,0)</f>
        <v>0</v>
      </c>
      <c r="R82" s="68">
        <f>IF(MeterAndOrEndpoint="Meter and Endpoint",'0-Inputs'!$B$115*$C82,0)</f>
        <v>0</v>
      </c>
      <c r="S82" s="21"/>
      <c r="T82" s="21"/>
      <c r="U82" s="21"/>
      <c r="V82" s="21"/>
      <c r="W82" s="92"/>
    </row>
    <row r="83" spans="1:23" x14ac:dyDescent="0.35">
      <c r="B83" t="s">
        <v>276</v>
      </c>
      <c r="C83" s="63">
        <f>1-C82</f>
        <v>0.9907682208923122</v>
      </c>
      <c r="D83" s="68">
        <f>IF(MeterAndOrEndpoint="Meter and Endpoint",'0-Inputs'!$B$59*$C83,0)</f>
        <v>12879.986871600058</v>
      </c>
      <c r="E83" s="68">
        <f>IF(MeterAndOrEndpoint="Meter and Endpoint",'0-Inputs'!$B$63*$C83,0)</f>
        <v>10526.912346980816</v>
      </c>
      <c r="F83" s="68">
        <f>IF(MeterAndOrEndpoint="Meter and Endpoint",'0-Inputs'!$B$67*$C83,0)</f>
        <v>0</v>
      </c>
      <c r="G83" s="68">
        <f>IF(MeterAndOrEndpoint="Meter and Endpoint",'0-Inputs'!$B$71*$C83,0)</f>
        <v>0</v>
      </c>
      <c r="H83" s="68">
        <f>IF(MeterAndOrEndpoint="Meter and Endpoint",'0-Inputs'!$B$75*$C83,0)</f>
        <v>0</v>
      </c>
      <c r="I83" s="68">
        <f>IF(MeterAndOrEndpoint="Meter and Endpoint",'0-Inputs'!$B$79*$C83,0)</f>
        <v>0</v>
      </c>
      <c r="J83" s="68">
        <f>IF(MeterAndOrEndpoint="Meter and Endpoint",'0-Inputs'!$B$83*$C83,0)</f>
        <v>0</v>
      </c>
      <c r="K83" s="68">
        <f>IF(MeterAndOrEndpoint="Meter and Endpoint",'0-Inputs'!$B$87*$C83,0)</f>
        <v>0</v>
      </c>
      <c r="L83" s="68">
        <f>IF(MeterAndOrEndpoint="Meter and Endpoint",'0-Inputs'!$B$91*$C83,0)</f>
        <v>0</v>
      </c>
      <c r="M83" s="68">
        <f>IF(MeterAndOrEndpoint="Meter and Endpoint",'0-Inputs'!$B$95*$C83,0)</f>
        <v>15852.291534276996</v>
      </c>
      <c r="N83" s="68">
        <f>IF(MeterAndOrEndpoint="Meter and Endpoint",'0-Inputs'!$B$99*$C83,0)</f>
        <v>0</v>
      </c>
      <c r="O83" s="68">
        <f>IF(MeterAndOrEndpoint="Meter and Endpoint",'0-Inputs'!$B$103*$C83,0)</f>
        <v>0</v>
      </c>
      <c r="P83" s="68">
        <f>IF(MeterAndOrEndpoint="Meter and Endpoint",'0-Inputs'!$B$107*$C83,0)</f>
        <v>0</v>
      </c>
      <c r="Q83" s="68">
        <f>IF(MeterAndOrEndpoint="Meter and Endpoint",'0-Inputs'!$B$111*$C83,0)</f>
        <v>0</v>
      </c>
      <c r="R83" s="68">
        <f>IF(MeterAndOrEndpoint="Meter and Endpoint",'0-Inputs'!$B$115*$C83,0)</f>
        <v>0</v>
      </c>
      <c r="S83" s="21"/>
      <c r="T83" s="21"/>
      <c r="U83" s="21"/>
      <c r="V83" s="21"/>
      <c r="W83" s="92"/>
    </row>
    <row r="84" spans="1:23" x14ac:dyDescent="0.35">
      <c r="A84" t="s">
        <v>278</v>
      </c>
      <c r="B84" t="s">
        <v>273</v>
      </c>
      <c r="C84" s="63">
        <f>MeterEnds!$I$7</f>
        <v>0</v>
      </c>
      <c r="D84" s="68">
        <f>IF(MeterAndOrEndpoint="Endpoint",'0-Inputs'!$B$60*$C84,0)</f>
        <v>0</v>
      </c>
      <c r="E84" s="68">
        <f>IF(MeterAndOrEndpoint="Endpoint",'0-Inputs'!$B$64*$C84,0)</f>
        <v>0</v>
      </c>
      <c r="F84" s="68">
        <f>IF(MeterAndOrEndpoint="Endpoint",'0-Inputs'!$B$68*$C84,0)</f>
        <v>0</v>
      </c>
      <c r="G84" s="68">
        <f>IF(MeterAndOrEndpoint="Endpoint",'0-Inputs'!$B$72*$C84,0)</f>
        <v>0</v>
      </c>
      <c r="H84" s="68">
        <f>IF(MeterAndOrEndpoint="Endpoint",'0-Inputs'!$B$76*$C84,0)</f>
        <v>0</v>
      </c>
      <c r="I84" s="68">
        <f>IF(MeterAndOrEndpoint="Endpoint",'0-Inputs'!$B$80*$C84,0)</f>
        <v>0</v>
      </c>
      <c r="J84" s="68">
        <f>IF(MeterAndOrEndpoint="Endpoint",'0-Inputs'!$B$84*$C84,0)</f>
        <v>0</v>
      </c>
      <c r="K84" s="68">
        <f>IF(MeterAndOrEndpoint="Endpoint",'0-Inputs'!$B$88*$C84,0)</f>
        <v>0</v>
      </c>
      <c r="L84" s="68">
        <f>IF(MeterAndOrEndpoint="Endpoint",'0-Inputs'!$B$92*$C84,0)</f>
        <v>0</v>
      </c>
      <c r="M84" s="68">
        <f>IF(MeterAndOrEndpoint="Endpoint",'0-Inputs'!$B$96*$C84,0)</f>
        <v>0</v>
      </c>
      <c r="N84" s="68">
        <f>IF(MeterAndOrEndpoint="Endpoint",'0-Inputs'!$B$100*$C84,0)</f>
        <v>0</v>
      </c>
      <c r="O84" s="68">
        <f>IF(MeterAndOrEndpoint="Endpoint",'0-Inputs'!$B$104*$C84,0)</f>
        <v>0</v>
      </c>
      <c r="P84" s="68">
        <f>IF(MeterAndOrEndpoint="Endpoint",'0-Inputs'!$B$108*$C84,0)</f>
        <v>0</v>
      </c>
      <c r="Q84" s="68">
        <f>IF(MeterAndOrEndpoint="Endpoint",'0-Inputs'!$B$112*$C84,0)</f>
        <v>0</v>
      </c>
      <c r="R84" s="68">
        <f>IF(MeterAndOrEndpoint="Endpoint",'0-Inputs'!$B$116*$C84,0)</f>
        <v>0</v>
      </c>
      <c r="S84" s="21"/>
      <c r="T84" s="21"/>
      <c r="U84" s="21"/>
      <c r="V84" s="21"/>
      <c r="W84" s="92"/>
    </row>
    <row r="85" spans="1:23" x14ac:dyDescent="0.35">
      <c r="B85" t="s">
        <v>274</v>
      </c>
      <c r="C85" s="63">
        <f>1-C84</f>
        <v>1</v>
      </c>
      <c r="D85" s="68">
        <f>IF(MeterAndOrEndpoint="Endpoint",'0-Inputs'!$B$60*$C85,0)</f>
        <v>0</v>
      </c>
      <c r="E85" s="68">
        <f>IF(MeterAndOrEndpoint="Endpoint",'0-Inputs'!$B$64*$C85,0)</f>
        <v>0</v>
      </c>
      <c r="F85" s="68">
        <f>IF(MeterAndOrEndpoint="Endpoint",'0-Inputs'!$B$68*$C85,0)</f>
        <v>0</v>
      </c>
      <c r="G85" s="68">
        <f>IF(MeterAndOrEndpoint="Endpoint",'0-Inputs'!$B$72*$C85,0)</f>
        <v>0</v>
      </c>
      <c r="H85" s="68">
        <f>IF(MeterAndOrEndpoint="Endpoint",'0-Inputs'!$B$76*$C85,0)</f>
        <v>0</v>
      </c>
      <c r="I85" s="68">
        <f>IF(MeterAndOrEndpoint="Endpoint",'0-Inputs'!$B$80*$C85,0)</f>
        <v>0</v>
      </c>
      <c r="J85" s="68">
        <f>IF(MeterAndOrEndpoint="Endpoint",'0-Inputs'!$B$84*$C85,0)</f>
        <v>0</v>
      </c>
      <c r="K85" s="68">
        <f>IF(MeterAndOrEndpoint="Endpoint",'0-Inputs'!$B$88*$C85,0)</f>
        <v>0</v>
      </c>
      <c r="L85" s="68">
        <f>IF(MeterAndOrEndpoint="Endpoint",'0-Inputs'!$B$92*$C85,0)</f>
        <v>0</v>
      </c>
      <c r="M85" s="68">
        <f>IF(MeterAndOrEndpoint="Endpoint",'0-Inputs'!$B$96*$C85,0)</f>
        <v>0</v>
      </c>
      <c r="N85" s="68">
        <f>IF(MeterAndOrEndpoint="Endpoint",'0-Inputs'!$B$100*$C85,0)</f>
        <v>0</v>
      </c>
      <c r="O85" s="68">
        <f>IF(MeterAndOrEndpoint="Endpoint",'0-Inputs'!$B$104*$C85,0)</f>
        <v>0</v>
      </c>
      <c r="P85" s="68">
        <f>IF(MeterAndOrEndpoint="Endpoint",'0-Inputs'!$B$108*$C85,0)</f>
        <v>0</v>
      </c>
      <c r="Q85" s="68">
        <f>IF(MeterAndOrEndpoint="Endpoint",'0-Inputs'!$B$112*$C85,0)</f>
        <v>0</v>
      </c>
      <c r="R85" s="68">
        <f>IF(MeterAndOrEndpoint="Endpoint",'0-Inputs'!$B$116*$C85,0)</f>
        <v>0</v>
      </c>
      <c r="S85" s="21"/>
      <c r="T85" s="21"/>
      <c r="U85" s="21"/>
      <c r="V85" s="21"/>
      <c r="W85" s="92"/>
    </row>
    <row r="86" spans="1:23" x14ac:dyDescent="0.35">
      <c r="B86" t="s">
        <v>275</v>
      </c>
      <c r="C86" s="63">
        <f>MeterEnds!$I$7</f>
        <v>0</v>
      </c>
      <c r="D86" s="68">
        <f>IF(MeterAndOrEndpoint="Meter and Endpoint",'0-Inputs'!$B$60*$C86,0)</f>
        <v>0</v>
      </c>
      <c r="E86" s="68">
        <f>IF(MeterAndOrEndpoint="Meter and Endpoint",'0-Inputs'!$B$64*$C86,0)</f>
        <v>0</v>
      </c>
      <c r="F86" s="68">
        <f>IF(MeterAndOrEndpoint="Meter and Endpoint",'0-Inputs'!$B$68*$C86,0)</f>
        <v>0</v>
      </c>
      <c r="G86" s="68">
        <f>IF(MeterAndOrEndpoint="Meter and Endpoint",'0-Inputs'!$B$72*$C86,0)</f>
        <v>0</v>
      </c>
      <c r="H86" s="68">
        <f>IF(MeterAndOrEndpoint="Meter and Endpoint",'0-Inputs'!$B$76*$C86,0)</f>
        <v>0</v>
      </c>
      <c r="I86" s="68">
        <f>IF(MeterAndOrEndpoint="Meter and Endpoint",'0-Inputs'!$B$80*$C86,0)</f>
        <v>0</v>
      </c>
      <c r="J86" s="68">
        <f>IF(MeterAndOrEndpoint="Meter and Endpoint",'0-Inputs'!$B$84*$C86,0)</f>
        <v>0</v>
      </c>
      <c r="K86" s="68">
        <f>IF(MeterAndOrEndpoint="Meter and Endpoint",'0-Inputs'!$B$88*$C86,0)</f>
        <v>0</v>
      </c>
      <c r="L86" s="68">
        <f>IF(MeterAndOrEndpoint="Meter and Endpoint",'0-Inputs'!$B$92*$C86,0)</f>
        <v>0</v>
      </c>
      <c r="M86" s="68">
        <f>IF(MeterAndOrEndpoint="Meter and Endpoint",'0-Inputs'!$B$96*$C86,0)</f>
        <v>0</v>
      </c>
      <c r="N86" s="68">
        <f>IF(MeterAndOrEndpoint="Meter and Endpoint",'0-Inputs'!$B$100*$C86,0)</f>
        <v>0</v>
      </c>
      <c r="O86" s="68">
        <f>IF(MeterAndOrEndpoint="Meter and Endpoint",'0-Inputs'!$B$104*$C86,0)</f>
        <v>0</v>
      </c>
      <c r="P86" s="68">
        <f>IF(MeterAndOrEndpoint="Meter and Endpoint",'0-Inputs'!$B$108*$C86,0)</f>
        <v>0</v>
      </c>
      <c r="Q86" s="68">
        <f>IF(MeterAndOrEndpoint="Meter and Endpoint",'0-Inputs'!$B$112*$C86,0)</f>
        <v>0</v>
      </c>
      <c r="R86" s="68">
        <f>IF(MeterAndOrEndpoint="Meter and Endpoint",'0-Inputs'!$B$116*$C86,0)</f>
        <v>0</v>
      </c>
      <c r="S86" s="21"/>
      <c r="T86" s="21"/>
      <c r="U86" s="21"/>
      <c r="V86" s="21"/>
      <c r="W86" s="92"/>
    </row>
    <row r="87" spans="1:23" x14ac:dyDescent="0.35">
      <c r="B87" t="s">
        <v>276</v>
      </c>
      <c r="C87" s="63">
        <f>1-C86</f>
        <v>1</v>
      </c>
      <c r="D87" s="68">
        <f>IF(MeterAndOrEndpoint="Meter and Endpoint",'0-Inputs'!$B$60*$C87,0)</f>
        <v>0</v>
      </c>
      <c r="E87" s="68">
        <f>IF(MeterAndOrEndpoint="Meter and Endpoint",'0-Inputs'!$B$64*$C87,0)</f>
        <v>0</v>
      </c>
      <c r="F87" s="68">
        <f>IF(MeterAndOrEndpoint="Meter and Endpoint",'0-Inputs'!$B$68*$C87,0)</f>
        <v>0</v>
      </c>
      <c r="G87" s="68">
        <f>IF(MeterAndOrEndpoint="Meter and Endpoint",'0-Inputs'!$B$72*$C87,0)</f>
        <v>0</v>
      </c>
      <c r="H87" s="68">
        <f>IF(MeterAndOrEndpoint="Meter and Endpoint",'0-Inputs'!$B$76*$C87,0)</f>
        <v>0</v>
      </c>
      <c r="I87" s="68">
        <f>IF(MeterAndOrEndpoint="Meter and Endpoint",'0-Inputs'!$B$80*$C87,0)</f>
        <v>0</v>
      </c>
      <c r="J87" s="68">
        <f>IF(MeterAndOrEndpoint="Meter and Endpoint",'0-Inputs'!$B$84*$C87,0)</f>
        <v>0</v>
      </c>
      <c r="K87" s="68">
        <f>IF(MeterAndOrEndpoint="Meter and Endpoint",'0-Inputs'!$B$88*$C87,0)</f>
        <v>0</v>
      </c>
      <c r="L87" s="68">
        <f>IF(MeterAndOrEndpoint="Meter and Endpoint",'0-Inputs'!$B$92*$C87,0)</f>
        <v>0</v>
      </c>
      <c r="M87" s="68">
        <f>IF(MeterAndOrEndpoint="Meter and Endpoint",'0-Inputs'!$B$96*$C87,0)</f>
        <v>0</v>
      </c>
      <c r="N87" s="68">
        <f>IF(MeterAndOrEndpoint="Meter and Endpoint",'0-Inputs'!$B$100*$C87,0)</f>
        <v>0</v>
      </c>
      <c r="O87" s="68">
        <f>IF(MeterAndOrEndpoint="Meter and Endpoint",'0-Inputs'!$B$104*$C87,0)</f>
        <v>0</v>
      </c>
      <c r="P87" s="68">
        <f>IF(MeterAndOrEndpoint="Meter and Endpoint",'0-Inputs'!$B$108*$C87,0)</f>
        <v>0</v>
      </c>
      <c r="Q87" s="68">
        <f>IF(MeterAndOrEndpoint="Meter and Endpoint",'0-Inputs'!$B$112*$C87,0)</f>
        <v>0</v>
      </c>
      <c r="R87" s="68">
        <f>IF(MeterAndOrEndpoint="Meter and Endpoint",'0-Inputs'!$B$116*$C87,0)</f>
        <v>0</v>
      </c>
      <c r="S87" s="21"/>
      <c r="T87" s="21"/>
      <c r="U87" s="21"/>
      <c r="V87" s="21"/>
      <c r="W87" s="92"/>
    </row>
    <row r="88" spans="1:23" x14ac:dyDescent="0.35">
      <c r="C88" s="63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1"/>
      <c r="T88" s="21"/>
      <c r="U88" s="21"/>
      <c r="V88" s="21"/>
      <c r="W88" s="92"/>
    </row>
    <row r="90" spans="1:23" x14ac:dyDescent="0.35">
      <c r="A90" s="83"/>
      <c r="B90" s="25" t="s">
        <v>279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3" x14ac:dyDescent="0.35">
      <c r="A91" s="83" t="s">
        <v>280</v>
      </c>
      <c r="B91" t="str">
        <f>B2</f>
        <v>Like</v>
      </c>
      <c r="D91" s="58">
        <f t="shared" ref="D91:W91" si="18">IF($B$2="Like",0,SUM(D69:D72))+IF(D$7&lt;=3,SUM(D84:D87),0)</f>
        <v>0</v>
      </c>
      <c r="E91" s="58">
        <f t="shared" si="18"/>
        <v>0</v>
      </c>
      <c r="F91" s="58">
        <f t="shared" si="18"/>
        <v>0</v>
      </c>
      <c r="G91" s="58">
        <f t="shared" si="18"/>
        <v>0</v>
      </c>
      <c r="H91" s="58">
        <f t="shared" si="18"/>
        <v>0</v>
      </c>
      <c r="I91" s="58">
        <f t="shared" si="18"/>
        <v>0</v>
      </c>
      <c r="J91" s="58">
        <f t="shared" si="18"/>
        <v>0</v>
      </c>
      <c r="K91" s="58">
        <f t="shared" si="18"/>
        <v>0</v>
      </c>
      <c r="L91" s="58">
        <f t="shared" si="18"/>
        <v>0</v>
      </c>
      <c r="M91" s="58">
        <f t="shared" si="18"/>
        <v>0</v>
      </c>
      <c r="N91" s="58">
        <f t="shared" si="18"/>
        <v>0</v>
      </c>
      <c r="O91" s="58">
        <f t="shared" si="18"/>
        <v>0</v>
      </c>
      <c r="P91" s="58">
        <f t="shared" si="18"/>
        <v>0</v>
      </c>
      <c r="Q91" s="58">
        <f t="shared" si="18"/>
        <v>0</v>
      </c>
      <c r="R91" s="58">
        <f t="shared" si="18"/>
        <v>0</v>
      </c>
      <c r="S91" s="58">
        <f t="shared" si="18"/>
        <v>0</v>
      </c>
      <c r="T91" s="58">
        <f t="shared" si="18"/>
        <v>0</v>
      </c>
      <c r="U91" s="58">
        <f t="shared" si="18"/>
        <v>0</v>
      </c>
      <c r="V91" s="58">
        <f t="shared" si="18"/>
        <v>0</v>
      </c>
      <c r="W91" s="58">
        <f t="shared" si="18"/>
        <v>0</v>
      </c>
    </row>
    <row r="92" spans="1:23" x14ac:dyDescent="0.35">
      <c r="A92" s="83" t="s">
        <v>281</v>
      </c>
      <c r="B92" t="str">
        <f>B2</f>
        <v>Like</v>
      </c>
      <c r="D92" s="58">
        <f t="shared" ref="D92:W92" si="19">IF($B2="AMI",SUM(D65:D68)+SUM(D80:D83),0)</f>
        <v>0</v>
      </c>
      <c r="E92" s="58">
        <f t="shared" si="19"/>
        <v>0</v>
      </c>
      <c r="F92" s="58">
        <f t="shared" si="19"/>
        <v>0</v>
      </c>
      <c r="G92" s="58">
        <f t="shared" si="19"/>
        <v>0</v>
      </c>
      <c r="H92" s="58">
        <f t="shared" si="19"/>
        <v>0</v>
      </c>
      <c r="I92" s="58">
        <f t="shared" si="19"/>
        <v>0</v>
      </c>
      <c r="J92" s="58">
        <f t="shared" si="19"/>
        <v>0</v>
      </c>
      <c r="K92" s="58">
        <f t="shared" si="19"/>
        <v>0</v>
      </c>
      <c r="L92" s="58">
        <f t="shared" si="19"/>
        <v>0</v>
      </c>
      <c r="M92" s="58">
        <f t="shared" si="19"/>
        <v>0</v>
      </c>
      <c r="N92" s="58">
        <f t="shared" si="19"/>
        <v>0</v>
      </c>
      <c r="O92" s="58">
        <f t="shared" si="19"/>
        <v>0</v>
      </c>
      <c r="P92" s="58">
        <f t="shared" si="19"/>
        <v>0</v>
      </c>
      <c r="Q92" s="58">
        <f t="shared" si="19"/>
        <v>0</v>
      </c>
      <c r="R92" s="58">
        <f t="shared" si="19"/>
        <v>0</v>
      </c>
      <c r="S92" s="58">
        <f t="shared" si="19"/>
        <v>0</v>
      </c>
      <c r="T92" s="58">
        <f t="shared" si="19"/>
        <v>0</v>
      </c>
      <c r="U92" s="58">
        <f t="shared" si="19"/>
        <v>0</v>
      </c>
      <c r="V92" s="58">
        <f t="shared" si="19"/>
        <v>0</v>
      </c>
      <c r="W92" s="58">
        <f t="shared" si="19"/>
        <v>0</v>
      </c>
    </row>
    <row r="93" spans="1:23" x14ac:dyDescent="0.35"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x14ac:dyDescent="0.35">
      <c r="A94" s="100" t="s">
        <v>282</v>
      </c>
      <c r="B94" s="153" t="str">
        <f>'0-Inputs'!B21</f>
        <v>yes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x14ac:dyDescent="0.35">
      <c r="A95" s="100" t="s">
        <v>283</v>
      </c>
      <c r="B95" s="153">
        <f>'0-Inputs'!B22</f>
        <v>10</v>
      </c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x14ac:dyDescent="0.35">
      <c r="A96" s="100"/>
      <c r="B96" s="1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</row>
    <row r="97" spans="1:23" x14ac:dyDescent="0.35">
      <c r="A97" s="83" t="s">
        <v>184</v>
      </c>
      <c r="B97" t="s">
        <v>263</v>
      </c>
      <c r="C97" t="s">
        <v>264</v>
      </c>
      <c r="D97" s="21" cm="1">
        <f t="array" ref="D97">IF($B$94="no",0,IF(D$7&lt;=ROUND($B$95,0),0,INDEX($D61:D61,D$7-$B$95)+INDEX($D76:D76,D$7-$B$95)))</f>
        <v>0</v>
      </c>
      <c r="E97" s="21" cm="1">
        <f t="array" ref="E97">IF($B$94="no",0,IF(E$7&lt;=ROUND($B$95,0),0,INDEX($D61:E61,E$7-$B$95)+INDEX($D76:E76,E$7-$B$95)))</f>
        <v>0</v>
      </c>
      <c r="F97" s="21" cm="1">
        <f t="array" ref="F97">IF($B$94="no",0,IF(F$7&lt;=ROUND($B$95,0),0,INDEX($D61:F61,F$7-$B$95)+INDEX($D76:F76,F$7-$B$95)))</f>
        <v>0</v>
      </c>
      <c r="G97" s="21" cm="1">
        <f t="array" ref="G97">IF($B$94="no",0,IF(G$7&lt;=ROUND($B$95,0),0,INDEX($D61:G61,G$7-$B$95)+INDEX($D76:G76,G$7-$B$95)))</f>
        <v>0</v>
      </c>
      <c r="H97" s="21" cm="1">
        <f t="array" ref="H97">IF($B$94="no",0,IF(H$7&lt;=ROUND($B$95,0),0,INDEX($D61:H61,H$7-$B$95)+INDEX($D76:H76,H$7-$B$95)))</f>
        <v>0</v>
      </c>
      <c r="I97" s="21" cm="1">
        <f t="array" ref="I97">IF($B$94="no",0,IF(I$7&lt;=ROUND($B$95,0),0,INDEX($D61:I61,I$7-$B$95)+INDEX($D76:I76,I$7-$B$95)))</f>
        <v>0</v>
      </c>
      <c r="J97" s="21" cm="1">
        <f t="array" ref="J97">IF($B$94="no",0,IF(J$7&lt;=ROUND($B$95,0),0,INDEX($D61:J61,J$7-$B$95)+INDEX($D76:J76,J$7-$B$95)))</f>
        <v>0</v>
      </c>
      <c r="K97" s="21" cm="1">
        <f t="array" ref="K97">IF($B$94="no",0,IF(K$7&lt;=ROUND($B$95,0),0,INDEX($D61:K61,K$7-$B$95)+INDEX($D76:K76,K$7-$B$95)))</f>
        <v>0</v>
      </c>
      <c r="L97" s="21" cm="1">
        <f t="array" ref="L97">IF($B$94="no",0,IF(L$7&lt;=ROUND($B$95,0),0,INDEX($D61:L61,L$7-$B$95)+INDEX($D76:L76,L$7-$B$95)))</f>
        <v>0</v>
      </c>
      <c r="M97" s="21" cm="1">
        <f t="array" ref="M97">IF($B$94="no",0,IF(M$7&lt;=ROUND($B$95,0),0,INDEX($D61:M61,M$7-$B$95)+INDEX($D76:M76,M$7-$B$95)))</f>
        <v>0</v>
      </c>
      <c r="N97" s="21" cm="1">
        <f t="array" ref="N97">IF($B$94="no",0,IF(N$7&lt;=ROUND($B$95,0),0,INDEX($D61:N61,N$7-$B$95)+INDEX($D76:N76,N$7-$B$95)))</f>
        <v>0</v>
      </c>
      <c r="O97" s="21" cm="1">
        <f t="array" ref="O97">IF($B$94="no",0,IF(O$7&lt;=ROUND($B$95,0),0,INDEX($D61:O61,O$7-$B$95)+INDEX($D76:O76,O$7-$B$95)))</f>
        <v>0</v>
      </c>
      <c r="P97" s="21" cm="1">
        <f t="array" ref="P97">IF($B$94="no",0,IF(P$7&lt;=ROUND($B$95,0),0,INDEX($D61:P61,P$7-$B$95)+INDEX($D76:P76,P$7-$B$95)))</f>
        <v>0</v>
      </c>
      <c r="Q97" s="21" cm="1">
        <f t="array" ref="Q97">IF($B$94="no",0,IF(Q$7&lt;=ROUND($B$95,0),0,INDEX($D61:Q61,Q$7-$B$95)+INDEX($D76:Q76,Q$7-$B$95)))</f>
        <v>0</v>
      </c>
      <c r="R97" s="21" cm="1">
        <f t="array" ref="R97">IF($B$94="no",0,IF(R$7&lt;=ROUND($B$95,0),0,INDEX($D61:R61,R$7-$B$95)+INDEX($D76:R76,R$7-$B$95)))</f>
        <v>0</v>
      </c>
      <c r="S97" s="21" cm="1">
        <f t="array" ref="S97">IF($B$94="no",0,IF(S$7&lt;=ROUND($B$95,0),0,INDEX($D61:S61,S$7-$B$95)+INDEX($D76:S76,S$7-$B$95)))</f>
        <v>0</v>
      </c>
      <c r="T97" s="21" cm="1">
        <f t="array" ref="T97">IF($B$94="no",0,IF(T$7&lt;=ROUND($B$95,0),0,INDEX($D61:T61,T$7-$B$95)+INDEX($D76:T76,T$7-$B$95)))</f>
        <v>0</v>
      </c>
      <c r="U97" s="21" cm="1">
        <f t="array" ref="U97">IF($B$94="no",0,IF(U$7&lt;=ROUND($B$95,0),0,INDEX($D61:U61,U$7-$B$95)+INDEX($D76:U76,U$7-$B$95)))</f>
        <v>0</v>
      </c>
      <c r="V97" s="21" cm="1">
        <f t="array" ref="V97">IF($B$94="no",0,IF(V$7&lt;=ROUND($B$95,0),0,INDEX($D61:V61,V$7-$B$95)+INDEX($D76:V76,V$7-$B$95)))</f>
        <v>0</v>
      </c>
      <c r="W97" s="21" cm="1">
        <f t="array" ref="W97">IF($B$94="no",0,IF(W$7&lt;=ROUND($B$95,0),0,INDEX($D61:W61,W$7-$B$95)+INDEX($D76:W76,W$7-$B$95)))</f>
        <v>0</v>
      </c>
    </row>
    <row r="98" spans="1:23" x14ac:dyDescent="0.35">
      <c r="A98" s="83"/>
      <c r="C98" t="s">
        <v>265</v>
      </c>
      <c r="D98" s="21" cm="1">
        <f t="array" ref="D98">IF($B$94="no",0,IF(D$7&lt;=ROUND($B$95,0),0,INDEX($D62:D62,D$7-$B$95)+INDEX($D77:D77,D$7-$B$95)))</f>
        <v>0</v>
      </c>
      <c r="E98" s="21" cm="1">
        <f t="array" ref="E98">IF($B$94="no",0,IF(E$7&lt;=ROUND($B$95,0),0,INDEX($D62:E62,E$7-$B$95)+INDEX($D77:E77,E$7-$B$95)))</f>
        <v>0</v>
      </c>
      <c r="F98" s="21" cm="1">
        <f t="array" ref="F98">IF($B$94="no",0,IF(F$7&lt;=ROUND($B$95,0),0,INDEX($D62:F62,F$7-$B$95)+INDEX($D77:F77,F$7-$B$95)))</f>
        <v>0</v>
      </c>
      <c r="G98" s="21" cm="1">
        <f t="array" ref="G98">IF($B$94="no",0,IF(G$7&lt;=ROUND($B$95,0),0,INDEX($D62:G62,G$7-$B$95)+INDEX($D77:G77,G$7-$B$95)))</f>
        <v>0</v>
      </c>
      <c r="H98" s="21" cm="1">
        <f t="array" ref="H98">IF($B$94="no",0,IF(H$7&lt;=ROUND($B$95,0),0,INDEX($D62:H62,H$7-$B$95)+INDEX($D77:H77,H$7-$B$95)))</f>
        <v>0</v>
      </c>
      <c r="I98" s="21" cm="1">
        <f t="array" ref="I98">IF($B$94="no",0,IF(I$7&lt;=ROUND($B$95,0),0,INDEX($D62:I62,I$7-$B$95)+INDEX($D77:I77,I$7-$B$95)))</f>
        <v>0</v>
      </c>
      <c r="J98" s="21" cm="1">
        <f t="array" ref="J98">IF($B$94="no",0,IF(J$7&lt;=ROUND($B$95,0),0,INDEX($D62:J62,J$7-$B$95)+INDEX($D77:J77,J$7-$B$95)))</f>
        <v>0</v>
      </c>
      <c r="K98" s="21" cm="1">
        <f t="array" ref="K98">IF($B$94="no",0,IF(K$7&lt;=ROUND($B$95,0),0,INDEX($D62:K62,K$7-$B$95)+INDEX($D77:K77,K$7-$B$95)))</f>
        <v>0</v>
      </c>
      <c r="L98" s="21" cm="1">
        <f t="array" ref="L98">IF($B$94="no",0,IF(L$7&lt;=ROUND($B$95,0),0,INDEX($D62:L62,L$7-$B$95)+INDEX($D77:L77,L$7-$B$95)))</f>
        <v>0</v>
      </c>
      <c r="M98" s="21" cm="1">
        <f t="array" ref="M98">IF($B$94="no",0,IF(M$7&lt;=ROUND($B$95,0),0,INDEX($D62:M62,M$7-$B$95)+INDEX($D77:M77,M$7-$B$95)))</f>
        <v>0</v>
      </c>
      <c r="N98" s="21" cm="1">
        <f t="array" ref="N98">IF($B$94="no",0,IF(N$7&lt;=ROUND($B$95,0),0,INDEX($D62:N62,N$7-$B$95)+INDEX($D77:N77,N$7-$B$95)))</f>
        <v>0</v>
      </c>
      <c r="O98" s="21" cm="1">
        <f t="array" ref="O98">IF($B$94="no",0,IF(O$7&lt;=ROUND($B$95,0),0,INDEX($D62:O62,O$7-$B$95)+INDEX($D77:O77,O$7-$B$95)))</f>
        <v>0</v>
      </c>
      <c r="P98" s="21" cm="1">
        <f t="array" ref="P98">IF($B$94="no",0,IF(P$7&lt;=ROUND($B$95,0),0,INDEX($D62:P62,P$7-$B$95)+INDEX($D77:P77,P$7-$B$95)))</f>
        <v>0</v>
      </c>
      <c r="Q98" s="21" cm="1">
        <f t="array" ref="Q98">IF($B$94="no",0,IF(Q$7&lt;=ROUND($B$95,0),0,INDEX($D62:Q62,Q$7-$B$95)+INDEX($D77:Q77,Q$7-$B$95)))</f>
        <v>0</v>
      </c>
      <c r="R98" s="21" cm="1">
        <f t="array" ref="R98">IF($B$94="no",0,IF(R$7&lt;=ROUND($B$95,0),0,INDEX($D62:R62,R$7-$B$95)+INDEX($D77:R77,R$7-$B$95)))</f>
        <v>0</v>
      </c>
      <c r="S98" s="21" cm="1">
        <f t="array" ref="S98">IF($B$94="no",0,IF(S$7&lt;=ROUND($B$95,0),0,INDEX($D62:S62,S$7-$B$95)+INDEX($D77:S77,S$7-$B$95)))</f>
        <v>0</v>
      </c>
      <c r="T98" s="21" cm="1">
        <f t="array" ref="T98">IF($B$94="no",0,IF(T$7&lt;=ROUND($B$95,0),0,INDEX($D62:T62,T$7-$B$95)+INDEX($D77:T77,T$7-$B$95)))</f>
        <v>0</v>
      </c>
      <c r="U98" s="21" cm="1">
        <f t="array" ref="U98">IF($B$94="no",0,IF(U$7&lt;=ROUND($B$95,0),0,INDEX($D62:U62,U$7-$B$95)+INDEX($D77:U77,U$7-$B$95)))</f>
        <v>0</v>
      </c>
      <c r="V98" s="21" cm="1">
        <f t="array" ref="V98">IF($B$94="no",0,IF(V$7&lt;=ROUND($B$95,0),0,INDEX($D62:V62,V$7-$B$95)+INDEX($D77:V77,V$7-$B$95)))</f>
        <v>0</v>
      </c>
      <c r="W98" s="21" cm="1">
        <f t="array" ref="W98">IF($B$94="no",0,IF(W$7&lt;=ROUND($B$95,0),0,INDEX($D62:W62,W$7-$B$95)+INDEX($D77:W77,W$7-$B$95)))</f>
        <v>0</v>
      </c>
    </row>
    <row r="99" spans="1:23" x14ac:dyDescent="0.35">
      <c r="A99" s="83"/>
      <c r="B99" t="s">
        <v>266</v>
      </c>
      <c r="C99" t="s">
        <v>264</v>
      </c>
      <c r="D99" s="21" cm="1">
        <f t="array" ref="D99">IF($B$94="no",0,IF(D$7&lt;=ROUND($B$95,0),0,INDEX($D63:D63,D$7-$B$95)+INDEX($D78:D78,D$7-$B$95)))</f>
        <v>0</v>
      </c>
      <c r="E99" s="21" cm="1">
        <f t="array" ref="E99">IF($B$94="no",0,IF(E$7&lt;=ROUND($B$95,0),0,INDEX($D63:E63,E$7-$B$95)+INDEX($D78:E78,E$7-$B$95)))</f>
        <v>0</v>
      </c>
      <c r="F99" s="21" cm="1">
        <f t="array" ref="F99">IF($B$94="no",0,IF(F$7&lt;=ROUND($B$95,0),0,INDEX($D63:F63,F$7-$B$95)+INDEX($D78:F78,F$7-$B$95)))</f>
        <v>0</v>
      </c>
      <c r="G99" s="21" cm="1">
        <f t="array" ref="G99">IF($B$94="no",0,IF(G$7&lt;=ROUND($B$95,0),0,INDEX($D63:G63,G$7-$B$95)+INDEX($D78:G78,G$7-$B$95)))</f>
        <v>0</v>
      </c>
      <c r="H99" s="21" cm="1">
        <f t="array" ref="H99">IF($B$94="no",0,IF(H$7&lt;=ROUND($B$95,0),0,INDEX($D63:H63,H$7-$B$95)+INDEX($D78:H78,H$7-$B$95)))</f>
        <v>0</v>
      </c>
      <c r="I99" s="21" cm="1">
        <f t="array" ref="I99">IF($B$94="no",0,IF(I$7&lt;=ROUND($B$95,0),0,INDEX($D63:I63,I$7-$B$95)+INDEX($D78:I78,I$7-$B$95)))</f>
        <v>0</v>
      </c>
      <c r="J99" s="21" cm="1">
        <f t="array" ref="J99">IF($B$94="no",0,IF(J$7&lt;=ROUND($B$95,0),0,INDEX($D63:J63,J$7-$B$95)+INDEX($D78:J78,J$7-$B$95)))</f>
        <v>0</v>
      </c>
      <c r="K99" s="21" cm="1">
        <f t="array" ref="K99">IF($B$94="no",0,IF(K$7&lt;=ROUND($B$95,0),0,INDEX($D63:K63,K$7-$B$95)+INDEX($D78:K78,K$7-$B$95)))</f>
        <v>0</v>
      </c>
      <c r="L99" s="21" cm="1">
        <f t="array" ref="L99">IF($B$94="no",0,IF(L$7&lt;=ROUND($B$95,0),0,INDEX($D63:L63,L$7-$B$95)+INDEX($D78:L78,L$7-$B$95)))</f>
        <v>0</v>
      </c>
      <c r="M99" s="21" cm="1">
        <f t="array" ref="M99">IF($B$94="no",0,IF(M$7&lt;=ROUND($B$95,0),0,INDEX($D63:M63,M$7-$B$95)+INDEX($D78:M78,M$7-$B$95)))</f>
        <v>0</v>
      </c>
      <c r="N99" s="21" cm="1">
        <f t="array" ref="N99">IF($B$94="no",0,IF(N$7&lt;=ROUND($B$95,0),0,INDEX($D63:N63,N$7-$B$95)+INDEX($D78:N78,N$7-$B$95)))</f>
        <v>3</v>
      </c>
      <c r="O99" s="21" cm="1">
        <f t="array" ref="O99">IF($B$94="no",0,IF(O$7&lt;=ROUND($B$95,0),0,INDEX($D63:O63,O$7-$B$95)+INDEX($D78:O78,O$7-$B$95)))</f>
        <v>1</v>
      </c>
      <c r="P99" s="21" cm="1">
        <f t="array" ref="P99">IF($B$94="no",0,IF(P$7&lt;=ROUND($B$95,0),0,INDEX($D63:P63,P$7-$B$95)+INDEX($D78:P78,P$7-$B$95)))</f>
        <v>3</v>
      </c>
      <c r="Q99" s="21" cm="1">
        <f t="array" ref="Q99">IF($B$94="no",0,IF(Q$7&lt;=ROUND($B$95,0),0,INDEX($D63:Q63,Q$7-$B$95)+INDEX($D78:Q78,Q$7-$B$95)))</f>
        <v>0</v>
      </c>
      <c r="R99" s="21" cm="1">
        <f t="array" ref="R99">IF($B$94="no",0,IF(R$7&lt;=ROUND($B$95,0),0,INDEX($D63:R63,R$7-$B$95)+INDEX($D78:R78,R$7-$B$95)))</f>
        <v>1</v>
      </c>
      <c r="S99" s="21" cm="1">
        <f t="array" ref="S99">IF($B$94="no",0,IF(S$7&lt;=ROUND($B$95,0),0,INDEX($D63:S63,S$7-$B$95)+INDEX($D78:S78,S$7-$B$95)))</f>
        <v>0</v>
      </c>
      <c r="T99" s="21" cm="1">
        <f t="array" ref="T99">IF($B$94="no",0,IF(T$7&lt;=ROUND($B$95,0),0,INDEX($D63:T63,T$7-$B$95)+INDEX($D78:T78,T$7-$B$95)))</f>
        <v>4</v>
      </c>
      <c r="U99" s="21" cm="1">
        <f t="array" ref="U99">IF($B$94="no",0,IF(U$7&lt;=ROUND($B$95,0),0,INDEX($D63:U63,U$7-$B$95)+INDEX($D78:U78,U$7-$B$95)))</f>
        <v>7</v>
      </c>
      <c r="V99" s="21" cm="1">
        <f t="array" ref="V99">IF($B$94="no",0,IF(V$7&lt;=ROUND($B$95,0),0,INDEX($D63:V63,V$7-$B$95)+INDEX($D78:V78,V$7-$B$95)))</f>
        <v>6</v>
      </c>
      <c r="W99" s="21" cm="1">
        <f t="array" ref="W99">IF($B$94="no",0,IF(W$7&lt;=ROUND($B$95,0),0,INDEX($D63:W63,W$7-$B$95)+INDEX($D78:W78,W$7-$B$95)))</f>
        <v>0</v>
      </c>
    </row>
    <row r="100" spans="1:23" x14ac:dyDescent="0.35">
      <c r="A100" s="83"/>
      <c r="C100" t="s">
        <v>265</v>
      </c>
      <c r="D100" s="21" cm="1">
        <f t="array" ref="D100">IF($B$94="no",0,IF(D$7&lt;=ROUND($B$95,0),0,INDEX($D64:D64,D$7-$B$95)+INDEX($D79:D79,D$7-$B$95)))</f>
        <v>0</v>
      </c>
      <c r="E100" s="21" cm="1">
        <f t="array" ref="E100">IF($B$94="no",0,IF(E$7&lt;=ROUND($B$95,0),0,INDEX($D64:E64,E$7-$B$95)+INDEX($D79:E79,E$7-$B$95)))</f>
        <v>0</v>
      </c>
      <c r="F100" s="21" cm="1">
        <f t="array" ref="F100">IF($B$94="no",0,IF(F$7&lt;=ROUND($B$95,0),0,INDEX($D64:F64,F$7-$B$95)+INDEX($D79:F79,F$7-$B$95)))</f>
        <v>0</v>
      </c>
      <c r="G100" s="21" cm="1">
        <f t="array" ref="G100">IF($B$94="no",0,IF(G$7&lt;=ROUND($B$95,0),0,INDEX($D64:G64,G$7-$B$95)+INDEX($D79:G79,G$7-$B$95)))</f>
        <v>0</v>
      </c>
      <c r="H100" s="21" cm="1">
        <f t="array" ref="H100">IF($B$94="no",0,IF(H$7&lt;=ROUND($B$95,0),0,INDEX($D64:H64,H$7-$B$95)+INDEX($D79:H79,H$7-$B$95)))</f>
        <v>0</v>
      </c>
      <c r="I100" s="21" cm="1">
        <f t="array" ref="I100">IF($B$94="no",0,IF(I$7&lt;=ROUND($B$95,0),0,INDEX($D64:I64,I$7-$B$95)+INDEX($D79:I79,I$7-$B$95)))</f>
        <v>0</v>
      </c>
      <c r="J100" s="21" cm="1">
        <f t="array" ref="J100">IF($B$94="no",0,IF(J$7&lt;=ROUND($B$95,0),0,INDEX($D64:J64,J$7-$B$95)+INDEX($D79:J79,J$7-$B$95)))</f>
        <v>0</v>
      </c>
      <c r="K100" s="21" cm="1">
        <f t="array" ref="K100">IF($B$94="no",0,IF(K$7&lt;=ROUND($B$95,0),0,INDEX($D64:K64,K$7-$B$95)+INDEX($D79:K79,K$7-$B$95)))</f>
        <v>0</v>
      </c>
      <c r="L100" s="21" cm="1">
        <f t="array" ref="L100">IF($B$94="no",0,IF(L$7&lt;=ROUND($B$95,0),0,INDEX($D64:L64,L$7-$B$95)+INDEX($D79:L79,L$7-$B$95)))</f>
        <v>0</v>
      </c>
      <c r="M100" s="21" cm="1">
        <f t="array" ref="M100">IF($B$94="no",0,IF(M$7&lt;=ROUND($B$95,0),0,INDEX($D64:M64,M$7-$B$95)+INDEX($D79:M79,M$7-$B$95)))</f>
        <v>0</v>
      </c>
      <c r="N100" s="21" cm="1">
        <f t="array" ref="N100">IF($B$94="no",0,IF(N$7&lt;=ROUND($B$95,0),0,INDEX($D64:N64,N$7-$B$95)+INDEX($D79:N79,N$7-$B$95)))</f>
        <v>15</v>
      </c>
      <c r="O100" s="21" cm="1">
        <f t="array" ref="O100">IF($B$94="no",0,IF(O$7&lt;=ROUND($B$95,0),0,INDEX($D64:O64,O$7-$B$95)+INDEX($D79:O79,O$7-$B$95)))</f>
        <v>73</v>
      </c>
      <c r="P100" s="21" cm="1">
        <f t="array" ref="P100">IF($B$94="no",0,IF(P$7&lt;=ROUND($B$95,0),0,INDEX($D64:P64,P$7-$B$95)+INDEX($D79:P79,P$7-$B$95)))</f>
        <v>42</v>
      </c>
      <c r="Q100" s="21" cm="1">
        <f t="array" ref="Q100">IF($B$94="no",0,IF(Q$7&lt;=ROUND($B$95,0),0,INDEX($D64:Q64,Q$7-$B$95)+INDEX($D79:Q79,Q$7-$B$95)))</f>
        <v>2</v>
      </c>
      <c r="R100" s="21" cm="1">
        <f t="array" ref="R100">IF($B$94="no",0,IF(R$7&lt;=ROUND($B$95,0),0,INDEX($D64:R64,R$7-$B$95)+INDEX($D79:R79,R$7-$B$95)))</f>
        <v>7</v>
      </c>
      <c r="S100" s="21" cm="1">
        <f t="array" ref="S100">IF($B$94="no",0,IF(S$7&lt;=ROUND($B$95,0),0,INDEX($D64:S64,S$7-$B$95)+INDEX($D79:S79,S$7-$B$95)))</f>
        <v>11</v>
      </c>
      <c r="T100" s="21" cm="1">
        <f t="array" ref="T100">IF($B$94="no",0,IF(T$7&lt;=ROUND($B$95,0),0,INDEX($D64:T64,T$7-$B$95)+INDEX($D79:T79,T$7-$B$95)))</f>
        <v>15</v>
      </c>
      <c r="U100" s="21" cm="1">
        <f t="array" ref="U100">IF($B$94="no",0,IF(U$7&lt;=ROUND($B$95,0),0,INDEX($D64:U64,U$7-$B$95)+INDEX($D79:U79,U$7-$B$95)))</f>
        <v>35</v>
      </c>
      <c r="V100" s="21" cm="1">
        <f t="array" ref="V100">IF($B$94="no",0,IF(V$7&lt;=ROUND($B$95,0),0,INDEX($D64:V64,V$7-$B$95)+INDEX($D79:V79,V$7-$B$95)))</f>
        <v>18</v>
      </c>
      <c r="W100" s="21" cm="1">
        <f t="array" ref="W100">IF($B$94="no",0,IF(W$7&lt;=ROUND($B$95,0),0,INDEX($D64:W64,W$7-$B$95)+INDEX($D79:W79,W$7-$B$95)))</f>
        <v>0</v>
      </c>
    </row>
    <row r="101" spans="1:23" x14ac:dyDescent="0.35">
      <c r="A101" s="83" t="s">
        <v>229</v>
      </c>
      <c r="B101" t="s">
        <v>263</v>
      </c>
      <c r="C101" t="s">
        <v>264</v>
      </c>
      <c r="D101" s="21" cm="1">
        <f t="array" ref="D101">IF($B$94="no",0,IF(D$7&lt;=ROUND($B$95,0),0,INDEX($D65:D65,D$7-$B$95)+INDEX($D80:D80,D$7-$B$95)))</f>
        <v>0</v>
      </c>
      <c r="E101" s="21" cm="1">
        <f t="array" ref="E101">IF($B$94="no",0,IF(E$7&lt;=ROUND($B$95,0),0,INDEX($D65:E65,E$7-$B$95)+INDEX($D80:E80,E$7-$B$95)))</f>
        <v>0</v>
      </c>
      <c r="F101" s="21" cm="1">
        <f t="array" ref="F101">IF($B$94="no",0,IF(F$7&lt;=ROUND($B$95,0),0,INDEX($D65:F65,F$7-$B$95)+INDEX($D80:F80,F$7-$B$95)))</f>
        <v>0</v>
      </c>
      <c r="G101" s="21" cm="1">
        <f t="array" ref="G101">IF($B$94="no",0,IF(G$7&lt;=ROUND($B$95,0),0,INDEX($D65:G65,G$7-$B$95)+INDEX($D80:G80,G$7-$B$95)))</f>
        <v>0</v>
      </c>
      <c r="H101" s="21" cm="1">
        <f t="array" ref="H101">IF($B$94="no",0,IF(H$7&lt;=ROUND($B$95,0),0,INDEX($D65:H65,H$7-$B$95)+INDEX($D80:H80,H$7-$B$95)))</f>
        <v>0</v>
      </c>
      <c r="I101" s="21" cm="1">
        <f t="array" ref="I101">IF($B$94="no",0,IF(I$7&lt;=ROUND($B$95,0),0,INDEX($D65:I65,I$7-$B$95)+INDEX($D80:I80,I$7-$B$95)))</f>
        <v>0</v>
      </c>
      <c r="J101" s="21" cm="1">
        <f t="array" ref="J101">IF($B$94="no",0,IF(J$7&lt;=ROUND($B$95,0),0,INDEX($D65:J65,J$7-$B$95)+INDEX($D80:J80,J$7-$B$95)))</f>
        <v>0</v>
      </c>
      <c r="K101" s="21" cm="1">
        <f t="array" ref="K101">IF($B$94="no",0,IF(K$7&lt;=ROUND($B$95,0),0,INDEX($D65:K65,K$7-$B$95)+INDEX($D80:K80,K$7-$B$95)))</f>
        <v>0</v>
      </c>
      <c r="L101" s="21" cm="1">
        <f t="array" ref="L101">IF($B$94="no",0,IF(L$7&lt;=ROUND($B$95,0),0,INDEX($D65:L65,L$7-$B$95)+INDEX($D80:L80,L$7-$B$95)))</f>
        <v>0</v>
      </c>
      <c r="M101" s="21" cm="1">
        <f t="array" ref="M101">IF($B$94="no",0,IF(M$7&lt;=ROUND($B$95,0),0,INDEX($D65:M65,M$7-$B$95)+INDEX($D80:M80,M$7-$B$95)))</f>
        <v>0</v>
      </c>
      <c r="N101" s="21" cm="1">
        <f t="array" ref="N101">IF($B$94="no",0,IF(N$7&lt;=ROUND($B$95,0),0,INDEX($D65:N65,N$7-$B$95)+INDEX($D80:N80,N$7-$B$95)))</f>
        <v>0</v>
      </c>
      <c r="O101" s="21" cm="1">
        <f t="array" ref="O101">IF($B$94="no",0,IF(O$7&lt;=ROUND($B$95,0),0,INDEX($D65:O65,O$7-$B$95)+INDEX($D80:O80,O$7-$B$95)))</f>
        <v>0</v>
      </c>
      <c r="P101" s="21" cm="1">
        <f t="array" ref="P101">IF($B$94="no",0,IF(P$7&lt;=ROUND($B$95,0),0,INDEX($D65:P65,P$7-$B$95)+INDEX($D80:P80,P$7-$B$95)))</f>
        <v>0</v>
      </c>
      <c r="Q101" s="21" cm="1">
        <f t="array" ref="Q101">IF($B$94="no",0,IF(Q$7&lt;=ROUND($B$95,0),0,INDEX($D65:Q65,Q$7-$B$95)+INDEX($D80:Q80,Q$7-$B$95)))</f>
        <v>0</v>
      </c>
      <c r="R101" s="21" cm="1">
        <f t="array" ref="R101">IF($B$94="no",0,IF(R$7&lt;=ROUND($B$95,0),0,INDEX($D65:R65,R$7-$B$95)+INDEX($D80:R80,R$7-$B$95)))</f>
        <v>0</v>
      </c>
      <c r="S101" s="21" cm="1">
        <f t="array" ref="S101">IF($B$94="no",0,IF(S$7&lt;=ROUND($B$95,0),0,INDEX($D65:S65,S$7-$B$95)+INDEX($D80:S80,S$7-$B$95)))</f>
        <v>0</v>
      </c>
      <c r="T101" s="21" cm="1">
        <f t="array" ref="T101">IF($B$94="no",0,IF(T$7&lt;=ROUND($B$95,0),0,INDEX($D65:T65,T$7-$B$95)+INDEX($D80:T80,T$7-$B$95)))</f>
        <v>0</v>
      </c>
      <c r="U101" s="21" cm="1">
        <f t="array" ref="U101">IF($B$94="no",0,IF(U$7&lt;=ROUND($B$95,0),0,INDEX($D65:U65,U$7-$B$95)+INDEX($D80:U80,U$7-$B$95)))</f>
        <v>0</v>
      </c>
      <c r="V101" s="21" cm="1">
        <f t="array" ref="V101">IF($B$94="no",0,IF(V$7&lt;=ROUND($B$95,0),0,INDEX($D65:V65,V$7-$B$95)+INDEX($D80:V80,V$7-$B$95)))</f>
        <v>0</v>
      </c>
      <c r="W101" s="21" cm="1">
        <f t="array" ref="W101">IF($B$94="no",0,IF(W$7&lt;=ROUND($B$95,0),0,INDEX($D65:W65,W$7-$B$95)+INDEX($D80:W80,W$7-$B$95)))</f>
        <v>0</v>
      </c>
    </row>
    <row r="102" spans="1:23" x14ac:dyDescent="0.35">
      <c r="A102" s="83"/>
      <c r="C102" t="s">
        <v>265</v>
      </c>
      <c r="D102" s="21" cm="1">
        <f t="array" ref="D102">IF($B$94="no",0,IF(D$7&lt;=ROUND($B$95,0),0,INDEX($D66:D66,D$7-$B$95)+INDEX($D81:D81,D$7-$B$95)))</f>
        <v>0</v>
      </c>
      <c r="E102" s="21" cm="1">
        <f t="array" ref="E102">IF($B$94="no",0,IF(E$7&lt;=ROUND($B$95,0),0,INDEX($D66:E66,E$7-$B$95)+INDEX($D81:E81,E$7-$B$95)))</f>
        <v>0</v>
      </c>
      <c r="F102" s="21" cm="1">
        <f t="array" ref="F102">IF($B$94="no",0,IF(F$7&lt;=ROUND($B$95,0),0,INDEX($D66:F66,F$7-$B$95)+INDEX($D81:F81,F$7-$B$95)))</f>
        <v>0</v>
      </c>
      <c r="G102" s="21" cm="1">
        <f t="array" ref="G102">IF($B$94="no",0,IF(G$7&lt;=ROUND($B$95,0),0,INDEX($D66:G66,G$7-$B$95)+INDEX($D81:G81,G$7-$B$95)))</f>
        <v>0</v>
      </c>
      <c r="H102" s="21" cm="1">
        <f t="array" ref="H102">IF($B$94="no",0,IF(H$7&lt;=ROUND($B$95,0),0,INDEX($D66:H66,H$7-$B$95)+INDEX($D81:H81,H$7-$B$95)))</f>
        <v>0</v>
      </c>
      <c r="I102" s="21" cm="1">
        <f t="array" ref="I102">IF($B$94="no",0,IF(I$7&lt;=ROUND($B$95,0),0,INDEX($D66:I66,I$7-$B$95)+INDEX($D81:I81,I$7-$B$95)))</f>
        <v>0</v>
      </c>
      <c r="J102" s="21" cm="1">
        <f t="array" ref="J102">IF($B$94="no",0,IF(J$7&lt;=ROUND($B$95,0),0,INDEX($D66:J66,J$7-$B$95)+INDEX($D81:J81,J$7-$B$95)))</f>
        <v>0</v>
      </c>
      <c r="K102" s="21" cm="1">
        <f t="array" ref="K102">IF($B$94="no",0,IF(K$7&lt;=ROUND($B$95,0),0,INDEX($D66:K66,K$7-$B$95)+INDEX($D81:K81,K$7-$B$95)))</f>
        <v>0</v>
      </c>
      <c r="L102" s="21" cm="1">
        <f t="array" ref="L102">IF($B$94="no",0,IF(L$7&lt;=ROUND($B$95,0),0,INDEX($D66:L66,L$7-$B$95)+INDEX($D81:L81,L$7-$B$95)))</f>
        <v>0</v>
      </c>
      <c r="M102" s="21" cm="1">
        <f t="array" ref="M102">IF($B$94="no",0,IF(M$7&lt;=ROUND($B$95,0),0,INDEX($D66:M66,M$7-$B$95)+INDEX($D81:M81,M$7-$B$95)))</f>
        <v>0</v>
      </c>
      <c r="N102" s="21" cm="1">
        <f t="array" ref="N102">IF($B$94="no",0,IF(N$7&lt;=ROUND($B$95,0),0,INDEX($D66:N66,N$7-$B$95)+INDEX($D81:N81,N$7-$B$95)))</f>
        <v>0</v>
      </c>
      <c r="O102" s="21" cm="1">
        <f t="array" ref="O102">IF($B$94="no",0,IF(O$7&lt;=ROUND($B$95,0),0,INDEX($D66:O66,O$7-$B$95)+INDEX($D81:O81,O$7-$B$95)))</f>
        <v>0</v>
      </c>
      <c r="P102" s="21" cm="1">
        <f t="array" ref="P102">IF($B$94="no",0,IF(P$7&lt;=ROUND($B$95,0),0,INDEX($D66:P66,P$7-$B$95)+INDEX($D81:P81,P$7-$B$95)))</f>
        <v>0</v>
      </c>
      <c r="Q102" s="21" cm="1">
        <f t="array" ref="Q102">IF($B$94="no",0,IF(Q$7&lt;=ROUND($B$95,0),0,INDEX($D66:Q66,Q$7-$B$95)+INDEX($D81:Q81,Q$7-$B$95)))</f>
        <v>0</v>
      </c>
      <c r="R102" s="21" cm="1">
        <f t="array" ref="R102">IF($B$94="no",0,IF(R$7&lt;=ROUND($B$95,0),0,INDEX($D66:R66,R$7-$B$95)+INDEX($D81:R81,R$7-$B$95)))</f>
        <v>0</v>
      </c>
      <c r="S102" s="21" cm="1">
        <f t="array" ref="S102">IF($B$94="no",0,IF(S$7&lt;=ROUND($B$95,0),0,INDEX($D66:S66,S$7-$B$95)+INDEX($D81:S81,S$7-$B$95)))</f>
        <v>0</v>
      </c>
      <c r="T102" s="21" cm="1">
        <f t="array" ref="T102">IF($B$94="no",0,IF(T$7&lt;=ROUND($B$95,0),0,INDEX($D66:T66,T$7-$B$95)+INDEX($D81:T81,T$7-$B$95)))</f>
        <v>0</v>
      </c>
      <c r="U102" s="21" cm="1">
        <f t="array" ref="U102">IF($B$94="no",0,IF(U$7&lt;=ROUND($B$95,0),0,INDEX($D66:U66,U$7-$B$95)+INDEX($D81:U81,U$7-$B$95)))</f>
        <v>0</v>
      </c>
      <c r="V102" s="21" cm="1">
        <f t="array" ref="V102">IF($B$94="no",0,IF(V$7&lt;=ROUND($B$95,0),0,INDEX($D66:V66,V$7-$B$95)+INDEX($D81:V81,V$7-$B$95)))</f>
        <v>0</v>
      </c>
      <c r="W102" s="21" cm="1">
        <f t="array" ref="W102">IF($B$94="no",0,IF(W$7&lt;=ROUND($B$95,0),0,INDEX($D66:W66,W$7-$B$95)+INDEX($D81:W81,W$7-$B$95)))</f>
        <v>0</v>
      </c>
    </row>
    <row r="103" spans="1:23" x14ac:dyDescent="0.35">
      <c r="A103" s="83"/>
      <c r="B103" t="s">
        <v>266</v>
      </c>
      <c r="C103" t="s">
        <v>264</v>
      </c>
      <c r="D103" s="21" cm="1">
        <f t="array" ref="D103">IF($B$94="no",0,IF(D$7&lt;=ROUND($B$95,0),0,INDEX($D67:D67,D$7-$B$95)+INDEX($D82:D82,D$7-$B$95)))</f>
        <v>0</v>
      </c>
      <c r="E103" s="21" cm="1">
        <f t="array" ref="E103">IF($B$94="no",0,IF(E$7&lt;=ROUND($B$95,0),0,INDEX($D67:E67,E$7-$B$95)+INDEX($D82:E82,E$7-$B$95)))</f>
        <v>0</v>
      </c>
      <c r="F103" s="21" cm="1">
        <f t="array" ref="F103">IF($B$94="no",0,IF(F$7&lt;=ROUND($B$95,0),0,INDEX($D67:F67,F$7-$B$95)+INDEX($D82:F82,F$7-$B$95)))</f>
        <v>0</v>
      </c>
      <c r="G103" s="21" cm="1">
        <f t="array" ref="G103">IF($B$94="no",0,IF(G$7&lt;=ROUND($B$95,0),0,INDEX($D67:G67,G$7-$B$95)+INDEX($D82:G82,G$7-$B$95)))</f>
        <v>0</v>
      </c>
      <c r="H103" s="21" cm="1">
        <f t="array" ref="H103">IF($B$94="no",0,IF(H$7&lt;=ROUND($B$95,0),0,INDEX($D67:H67,H$7-$B$95)+INDEX($D82:H82,H$7-$B$95)))</f>
        <v>0</v>
      </c>
      <c r="I103" s="21" cm="1">
        <f t="array" ref="I103">IF($B$94="no",0,IF(I$7&lt;=ROUND($B$95,0),0,INDEX($D67:I67,I$7-$B$95)+INDEX($D82:I82,I$7-$B$95)))</f>
        <v>0</v>
      </c>
      <c r="J103" s="21" cm="1">
        <f t="array" ref="J103">IF($B$94="no",0,IF(J$7&lt;=ROUND($B$95,0),0,INDEX($D67:J67,J$7-$B$95)+INDEX($D82:J82,J$7-$B$95)))</f>
        <v>0</v>
      </c>
      <c r="K103" s="21" cm="1">
        <f t="array" ref="K103">IF($B$94="no",0,IF(K$7&lt;=ROUND($B$95,0),0,INDEX($D67:K67,K$7-$B$95)+INDEX($D82:K82,K$7-$B$95)))</f>
        <v>0</v>
      </c>
      <c r="L103" s="21" cm="1">
        <f t="array" ref="L103">IF($B$94="no",0,IF(L$7&lt;=ROUND($B$95,0),0,INDEX($D67:L67,L$7-$B$95)+INDEX($D82:L82,L$7-$B$95)))</f>
        <v>0</v>
      </c>
      <c r="M103" s="21" cm="1">
        <f t="array" ref="M103">IF($B$94="no",0,IF(M$7&lt;=ROUND($B$95,0),0,INDEX($D67:M67,M$7-$B$95)+INDEX($D82:M82,M$7-$B$95)))</f>
        <v>0</v>
      </c>
      <c r="N103" s="21" cm="1">
        <f t="array" ref="N103">IF($B$94="no",0,IF(N$7&lt;=ROUND($B$95,0),0,INDEX($D67:N67,N$7-$B$95)+INDEX($D82:N82,N$7-$B$95)))</f>
        <v>153.01312839994134</v>
      </c>
      <c r="O103" s="21" cm="1">
        <f t="array" ref="O103">IF($B$94="no",0,IF(O$7&lt;=ROUND($B$95,0),0,INDEX($D67:O67,O$7-$B$95)+INDEX($D82:O82,O$7-$B$95)))</f>
        <v>162.08765301918282</v>
      </c>
      <c r="P103" s="21" cm="1">
        <f t="array" ref="P103">IF($B$94="no",0,IF(P$7&lt;=ROUND($B$95,0),0,INDEX($D67:P67,P$7-$B$95)+INDEX($D82:P82,P$7-$B$95)))</f>
        <v>111</v>
      </c>
      <c r="Q103" s="21" cm="1">
        <f t="array" ref="Q103">IF($B$94="no",0,IF(Q$7&lt;=ROUND($B$95,0),0,INDEX($D67:Q67,Q$7-$B$95)+INDEX($D82:Q82,Q$7-$B$95)))</f>
        <v>150</v>
      </c>
      <c r="R103" s="21" cm="1">
        <f t="array" ref="R103">IF($B$94="no",0,IF(R$7&lt;=ROUND($B$95,0),0,INDEX($D67:R67,R$7-$B$95)+INDEX($D82:R82,R$7-$B$95)))</f>
        <v>11</v>
      </c>
      <c r="S103" s="21" cm="1">
        <f t="array" ref="S103">IF($B$94="no",0,IF(S$7&lt;=ROUND($B$95,0),0,INDEX($D67:S67,S$7-$B$95)+INDEX($D82:S82,S$7-$B$95)))</f>
        <v>81</v>
      </c>
      <c r="T103" s="21" cm="1">
        <f t="array" ref="T103">IF($B$94="no",0,IF(T$7&lt;=ROUND($B$95,0),0,INDEX($D67:T67,T$7-$B$95)+INDEX($D82:T82,T$7-$B$95)))</f>
        <v>126</v>
      </c>
      <c r="U103" s="21" cm="1">
        <f t="array" ref="U103">IF($B$94="no",0,IF(U$7&lt;=ROUND($B$95,0),0,INDEX($D67:U67,U$7-$B$95)+INDEX($D82:U82,U$7-$B$95)))</f>
        <v>111</v>
      </c>
      <c r="V103" s="21" cm="1">
        <f t="array" ref="V103">IF($B$94="no",0,IF(V$7&lt;=ROUND($B$95,0),0,INDEX($D67:V67,V$7-$B$95)+INDEX($D82:V82,V$7-$B$95)))</f>
        <v>266</v>
      </c>
      <c r="W103" s="21" cm="1">
        <f t="array" ref="W103">IF($B$94="no",0,IF(W$7&lt;=ROUND($B$95,0),0,INDEX($D67:W67,W$7-$B$95)+INDEX($D82:W82,W$7-$B$95)))</f>
        <v>147.70846572300474</v>
      </c>
    </row>
    <row r="104" spans="1:23" x14ac:dyDescent="0.35">
      <c r="A104" s="83"/>
      <c r="C104" t="s">
        <v>265</v>
      </c>
      <c r="D104" s="21" cm="1">
        <f t="array" ref="D104">IF($B$94="no",0,IF(D$7&lt;=ROUND($B$95,0),0,INDEX($D68:D68,D$7-$B$95)+INDEX($D83:D83,D$7-$B$95)))</f>
        <v>0</v>
      </c>
      <c r="E104" s="21" cm="1">
        <f t="array" ref="E104">IF($B$94="no",0,IF(E$7&lt;=ROUND($B$95,0),0,INDEX($D68:E68,E$7-$B$95)+INDEX($D83:E83,E$7-$B$95)))</f>
        <v>0</v>
      </c>
      <c r="F104" s="21" cm="1">
        <f t="array" ref="F104">IF($B$94="no",0,IF(F$7&lt;=ROUND($B$95,0),0,INDEX($D68:F68,F$7-$B$95)+INDEX($D83:F83,F$7-$B$95)))</f>
        <v>0</v>
      </c>
      <c r="G104" s="21" cm="1">
        <f t="array" ref="G104">IF($B$94="no",0,IF(G$7&lt;=ROUND($B$95,0),0,INDEX($D68:G68,G$7-$B$95)+INDEX($D83:G83,G$7-$B$95)))</f>
        <v>0</v>
      </c>
      <c r="H104" s="21" cm="1">
        <f t="array" ref="H104">IF($B$94="no",0,IF(H$7&lt;=ROUND($B$95,0),0,INDEX($D68:H68,H$7-$B$95)+INDEX($D83:H83,H$7-$B$95)))</f>
        <v>0</v>
      </c>
      <c r="I104" s="21" cm="1">
        <f t="array" ref="I104">IF($B$94="no",0,IF(I$7&lt;=ROUND($B$95,0),0,INDEX($D68:I68,I$7-$B$95)+INDEX($D83:I83,I$7-$B$95)))</f>
        <v>0</v>
      </c>
      <c r="J104" s="21" cm="1">
        <f t="array" ref="J104">IF($B$94="no",0,IF(J$7&lt;=ROUND($B$95,0),0,INDEX($D68:J68,J$7-$B$95)+INDEX($D83:J83,J$7-$B$95)))</f>
        <v>0</v>
      </c>
      <c r="K104" s="21" cm="1">
        <f t="array" ref="K104">IF($B$94="no",0,IF(K$7&lt;=ROUND($B$95,0),0,INDEX($D68:K68,K$7-$B$95)+INDEX($D83:K83,K$7-$B$95)))</f>
        <v>0</v>
      </c>
      <c r="L104" s="21" cm="1">
        <f t="array" ref="L104">IF($B$94="no",0,IF(L$7&lt;=ROUND($B$95,0),0,INDEX($D68:L68,L$7-$B$95)+INDEX($D83:L83,L$7-$B$95)))</f>
        <v>0</v>
      </c>
      <c r="M104" s="21" cm="1">
        <f t="array" ref="M104">IF($B$94="no",0,IF(M$7&lt;=ROUND($B$95,0),0,INDEX($D68:M68,M$7-$B$95)+INDEX($D83:M83,M$7-$B$95)))</f>
        <v>0</v>
      </c>
      <c r="N104" s="21" cm="1">
        <f t="array" ref="N104">IF($B$94="no",0,IF(N$7&lt;=ROUND($B$95,0),0,INDEX($D68:N68,N$7-$B$95)+INDEX($D83:N83,N$7-$B$95)))</f>
        <v>17072.986871600056</v>
      </c>
      <c r="O104" s="21" cm="1">
        <f t="array" ref="O104">IF($B$94="no",0,IF(O$7&lt;=ROUND($B$95,0),0,INDEX($D68:O68,O$7-$B$95)+INDEX($D83:O83,O$7-$B$95)))</f>
        <v>18324.912346980818</v>
      </c>
      <c r="P104" s="21" cm="1">
        <f t="array" ref="P104">IF($B$94="no",0,IF(P$7&lt;=ROUND($B$95,0),0,INDEX($D68:P68,P$7-$B$95)+INDEX($D83:P83,P$7-$B$95)))</f>
        <v>15657</v>
      </c>
      <c r="Q104" s="21" cm="1">
        <f t="array" ref="Q104">IF($B$94="no",0,IF(Q$7&lt;=ROUND($B$95,0),0,INDEX($D68:Q68,Q$7-$B$95)+INDEX($D83:Q83,Q$7-$B$95)))</f>
        <v>11900</v>
      </c>
      <c r="R104" s="21" cm="1">
        <f t="array" ref="R104">IF($B$94="no",0,IF(R$7&lt;=ROUND($B$95,0),0,INDEX($D68:R68,R$7-$B$95)+INDEX($D83:R83,R$7-$B$95)))</f>
        <v>1556</v>
      </c>
      <c r="S104" s="21" cm="1">
        <f t="array" ref="S104">IF($B$94="no",0,IF(S$7&lt;=ROUND($B$95,0),0,INDEX($D68:S68,S$7-$B$95)+INDEX($D83:S83,S$7-$B$95)))</f>
        <v>6807</v>
      </c>
      <c r="T104" s="21" cm="1">
        <f t="array" ref="T104">IF($B$94="no",0,IF(T$7&lt;=ROUND($B$95,0),0,INDEX($D68:T68,T$7-$B$95)+INDEX($D83:T83,T$7-$B$95)))</f>
        <v>6174</v>
      </c>
      <c r="U104" s="21" cm="1">
        <f t="array" ref="U104">IF($B$94="no",0,IF(U$7&lt;=ROUND($B$95,0),0,INDEX($D68:U68,U$7-$B$95)+INDEX($D83:U83,U$7-$B$95)))</f>
        <v>17193</v>
      </c>
      <c r="V104" s="21" cm="1">
        <f t="array" ref="V104">IF($B$94="no",0,IF(V$7&lt;=ROUND($B$95,0),0,INDEX($D68:V68,V$7-$B$95)+INDEX($D83:V83,V$7-$B$95)))</f>
        <v>31361</v>
      </c>
      <c r="W104" s="21" cm="1">
        <f t="array" ref="W104">IF($B$94="no",0,IF(W$7&lt;=ROUND($B$95,0),0,INDEX($D68:W68,W$7-$B$95)+INDEX($D83:W83,W$7-$B$95)))</f>
        <v>15852.291534276996</v>
      </c>
    </row>
    <row r="105" spans="1:23" x14ac:dyDescent="0.35">
      <c r="A105" s="83" t="s">
        <v>267</v>
      </c>
      <c r="B105" t="s">
        <v>263</v>
      </c>
      <c r="C105" t="s">
        <v>264</v>
      </c>
      <c r="D105" s="21" cm="1">
        <f t="array" ref="D105">IF($B$94="no",0,IF(D$7&lt;=ROUND($B$95,0),0,INDEX($D69:D69,D$7-$B$95)+INDEX($D84:D84,D$7-$B$95)))</f>
        <v>0</v>
      </c>
      <c r="E105" s="21" cm="1">
        <f t="array" ref="E105">IF($B$94="no",0,IF(E$7&lt;=ROUND($B$95,0),0,INDEX($D69:E69,E$7-$B$95)+INDEX($D84:E84,E$7-$B$95)))</f>
        <v>0</v>
      </c>
      <c r="F105" s="21" cm="1">
        <f t="array" ref="F105">IF($B$94="no",0,IF(F$7&lt;=ROUND($B$95,0),0,INDEX($D69:F69,F$7-$B$95)+INDEX($D84:F84,F$7-$B$95)))</f>
        <v>0</v>
      </c>
      <c r="G105" s="21" cm="1">
        <f t="array" ref="G105">IF($B$94="no",0,IF(G$7&lt;=ROUND($B$95,0),0,INDEX($D69:G69,G$7-$B$95)+INDEX($D84:G84,G$7-$B$95)))</f>
        <v>0</v>
      </c>
      <c r="H105" s="21" cm="1">
        <f t="array" ref="H105">IF($B$94="no",0,IF(H$7&lt;=ROUND($B$95,0),0,INDEX($D69:H69,H$7-$B$95)+INDEX($D84:H84,H$7-$B$95)))</f>
        <v>0</v>
      </c>
      <c r="I105" s="21" cm="1">
        <f t="array" ref="I105">IF($B$94="no",0,IF(I$7&lt;=ROUND($B$95,0),0,INDEX($D69:I69,I$7-$B$95)+INDEX($D84:I84,I$7-$B$95)))</f>
        <v>0</v>
      </c>
      <c r="J105" s="21" cm="1">
        <f t="array" ref="J105">IF($B$94="no",0,IF(J$7&lt;=ROUND($B$95,0),0,INDEX($D69:J69,J$7-$B$95)+INDEX($D84:J84,J$7-$B$95)))</f>
        <v>0</v>
      </c>
      <c r="K105" s="21" cm="1">
        <f t="array" ref="K105">IF($B$94="no",0,IF(K$7&lt;=ROUND($B$95,0),0,INDEX($D69:K69,K$7-$B$95)+INDEX($D84:K84,K$7-$B$95)))</f>
        <v>0</v>
      </c>
      <c r="L105" s="21" cm="1">
        <f t="array" ref="L105">IF($B$94="no",0,IF(L$7&lt;=ROUND($B$95,0),0,INDEX($D69:L69,L$7-$B$95)+INDEX($D84:L84,L$7-$B$95)))</f>
        <v>0</v>
      </c>
      <c r="M105" s="21" cm="1">
        <f t="array" ref="M105">IF($B$94="no",0,IF(M$7&lt;=ROUND($B$95,0),0,INDEX($D69:M69,M$7-$B$95)+INDEX($D84:M84,M$7-$B$95)))</f>
        <v>0</v>
      </c>
      <c r="N105" s="21" cm="1">
        <f t="array" ref="N105">IF($B$94="no",0,IF(N$7&lt;=ROUND($B$95,0),0,INDEX($D69:N69,N$7-$B$95)+INDEX($D84:N84,N$7-$B$95)))</f>
        <v>0</v>
      </c>
      <c r="O105" s="21" cm="1">
        <f t="array" ref="O105">IF($B$94="no",0,IF(O$7&lt;=ROUND($B$95,0),0,INDEX($D69:O69,O$7-$B$95)+INDEX($D84:O84,O$7-$B$95)))</f>
        <v>0</v>
      </c>
      <c r="P105" s="21" cm="1">
        <f t="array" ref="P105">IF($B$94="no",0,IF(P$7&lt;=ROUND($B$95,0),0,INDEX($D69:P69,P$7-$B$95)+INDEX($D84:P84,P$7-$B$95)))</f>
        <v>0</v>
      </c>
      <c r="Q105" s="21" cm="1">
        <f t="array" ref="Q105">IF($B$94="no",0,IF(Q$7&lt;=ROUND($B$95,0),0,INDEX($D69:Q69,Q$7-$B$95)+INDEX($D84:Q84,Q$7-$B$95)))</f>
        <v>0</v>
      </c>
      <c r="R105" s="21" cm="1">
        <f t="array" ref="R105">IF($B$94="no",0,IF(R$7&lt;=ROUND($B$95,0),0,INDEX($D69:R69,R$7-$B$95)+INDEX($D84:R84,R$7-$B$95)))</f>
        <v>0</v>
      </c>
      <c r="S105" s="21" cm="1">
        <f t="array" ref="S105">IF($B$94="no",0,IF(S$7&lt;=ROUND($B$95,0),0,INDEX($D69:S69,S$7-$B$95)+INDEX($D84:S84,S$7-$B$95)))</f>
        <v>0</v>
      </c>
      <c r="T105" s="21" cm="1">
        <f t="array" ref="T105">IF($B$94="no",0,IF(T$7&lt;=ROUND($B$95,0),0,INDEX($D69:T69,T$7-$B$95)+INDEX($D84:T84,T$7-$B$95)))</f>
        <v>0</v>
      </c>
      <c r="U105" s="21" cm="1">
        <f t="array" ref="U105">IF($B$94="no",0,IF(U$7&lt;=ROUND($B$95,0),0,INDEX($D69:U69,U$7-$B$95)+INDEX($D84:U84,U$7-$B$95)))</f>
        <v>0</v>
      </c>
      <c r="V105" s="21" cm="1">
        <f t="array" ref="V105">IF($B$94="no",0,IF(V$7&lt;=ROUND($B$95,0),0,INDEX($D69:V69,V$7-$B$95)+INDEX($D84:V84,V$7-$B$95)))</f>
        <v>0</v>
      </c>
      <c r="W105" s="21" cm="1">
        <f t="array" ref="W105">IF($B$94="no",0,IF(W$7&lt;=ROUND($B$95,0),0,INDEX($D69:W69,W$7-$B$95)+INDEX($D84:W84,W$7-$B$95)))</f>
        <v>0</v>
      </c>
    </row>
    <row r="106" spans="1:23" x14ac:dyDescent="0.35">
      <c r="A106" s="83"/>
      <c r="C106" t="s">
        <v>265</v>
      </c>
      <c r="D106" s="21" cm="1">
        <f t="array" ref="D106">IF($B$94="no",0,IF(D$7&lt;=ROUND($B$95,0),0,INDEX($D70:D70,D$7-$B$95)+INDEX($D85:D85,D$7-$B$95)))</f>
        <v>0</v>
      </c>
      <c r="E106" s="21" cm="1">
        <f t="array" ref="E106">IF($B$94="no",0,IF(E$7&lt;=ROUND($B$95,0),0,INDEX($D70:E70,E$7-$B$95)+INDEX($D85:E85,E$7-$B$95)))</f>
        <v>0</v>
      </c>
      <c r="F106" s="21" cm="1">
        <f t="array" ref="F106">IF($B$94="no",0,IF(F$7&lt;=ROUND($B$95,0),0,INDEX($D70:F70,F$7-$B$95)+INDEX($D85:F85,F$7-$B$95)))</f>
        <v>0</v>
      </c>
      <c r="G106" s="21" cm="1">
        <f t="array" ref="G106">IF($B$94="no",0,IF(G$7&lt;=ROUND($B$95,0),0,INDEX($D70:G70,G$7-$B$95)+INDEX($D85:G85,G$7-$B$95)))</f>
        <v>0</v>
      </c>
      <c r="H106" s="21" cm="1">
        <f t="array" ref="H106">IF($B$94="no",0,IF(H$7&lt;=ROUND($B$95,0),0,INDEX($D70:H70,H$7-$B$95)+INDEX($D85:H85,H$7-$B$95)))</f>
        <v>0</v>
      </c>
      <c r="I106" s="21" cm="1">
        <f t="array" ref="I106">IF($B$94="no",0,IF(I$7&lt;=ROUND($B$95,0),0,INDEX($D70:I70,I$7-$B$95)+INDEX($D85:I85,I$7-$B$95)))</f>
        <v>0</v>
      </c>
      <c r="J106" s="21" cm="1">
        <f t="array" ref="J106">IF($B$94="no",0,IF(J$7&lt;=ROUND($B$95,0),0,INDEX($D70:J70,J$7-$B$95)+INDEX($D85:J85,J$7-$B$95)))</f>
        <v>0</v>
      </c>
      <c r="K106" s="21" cm="1">
        <f t="array" ref="K106">IF($B$94="no",0,IF(K$7&lt;=ROUND($B$95,0),0,INDEX($D70:K70,K$7-$B$95)+INDEX($D85:K85,K$7-$B$95)))</f>
        <v>0</v>
      </c>
      <c r="L106" s="21" cm="1">
        <f t="array" ref="L106">IF($B$94="no",0,IF(L$7&lt;=ROUND($B$95,0),0,INDEX($D70:L70,L$7-$B$95)+INDEX($D85:L85,L$7-$B$95)))</f>
        <v>0</v>
      </c>
      <c r="M106" s="21" cm="1">
        <f t="array" ref="M106">IF($B$94="no",0,IF(M$7&lt;=ROUND($B$95,0),0,INDEX($D70:M70,M$7-$B$95)+INDEX($D85:M85,M$7-$B$95)))</f>
        <v>0</v>
      </c>
      <c r="N106" s="21" cm="1">
        <f t="array" ref="N106">IF($B$94="no",0,IF(N$7&lt;=ROUND($B$95,0),0,INDEX($D70:N70,N$7-$B$95)+INDEX($D85:N85,N$7-$B$95)))</f>
        <v>0</v>
      </c>
      <c r="O106" s="21" cm="1">
        <f t="array" ref="O106">IF($B$94="no",0,IF(O$7&lt;=ROUND($B$95,0),0,INDEX($D70:O70,O$7-$B$95)+INDEX($D85:O85,O$7-$B$95)))</f>
        <v>0</v>
      </c>
      <c r="P106" s="21" cm="1">
        <f t="array" ref="P106">IF($B$94="no",0,IF(P$7&lt;=ROUND($B$95,0),0,INDEX($D70:P70,P$7-$B$95)+INDEX($D85:P85,P$7-$B$95)))</f>
        <v>0</v>
      </c>
      <c r="Q106" s="21" cm="1">
        <f t="array" ref="Q106">IF($B$94="no",0,IF(Q$7&lt;=ROUND($B$95,0),0,INDEX($D70:Q70,Q$7-$B$95)+INDEX($D85:Q85,Q$7-$B$95)))</f>
        <v>0</v>
      </c>
      <c r="R106" s="21" cm="1">
        <f t="array" ref="R106">IF($B$94="no",0,IF(R$7&lt;=ROUND($B$95,0),0,INDEX($D70:R70,R$7-$B$95)+INDEX($D85:R85,R$7-$B$95)))</f>
        <v>0</v>
      </c>
      <c r="S106" s="21" cm="1">
        <f t="array" ref="S106">IF($B$94="no",0,IF(S$7&lt;=ROUND($B$95,0),0,INDEX($D70:S70,S$7-$B$95)+INDEX($D85:S85,S$7-$B$95)))</f>
        <v>0</v>
      </c>
      <c r="T106" s="21" cm="1">
        <f t="array" ref="T106">IF($B$94="no",0,IF(T$7&lt;=ROUND($B$95,0),0,INDEX($D70:T70,T$7-$B$95)+INDEX($D85:T85,T$7-$B$95)))</f>
        <v>0</v>
      </c>
      <c r="U106" s="21" cm="1">
        <f t="array" ref="U106">IF($B$94="no",0,IF(U$7&lt;=ROUND($B$95,0),0,INDEX($D70:U70,U$7-$B$95)+INDEX($D85:U85,U$7-$B$95)))</f>
        <v>0</v>
      </c>
      <c r="V106" s="21" cm="1">
        <f t="array" ref="V106">IF($B$94="no",0,IF(V$7&lt;=ROUND($B$95,0),0,INDEX($D70:V70,V$7-$B$95)+INDEX($D85:V85,V$7-$B$95)))</f>
        <v>0</v>
      </c>
      <c r="W106" s="21" cm="1">
        <f t="array" ref="W106">IF($B$94="no",0,IF(W$7&lt;=ROUND($B$95,0),0,INDEX($D70:W70,W$7-$B$95)+INDEX($D85:W85,W$7-$B$95)))</f>
        <v>0</v>
      </c>
    </row>
    <row r="107" spans="1:23" x14ac:dyDescent="0.35">
      <c r="A107" s="83"/>
      <c r="B107" t="s">
        <v>266</v>
      </c>
      <c r="C107" t="s">
        <v>264</v>
      </c>
      <c r="D107" s="21" cm="1">
        <f t="array" ref="D107">IF($B$94="no",0,IF(D$7&lt;=ROUND($B$95,0),0,INDEX($D71:D71,D$7-$B$95)+INDEX($D86:D86,D$7-$B$95)))</f>
        <v>0</v>
      </c>
      <c r="E107" s="21" cm="1">
        <f t="array" ref="E107">IF($B$94="no",0,IF(E$7&lt;=ROUND($B$95,0),0,INDEX($D71:E71,E$7-$B$95)+INDEX($D86:E86,E$7-$B$95)))</f>
        <v>0</v>
      </c>
      <c r="F107" s="21" cm="1">
        <f t="array" ref="F107">IF($B$94="no",0,IF(F$7&lt;=ROUND($B$95,0),0,INDEX($D71:F71,F$7-$B$95)+INDEX($D86:F86,F$7-$B$95)))</f>
        <v>0</v>
      </c>
      <c r="G107" s="21" cm="1">
        <f t="array" ref="G107">IF($B$94="no",0,IF(G$7&lt;=ROUND($B$95,0),0,INDEX($D71:G71,G$7-$B$95)+INDEX($D86:G86,G$7-$B$95)))</f>
        <v>0</v>
      </c>
      <c r="H107" s="21" cm="1">
        <f t="array" ref="H107">IF($B$94="no",0,IF(H$7&lt;=ROUND($B$95,0),0,INDEX($D71:H71,H$7-$B$95)+INDEX($D86:H86,H$7-$B$95)))</f>
        <v>0</v>
      </c>
      <c r="I107" s="21" cm="1">
        <f t="array" ref="I107">IF($B$94="no",0,IF(I$7&lt;=ROUND($B$95,0),0,INDEX($D71:I71,I$7-$B$95)+INDEX($D86:I86,I$7-$B$95)))</f>
        <v>0</v>
      </c>
      <c r="J107" s="21" cm="1">
        <f t="array" ref="J107">IF($B$94="no",0,IF(J$7&lt;=ROUND($B$95,0),0,INDEX($D71:J71,J$7-$B$95)+INDEX($D86:J86,J$7-$B$95)))</f>
        <v>0</v>
      </c>
      <c r="K107" s="21" cm="1">
        <f t="array" ref="K107">IF($B$94="no",0,IF(K$7&lt;=ROUND($B$95,0),0,INDEX($D71:K71,K$7-$B$95)+INDEX($D86:K86,K$7-$B$95)))</f>
        <v>0</v>
      </c>
      <c r="L107" s="21" cm="1">
        <f t="array" ref="L107">IF($B$94="no",0,IF(L$7&lt;=ROUND($B$95,0),0,INDEX($D71:L71,L$7-$B$95)+INDEX($D86:L86,L$7-$B$95)))</f>
        <v>0</v>
      </c>
      <c r="M107" s="21" cm="1">
        <f t="array" ref="M107">IF($B$94="no",0,IF(M$7&lt;=ROUND($B$95,0),0,INDEX($D71:M71,M$7-$B$95)+INDEX($D86:M86,M$7-$B$95)))</f>
        <v>0</v>
      </c>
      <c r="N107" s="21" cm="1">
        <f t="array" ref="N107">IF($B$94="no",0,IF(N$7&lt;=ROUND($B$95,0),0,INDEX($D71:N71,N$7-$B$95)+INDEX($D86:N86,N$7-$B$95)))</f>
        <v>0</v>
      </c>
      <c r="O107" s="21" cm="1">
        <f t="array" ref="O107">IF($B$94="no",0,IF(O$7&lt;=ROUND($B$95,0),0,INDEX($D71:O71,O$7-$B$95)+INDEX($D86:O86,O$7-$B$95)))</f>
        <v>0</v>
      </c>
      <c r="P107" s="21" cm="1">
        <f t="array" ref="P107">IF($B$94="no",0,IF(P$7&lt;=ROUND($B$95,0),0,INDEX($D71:P71,P$7-$B$95)+INDEX($D86:P86,P$7-$B$95)))</f>
        <v>2</v>
      </c>
      <c r="Q107" s="21" cm="1">
        <f t="array" ref="Q107">IF($B$94="no",0,IF(Q$7&lt;=ROUND($B$95,0),0,INDEX($D71:Q71,Q$7-$B$95)+INDEX($D86:Q86,Q$7-$B$95)))</f>
        <v>0</v>
      </c>
      <c r="R107" s="21" cm="1">
        <f t="array" ref="R107">IF($B$94="no",0,IF(R$7&lt;=ROUND($B$95,0),0,INDEX($D71:R71,R$7-$B$95)+INDEX($D86:R86,R$7-$B$95)))</f>
        <v>0</v>
      </c>
      <c r="S107" s="21" cm="1">
        <f t="array" ref="S107">IF($B$94="no",0,IF(S$7&lt;=ROUND($B$95,0),0,INDEX($D71:S71,S$7-$B$95)+INDEX($D86:S86,S$7-$B$95)))</f>
        <v>0</v>
      </c>
      <c r="T107" s="21" cm="1">
        <f t="array" ref="T107">IF($B$94="no",0,IF(T$7&lt;=ROUND($B$95,0),0,INDEX($D71:T71,T$7-$B$95)+INDEX($D86:T86,T$7-$B$95)))</f>
        <v>1</v>
      </c>
      <c r="U107" s="21" cm="1">
        <f t="array" ref="U107">IF($B$94="no",0,IF(U$7&lt;=ROUND($B$95,0),0,INDEX($D71:U71,U$7-$B$95)+INDEX($D86:U86,U$7-$B$95)))</f>
        <v>0</v>
      </c>
      <c r="V107" s="21" cm="1">
        <f t="array" ref="V107">IF($B$94="no",0,IF(V$7&lt;=ROUND($B$95,0),0,INDEX($D71:V71,V$7-$B$95)+INDEX($D86:V86,V$7-$B$95)))</f>
        <v>0</v>
      </c>
      <c r="W107" s="21" cm="1">
        <f t="array" ref="W107">IF($B$94="no",0,IF(W$7&lt;=ROUND($B$95,0),0,INDEX($D71:W71,W$7-$B$95)+INDEX($D86:W86,W$7-$B$95)))</f>
        <v>0</v>
      </c>
    </row>
    <row r="108" spans="1:23" x14ac:dyDescent="0.35">
      <c r="A108" s="221"/>
      <c r="C108" t="s">
        <v>265</v>
      </c>
      <c r="D108" s="21" cm="1">
        <f t="array" ref="D108">IF($B$94="no",0,IF(D$7&lt;=ROUND($B$95,0),0,INDEX($D72:D72,D$7-$B$95)+INDEX($D87:D87,D$7-$B$95)))</f>
        <v>0</v>
      </c>
      <c r="E108" s="21" cm="1">
        <f t="array" ref="E108">IF($B$94="no",0,IF(E$7&lt;=ROUND($B$95,0),0,INDEX($D72:E72,E$7-$B$95)+INDEX($D87:E87,E$7-$B$95)))</f>
        <v>0</v>
      </c>
      <c r="F108" s="21" cm="1">
        <f t="array" ref="F108">IF($B$94="no",0,IF(F$7&lt;=ROUND($B$95,0),0,INDEX($D72:F72,F$7-$B$95)+INDEX($D87:F87,F$7-$B$95)))</f>
        <v>0</v>
      </c>
      <c r="G108" s="21" cm="1">
        <f t="array" ref="G108">IF($B$94="no",0,IF(G$7&lt;=ROUND($B$95,0),0,INDEX($D72:G72,G$7-$B$95)+INDEX($D87:G87,G$7-$B$95)))</f>
        <v>0</v>
      </c>
      <c r="H108" s="21" cm="1">
        <f t="array" ref="H108">IF($B$94="no",0,IF(H$7&lt;=ROUND($B$95,0),0,INDEX($D72:H72,H$7-$B$95)+INDEX($D87:H87,H$7-$B$95)))</f>
        <v>0</v>
      </c>
      <c r="I108" s="21" cm="1">
        <f t="array" ref="I108">IF($B$94="no",0,IF(I$7&lt;=ROUND($B$95,0),0,INDEX($D72:I72,I$7-$B$95)+INDEX($D87:I87,I$7-$B$95)))</f>
        <v>0</v>
      </c>
      <c r="J108" s="21" cm="1">
        <f t="array" ref="J108">IF($B$94="no",0,IF(J$7&lt;=ROUND($B$95,0),0,INDEX($D72:J72,J$7-$B$95)+INDEX($D87:J87,J$7-$B$95)))</f>
        <v>0</v>
      </c>
      <c r="K108" s="21" cm="1">
        <f t="array" ref="K108">IF($B$94="no",0,IF(K$7&lt;=ROUND($B$95,0),0,INDEX($D72:K72,K$7-$B$95)+INDEX($D87:K87,K$7-$B$95)))</f>
        <v>0</v>
      </c>
      <c r="L108" s="21" cm="1">
        <f t="array" ref="L108">IF($B$94="no",0,IF(L$7&lt;=ROUND($B$95,0),0,INDEX($D72:L72,L$7-$B$95)+INDEX($D87:L87,L$7-$B$95)))</f>
        <v>0</v>
      </c>
      <c r="M108" s="21" cm="1">
        <f t="array" ref="M108">IF($B$94="no",0,IF(M$7&lt;=ROUND($B$95,0),0,INDEX($D72:M72,M$7-$B$95)+INDEX($D87:M87,M$7-$B$95)))</f>
        <v>0</v>
      </c>
      <c r="N108" s="21" cm="1">
        <f t="array" ref="N108">IF($B$94="no",0,IF(N$7&lt;=ROUND($B$95,0),0,INDEX($D72:N72,N$7-$B$95)+INDEX($D87:N87,N$7-$B$95)))</f>
        <v>2</v>
      </c>
      <c r="O108" s="21" cm="1">
        <f t="array" ref="O108">IF($B$94="no",0,IF(O$7&lt;=ROUND($B$95,0),0,INDEX($D72:O72,O$7-$B$95)+INDEX($D87:O87,O$7-$B$95)))</f>
        <v>2</v>
      </c>
      <c r="P108" s="21" cm="1">
        <f t="array" ref="P108">IF($B$94="no",0,IF(P$7&lt;=ROUND($B$95,0),0,INDEX($D72:P72,P$7-$B$95)+INDEX($D87:P87,P$7-$B$95)))</f>
        <v>10</v>
      </c>
      <c r="Q108" s="21" cm="1">
        <f t="array" ref="Q108">IF($B$94="no",0,IF(Q$7&lt;=ROUND($B$95,0),0,INDEX($D72:Q72,Q$7-$B$95)+INDEX($D87:Q87,Q$7-$B$95)))</f>
        <v>5</v>
      </c>
      <c r="R108" s="21" cm="1">
        <f t="array" ref="R108">IF($B$94="no",0,IF(R$7&lt;=ROUND($B$95,0),0,INDEX($D72:R72,R$7-$B$95)+INDEX($D87:R87,R$7-$B$95)))</f>
        <v>3</v>
      </c>
      <c r="S108" s="21" cm="1">
        <f t="array" ref="S108">IF($B$94="no",0,IF(S$7&lt;=ROUND($B$95,0),0,INDEX($D72:S72,S$7-$B$95)+INDEX($D87:S87,S$7-$B$95)))</f>
        <v>4</v>
      </c>
      <c r="T108" s="21" cm="1">
        <f t="array" ref="T108">IF($B$94="no",0,IF(T$7&lt;=ROUND($B$95,0),0,INDEX($D72:T72,T$7-$B$95)+INDEX($D87:T87,T$7-$B$95)))</f>
        <v>6</v>
      </c>
      <c r="U108" s="21" cm="1">
        <f t="array" ref="U108">IF($B$94="no",0,IF(U$7&lt;=ROUND($B$95,0),0,INDEX($D72:U72,U$7-$B$95)+INDEX($D87:U87,U$7-$B$95)))</f>
        <v>1</v>
      </c>
      <c r="V108" s="21" cm="1">
        <f t="array" ref="V108">IF($B$94="no",0,IF(V$7&lt;=ROUND($B$95,0),0,INDEX($D72:V72,V$7-$B$95)+INDEX($D87:V87,V$7-$B$95)))</f>
        <v>4</v>
      </c>
      <c r="W108" s="21" cm="1">
        <f t="array" ref="W108">IF($B$94="no",0,IF(W$7&lt;=ROUND($B$95,0),0,INDEX($D72:W72,W$7-$B$95)+INDEX($D87:W87,W$7-$B$95)))</f>
        <v>0</v>
      </c>
    </row>
    <row r="109" spans="1:23" x14ac:dyDescent="0.35">
      <c r="A109" s="6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x14ac:dyDescent="0.35">
      <c r="B110" t="s">
        <v>284</v>
      </c>
      <c r="C110" s="63"/>
      <c r="D110" s="68">
        <f>SUM(D73,D76:D87,D97:D108)</f>
        <v>17246</v>
      </c>
      <c r="E110" s="68">
        <f t="shared" ref="E110:W110" si="20">SUM(E73,E76:E87,E97:E108)</f>
        <v>18563</v>
      </c>
      <c r="F110" s="68">
        <f t="shared" si="20"/>
        <v>15825</v>
      </c>
      <c r="G110" s="68">
        <f t="shared" si="20"/>
        <v>12057</v>
      </c>
      <c r="H110" s="68">
        <f t="shared" si="20"/>
        <v>1578</v>
      </c>
      <c r="I110" s="68">
        <f t="shared" si="20"/>
        <v>6903</v>
      </c>
      <c r="J110" s="68">
        <f t="shared" si="20"/>
        <v>6326</v>
      </c>
      <c r="K110" s="68">
        <f t="shared" si="20"/>
        <v>17347</v>
      </c>
      <c r="L110" s="68">
        <f t="shared" si="20"/>
        <v>31655</v>
      </c>
      <c r="M110" s="68">
        <f t="shared" si="20"/>
        <v>16000</v>
      </c>
      <c r="N110" s="68">
        <f t="shared" si="20"/>
        <v>17245.999999999996</v>
      </c>
      <c r="O110" s="68">
        <f t="shared" si="20"/>
        <v>18563</v>
      </c>
      <c r="P110" s="68">
        <f t="shared" si="20"/>
        <v>15825</v>
      </c>
      <c r="Q110" s="68">
        <f t="shared" si="20"/>
        <v>12057</v>
      </c>
      <c r="R110" s="68">
        <f t="shared" si="20"/>
        <v>1578</v>
      </c>
      <c r="S110" s="68">
        <f t="shared" si="20"/>
        <v>6903</v>
      </c>
      <c r="T110" s="68">
        <f t="shared" si="20"/>
        <v>6326</v>
      </c>
      <c r="U110" s="68">
        <f t="shared" si="20"/>
        <v>17347</v>
      </c>
      <c r="V110" s="68">
        <f t="shared" si="20"/>
        <v>31655</v>
      </c>
      <c r="W110" s="68">
        <f t="shared" si="20"/>
        <v>16000</v>
      </c>
    </row>
    <row r="111" spans="1:23" x14ac:dyDescent="0.35">
      <c r="C111" s="63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1"/>
      <c r="T111" s="21"/>
      <c r="U111" s="21"/>
      <c r="V111" s="21"/>
      <c r="W111" s="92"/>
    </row>
    <row r="112" spans="1:23" x14ac:dyDescent="0.35">
      <c r="C112">
        <v>0</v>
      </c>
      <c r="D112">
        <v>1</v>
      </c>
      <c r="E112">
        <v>2</v>
      </c>
      <c r="F112">
        <v>3</v>
      </c>
      <c r="G112">
        <v>4</v>
      </c>
      <c r="H112">
        <v>5</v>
      </c>
      <c r="I112">
        <v>6</v>
      </c>
      <c r="J112">
        <v>7</v>
      </c>
      <c r="K112">
        <v>8</v>
      </c>
      <c r="L112">
        <v>9</v>
      </c>
      <c r="M112">
        <v>10</v>
      </c>
      <c r="N112">
        <v>11</v>
      </c>
      <c r="O112">
        <v>12</v>
      </c>
      <c r="P112">
        <v>13</v>
      </c>
      <c r="Q112">
        <v>14</v>
      </c>
      <c r="R112">
        <v>15</v>
      </c>
      <c r="S112">
        <v>16</v>
      </c>
      <c r="T112">
        <v>17</v>
      </c>
      <c r="U112">
        <v>18</v>
      </c>
      <c r="V112">
        <v>19</v>
      </c>
      <c r="W112">
        <v>20</v>
      </c>
    </row>
    <row r="113" spans="1:23" ht="30.5" x14ac:dyDescent="0.5">
      <c r="A113" s="93" t="s">
        <v>285</v>
      </c>
      <c r="B113" s="27" t="s">
        <v>286</v>
      </c>
      <c r="C113" s="30" t="s">
        <v>287</v>
      </c>
      <c r="D113" s="27">
        <f t="shared" ref="D113:W113" si="21">YearOne+D$7-1</f>
        <v>2026</v>
      </c>
      <c r="E113" s="27">
        <f t="shared" si="21"/>
        <v>2027</v>
      </c>
      <c r="F113" s="27">
        <f t="shared" si="21"/>
        <v>2028</v>
      </c>
      <c r="G113" s="27">
        <f t="shared" si="21"/>
        <v>2029</v>
      </c>
      <c r="H113" s="27">
        <f t="shared" si="21"/>
        <v>2030</v>
      </c>
      <c r="I113" s="27">
        <f t="shared" si="21"/>
        <v>2031</v>
      </c>
      <c r="J113" s="27">
        <f t="shared" si="21"/>
        <v>2032</v>
      </c>
      <c r="K113" s="27">
        <f t="shared" si="21"/>
        <v>2033</v>
      </c>
      <c r="L113" s="27">
        <f t="shared" si="21"/>
        <v>2034</v>
      </c>
      <c r="M113" s="27">
        <f t="shared" si="21"/>
        <v>2035</v>
      </c>
      <c r="N113" s="27">
        <f t="shared" si="21"/>
        <v>2036</v>
      </c>
      <c r="O113" s="27">
        <f t="shared" si="21"/>
        <v>2037</v>
      </c>
      <c r="P113" s="27">
        <f t="shared" si="21"/>
        <v>2038</v>
      </c>
      <c r="Q113" s="27">
        <f t="shared" si="21"/>
        <v>2039</v>
      </c>
      <c r="R113" s="27">
        <f t="shared" si="21"/>
        <v>2040</v>
      </c>
      <c r="S113" s="27">
        <f t="shared" si="21"/>
        <v>2041</v>
      </c>
      <c r="T113" s="27">
        <f t="shared" si="21"/>
        <v>2042</v>
      </c>
      <c r="U113" s="27">
        <f t="shared" si="21"/>
        <v>2043</v>
      </c>
      <c r="V113" s="27">
        <f t="shared" si="21"/>
        <v>2044</v>
      </c>
      <c r="W113" s="27">
        <f t="shared" si="21"/>
        <v>2045</v>
      </c>
    </row>
    <row r="114" spans="1:23" x14ac:dyDescent="0.35">
      <c r="A114" s="27" t="s">
        <v>184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</row>
    <row r="115" spans="1:23" x14ac:dyDescent="0.35">
      <c r="A115" s="8"/>
      <c r="B115" s="41" t="s">
        <v>288</v>
      </c>
      <c r="C115" s="73" t="str">
        <f>'0-Inputs'!$B$32</f>
        <v>0.5-0.5</v>
      </c>
      <c r="D115" s="151">
        <f>'CONF-MeterPrice'!E68</f>
        <v>0</v>
      </c>
      <c r="E115" s="6" cm="1">
        <f t="array" aca="1" ref="E115" ca="1">INDEX(INDIRECT($B115),,MATCH(E$113,'CONF-MeterPrice'!$E$52:$Y$52,0))</f>
        <v>0</v>
      </c>
      <c r="F115" s="6" cm="1">
        <f t="array" aca="1" ref="F115" ca="1">INDEX(INDIRECT($B115),,MATCH(F$113,'CONF-MeterPrice'!$E$52:$Y$52,0))</f>
        <v>0</v>
      </c>
      <c r="G115" s="6" cm="1">
        <f t="array" aca="1" ref="G115" ca="1">INDEX(INDIRECT($B115),,MATCH(G$113,'CONF-MeterPrice'!$E$52:$Y$52,0))</f>
        <v>0</v>
      </c>
      <c r="H115" s="6" cm="1">
        <f t="array" aca="1" ref="H115" ca="1">INDEX(INDIRECT($B115),,MATCH(H$113,'CONF-MeterPrice'!$E$52:$Y$52,0))</f>
        <v>0</v>
      </c>
      <c r="I115" s="6" cm="1">
        <f t="array" aca="1" ref="I115" ca="1">INDEX(INDIRECT($B115),,MATCH(I$113,'CONF-MeterPrice'!$E$52:$Y$52,0))</f>
        <v>0</v>
      </c>
      <c r="J115" s="6" cm="1">
        <f t="array" aca="1" ref="J115" ca="1">INDEX(INDIRECT($B115),,MATCH(J$113,'CONF-MeterPrice'!$E$52:$Y$52,0))</f>
        <v>0</v>
      </c>
      <c r="K115" s="6" cm="1">
        <f t="array" aca="1" ref="K115" ca="1">INDEX(INDIRECT($B115),,MATCH(K$113,'CONF-MeterPrice'!$E$52:$Y$52,0))</f>
        <v>0</v>
      </c>
      <c r="L115" s="6" cm="1">
        <f t="array" aca="1" ref="L115" ca="1">INDEX(INDIRECT($B115),,MATCH(L$113,'CONF-MeterPrice'!$E$52:$Y$52,0))</f>
        <v>0</v>
      </c>
      <c r="M115" s="6" cm="1">
        <f t="array" aca="1" ref="M115" ca="1">INDEX(INDIRECT($B115),,MATCH(M$113,'CONF-MeterPrice'!$E$52:$Y$52,0))</f>
        <v>0</v>
      </c>
      <c r="N115" s="6" cm="1">
        <f t="array" aca="1" ref="N115" ca="1">INDEX(INDIRECT($B115),,MATCH(N$113,'CONF-MeterPrice'!$E$52:$Y$52,0))</f>
        <v>0</v>
      </c>
      <c r="O115" s="6" cm="1">
        <f t="array" aca="1" ref="O115" ca="1">INDEX(INDIRECT($B115),,MATCH(O$113,'CONF-MeterPrice'!$E$52:$Y$52,0))</f>
        <v>0</v>
      </c>
      <c r="P115" s="6" cm="1">
        <f t="array" aca="1" ref="P115" ca="1">INDEX(INDIRECT($B115),,MATCH(P$113,'CONF-MeterPrice'!$E$52:$Y$52,0))</f>
        <v>0</v>
      </c>
      <c r="Q115" s="6" cm="1">
        <f t="array" aca="1" ref="Q115" ca="1">INDEX(INDIRECT($B115),,MATCH(Q$113,'CONF-MeterPrice'!$E$52:$Y$52,0))</f>
        <v>0</v>
      </c>
      <c r="R115" s="6" cm="1">
        <f t="array" aca="1" ref="R115" ca="1">INDEX(INDIRECT($B115),,MATCH(R$113,'CONF-MeterPrice'!$E$52:$Y$52,0))</f>
        <v>0</v>
      </c>
      <c r="S115" s="6" cm="1">
        <f t="array" aca="1" ref="S115" ca="1">INDEX(INDIRECT($B115),,MATCH(S$113,'CONF-MeterPrice'!$E$52:$Y$52,0))</f>
        <v>0</v>
      </c>
      <c r="T115" s="6" cm="1">
        <f t="array" aca="1" ref="T115" ca="1">INDEX(INDIRECT($B115),,MATCH(T$113,'CONF-MeterPrice'!$E$52:$Y$52,0))</f>
        <v>0</v>
      </c>
      <c r="U115" s="6" cm="1">
        <f t="array" aca="1" ref="U115" ca="1">INDEX(INDIRECT($B115),,MATCH(U$113,'CONF-MeterPrice'!$E$52:$Y$52,0))</f>
        <v>0</v>
      </c>
      <c r="V115" s="6" cm="1">
        <f t="array" aca="1" ref="V115" ca="1">INDEX(INDIRECT($B115),,MATCH(V$113,'CONF-MeterPrice'!$E$52:$Y$52,0))</f>
        <v>0</v>
      </c>
      <c r="W115" s="6" cm="1">
        <f t="array" aca="1" ref="W115" ca="1">INDEX(INDIRECT($B115),,MATCH(W$113,'CONF-MeterPrice'!$E$52:$Y$52,0))</f>
        <v>0</v>
      </c>
    </row>
    <row r="116" spans="1:23" x14ac:dyDescent="0.35">
      <c r="A116" s="8"/>
      <c r="B116" s="41" t="s">
        <v>289</v>
      </c>
      <c r="C116" s="73" t="str">
        <f>'0-Inputs'!$B$32</f>
        <v>0.5-0.5</v>
      </c>
      <c r="D116" s="151">
        <f>'CONF-MeterPrice'!E64</f>
        <v>0</v>
      </c>
      <c r="E116" s="6" cm="1">
        <f t="array" aca="1" ref="E116" ca="1">INDEX(INDIRECT($B116),,MATCH(E$113,'CONF-MeterPrice'!$E$52:$Y$52,0))</f>
        <v>0</v>
      </c>
      <c r="F116" s="6" cm="1">
        <f t="array" aca="1" ref="F116" ca="1">INDEX(INDIRECT($B116),,MATCH(F$113,'CONF-MeterPrice'!$E$52:$Y$52,0))</f>
        <v>0</v>
      </c>
      <c r="G116" s="6" cm="1">
        <f t="array" aca="1" ref="G116" ca="1">INDEX(INDIRECT($B116),,MATCH(G$113,'CONF-MeterPrice'!$E$52:$Y$52,0))</f>
        <v>0</v>
      </c>
      <c r="H116" s="6" cm="1">
        <f t="array" aca="1" ref="H116" ca="1">INDEX(INDIRECT($B116),,MATCH(H$113,'CONF-MeterPrice'!$E$52:$Y$52,0))</f>
        <v>0</v>
      </c>
      <c r="I116" s="6" cm="1">
        <f t="array" aca="1" ref="I116" ca="1">INDEX(INDIRECT($B116),,MATCH(I$113,'CONF-MeterPrice'!$E$52:$Y$52,0))</f>
        <v>0</v>
      </c>
      <c r="J116" s="6" cm="1">
        <f t="array" aca="1" ref="J116" ca="1">INDEX(INDIRECT($B116),,MATCH(J$113,'CONF-MeterPrice'!$E$52:$Y$52,0))</f>
        <v>0</v>
      </c>
      <c r="K116" s="6" cm="1">
        <f t="array" aca="1" ref="K116" ca="1">INDEX(INDIRECT($B116),,MATCH(K$113,'CONF-MeterPrice'!$E$52:$Y$52,0))</f>
        <v>0</v>
      </c>
      <c r="L116" s="6" cm="1">
        <f t="array" aca="1" ref="L116" ca="1">INDEX(INDIRECT($B116),,MATCH(L$113,'CONF-MeterPrice'!$E$52:$Y$52,0))</f>
        <v>0</v>
      </c>
      <c r="M116" s="6" cm="1">
        <f t="array" aca="1" ref="M116" ca="1">INDEX(INDIRECT($B116),,MATCH(M$113,'CONF-MeterPrice'!$E$52:$Y$52,0))</f>
        <v>0</v>
      </c>
      <c r="N116" s="6" cm="1">
        <f t="array" aca="1" ref="N116" ca="1">INDEX(INDIRECT($B116),,MATCH(N$113,'CONF-MeterPrice'!$E$52:$Y$52,0))</f>
        <v>0</v>
      </c>
      <c r="O116" s="6" cm="1">
        <f t="array" aca="1" ref="O116" ca="1">INDEX(INDIRECT($B116),,MATCH(O$113,'CONF-MeterPrice'!$E$52:$Y$52,0))</f>
        <v>0</v>
      </c>
      <c r="P116" s="6" cm="1">
        <f t="array" aca="1" ref="P116" ca="1">INDEX(INDIRECT($B116),,MATCH(P$113,'CONF-MeterPrice'!$E$52:$Y$52,0))</f>
        <v>0</v>
      </c>
      <c r="Q116" s="6" cm="1">
        <f t="array" aca="1" ref="Q116" ca="1">INDEX(INDIRECT($B116),,MATCH(Q$113,'CONF-MeterPrice'!$E$52:$Y$52,0))</f>
        <v>0</v>
      </c>
      <c r="R116" s="6" cm="1">
        <f t="array" aca="1" ref="R116" ca="1">INDEX(INDIRECT($B116),,MATCH(R$113,'CONF-MeterPrice'!$E$52:$Y$52,0))</f>
        <v>0</v>
      </c>
      <c r="S116" s="6" cm="1">
        <f t="array" aca="1" ref="S116" ca="1">INDEX(INDIRECT($B116),,MATCH(S$113,'CONF-MeterPrice'!$E$52:$Y$52,0))</f>
        <v>0</v>
      </c>
      <c r="T116" s="6" cm="1">
        <f t="array" aca="1" ref="T116" ca="1">INDEX(INDIRECT($B116),,MATCH(T$113,'CONF-MeterPrice'!$E$52:$Y$52,0))</f>
        <v>0</v>
      </c>
      <c r="U116" s="6" cm="1">
        <f t="array" aca="1" ref="U116" ca="1">INDEX(INDIRECT($B116),,MATCH(U$113,'CONF-MeterPrice'!$E$52:$Y$52,0))</f>
        <v>0</v>
      </c>
      <c r="V116" s="6" cm="1">
        <f t="array" aca="1" ref="V116" ca="1">INDEX(INDIRECT($B116),,MATCH(V$113,'CONF-MeterPrice'!$E$52:$Y$52,0))</f>
        <v>0</v>
      </c>
      <c r="W116" s="6" cm="1">
        <f t="array" aca="1" ref="W116" ca="1">INDEX(INDIRECT($B116),,MATCH(W$113,'CONF-MeterPrice'!$E$52:$Y$52,0))</f>
        <v>0</v>
      </c>
    </row>
    <row r="117" spans="1:23" x14ac:dyDescent="0.35">
      <c r="A117" s="8"/>
      <c r="B117" s="41" t="s">
        <v>290</v>
      </c>
      <c r="C117" s="73" t="str">
        <f>'0-Inputs'!$B$32</f>
        <v>0.5-0.5</v>
      </c>
      <c r="D117" s="79">
        <f>'CONF-MeterPrice'!E57</f>
        <v>0</v>
      </c>
      <c r="E117" s="6" cm="1">
        <f t="array" aca="1" ref="E117" ca="1">INDEX(INDIRECT($B117),,MATCH(E$113,'CONF-MeterPrice'!$E$52:$Y$52,0))</f>
        <v>0</v>
      </c>
      <c r="F117" s="6" cm="1">
        <f t="array" aca="1" ref="F117" ca="1">INDEX(INDIRECT($B117),,MATCH(F$113,'CONF-MeterPrice'!$E$52:$Y$52,0))</f>
        <v>0</v>
      </c>
      <c r="G117" s="6" cm="1">
        <f t="array" aca="1" ref="G117" ca="1">INDEX(INDIRECT($B117),,MATCH(G$113,'CONF-MeterPrice'!$E$52:$Y$52,0))</f>
        <v>0</v>
      </c>
      <c r="H117" s="6" cm="1">
        <f t="array" aca="1" ref="H117" ca="1">INDEX(INDIRECT($B117),,MATCH(H$113,'CONF-MeterPrice'!$E$52:$Y$52,0))</f>
        <v>0</v>
      </c>
      <c r="I117" s="6" cm="1">
        <f t="array" aca="1" ref="I117" ca="1">INDEX(INDIRECT($B117),,MATCH(I$113,'CONF-MeterPrice'!$E$52:$Y$52,0))</f>
        <v>0</v>
      </c>
      <c r="J117" s="6" cm="1">
        <f t="array" aca="1" ref="J117" ca="1">INDEX(INDIRECT($B117),,MATCH(J$113,'CONF-MeterPrice'!$E$52:$Y$52,0))</f>
        <v>0</v>
      </c>
      <c r="K117" s="6" cm="1">
        <f t="array" aca="1" ref="K117" ca="1">INDEX(INDIRECT($B117),,MATCH(K$113,'CONF-MeterPrice'!$E$52:$Y$52,0))</f>
        <v>0</v>
      </c>
      <c r="L117" s="6" cm="1">
        <f t="array" aca="1" ref="L117" ca="1">INDEX(INDIRECT($B117),,MATCH(L$113,'CONF-MeterPrice'!$E$52:$Y$52,0))</f>
        <v>0</v>
      </c>
      <c r="M117" s="6" cm="1">
        <f t="array" aca="1" ref="M117" ca="1">INDEX(INDIRECT($B117),,MATCH(M$113,'CONF-MeterPrice'!$E$52:$Y$52,0))</f>
        <v>0</v>
      </c>
      <c r="N117" s="6" cm="1">
        <f t="array" aca="1" ref="N117" ca="1">INDEX(INDIRECT($B117),,MATCH(N$113,'CONF-MeterPrice'!$E$52:$Y$52,0))</f>
        <v>0</v>
      </c>
      <c r="O117" s="6" cm="1">
        <f t="array" aca="1" ref="O117" ca="1">INDEX(INDIRECT($B117),,MATCH(O$113,'CONF-MeterPrice'!$E$52:$Y$52,0))</f>
        <v>0</v>
      </c>
      <c r="P117" s="6" cm="1">
        <f t="array" aca="1" ref="P117" ca="1">INDEX(INDIRECT($B117),,MATCH(P$113,'CONF-MeterPrice'!$E$52:$Y$52,0))</f>
        <v>0</v>
      </c>
      <c r="Q117" s="6" cm="1">
        <f t="array" aca="1" ref="Q117" ca="1">INDEX(INDIRECT($B117),,MATCH(Q$113,'CONF-MeterPrice'!$E$52:$Y$52,0))</f>
        <v>0</v>
      </c>
      <c r="R117" s="6" cm="1">
        <f t="array" aca="1" ref="R117" ca="1">INDEX(INDIRECT($B117),,MATCH(R$113,'CONF-MeterPrice'!$E$52:$Y$52,0))</f>
        <v>0</v>
      </c>
      <c r="S117" s="6" cm="1">
        <f t="array" aca="1" ref="S117" ca="1">INDEX(INDIRECT($B117),,MATCH(S$113,'CONF-MeterPrice'!$E$52:$Y$52,0))</f>
        <v>0</v>
      </c>
      <c r="T117" s="6" cm="1">
        <f t="array" aca="1" ref="T117" ca="1">INDEX(INDIRECT($B117),,MATCH(T$113,'CONF-MeterPrice'!$E$52:$Y$52,0))</f>
        <v>0</v>
      </c>
      <c r="U117" s="6" cm="1">
        <f t="array" aca="1" ref="U117" ca="1">INDEX(INDIRECT($B117),,MATCH(U$113,'CONF-MeterPrice'!$E$52:$Y$52,0))</f>
        <v>0</v>
      </c>
      <c r="V117" s="6" cm="1">
        <f t="array" aca="1" ref="V117" ca="1">INDEX(INDIRECT($B117),,MATCH(V$113,'CONF-MeterPrice'!$E$52:$Y$52,0))</f>
        <v>0</v>
      </c>
      <c r="W117" s="6" cm="1">
        <f t="array" aca="1" ref="W117" ca="1">INDEX(INDIRECT($B117),,MATCH(W$113,'CONF-MeterPrice'!$E$52:$Y$52,0))</f>
        <v>0</v>
      </c>
    </row>
    <row r="118" spans="1:23" x14ac:dyDescent="0.35">
      <c r="A118" s="8"/>
      <c r="B118" s="41" t="s">
        <v>291</v>
      </c>
      <c r="C118" s="73" t="str">
        <f>'0-Inputs'!$B$32</f>
        <v>0.5-0.5</v>
      </c>
      <c r="D118" s="79">
        <f>'CONF-MeterPrice'!E53</f>
        <v>0</v>
      </c>
      <c r="E118" s="6" cm="1">
        <f t="array" aca="1" ref="E118" ca="1">INDEX(INDIRECT($B118),,MATCH(E$113,'CONF-MeterPrice'!$E$52:$Y$52,0))</f>
        <v>0</v>
      </c>
      <c r="F118" s="6" cm="1">
        <f t="array" aca="1" ref="F118" ca="1">INDEX(INDIRECT($B118),,MATCH(F$113,'CONF-MeterPrice'!$E$52:$Y$52,0))</f>
        <v>0</v>
      </c>
      <c r="G118" s="6" cm="1">
        <f t="array" aca="1" ref="G118" ca="1">INDEX(INDIRECT($B118),,MATCH(G$113,'CONF-MeterPrice'!$E$52:$Y$52,0))</f>
        <v>0</v>
      </c>
      <c r="H118" s="6" cm="1">
        <f t="array" aca="1" ref="H118" ca="1">INDEX(INDIRECT($B118),,MATCH(H$113,'CONF-MeterPrice'!$E$52:$Y$52,0))</f>
        <v>0</v>
      </c>
      <c r="I118" s="6" cm="1">
        <f t="array" aca="1" ref="I118" ca="1">INDEX(INDIRECT($B118),,MATCH(I$113,'CONF-MeterPrice'!$E$52:$Y$52,0))</f>
        <v>0</v>
      </c>
      <c r="J118" s="6" cm="1">
        <f t="array" aca="1" ref="J118" ca="1">INDEX(INDIRECT($B118),,MATCH(J$113,'CONF-MeterPrice'!$E$52:$Y$52,0))</f>
        <v>0</v>
      </c>
      <c r="K118" s="6" cm="1">
        <f t="array" aca="1" ref="K118" ca="1">INDEX(INDIRECT($B118),,MATCH(K$113,'CONF-MeterPrice'!$E$52:$Y$52,0))</f>
        <v>0</v>
      </c>
      <c r="L118" s="6" cm="1">
        <f t="array" aca="1" ref="L118" ca="1">INDEX(INDIRECT($B118),,MATCH(L$113,'CONF-MeterPrice'!$E$52:$Y$52,0))</f>
        <v>0</v>
      </c>
      <c r="M118" s="6" cm="1">
        <f t="array" aca="1" ref="M118" ca="1">INDEX(INDIRECT($B118),,MATCH(M$113,'CONF-MeterPrice'!$E$52:$Y$52,0))</f>
        <v>0</v>
      </c>
      <c r="N118" s="6" cm="1">
        <f t="array" aca="1" ref="N118" ca="1">INDEX(INDIRECT($B118),,MATCH(N$113,'CONF-MeterPrice'!$E$52:$Y$52,0))</f>
        <v>0</v>
      </c>
      <c r="O118" s="6" cm="1">
        <f t="array" aca="1" ref="O118" ca="1">INDEX(INDIRECT($B118),,MATCH(O$113,'CONF-MeterPrice'!$E$52:$Y$52,0))</f>
        <v>0</v>
      </c>
      <c r="P118" s="6" cm="1">
        <f t="array" aca="1" ref="P118" ca="1">INDEX(INDIRECT($B118),,MATCH(P$113,'CONF-MeterPrice'!$E$52:$Y$52,0))</f>
        <v>0</v>
      </c>
      <c r="Q118" s="6" cm="1">
        <f t="array" aca="1" ref="Q118" ca="1">INDEX(INDIRECT($B118),,MATCH(Q$113,'CONF-MeterPrice'!$E$52:$Y$52,0))</f>
        <v>0</v>
      </c>
      <c r="R118" s="6" cm="1">
        <f t="array" aca="1" ref="R118" ca="1">INDEX(INDIRECT($B118),,MATCH(R$113,'CONF-MeterPrice'!$E$52:$Y$52,0))</f>
        <v>0</v>
      </c>
      <c r="S118" s="6" cm="1">
        <f t="array" aca="1" ref="S118" ca="1">INDEX(INDIRECT($B118),,MATCH(S$113,'CONF-MeterPrice'!$E$52:$Y$52,0))</f>
        <v>0</v>
      </c>
      <c r="T118" s="6" cm="1">
        <f t="array" aca="1" ref="T118" ca="1">INDEX(INDIRECT($B118),,MATCH(T$113,'CONF-MeterPrice'!$E$52:$Y$52,0))</f>
        <v>0</v>
      </c>
      <c r="U118" s="6" cm="1">
        <f t="array" aca="1" ref="U118" ca="1">INDEX(INDIRECT($B118),,MATCH(U$113,'CONF-MeterPrice'!$E$52:$Y$52,0))</f>
        <v>0</v>
      </c>
      <c r="V118" s="6" cm="1">
        <f t="array" aca="1" ref="V118" ca="1">INDEX(INDIRECT($B118),,MATCH(V$113,'CONF-MeterPrice'!$E$52:$Y$52,0))</f>
        <v>0</v>
      </c>
      <c r="W118" s="6" cm="1">
        <f t="array" aca="1" ref="W118" ca="1">INDEX(INDIRECT($B118),,MATCH(W$113,'CONF-MeterPrice'!$E$52:$Y$52,0))</f>
        <v>0</v>
      </c>
    </row>
    <row r="119" spans="1:23" x14ac:dyDescent="0.35">
      <c r="A119" s="114" t="s">
        <v>229</v>
      </c>
      <c r="C119" s="20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</row>
    <row r="120" spans="1:23" x14ac:dyDescent="0.35">
      <c r="A120" s="83"/>
      <c r="B120" s="41" t="s">
        <v>292</v>
      </c>
      <c r="C120" s="73" t="str">
        <f>'0-Inputs'!$B$32</f>
        <v>0.5-0.5</v>
      </c>
      <c r="D120" s="79">
        <f>'CONF-MeterPrice'!E69</f>
        <v>0</v>
      </c>
      <c r="E120" s="6" cm="1">
        <f t="array" aca="1" ref="E120" ca="1">INDEX(INDIRECT($B120),,MATCH(E$113,'CONF-MeterPrice'!$E$52:$Y$52,0))</f>
        <v>0</v>
      </c>
      <c r="F120" s="6" cm="1">
        <f t="array" aca="1" ref="F120" ca="1">INDEX(INDIRECT($B120),,MATCH(F$113,'CONF-MeterPrice'!$E$52:$Y$52,0))</f>
        <v>0</v>
      </c>
      <c r="G120" s="6" cm="1">
        <f t="array" aca="1" ref="G120" ca="1">INDEX(INDIRECT($B120),,MATCH(G$113,'CONF-MeterPrice'!$E$52:$Y$52,0))</f>
        <v>0</v>
      </c>
      <c r="H120" s="6" cm="1">
        <f t="array" aca="1" ref="H120" ca="1">INDEX(INDIRECT($B120),,MATCH(H$113,'CONF-MeterPrice'!$E$52:$Y$52,0))</f>
        <v>0</v>
      </c>
      <c r="I120" s="6" cm="1">
        <f t="array" aca="1" ref="I120" ca="1">INDEX(INDIRECT($B120),,MATCH(I$113,'CONF-MeterPrice'!$E$52:$Y$52,0))</f>
        <v>0</v>
      </c>
      <c r="J120" s="6" cm="1">
        <f t="array" aca="1" ref="J120" ca="1">INDEX(INDIRECT($B120),,MATCH(J$113,'CONF-MeterPrice'!$E$52:$Y$52,0))</f>
        <v>0</v>
      </c>
      <c r="K120" s="6" cm="1">
        <f t="array" aca="1" ref="K120" ca="1">INDEX(INDIRECT($B120),,MATCH(K$113,'CONF-MeterPrice'!$E$52:$Y$52,0))</f>
        <v>0</v>
      </c>
      <c r="L120" s="6" cm="1">
        <f t="array" aca="1" ref="L120" ca="1">INDEX(INDIRECT($B120),,MATCH(L$113,'CONF-MeterPrice'!$E$52:$Y$52,0))</f>
        <v>0</v>
      </c>
      <c r="M120" s="6" cm="1">
        <f t="array" aca="1" ref="M120" ca="1">INDEX(INDIRECT($B120),,MATCH(M$113,'CONF-MeterPrice'!$E$52:$Y$52,0))</f>
        <v>0</v>
      </c>
      <c r="N120" s="6" cm="1">
        <f t="array" aca="1" ref="N120" ca="1">INDEX(INDIRECT($B120),,MATCH(N$113,'CONF-MeterPrice'!$E$52:$Y$52,0))</f>
        <v>0</v>
      </c>
      <c r="O120" s="6" cm="1">
        <f t="array" aca="1" ref="O120" ca="1">INDEX(INDIRECT($B120),,MATCH(O$113,'CONF-MeterPrice'!$E$52:$Y$52,0))</f>
        <v>0</v>
      </c>
      <c r="P120" s="6" cm="1">
        <f t="array" aca="1" ref="P120" ca="1">INDEX(INDIRECT($B120),,MATCH(P$113,'CONF-MeterPrice'!$E$52:$Y$52,0))</f>
        <v>0</v>
      </c>
      <c r="Q120" s="6" cm="1">
        <f t="array" aca="1" ref="Q120" ca="1">INDEX(INDIRECT($B120),,MATCH(Q$113,'CONF-MeterPrice'!$E$52:$Y$52,0))</f>
        <v>0</v>
      </c>
      <c r="R120" s="6" cm="1">
        <f t="array" aca="1" ref="R120" ca="1">INDEX(INDIRECT($B120),,MATCH(R$113,'CONF-MeterPrice'!$E$52:$Y$52,0))</f>
        <v>0</v>
      </c>
      <c r="S120" s="6" cm="1">
        <f t="array" aca="1" ref="S120" ca="1">INDEX(INDIRECT($B120),,MATCH(S$113,'CONF-MeterPrice'!$E$52:$Y$52,0))</f>
        <v>0</v>
      </c>
      <c r="T120" s="6" cm="1">
        <f t="array" aca="1" ref="T120" ca="1">INDEX(INDIRECT($B120),,MATCH(T$113,'CONF-MeterPrice'!$E$52:$Y$52,0))</f>
        <v>0</v>
      </c>
      <c r="U120" s="6" cm="1">
        <f t="array" aca="1" ref="U120" ca="1">INDEX(INDIRECT($B120),,MATCH(U$113,'CONF-MeterPrice'!$E$52:$Y$52,0))</f>
        <v>0</v>
      </c>
      <c r="V120" s="6" cm="1">
        <f t="array" aca="1" ref="V120" ca="1">INDEX(INDIRECT($B120),,MATCH(V$113,'CONF-MeterPrice'!$E$52:$Y$52,0))</f>
        <v>0</v>
      </c>
      <c r="W120" s="6" cm="1">
        <f t="array" aca="1" ref="W120" ca="1">INDEX(INDIRECT($B120),,MATCH(W$113,'CONF-MeterPrice'!$E$52:$Y$52,0))</f>
        <v>0</v>
      </c>
    </row>
    <row r="121" spans="1:23" x14ac:dyDescent="0.35">
      <c r="A121" s="83"/>
      <c r="B121" s="41" t="s">
        <v>293</v>
      </c>
      <c r="C121" s="73" t="str">
        <f>'0-Inputs'!$B$32</f>
        <v>0.5-0.5</v>
      </c>
      <c r="D121" s="151">
        <f>'CONF-MeterPrice'!E65</f>
        <v>0</v>
      </c>
      <c r="E121" s="6" cm="1">
        <f t="array" aca="1" ref="E121" ca="1">INDEX(INDIRECT($B121),,MATCH(E$113,'CONF-MeterPrice'!$E$52:$Y$52,0))</f>
        <v>0</v>
      </c>
      <c r="F121" s="6" cm="1">
        <f t="array" aca="1" ref="F121" ca="1">INDEX(INDIRECT($B121),,MATCH(F$113,'CONF-MeterPrice'!$E$52:$Y$52,0))</f>
        <v>0</v>
      </c>
      <c r="G121" s="6" cm="1">
        <f t="array" aca="1" ref="G121" ca="1">INDEX(INDIRECT($B121),,MATCH(G$113,'CONF-MeterPrice'!$E$52:$Y$52,0))</f>
        <v>0</v>
      </c>
      <c r="H121" s="6" cm="1">
        <f t="array" aca="1" ref="H121" ca="1">INDEX(INDIRECT($B121),,MATCH(H$113,'CONF-MeterPrice'!$E$52:$Y$52,0))</f>
        <v>0</v>
      </c>
      <c r="I121" s="6" cm="1">
        <f t="array" aca="1" ref="I121" ca="1">INDEX(INDIRECT($B121),,MATCH(I$113,'CONF-MeterPrice'!$E$52:$Y$52,0))</f>
        <v>0</v>
      </c>
      <c r="J121" s="6" cm="1">
        <f t="array" aca="1" ref="J121" ca="1">INDEX(INDIRECT($B121),,MATCH(J$113,'CONF-MeterPrice'!$E$52:$Y$52,0))</f>
        <v>0</v>
      </c>
      <c r="K121" s="6" cm="1">
        <f t="array" aca="1" ref="K121" ca="1">INDEX(INDIRECT($B121),,MATCH(K$113,'CONF-MeterPrice'!$E$52:$Y$52,0))</f>
        <v>0</v>
      </c>
      <c r="L121" s="6" cm="1">
        <f t="array" aca="1" ref="L121" ca="1">INDEX(INDIRECT($B121),,MATCH(L$113,'CONF-MeterPrice'!$E$52:$Y$52,0))</f>
        <v>0</v>
      </c>
      <c r="M121" s="6" cm="1">
        <f t="array" aca="1" ref="M121" ca="1">INDEX(INDIRECT($B121),,MATCH(M$113,'CONF-MeterPrice'!$E$52:$Y$52,0))</f>
        <v>0</v>
      </c>
      <c r="N121" s="6" cm="1">
        <f t="array" aca="1" ref="N121" ca="1">INDEX(INDIRECT($B121),,MATCH(N$113,'CONF-MeterPrice'!$E$52:$Y$52,0))</f>
        <v>0</v>
      </c>
      <c r="O121" s="6" cm="1">
        <f t="array" aca="1" ref="O121" ca="1">INDEX(INDIRECT($B121),,MATCH(O$113,'CONF-MeterPrice'!$E$52:$Y$52,0))</f>
        <v>0</v>
      </c>
      <c r="P121" s="6" cm="1">
        <f t="array" aca="1" ref="P121" ca="1">INDEX(INDIRECT($B121),,MATCH(P$113,'CONF-MeterPrice'!$E$52:$Y$52,0))</f>
        <v>0</v>
      </c>
      <c r="Q121" s="6" cm="1">
        <f t="array" aca="1" ref="Q121" ca="1">INDEX(INDIRECT($B121),,MATCH(Q$113,'CONF-MeterPrice'!$E$52:$Y$52,0))</f>
        <v>0</v>
      </c>
      <c r="R121" s="6" cm="1">
        <f t="array" aca="1" ref="R121" ca="1">INDEX(INDIRECT($B121),,MATCH(R$113,'CONF-MeterPrice'!$E$52:$Y$52,0))</f>
        <v>0</v>
      </c>
      <c r="S121" s="6" cm="1">
        <f t="array" aca="1" ref="S121" ca="1">INDEX(INDIRECT($B121),,MATCH(S$113,'CONF-MeterPrice'!$E$52:$Y$52,0))</f>
        <v>0</v>
      </c>
      <c r="T121" s="6" cm="1">
        <f t="array" aca="1" ref="T121" ca="1">INDEX(INDIRECT($B121),,MATCH(T$113,'CONF-MeterPrice'!$E$52:$Y$52,0))</f>
        <v>0</v>
      </c>
      <c r="U121" s="6" cm="1">
        <f t="array" aca="1" ref="U121" ca="1">INDEX(INDIRECT($B121),,MATCH(U$113,'CONF-MeterPrice'!$E$52:$Y$52,0))</f>
        <v>0</v>
      </c>
      <c r="V121" s="6" cm="1">
        <f t="array" aca="1" ref="V121" ca="1">INDEX(INDIRECT($B121),,MATCH(V$113,'CONF-MeterPrice'!$E$52:$Y$52,0))</f>
        <v>0</v>
      </c>
      <c r="W121" s="6" cm="1">
        <f t="array" aca="1" ref="W121" ca="1">INDEX(INDIRECT($B121),,MATCH(W$113,'CONF-MeterPrice'!$E$52:$Y$52,0))</f>
        <v>0</v>
      </c>
    </row>
    <row r="122" spans="1:23" x14ac:dyDescent="0.35">
      <c r="A122" s="83"/>
      <c r="B122" s="41" t="s">
        <v>294</v>
      </c>
      <c r="C122" s="73" t="str">
        <f>'0-Inputs'!$B$32</f>
        <v>0.5-0.5</v>
      </c>
      <c r="D122" s="79">
        <f>'CONF-MeterPrice'!E58</f>
        <v>0</v>
      </c>
      <c r="E122" s="6" cm="1">
        <f t="array" aca="1" ref="E122" ca="1">INDEX(INDIRECT($B122),,MATCH(E$113,'CONF-MeterPrice'!$E$52:$Y$52,0))</f>
        <v>0</v>
      </c>
      <c r="F122" s="6" cm="1">
        <f t="array" aca="1" ref="F122" ca="1">INDEX(INDIRECT($B122),,MATCH(F$113,'CONF-MeterPrice'!$E$52:$Y$52,0))</f>
        <v>0</v>
      </c>
      <c r="G122" s="6" cm="1">
        <f t="array" aca="1" ref="G122" ca="1">INDEX(INDIRECT($B122),,MATCH(G$113,'CONF-MeterPrice'!$E$52:$Y$52,0))</f>
        <v>0</v>
      </c>
      <c r="H122" s="6" cm="1">
        <f t="array" aca="1" ref="H122" ca="1">INDEX(INDIRECT($B122),,MATCH(H$113,'CONF-MeterPrice'!$E$52:$Y$52,0))</f>
        <v>0</v>
      </c>
      <c r="I122" s="6" cm="1">
        <f t="array" aca="1" ref="I122" ca="1">INDEX(INDIRECT($B122),,MATCH(I$113,'CONF-MeterPrice'!$E$52:$Y$52,0))</f>
        <v>0</v>
      </c>
      <c r="J122" s="6" cm="1">
        <f t="array" aca="1" ref="J122" ca="1">INDEX(INDIRECT($B122),,MATCH(J$113,'CONF-MeterPrice'!$E$52:$Y$52,0))</f>
        <v>0</v>
      </c>
      <c r="K122" s="6" cm="1">
        <f t="array" aca="1" ref="K122" ca="1">INDEX(INDIRECT($B122),,MATCH(K$113,'CONF-MeterPrice'!$E$52:$Y$52,0))</f>
        <v>0</v>
      </c>
      <c r="L122" s="6" cm="1">
        <f t="array" aca="1" ref="L122" ca="1">INDEX(INDIRECT($B122),,MATCH(L$113,'CONF-MeterPrice'!$E$52:$Y$52,0))</f>
        <v>0</v>
      </c>
      <c r="M122" s="6" cm="1">
        <f t="array" aca="1" ref="M122" ca="1">INDEX(INDIRECT($B122),,MATCH(M$113,'CONF-MeterPrice'!$E$52:$Y$52,0))</f>
        <v>0</v>
      </c>
      <c r="N122" s="6" cm="1">
        <f t="array" aca="1" ref="N122" ca="1">INDEX(INDIRECT($B122),,MATCH(N$113,'CONF-MeterPrice'!$E$52:$Y$52,0))</f>
        <v>0</v>
      </c>
      <c r="O122" s="6" cm="1">
        <f t="array" aca="1" ref="O122" ca="1">INDEX(INDIRECT($B122),,MATCH(O$113,'CONF-MeterPrice'!$E$52:$Y$52,0))</f>
        <v>0</v>
      </c>
      <c r="P122" s="6" cm="1">
        <f t="array" aca="1" ref="P122" ca="1">INDEX(INDIRECT($B122),,MATCH(P$113,'CONF-MeterPrice'!$E$52:$Y$52,0))</f>
        <v>0</v>
      </c>
      <c r="Q122" s="6" cm="1">
        <f t="array" aca="1" ref="Q122" ca="1">INDEX(INDIRECT($B122),,MATCH(Q$113,'CONF-MeterPrice'!$E$52:$Y$52,0))</f>
        <v>0</v>
      </c>
      <c r="R122" s="6" cm="1">
        <f t="array" aca="1" ref="R122" ca="1">INDEX(INDIRECT($B122),,MATCH(R$113,'CONF-MeterPrice'!$E$52:$Y$52,0))</f>
        <v>0</v>
      </c>
      <c r="S122" s="6" cm="1">
        <f t="array" aca="1" ref="S122" ca="1">INDEX(INDIRECT($B122),,MATCH(S$113,'CONF-MeterPrice'!$E$52:$Y$52,0))</f>
        <v>0</v>
      </c>
      <c r="T122" s="6" cm="1">
        <f t="array" aca="1" ref="T122" ca="1">INDEX(INDIRECT($B122),,MATCH(T$113,'CONF-MeterPrice'!$E$52:$Y$52,0))</f>
        <v>0</v>
      </c>
      <c r="U122" s="6" cm="1">
        <f t="array" aca="1" ref="U122" ca="1">INDEX(INDIRECT($B122),,MATCH(U$113,'CONF-MeterPrice'!$E$52:$Y$52,0))</f>
        <v>0</v>
      </c>
      <c r="V122" s="6" cm="1">
        <f t="array" aca="1" ref="V122" ca="1">INDEX(INDIRECT($B122),,MATCH(V$113,'CONF-MeterPrice'!$E$52:$Y$52,0))</f>
        <v>0</v>
      </c>
      <c r="W122" s="6" cm="1">
        <f t="array" aca="1" ref="W122" ca="1">INDEX(INDIRECT($B122),,MATCH(W$113,'CONF-MeterPrice'!$E$52:$Y$52,0))</f>
        <v>0</v>
      </c>
    </row>
    <row r="123" spans="1:23" x14ac:dyDescent="0.35">
      <c r="A123" s="83"/>
      <c r="B123" s="41" t="s">
        <v>295</v>
      </c>
      <c r="C123" s="73" t="str">
        <f>'0-Inputs'!$B$32</f>
        <v>0.5-0.5</v>
      </c>
      <c r="D123" s="79">
        <f>'CONF-MeterPrice'!E54</f>
        <v>0</v>
      </c>
      <c r="E123" s="6" cm="1">
        <f t="array" aca="1" ref="E123" ca="1">INDEX(INDIRECT($B123),,MATCH(E$113,'CONF-MeterPrice'!$E$52:$Y$52,0))</f>
        <v>0</v>
      </c>
      <c r="F123" s="6" cm="1">
        <f t="array" aca="1" ref="F123" ca="1">INDEX(INDIRECT($B123),,MATCH(F$113,'CONF-MeterPrice'!$E$52:$Y$52,0))</f>
        <v>0</v>
      </c>
      <c r="G123" s="6" cm="1">
        <f t="array" aca="1" ref="G123" ca="1">INDEX(INDIRECT($B123),,MATCH(G$113,'CONF-MeterPrice'!$E$52:$Y$52,0))</f>
        <v>0</v>
      </c>
      <c r="H123" s="6" cm="1">
        <f t="array" aca="1" ref="H123" ca="1">INDEX(INDIRECT($B123),,MATCH(H$113,'CONF-MeterPrice'!$E$52:$Y$52,0))</f>
        <v>0</v>
      </c>
      <c r="I123" s="6" cm="1">
        <f t="array" aca="1" ref="I123" ca="1">INDEX(INDIRECT($B123),,MATCH(I$113,'CONF-MeterPrice'!$E$52:$Y$52,0))</f>
        <v>0</v>
      </c>
      <c r="J123" s="6" cm="1">
        <f t="array" aca="1" ref="J123" ca="1">INDEX(INDIRECT($B123),,MATCH(J$113,'CONF-MeterPrice'!$E$52:$Y$52,0))</f>
        <v>0</v>
      </c>
      <c r="K123" s="6" cm="1">
        <f t="array" aca="1" ref="K123" ca="1">INDEX(INDIRECT($B123),,MATCH(K$113,'CONF-MeterPrice'!$E$52:$Y$52,0))</f>
        <v>0</v>
      </c>
      <c r="L123" s="6" cm="1">
        <f t="array" aca="1" ref="L123" ca="1">INDEX(INDIRECT($B123),,MATCH(L$113,'CONF-MeterPrice'!$E$52:$Y$52,0))</f>
        <v>0</v>
      </c>
      <c r="M123" s="6" cm="1">
        <f t="array" aca="1" ref="M123" ca="1">INDEX(INDIRECT($B123),,MATCH(M$113,'CONF-MeterPrice'!$E$52:$Y$52,0))</f>
        <v>0</v>
      </c>
      <c r="N123" s="6" cm="1">
        <f t="array" aca="1" ref="N123" ca="1">INDEX(INDIRECT($B123),,MATCH(N$113,'CONF-MeterPrice'!$E$52:$Y$52,0))</f>
        <v>0</v>
      </c>
      <c r="O123" s="6" cm="1">
        <f t="array" aca="1" ref="O123" ca="1">INDEX(INDIRECT($B123),,MATCH(O$113,'CONF-MeterPrice'!$E$52:$Y$52,0))</f>
        <v>0</v>
      </c>
      <c r="P123" s="6" cm="1">
        <f t="array" aca="1" ref="P123" ca="1">INDEX(INDIRECT($B123),,MATCH(P$113,'CONF-MeterPrice'!$E$52:$Y$52,0))</f>
        <v>0</v>
      </c>
      <c r="Q123" s="6" cm="1">
        <f t="array" aca="1" ref="Q123" ca="1">INDEX(INDIRECT($B123),,MATCH(Q$113,'CONF-MeterPrice'!$E$52:$Y$52,0))</f>
        <v>0</v>
      </c>
      <c r="R123" s="6" cm="1">
        <f t="array" aca="1" ref="R123" ca="1">INDEX(INDIRECT($B123),,MATCH(R$113,'CONF-MeterPrice'!$E$52:$Y$52,0))</f>
        <v>0</v>
      </c>
      <c r="S123" s="6" cm="1">
        <f t="array" aca="1" ref="S123" ca="1">INDEX(INDIRECT($B123),,MATCH(S$113,'CONF-MeterPrice'!$E$52:$Y$52,0))</f>
        <v>0</v>
      </c>
      <c r="T123" s="6" cm="1">
        <f t="array" aca="1" ref="T123" ca="1">INDEX(INDIRECT($B123),,MATCH(T$113,'CONF-MeterPrice'!$E$52:$Y$52,0))</f>
        <v>0</v>
      </c>
      <c r="U123" s="6" cm="1">
        <f t="array" aca="1" ref="U123" ca="1">INDEX(INDIRECT($B123),,MATCH(U$113,'CONF-MeterPrice'!$E$52:$Y$52,0))</f>
        <v>0</v>
      </c>
      <c r="V123" s="6" cm="1">
        <f t="array" aca="1" ref="V123" ca="1">INDEX(INDIRECT($B123),,MATCH(V$113,'CONF-MeterPrice'!$E$52:$Y$52,0))</f>
        <v>0</v>
      </c>
      <c r="W123" s="6" cm="1">
        <f t="array" aca="1" ref="W123" ca="1">INDEX(INDIRECT($B123),,MATCH(W$113,'CONF-MeterPrice'!$E$52:$Y$52,0))</f>
        <v>0</v>
      </c>
    </row>
    <row r="124" spans="1:23" x14ac:dyDescent="0.35">
      <c r="A124" s="114" t="s">
        <v>267</v>
      </c>
      <c r="C124" s="20"/>
      <c r="D124" s="79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x14ac:dyDescent="0.35">
      <c r="A125" s="8"/>
      <c r="B125" s="41" t="s">
        <v>296</v>
      </c>
      <c r="C125" s="73" t="str">
        <f>'0-Inputs'!$B$32</f>
        <v>0.5-0.5</v>
      </c>
      <c r="D125" s="79">
        <f>'CONF-MeterPrice'!E61</f>
        <v>0</v>
      </c>
      <c r="E125" s="6" cm="1">
        <f t="array" aca="1" ref="E125" ca="1">INDEX(INDIRECT($B125),,MATCH(E$113,'CONF-MeterPrice'!$E$52:$Y$52,0))</f>
        <v>0</v>
      </c>
      <c r="F125" s="6" cm="1">
        <f t="array" aca="1" ref="F125" ca="1">INDEX(INDIRECT($B125),,MATCH(F$113,'CONF-MeterPrice'!$E$52:$Y$52,0))</f>
        <v>0</v>
      </c>
      <c r="G125" s="6" cm="1">
        <f t="array" aca="1" ref="G125" ca="1">INDEX(INDIRECT($B125),,MATCH(G$113,'CONF-MeterPrice'!$E$52:$Y$52,0))</f>
        <v>0</v>
      </c>
      <c r="H125" s="6" cm="1">
        <f t="array" aca="1" ref="H125" ca="1">INDEX(INDIRECT($B125),,MATCH(H$113,'CONF-MeterPrice'!$E$52:$Y$52,0))</f>
        <v>0</v>
      </c>
      <c r="I125" s="6" cm="1">
        <f t="array" aca="1" ref="I125" ca="1">INDEX(INDIRECT($B125),,MATCH(I$113,'CONF-MeterPrice'!$E$52:$Y$52,0))</f>
        <v>0</v>
      </c>
      <c r="J125" s="6" cm="1">
        <f t="array" aca="1" ref="J125" ca="1">INDEX(INDIRECT($B125),,MATCH(J$113,'CONF-MeterPrice'!$E$52:$Y$52,0))</f>
        <v>0</v>
      </c>
      <c r="K125" s="6" cm="1">
        <f t="array" aca="1" ref="K125" ca="1">INDEX(INDIRECT($B125),,MATCH(K$113,'CONF-MeterPrice'!$E$52:$Y$52,0))</f>
        <v>0</v>
      </c>
      <c r="L125" s="6" cm="1">
        <f t="array" aca="1" ref="L125" ca="1">INDEX(INDIRECT($B125),,MATCH(L$113,'CONF-MeterPrice'!$E$52:$Y$52,0))</f>
        <v>0</v>
      </c>
      <c r="M125" s="6" cm="1">
        <f t="array" aca="1" ref="M125" ca="1">INDEX(INDIRECT($B125),,MATCH(M$113,'CONF-MeterPrice'!$E$52:$Y$52,0))</f>
        <v>0</v>
      </c>
      <c r="N125" s="6" cm="1">
        <f t="array" aca="1" ref="N125" ca="1">INDEX(INDIRECT($B125),,MATCH(N$113,'CONF-MeterPrice'!$E$52:$Y$52,0))</f>
        <v>0</v>
      </c>
      <c r="O125" s="6" cm="1">
        <f t="array" aca="1" ref="O125" ca="1">INDEX(INDIRECT($B125),,MATCH(O$113,'CONF-MeterPrice'!$E$52:$Y$52,0))</f>
        <v>0</v>
      </c>
      <c r="P125" s="6" cm="1">
        <f t="array" aca="1" ref="P125" ca="1">INDEX(INDIRECT($B125),,MATCH(P$113,'CONF-MeterPrice'!$E$52:$Y$52,0))</f>
        <v>0</v>
      </c>
      <c r="Q125" s="6" cm="1">
        <f t="array" aca="1" ref="Q125" ca="1">INDEX(INDIRECT($B125),,MATCH(Q$113,'CONF-MeterPrice'!$E$52:$Y$52,0))</f>
        <v>0</v>
      </c>
      <c r="R125" s="6" cm="1">
        <f t="array" aca="1" ref="R125" ca="1">INDEX(INDIRECT($B125),,MATCH(R$113,'CONF-MeterPrice'!$E$52:$Y$52,0))</f>
        <v>0</v>
      </c>
      <c r="S125" s="6" cm="1">
        <f t="array" aca="1" ref="S125" ca="1">INDEX(INDIRECT($B125),,MATCH(S$113,'CONF-MeterPrice'!$E$52:$Y$52,0))</f>
        <v>0</v>
      </c>
      <c r="T125" s="6" cm="1">
        <f t="array" aca="1" ref="T125" ca="1">INDEX(INDIRECT($B125),,MATCH(T$113,'CONF-MeterPrice'!$E$52:$Y$52,0))</f>
        <v>0</v>
      </c>
      <c r="U125" s="6" cm="1">
        <f t="array" aca="1" ref="U125" ca="1">INDEX(INDIRECT($B125),,MATCH(U$113,'CONF-MeterPrice'!$E$52:$Y$52,0))</f>
        <v>0</v>
      </c>
      <c r="V125" s="6" cm="1">
        <f t="array" aca="1" ref="V125" ca="1">INDEX(INDIRECT($B125),,MATCH(V$113,'CONF-MeterPrice'!$E$52:$Y$52,0))</f>
        <v>0</v>
      </c>
      <c r="W125" s="6" cm="1">
        <f t="array" aca="1" ref="W125" ca="1">INDEX(INDIRECT($B125),,MATCH(W$113,'CONF-MeterPrice'!$E$52:$Y$52,0))</f>
        <v>0</v>
      </c>
    </row>
    <row r="126" spans="1:23" x14ac:dyDescent="0.35">
      <c r="A126" s="8"/>
      <c r="B126" s="41" t="s">
        <v>297</v>
      </c>
      <c r="C126" s="73" t="str">
        <f>'0-Inputs'!$B$32</f>
        <v>0.5-0.5</v>
      </c>
      <c r="D126" s="79">
        <f>'CONF-MeterPrice'!E60</f>
        <v>0</v>
      </c>
      <c r="E126" s="6" cm="1">
        <f t="array" aca="1" ref="E126" ca="1">INDEX(INDIRECT($B126),,MATCH(E$113,'CONF-MeterPrice'!$E$52:$Y$52,0))</f>
        <v>0</v>
      </c>
      <c r="F126" s="6" cm="1">
        <f t="array" aca="1" ref="F126" ca="1">INDEX(INDIRECT($B126),,MATCH(F$113,'CONF-MeterPrice'!$E$52:$Y$52,0))</f>
        <v>0</v>
      </c>
      <c r="G126" s="6" cm="1">
        <f t="array" aca="1" ref="G126" ca="1">INDEX(INDIRECT($B126),,MATCH(G$113,'CONF-MeterPrice'!$E$52:$Y$52,0))</f>
        <v>0</v>
      </c>
      <c r="H126" s="6" cm="1">
        <f t="array" aca="1" ref="H126" ca="1">INDEX(INDIRECT($B126),,MATCH(H$113,'CONF-MeterPrice'!$E$52:$Y$52,0))</f>
        <v>0</v>
      </c>
      <c r="I126" s="6" cm="1">
        <f t="array" aca="1" ref="I126" ca="1">INDEX(INDIRECT($B126),,MATCH(I$113,'CONF-MeterPrice'!$E$52:$Y$52,0))</f>
        <v>0</v>
      </c>
      <c r="J126" s="6" cm="1">
        <f t="array" aca="1" ref="J126" ca="1">INDEX(INDIRECT($B126),,MATCH(J$113,'CONF-MeterPrice'!$E$52:$Y$52,0))</f>
        <v>0</v>
      </c>
      <c r="K126" s="6" cm="1">
        <f t="array" aca="1" ref="K126" ca="1">INDEX(INDIRECT($B126),,MATCH(K$113,'CONF-MeterPrice'!$E$52:$Y$52,0))</f>
        <v>0</v>
      </c>
      <c r="L126" s="6" cm="1">
        <f t="array" aca="1" ref="L126" ca="1">INDEX(INDIRECT($B126),,MATCH(L$113,'CONF-MeterPrice'!$E$52:$Y$52,0))</f>
        <v>0</v>
      </c>
      <c r="M126" s="6" cm="1">
        <f t="array" aca="1" ref="M126" ca="1">INDEX(INDIRECT($B126),,MATCH(M$113,'CONF-MeterPrice'!$E$52:$Y$52,0))</f>
        <v>0</v>
      </c>
      <c r="N126" s="6" cm="1">
        <f t="array" aca="1" ref="N126" ca="1">INDEX(INDIRECT($B126),,MATCH(N$113,'CONF-MeterPrice'!$E$52:$Y$52,0))</f>
        <v>0</v>
      </c>
      <c r="O126" s="6" cm="1">
        <f t="array" aca="1" ref="O126" ca="1">INDEX(INDIRECT($B126),,MATCH(O$113,'CONF-MeterPrice'!$E$52:$Y$52,0))</f>
        <v>0</v>
      </c>
      <c r="P126" s="6" cm="1">
        <f t="array" aca="1" ref="P126" ca="1">INDEX(INDIRECT($B126),,MATCH(P$113,'CONF-MeterPrice'!$E$52:$Y$52,0))</f>
        <v>0</v>
      </c>
      <c r="Q126" s="6" cm="1">
        <f t="array" aca="1" ref="Q126" ca="1">INDEX(INDIRECT($B126),,MATCH(Q$113,'CONF-MeterPrice'!$E$52:$Y$52,0))</f>
        <v>0</v>
      </c>
      <c r="R126" s="6" cm="1">
        <f t="array" aca="1" ref="R126" ca="1">INDEX(INDIRECT($B126),,MATCH(R$113,'CONF-MeterPrice'!$E$52:$Y$52,0))</f>
        <v>0</v>
      </c>
      <c r="S126" s="6" cm="1">
        <f t="array" aca="1" ref="S126" ca="1">INDEX(INDIRECT($B126),,MATCH(S$113,'CONF-MeterPrice'!$E$52:$Y$52,0))</f>
        <v>0</v>
      </c>
      <c r="T126" s="6" cm="1">
        <f t="array" aca="1" ref="T126" ca="1">INDEX(INDIRECT($B126),,MATCH(T$113,'CONF-MeterPrice'!$E$52:$Y$52,0))</f>
        <v>0</v>
      </c>
      <c r="U126" s="6" cm="1">
        <f t="array" aca="1" ref="U126" ca="1">INDEX(INDIRECT($B126),,MATCH(U$113,'CONF-MeterPrice'!$E$52:$Y$52,0))</f>
        <v>0</v>
      </c>
      <c r="V126" s="6" cm="1">
        <f t="array" aca="1" ref="V126" ca="1">INDEX(INDIRECT($B126),,MATCH(V$113,'CONF-MeterPrice'!$E$52:$Y$52,0))</f>
        <v>0</v>
      </c>
      <c r="W126" s="6" cm="1">
        <f t="array" aca="1" ref="W126" ca="1">INDEX(INDIRECT($B126),,MATCH(W$113,'CONF-MeterPrice'!$E$52:$Y$52,0))</f>
        <v>0</v>
      </c>
    </row>
    <row r="127" spans="1:23" x14ac:dyDescent="0.35">
      <c r="A127" s="8"/>
      <c r="C127" s="20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</row>
    <row r="128" spans="1:23" x14ac:dyDescent="0.35">
      <c r="A128" s="8"/>
      <c r="C128" s="20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</row>
    <row r="129" spans="1:23" x14ac:dyDescent="0.35">
      <c r="A129" s="266"/>
      <c r="C129" s="20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</row>
    <row r="130" spans="1:23" x14ac:dyDescent="0.35">
      <c r="D130" s="270">
        <f>YearOne</f>
        <v>2026</v>
      </c>
      <c r="E130" s="270">
        <f>D130+1</f>
        <v>2027</v>
      </c>
      <c r="F130" s="270">
        <f t="shared" ref="F130:W130" si="22">E130+1</f>
        <v>2028</v>
      </c>
      <c r="G130" s="270">
        <f t="shared" si="22"/>
        <v>2029</v>
      </c>
      <c r="H130" s="270">
        <f t="shared" si="22"/>
        <v>2030</v>
      </c>
      <c r="I130" s="270">
        <f t="shared" si="22"/>
        <v>2031</v>
      </c>
      <c r="J130" s="270">
        <f t="shared" si="22"/>
        <v>2032</v>
      </c>
      <c r="K130" s="270">
        <f t="shared" si="22"/>
        <v>2033</v>
      </c>
      <c r="L130" s="270">
        <f t="shared" si="22"/>
        <v>2034</v>
      </c>
      <c r="M130" s="270">
        <f t="shared" si="22"/>
        <v>2035</v>
      </c>
      <c r="N130" s="270">
        <f t="shared" si="22"/>
        <v>2036</v>
      </c>
      <c r="O130" s="270">
        <f t="shared" si="22"/>
        <v>2037</v>
      </c>
      <c r="P130" s="270">
        <f t="shared" si="22"/>
        <v>2038</v>
      </c>
      <c r="Q130" s="270">
        <f t="shared" si="22"/>
        <v>2039</v>
      </c>
      <c r="R130" s="270">
        <f t="shared" si="22"/>
        <v>2040</v>
      </c>
      <c r="S130" s="270">
        <f t="shared" si="22"/>
        <v>2041</v>
      </c>
      <c r="T130" s="270">
        <f t="shared" si="22"/>
        <v>2042</v>
      </c>
      <c r="U130" s="270">
        <f t="shared" si="22"/>
        <v>2043</v>
      </c>
      <c r="V130" s="270">
        <f t="shared" si="22"/>
        <v>2044</v>
      </c>
      <c r="W130" s="270">
        <f t="shared" si="22"/>
        <v>2045</v>
      </c>
    </row>
    <row r="131" spans="1:23" ht="21" x14ac:dyDescent="0.5">
      <c r="A131" s="93" t="s">
        <v>298</v>
      </c>
      <c r="B131" s="1" t="s">
        <v>299</v>
      </c>
      <c r="C131" s="52">
        <f>YearOne-1</f>
        <v>2025</v>
      </c>
      <c r="D131" s="6"/>
    </row>
    <row r="132" spans="1:23" x14ac:dyDescent="0.35">
      <c r="A132" s="33" t="s">
        <v>300</v>
      </c>
      <c r="B132" s="186">
        <f>'0-Inputs'!$B$126</f>
        <v>0</v>
      </c>
      <c r="C132" s="167">
        <f>'0-Inputs'!B121</f>
        <v>0</v>
      </c>
      <c r="D132" s="14">
        <f t="shared" ref="D132:W132" si="23">IF($B132="yes",C132*(1+InflationGeneral),C132)</f>
        <v>0</v>
      </c>
      <c r="E132" s="14">
        <f t="shared" si="23"/>
        <v>0</v>
      </c>
      <c r="F132" s="14">
        <f t="shared" si="23"/>
        <v>0</v>
      </c>
      <c r="G132" s="14">
        <f t="shared" si="23"/>
        <v>0</v>
      </c>
      <c r="H132" s="14">
        <f t="shared" si="23"/>
        <v>0</v>
      </c>
      <c r="I132" s="14">
        <f t="shared" si="23"/>
        <v>0</v>
      </c>
      <c r="J132" s="14">
        <f t="shared" si="23"/>
        <v>0</v>
      </c>
      <c r="K132" s="14">
        <f t="shared" si="23"/>
        <v>0</v>
      </c>
      <c r="L132" s="14">
        <f t="shared" si="23"/>
        <v>0</v>
      </c>
      <c r="M132" s="14">
        <f t="shared" si="23"/>
        <v>0</v>
      </c>
      <c r="N132" s="14">
        <f t="shared" si="23"/>
        <v>0</v>
      </c>
      <c r="O132" s="14">
        <f t="shared" si="23"/>
        <v>0</v>
      </c>
      <c r="P132" s="14">
        <f t="shared" si="23"/>
        <v>0</v>
      </c>
      <c r="Q132" s="14">
        <f t="shared" si="23"/>
        <v>0</v>
      </c>
      <c r="R132" s="14">
        <f t="shared" si="23"/>
        <v>0</v>
      </c>
      <c r="S132" s="14">
        <f t="shared" si="23"/>
        <v>0</v>
      </c>
      <c r="T132" s="14">
        <f t="shared" si="23"/>
        <v>0</v>
      </c>
      <c r="U132" s="14">
        <f t="shared" si="23"/>
        <v>0</v>
      </c>
      <c r="V132" s="14">
        <f t="shared" si="23"/>
        <v>0</v>
      </c>
      <c r="W132" s="14">
        <f t="shared" si="23"/>
        <v>0</v>
      </c>
    </row>
    <row r="133" spans="1:23" x14ac:dyDescent="0.35">
      <c r="A133" s="33" t="s">
        <v>301</v>
      </c>
      <c r="C133" s="6"/>
      <c r="D133" s="166">
        <f ca="1">IF(AND($B$2="AMI",$B$3="Hybrid"),IF(D7&lt;=10,OFFSET('0-Inputs'!$B$132,D7-1,0),0),0)</f>
        <v>0</v>
      </c>
      <c r="E133" s="166">
        <f ca="1">IF(AND($B$2="AMI",$B$3="Hybrid"),IF(E7&lt;=10,OFFSET('0-Inputs'!$B$132,E7-1,0),0),0)</f>
        <v>0</v>
      </c>
      <c r="F133" s="166">
        <f ca="1">IF(AND($B$2="AMI",$B$3="Hybrid"),IF(F7&lt;=10,OFFSET('0-Inputs'!$B$132,F7-1,0),0),0)</f>
        <v>0</v>
      </c>
      <c r="G133" s="166">
        <f ca="1">IF(AND($B$2="AMI",$B$3="Hybrid"),IF(G7&lt;=10,OFFSET('0-Inputs'!$B$132,G7-1,0),0),0)</f>
        <v>0</v>
      </c>
      <c r="H133" s="166">
        <f ca="1">IF(AND($B$2="AMI",$B$3="Hybrid"),IF(H7&lt;=10,OFFSET('0-Inputs'!$B$132,H7-1,0),0),0)</f>
        <v>0</v>
      </c>
      <c r="I133" s="166">
        <f ca="1">IF(AND($B$2="AMI",$B$3="Hybrid"),IF(I7&lt;=10,OFFSET('0-Inputs'!$B$132,I7-1,0),0),0)</f>
        <v>0</v>
      </c>
      <c r="J133" s="166">
        <f ca="1">IF(AND($B$2="AMI",$B$3="Hybrid"),IF(J7&lt;=10,OFFSET('0-Inputs'!$B$132,J7-1,0),0),0)</f>
        <v>0</v>
      </c>
      <c r="K133" s="166">
        <f ca="1">IF(AND($B$2="AMI",$B$3="Hybrid"),IF(K7&lt;=10,OFFSET('0-Inputs'!$B$132,K7-1,0),0),0)</f>
        <v>0</v>
      </c>
      <c r="L133" s="166">
        <f ca="1">IF(AND($B$2="AMI",$B$3="Hybrid"),IF(L7&lt;=10,OFFSET('0-Inputs'!$B$132,L7-1,0),0),0)</f>
        <v>0</v>
      </c>
      <c r="M133" s="166">
        <f ca="1">IF(AND($B$2="AMI",$B$3="Hybrid"),IF(M7&lt;=10,OFFSET('0-Inputs'!$B$132,M7-1,0),0),0)</f>
        <v>0</v>
      </c>
      <c r="N133" s="166">
        <f ca="1">IF(AND($B$2="AMI",$B$3="Hybrid"),IF(N7&lt;=10,OFFSET('0-Inputs'!$B$132,N7-1,0),0),0)</f>
        <v>0</v>
      </c>
      <c r="O133" s="166">
        <f ca="1">IF(AND($B$2="AMI",$B$3="Hybrid"),IF(O7&lt;=10,OFFSET('0-Inputs'!$B$132,O7-1,0),0),0)</f>
        <v>0</v>
      </c>
      <c r="P133" s="166">
        <f ca="1">IF(AND($B$2="AMI",$B$3="Hybrid"),IF(P7&lt;=10,OFFSET('0-Inputs'!$B$132,P7-1,0),0),0)</f>
        <v>0</v>
      </c>
      <c r="Q133" s="166">
        <f ca="1">IF(AND($B$2="AMI",$B$3="Hybrid"),IF(Q7&lt;=10,OFFSET('0-Inputs'!$B$132,Q7-1,0),0),0)</f>
        <v>0</v>
      </c>
      <c r="R133" s="166">
        <f ca="1">IF(AND($B$2="AMI",$B$3="Hybrid"),IF(R7&lt;=10,OFFSET('0-Inputs'!$B$132,R7-1,0),0),0)</f>
        <v>0</v>
      </c>
      <c r="S133" s="166">
        <f ca="1">IF(AND($B$2="AMI",$B$3="Hybrid"),IF(S7&lt;=10,OFFSET('0-Inputs'!$B$132,S7-1,0),0),0)</f>
        <v>0</v>
      </c>
      <c r="T133" s="166">
        <f ca="1">IF(AND($B$2="AMI",$B$3="Hybrid"),IF(T7&lt;=10,OFFSET('0-Inputs'!$B$132,T7-1,0),0),0)</f>
        <v>0</v>
      </c>
      <c r="U133" s="166">
        <f ca="1">IF(AND($B$2="AMI",$B$3="Hybrid"),IF(U7&lt;=10,OFFSET('0-Inputs'!$B$132,U7-1,0),0),0)</f>
        <v>0</v>
      </c>
      <c r="V133" s="166">
        <f ca="1">IF(AND($B$2="AMI",$B$3="Hybrid"),IF(V7&lt;=10,OFFSET('0-Inputs'!$B$132,V7-1,0),0),0)</f>
        <v>0</v>
      </c>
      <c r="W133" s="166">
        <f ca="1">IF(AND($B$2="AMI",$B$3="Hybrid"),IF(W7&lt;=10,OFFSET('0-Inputs'!$B$132,W7-1,0),0),0)</f>
        <v>0</v>
      </c>
    </row>
    <row r="134" spans="1:23" s="19" customFormat="1" x14ac:dyDescent="0.35">
      <c r="A134" s="181" t="s">
        <v>302</v>
      </c>
      <c r="C134" s="78"/>
      <c r="D134" s="185">
        <f ca="1">D132*D133</f>
        <v>0</v>
      </c>
      <c r="E134" s="185">
        <f t="shared" ref="E134:W134" ca="1" si="24">E132*E133</f>
        <v>0</v>
      </c>
      <c r="F134" s="185">
        <f t="shared" ca="1" si="24"/>
        <v>0</v>
      </c>
      <c r="G134" s="185">
        <f t="shared" ca="1" si="24"/>
        <v>0</v>
      </c>
      <c r="H134" s="185">
        <f t="shared" ca="1" si="24"/>
        <v>0</v>
      </c>
      <c r="I134" s="185">
        <f t="shared" ca="1" si="24"/>
        <v>0</v>
      </c>
      <c r="J134" s="185">
        <f t="shared" ca="1" si="24"/>
        <v>0</v>
      </c>
      <c r="K134" s="185">
        <f t="shared" ca="1" si="24"/>
        <v>0</v>
      </c>
      <c r="L134" s="185">
        <f t="shared" ca="1" si="24"/>
        <v>0</v>
      </c>
      <c r="M134" s="185">
        <f t="shared" ca="1" si="24"/>
        <v>0</v>
      </c>
      <c r="N134" s="185">
        <f t="shared" ca="1" si="24"/>
        <v>0</v>
      </c>
      <c r="O134" s="185">
        <f t="shared" ca="1" si="24"/>
        <v>0</v>
      </c>
      <c r="P134" s="185">
        <f t="shared" ca="1" si="24"/>
        <v>0</v>
      </c>
      <c r="Q134" s="185">
        <f t="shared" ca="1" si="24"/>
        <v>0</v>
      </c>
      <c r="R134" s="185">
        <f t="shared" ca="1" si="24"/>
        <v>0</v>
      </c>
      <c r="S134" s="185">
        <f t="shared" ca="1" si="24"/>
        <v>0</v>
      </c>
      <c r="T134" s="185">
        <f t="shared" ca="1" si="24"/>
        <v>0</v>
      </c>
      <c r="U134" s="185">
        <f t="shared" ca="1" si="24"/>
        <v>0</v>
      </c>
      <c r="V134" s="185">
        <f t="shared" ca="1" si="24"/>
        <v>0</v>
      </c>
      <c r="W134" s="185">
        <f t="shared" ca="1" si="24"/>
        <v>0</v>
      </c>
    </row>
    <row r="135" spans="1:23" x14ac:dyDescent="0.35">
      <c r="A135" s="33" t="s">
        <v>303</v>
      </c>
      <c r="C135" s="168">
        <v>0</v>
      </c>
      <c r="D135" s="21">
        <f ca="1">SUM($D133:D133)</f>
        <v>0</v>
      </c>
      <c r="E135" s="21">
        <f ca="1">SUM($D133:E133)</f>
        <v>0</v>
      </c>
      <c r="F135" s="21">
        <f ca="1">SUM($D133:F133)</f>
        <v>0</v>
      </c>
      <c r="G135" s="21">
        <f ca="1">SUM($D133:G133)</f>
        <v>0</v>
      </c>
      <c r="H135" s="21">
        <f ca="1">SUM($D133:H133)</f>
        <v>0</v>
      </c>
      <c r="I135" s="21">
        <f ca="1">SUM($D133:I133)</f>
        <v>0</v>
      </c>
      <c r="J135" s="21">
        <f ca="1">SUM($D133:J133)</f>
        <v>0</v>
      </c>
      <c r="K135" s="21">
        <f ca="1">SUM($D133:K133)</f>
        <v>0</v>
      </c>
      <c r="L135" s="21">
        <f ca="1">SUM($D133:L133)</f>
        <v>0</v>
      </c>
      <c r="M135" s="21">
        <f ca="1">SUM($D133:M133)</f>
        <v>0</v>
      </c>
      <c r="N135" s="21">
        <f ca="1">SUM($D133:N133)</f>
        <v>0</v>
      </c>
      <c r="O135" s="21">
        <f ca="1">SUM($D133:O133)</f>
        <v>0</v>
      </c>
      <c r="P135" s="21">
        <f ca="1">SUM($D133:P133)</f>
        <v>0</v>
      </c>
      <c r="Q135" s="21">
        <f ca="1">SUM($D133:Q133)</f>
        <v>0</v>
      </c>
      <c r="R135" s="21">
        <f ca="1">SUM($D133:R133)</f>
        <v>0</v>
      </c>
      <c r="S135" s="21">
        <f ca="1">SUM($D133:S133)</f>
        <v>0</v>
      </c>
      <c r="T135" s="21">
        <f ca="1">SUM($D133:T133)</f>
        <v>0</v>
      </c>
      <c r="U135" s="21">
        <f ca="1">SUM($D133:U133)</f>
        <v>0</v>
      </c>
      <c r="V135" s="21">
        <f ca="1">SUM($D133:V133)</f>
        <v>0</v>
      </c>
      <c r="W135" s="21">
        <f ca="1">SUM($D133:W133)</f>
        <v>0</v>
      </c>
    </row>
    <row r="136" spans="1:23" x14ac:dyDescent="0.35">
      <c r="A136" s="33"/>
      <c r="B136" s="1" t="s">
        <v>299</v>
      </c>
      <c r="C136" s="52">
        <f>YearOne-1</f>
        <v>2025</v>
      </c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1:23" x14ac:dyDescent="0.35">
      <c r="A137" s="33" t="s">
        <v>304</v>
      </c>
      <c r="B137" s="186">
        <f>'0-Inputs'!$B$126</f>
        <v>0</v>
      </c>
      <c r="C137" s="167">
        <f>'0-Inputs'!B122</f>
        <v>0</v>
      </c>
      <c r="D137" s="14">
        <f t="shared" ref="D137:W137" si="25">IF($B137="yes",C137*(1+InflationGeneral),C137)</f>
        <v>0</v>
      </c>
      <c r="E137" s="14">
        <f t="shared" si="25"/>
        <v>0</v>
      </c>
      <c r="F137" s="14">
        <f t="shared" si="25"/>
        <v>0</v>
      </c>
      <c r="G137" s="14">
        <f t="shared" si="25"/>
        <v>0</v>
      </c>
      <c r="H137" s="14">
        <f t="shared" si="25"/>
        <v>0</v>
      </c>
      <c r="I137" s="14">
        <f t="shared" si="25"/>
        <v>0</v>
      </c>
      <c r="J137" s="14">
        <f t="shared" si="25"/>
        <v>0</v>
      </c>
      <c r="K137" s="14">
        <f t="shared" si="25"/>
        <v>0</v>
      </c>
      <c r="L137" s="14">
        <f t="shared" si="25"/>
        <v>0</v>
      </c>
      <c r="M137" s="14">
        <f t="shared" si="25"/>
        <v>0</v>
      </c>
      <c r="N137" s="14">
        <f t="shared" si="25"/>
        <v>0</v>
      </c>
      <c r="O137" s="14">
        <f t="shared" si="25"/>
        <v>0</v>
      </c>
      <c r="P137" s="14">
        <f t="shared" si="25"/>
        <v>0</v>
      </c>
      <c r="Q137" s="14">
        <f t="shared" si="25"/>
        <v>0</v>
      </c>
      <c r="R137" s="14">
        <f t="shared" si="25"/>
        <v>0</v>
      </c>
      <c r="S137" s="14">
        <f t="shared" si="25"/>
        <v>0</v>
      </c>
      <c r="T137" s="14">
        <f t="shared" si="25"/>
        <v>0</v>
      </c>
      <c r="U137" s="14">
        <f t="shared" si="25"/>
        <v>0</v>
      </c>
      <c r="V137" s="14">
        <f t="shared" si="25"/>
        <v>0</v>
      </c>
      <c r="W137" s="14">
        <f t="shared" si="25"/>
        <v>0</v>
      </c>
    </row>
    <row r="138" spans="1:23" s="19" customFormat="1" x14ac:dyDescent="0.35">
      <c r="A138" s="181" t="s">
        <v>304</v>
      </c>
      <c r="C138" s="188"/>
      <c r="D138" s="189">
        <f ca="1">-D137*(D153-C153)</f>
        <v>0</v>
      </c>
      <c r="E138" s="189">
        <f t="shared" ref="E138:W138" ca="1" si="26">-E137*(E153-D153)</f>
        <v>0</v>
      </c>
      <c r="F138" s="189">
        <f t="shared" ca="1" si="26"/>
        <v>0</v>
      </c>
      <c r="G138" s="189">
        <f t="shared" ca="1" si="26"/>
        <v>0</v>
      </c>
      <c r="H138" s="189">
        <f t="shared" ca="1" si="26"/>
        <v>0</v>
      </c>
      <c r="I138" s="189">
        <f t="shared" ca="1" si="26"/>
        <v>0</v>
      </c>
      <c r="J138" s="189">
        <f ca="1">-J137*(J153-I153)</f>
        <v>0</v>
      </c>
      <c r="K138" s="189">
        <f ca="1">-K137*(K153-J153)</f>
        <v>0</v>
      </c>
      <c r="L138" s="189">
        <f t="shared" ca="1" si="26"/>
        <v>0</v>
      </c>
      <c r="M138" s="189">
        <f t="shared" ca="1" si="26"/>
        <v>0</v>
      </c>
      <c r="N138" s="189">
        <f t="shared" ca="1" si="26"/>
        <v>0</v>
      </c>
      <c r="O138" s="189">
        <f t="shared" ca="1" si="26"/>
        <v>0</v>
      </c>
      <c r="P138" s="189">
        <f t="shared" ca="1" si="26"/>
        <v>0</v>
      </c>
      <c r="Q138" s="189">
        <f t="shared" ca="1" si="26"/>
        <v>0</v>
      </c>
      <c r="R138" s="189">
        <f t="shared" ca="1" si="26"/>
        <v>0</v>
      </c>
      <c r="S138" s="189">
        <f t="shared" ca="1" si="26"/>
        <v>0</v>
      </c>
      <c r="T138" s="189">
        <f t="shared" ca="1" si="26"/>
        <v>0</v>
      </c>
      <c r="U138" s="189">
        <f t="shared" ca="1" si="26"/>
        <v>0</v>
      </c>
      <c r="V138" s="189">
        <f t="shared" ca="1" si="26"/>
        <v>0</v>
      </c>
      <c r="W138" s="189">
        <f t="shared" ca="1" si="26"/>
        <v>0</v>
      </c>
    </row>
    <row r="139" spans="1:23" x14ac:dyDescent="0.35">
      <c r="A139" s="33"/>
      <c r="C139" s="149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</row>
    <row r="140" spans="1:23" x14ac:dyDescent="0.35">
      <c r="A140" s="177" t="s">
        <v>305</v>
      </c>
      <c r="C140" s="71"/>
    </row>
    <row r="141" spans="1:23" x14ac:dyDescent="0.35">
      <c r="A141" s="33" t="s">
        <v>306</v>
      </c>
      <c r="C141" s="71"/>
      <c r="D141" s="12">
        <f ca="1">IF(AND($B$2="AMI",$B$3="Hybrid"),IF(D7&lt;=10,OFFSET('0-Inputs'!$B$143,D7-1,0),C141),0)</f>
        <v>0</v>
      </c>
      <c r="E141" s="12">
        <f ca="1">IF(AND($B$2="AMI",$B$3="Hybrid"),IF(E7&lt;=10,OFFSET('0-Inputs'!$B$143,E7-1,0),D141),0)</f>
        <v>0</v>
      </c>
      <c r="F141" s="12">
        <f ca="1">IF(AND($B$2="AMI",$B$3="Hybrid"),IF(F7&lt;=10,OFFSET('0-Inputs'!$B$143,F7-1,0),E141),0)</f>
        <v>0</v>
      </c>
      <c r="G141" s="12">
        <f ca="1">IF(AND($B$2="AMI",$B$3="Hybrid"),IF(G7&lt;=10,OFFSET('0-Inputs'!$B$143,G7-1,0),F141),0)</f>
        <v>0</v>
      </c>
      <c r="H141" s="12">
        <f ca="1">IF(AND($B$2="AMI",$B$3="Hybrid"),IF(H7&lt;=10,OFFSET('0-Inputs'!$B$143,H7-1,0),G141),0)</f>
        <v>0</v>
      </c>
      <c r="I141" s="12">
        <f ca="1">IF(AND($B$2="AMI",$B$3="Hybrid"),IF(I7&lt;=10,OFFSET('0-Inputs'!$B$143,I7-1,0),H141),0)</f>
        <v>0</v>
      </c>
      <c r="J141" s="12">
        <f ca="1">IF(AND($B$2="AMI",$B$3="Hybrid"),IF(J7&lt;=10,OFFSET('0-Inputs'!$B$143,J7-1,0),I141),0)</f>
        <v>0</v>
      </c>
      <c r="K141" s="12">
        <f ca="1">IF(AND($B$2="AMI",$B$3="Hybrid"),IF(K7&lt;=10,OFFSET('0-Inputs'!$B$143,K7-1,0),J141),0)</f>
        <v>0</v>
      </c>
      <c r="L141" s="12">
        <f ca="1">IF(AND($B$2="AMI",$B$3="Hybrid"),IF(L7&lt;=10,OFFSET('0-Inputs'!$B$143,L7-1,0),K141),0)</f>
        <v>0</v>
      </c>
      <c r="M141" s="12">
        <f ca="1">IF(AND($B$2="AMI",$B$3="Hybrid"),IF(M7&lt;=10,OFFSET('0-Inputs'!$B$143,M7-1,0),L141),0)</f>
        <v>0</v>
      </c>
      <c r="N141" s="12">
        <f ca="1">IF(AND($B$2="AMI",$B$3="Hybrid"),IF(N7&lt;=10,OFFSET('0-Inputs'!$B$143,N7-1,0),M141),0)</f>
        <v>0</v>
      </c>
      <c r="O141" s="12">
        <f ca="1">IF(AND($B$2="AMI",$B$3="Hybrid"),IF(O7&lt;=10,OFFSET('0-Inputs'!$B$143,O7-1,0),N141),0)</f>
        <v>0</v>
      </c>
      <c r="P141" s="12">
        <f ca="1">IF(AND($B$2="AMI",$B$3="Hybrid"),IF(P7&lt;=10,OFFSET('0-Inputs'!$B$143,P7-1,0),O141),0)</f>
        <v>0</v>
      </c>
      <c r="Q141" s="12">
        <f ca="1">IF(AND($B$2="AMI",$B$3="Hybrid"),IF(Q7&lt;=10,OFFSET('0-Inputs'!$B$143,Q7-1,0),P141),0)</f>
        <v>0</v>
      </c>
      <c r="R141" s="12">
        <f ca="1">IF(AND($B$2="AMI",$B$3="Hybrid"),IF(R7&lt;=10,OFFSET('0-Inputs'!$B$143,R7-1,0),Q141),0)</f>
        <v>0</v>
      </c>
      <c r="S141" s="12">
        <f ca="1">IF(AND($B$2="AMI",$B$3="Hybrid"),IF(S7&lt;=10,OFFSET('0-Inputs'!$B$143,S7-1,0),R141),0)</f>
        <v>0</v>
      </c>
      <c r="T141" s="12">
        <f ca="1">IF(AND($B$2="AMI",$B$3="Hybrid"),IF(T7&lt;=10,OFFSET('0-Inputs'!$B$143,T7-1,0),S141),0)</f>
        <v>0</v>
      </c>
      <c r="U141" s="12">
        <f ca="1">IF(AND($B$2="AMI",$B$3="Hybrid"),IF(U7&lt;=10,OFFSET('0-Inputs'!$B$143,U7-1,0),T141),0)</f>
        <v>0</v>
      </c>
      <c r="V141" s="12">
        <f ca="1">IF(AND($B$2="AMI",$B$3="Hybrid"),IF(V7&lt;=10,OFFSET('0-Inputs'!$B$143,V7-1,0),U141),0)</f>
        <v>0</v>
      </c>
      <c r="W141" s="12">
        <f ca="1">IF(AND($B$2="AMI",$B$3="Hybrid"),IF(W7&lt;=10,OFFSET('0-Inputs'!$B$143,W7-1,0),V141),0)</f>
        <v>0</v>
      </c>
    </row>
    <row r="142" spans="1:23" x14ac:dyDescent="0.35">
      <c r="A142" s="33" t="s">
        <v>307</v>
      </c>
      <c r="C142" s="168">
        <v>0</v>
      </c>
      <c r="D142" s="184">
        <f>$C244-SUM($D65:D68)</f>
        <v>138975</v>
      </c>
      <c r="E142" s="184">
        <f>$C244-SUM($D65:E68)</f>
        <v>131113</v>
      </c>
      <c r="F142" s="184">
        <f>$C244-SUM($D65:F68)</f>
        <v>115345</v>
      </c>
      <c r="G142" s="184">
        <f>$C244-SUM($D65:G68)</f>
        <v>103295</v>
      </c>
      <c r="H142" s="184">
        <f>$C244-SUM($D65:H68)</f>
        <v>101728</v>
      </c>
      <c r="I142" s="184">
        <f>$C244-SUM($D65:I68)</f>
        <v>94840</v>
      </c>
      <c r="J142" s="184">
        <f>$C244-SUM($D65:J68)</f>
        <v>88540</v>
      </c>
      <c r="K142" s="184">
        <f>$C244-SUM($D65:K68)</f>
        <v>71236</v>
      </c>
      <c r="L142" s="184">
        <f>$C244-SUM($D65:L68)</f>
        <v>39609</v>
      </c>
      <c r="M142" s="184">
        <f>$C244-SUM($D65:M68)</f>
        <v>39609</v>
      </c>
      <c r="N142" s="184">
        <f>$C244-SUM($D65:N68)</f>
        <v>39609</v>
      </c>
      <c r="O142" s="184">
        <f>$C244-SUM($D65:O68)</f>
        <v>39609</v>
      </c>
      <c r="P142" s="184">
        <f>$C244-SUM($D65:P68)</f>
        <v>39609</v>
      </c>
      <c r="Q142" s="184">
        <f>$C244-SUM($D65:Q68)</f>
        <v>39609</v>
      </c>
      <c r="R142" s="184">
        <f>$C244-SUM($D65:R68)</f>
        <v>39609</v>
      </c>
      <c r="S142" s="184">
        <f>$C244-SUM($D65:S68)</f>
        <v>39609</v>
      </c>
      <c r="T142" s="184">
        <f>$C244-SUM($D65:T68)</f>
        <v>39609</v>
      </c>
      <c r="U142" s="184">
        <f>$C244-SUM($D65:U68)</f>
        <v>39609</v>
      </c>
      <c r="V142" s="184">
        <f>$C244-SUM($D65:V68)</f>
        <v>39609</v>
      </c>
      <c r="W142" s="184">
        <f>$C244-SUM($D65:W68)</f>
        <v>39609</v>
      </c>
    </row>
    <row r="143" spans="1:23" x14ac:dyDescent="0.35">
      <c r="A143" s="33" t="s">
        <v>308</v>
      </c>
      <c r="D143" s="169">
        <f ca="1">D141*D142</f>
        <v>0</v>
      </c>
      <c r="E143" s="169">
        <f ca="1">E141*E142</f>
        <v>0</v>
      </c>
      <c r="F143" s="169">
        <f t="shared" ref="F143:W143" ca="1" si="27">F141*F142</f>
        <v>0</v>
      </c>
      <c r="G143" s="169">
        <f t="shared" ca="1" si="27"/>
        <v>0</v>
      </c>
      <c r="H143" s="169">
        <f t="shared" ca="1" si="27"/>
        <v>0</v>
      </c>
      <c r="I143" s="169">
        <f t="shared" ca="1" si="27"/>
        <v>0</v>
      </c>
      <c r="J143" s="169">
        <f t="shared" ca="1" si="27"/>
        <v>0</v>
      </c>
      <c r="K143" s="169">
        <f t="shared" ca="1" si="27"/>
        <v>0</v>
      </c>
      <c r="L143" s="169">
        <f t="shared" ca="1" si="27"/>
        <v>0</v>
      </c>
      <c r="M143" s="169">
        <f t="shared" ca="1" si="27"/>
        <v>0</v>
      </c>
      <c r="N143" s="169">
        <f t="shared" ca="1" si="27"/>
        <v>0</v>
      </c>
      <c r="O143" s="169">
        <f t="shared" ca="1" si="27"/>
        <v>0</v>
      </c>
      <c r="P143" s="169">
        <f t="shared" ca="1" si="27"/>
        <v>0</v>
      </c>
      <c r="Q143" s="169">
        <f t="shared" ca="1" si="27"/>
        <v>0</v>
      </c>
      <c r="R143" s="169">
        <f t="shared" ca="1" si="27"/>
        <v>0</v>
      </c>
      <c r="S143" s="169">
        <f t="shared" ca="1" si="27"/>
        <v>0</v>
      </c>
      <c r="T143" s="169">
        <f t="shared" ca="1" si="27"/>
        <v>0</v>
      </c>
      <c r="U143" s="169">
        <f t="shared" ca="1" si="27"/>
        <v>0</v>
      </c>
      <c r="V143" s="169">
        <f t="shared" ca="1" si="27"/>
        <v>0</v>
      </c>
      <c r="W143" s="169">
        <f t="shared" ca="1" si="27"/>
        <v>0</v>
      </c>
    </row>
    <row r="144" spans="1:23" x14ac:dyDescent="0.35">
      <c r="A144" s="33"/>
      <c r="B144" s="1" t="s">
        <v>299</v>
      </c>
      <c r="C144" s="52" t="str">
        <f>"Per Meter "&amp;YearOne-1</f>
        <v>Per Meter 2025</v>
      </c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</row>
    <row r="145" spans="1:23" x14ac:dyDescent="0.35">
      <c r="A145" s="8" t="s">
        <v>309</v>
      </c>
      <c r="B145" s="186">
        <f>'0-Inputs'!$B$126</f>
        <v>0</v>
      </c>
      <c r="C145" s="170">
        <f>'0-Inputs'!B124</f>
        <v>0</v>
      </c>
      <c r="D145" s="7">
        <f t="shared" ref="D145:W145" si="28">IF($B145="yes",C145*(1+InflationGeneral),C145)</f>
        <v>0</v>
      </c>
      <c r="E145" s="7">
        <f>IF($B145="yes",D145*(1+InflationGeneral),D145)</f>
        <v>0</v>
      </c>
      <c r="F145" s="7">
        <f t="shared" si="28"/>
        <v>0</v>
      </c>
      <c r="G145" s="7">
        <f t="shared" si="28"/>
        <v>0</v>
      </c>
      <c r="H145" s="7">
        <f t="shared" si="28"/>
        <v>0</v>
      </c>
      <c r="I145" s="7">
        <f t="shared" si="28"/>
        <v>0</v>
      </c>
      <c r="J145" s="7">
        <f t="shared" si="28"/>
        <v>0</v>
      </c>
      <c r="K145" s="7">
        <f t="shared" si="28"/>
        <v>0</v>
      </c>
      <c r="L145" s="7">
        <f t="shared" si="28"/>
        <v>0</v>
      </c>
      <c r="M145" s="7">
        <f t="shared" si="28"/>
        <v>0</v>
      </c>
      <c r="N145" s="7">
        <f t="shared" si="28"/>
        <v>0</v>
      </c>
      <c r="O145" s="7">
        <f t="shared" si="28"/>
        <v>0</v>
      </c>
      <c r="P145" s="7">
        <f t="shared" si="28"/>
        <v>0</v>
      </c>
      <c r="Q145" s="7">
        <f t="shared" si="28"/>
        <v>0</v>
      </c>
      <c r="R145" s="7">
        <f t="shared" si="28"/>
        <v>0</v>
      </c>
      <c r="S145" s="7">
        <f t="shared" si="28"/>
        <v>0</v>
      </c>
      <c r="T145" s="7">
        <f t="shared" si="28"/>
        <v>0</v>
      </c>
      <c r="U145" s="7">
        <f t="shared" si="28"/>
        <v>0</v>
      </c>
      <c r="V145" s="7">
        <f t="shared" si="28"/>
        <v>0</v>
      </c>
      <c r="W145" s="7">
        <f t="shared" si="28"/>
        <v>0</v>
      </c>
    </row>
    <row r="146" spans="1:23" s="19" customFormat="1" x14ac:dyDescent="0.35">
      <c r="A146" s="88" t="s">
        <v>310</v>
      </c>
      <c r="C146" s="182"/>
      <c r="D146" s="183">
        <f ca="1">AVERAGE(C143:D143)*D145</f>
        <v>0</v>
      </c>
      <c r="E146" s="183">
        <f ca="1">AVERAGE(D143:E143)*E145</f>
        <v>0</v>
      </c>
      <c r="F146" s="183">
        <f t="shared" ref="F146:W146" ca="1" si="29">AVERAGE(E143:F143)*F145</f>
        <v>0</v>
      </c>
      <c r="G146" s="183">
        <f t="shared" ca="1" si="29"/>
        <v>0</v>
      </c>
      <c r="H146" s="183">
        <f t="shared" ca="1" si="29"/>
        <v>0</v>
      </c>
      <c r="I146" s="183">
        <f t="shared" ca="1" si="29"/>
        <v>0</v>
      </c>
      <c r="J146" s="183">
        <f t="shared" ca="1" si="29"/>
        <v>0</v>
      </c>
      <c r="K146" s="183">
        <f t="shared" ca="1" si="29"/>
        <v>0</v>
      </c>
      <c r="L146" s="183">
        <f t="shared" ca="1" si="29"/>
        <v>0</v>
      </c>
      <c r="M146" s="183">
        <f t="shared" ca="1" si="29"/>
        <v>0</v>
      </c>
      <c r="N146" s="183">
        <f t="shared" ca="1" si="29"/>
        <v>0</v>
      </c>
      <c r="O146" s="183">
        <f t="shared" ca="1" si="29"/>
        <v>0</v>
      </c>
      <c r="P146" s="183">
        <f t="shared" ca="1" si="29"/>
        <v>0</v>
      </c>
      <c r="Q146" s="183">
        <f ca="1">AVERAGE(P143:Q143)*Q145</f>
        <v>0</v>
      </c>
      <c r="R146" s="183">
        <f t="shared" ca="1" si="29"/>
        <v>0</v>
      </c>
      <c r="S146" s="183">
        <f t="shared" ca="1" si="29"/>
        <v>0</v>
      </c>
      <c r="T146" s="183">
        <f t="shared" ca="1" si="29"/>
        <v>0</v>
      </c>
      <c r="U146" s="183">
        <f t="shared" ca="1" si="29"/>
        <v>0</v>
      </c>
      <c r="V146" s="183">
        <f t="shared" ca="1" si="29"/>
        <v>0</v>
      </c>
      <c r="W146" s="183">
        <f t="shared" ca="1" si="29"/>
        <v>0</v>
      </c>
    </row>
    <row r="147" spans="1:23" x14ac:dyDescent="0.35">
      <c r="A147" s="8"/>
      <c r="B147" s="172" t="s">
        <v>311</v>
      </c>
    </row>
    <row r="148" spans="1:23" x14ac:dyDescent="0.35">
      <c r="A148" s="8" t="s">
        <v>312</v>
      </c>
      <c r="B148" s="173"/>
      <c r="D148" s="31">
        <f>(SUM($D65:D68)+SUM($D69:D72)+SUM($D80:D87))/SUM('0-Inputs'!$B$10:$B$11)</f>
        <v>0.12027114763025069</v>
      </c>
      <c r="E148" s="31">
        <f>(SUM($D65:E68)+SUM($D69:E72)+SUM($D80:E87))/SUM('0-Inputs'!$B$10:$B$11)</f>
        <v>0.2493455177565396</v>
      </c>
      <c r="F148" s="31">
        <f>(SUM($D65:F68)+SUM($D69:F72)+SUM($D80:F87))/SUM('0-Inputs'!$B$10:$B$11)</f>
        <v>0.3595079689757964</v>
      </c>
      <c r="G148" s="31">
        <f>(SUM($D65:G68)+SUM($D69:G72)+SUM($D80:G87))/SUM('0-Inputs'!$B$10:$B$11)</f>
        <v>0.44366565905489275</v>
      </c>
      <c r="H148" s="31">
        <f>(SUM($D65:H68)+SUM($D69:H72)+SUM($D80:H87))/SUM('0-Inputs'!$B$10:$B$11)</f>
        <v>0.45462605502537645</v>
      </c>
      <c r="I148" s="31">
        <f>(SUM($D65:I68)+SUM($D69:I72)+SUM($D80:I87))/SUM('0-Inputs'!$B$10:$B$11)</f>
        <v>0.50274009899262095</v>
      </c>
      <c r="J148" s="31">
        <f>(SUM($D65:J68)+SUM($D69:J72)+SUM($D80:J87))/SUM('0-Inputs'!$B$10:$B$11)</f>
        <v>0.54677017376067238</v>
      </c>
      <c r="K148" s="31">
        <f>(SUM($D65:K68)+SUM($D69:K72)+SUM($D80:K87))/SUM('0-Inputs'!$B$10:$B$11)</f>
        <v>0.66757886947355194</v>
      </c>
      <c r="L148" s="31">
        <f>(SUM($D65:L68)+SUM($D69:L72)+SUM($D80:L87))/SUM('0-Inputs'!$B$10:$B$11)</f>
        <v>0.88839943313111291</v>
      </c>
      <c r="M148" s="31">
        <f>(SUM($D65:M68)+SUM($D69:M72)+SUM($D80:M87))/SUM('0-Inputs'!$B$10:$B$11)</f>
        <v>1.0000977360150234</v>
      </c>
      <c r="N148" s="31">
        <f>(SUM($D65:N68)+SUM($D69:N72)+SUM($D80:N87))/SUM('0-Inputs'!$B$10:$B$11)</f>
        <v>1.0000977360150234</v>
      </c>
      <c r="O148" s="31">
        <f>(SUM($D65:O68)+SUM($D69:O72)+SUM($D80:O87))/SUM('0-Inputs'!$B$10:$B$11)</f>
        <v>1.0000977360150234</v>
      </c>
      <c r="P148" s="31">
        <f>(SUM($D65:P68)+SUM($D69:P72)+SUM($D80:P87))/SUM('0-Inputs'!$B$10:$B$11)</f>
        <v>1.0000977360150234</v>
      </c>
      <c r="Q148" s="31">
        <f>(SUM($D65:Q68)+SUM($D69:Q72)+SUM($D80:Q87))/SUM('0-Inputs'!$B$10:$B$11)</f>
        <v>1.0000977360150234</v>
      </c>
      <c r="R148" s="31">
        <f>(SUM($D65:R68)+SUM($D69:R72)+SUM($D80:R87))/SUM('0-Inputs'!$B$10:$B$11)</f>
        <v>1.0000977360150234</v>
      </c>
      <c r="S148" s="31">
        <f>(SUM($D65:S68)+SUM($D69:S72)+SUM($D80:S87))/SUM('0-Inputs'!$B$10:$B$11)</f>
        <v>1.0000977360150234</v>
      </c>
      <c r="T148" s="31">
        <f>(SUM($D65:T68)+SUM($D69:T72)+SUM($D80:T87))/SUM('0-Inputs'!$B$10:$B$11)</f>
        <v>1.0000977360150234</v>
      </c>
      <c r="U148" s="31">
        <f>(SUM($D65:U68)+SUM($D69:U72)+SUM($D80:U87))/SUM('0-Inputs'!$B$10:$B$11)</f>
        <v>1.0000977360150234</v>
      </c>
      <c r="V148" s="31">
        <f>(SUM($D65:V68)+SUM($D69:V72)+SUM($D80:V87))/SUM('0-Inputs'!$B$10:$B$11)</f>
        <v>1.0000977360150234</v>
      </c>
      <c r="W148" s="31">
        <f>(SUM($D65:W68)+SUM($D69:W72)+SUM($D80:W87))/SUM('0-Inputs'!$B$10:$B$11)</f>
        <v>1.0000977360150234</v>
      </c>
    </row>
    <row r="149" spans="1:23" x14ac:dyDescent="0.35">
      <c r="A149" s="8" t="s">
        <v>313</v>
      </c>
      <c r="B149" s="173"/>
      <c r="D149" s="12">
        <f>IF(D148&lt;='0-Inputs'!$B$155,'0-Inputs'!$B$159,IF(D148&lt;='0-Inputs'!$B$156,'0-Inputs'!$B$160,IF(D148&lt;='0-Inputs'!$B$157,'0-Inputs'!$B$161,1)))</f>
        <v>1</v>
      </c>
      <c r="E149" s="12">
        <f>IF(E148&lt;='0-Inputs'!$B$155,'0-Inputs'!$B$159,IF(E148&lt;='0-Inputs'!$B$156,'0-Inputs'!$B$160,IF(E148&lt;='0-Inputs'!$B$157,'0-Inputs'!$B$161,1)))</f>
        <v>1</v>
      </c>
      <c r="F149" s="12">
        <f>IF(F148&lt;='0-Inputs'!$B$155,'0-Inputs'!$B$159,IF(F148&lt;='0-Inputs'!$B$156,'0-Inputs'!$B$160,IF(F148&lt;='0-Inputs'!$B$157,'0-Inputs'!$B$161,1)))</f>
        <v>1</v>
      </c>
      <c r="G149" s="12">
        <f>IF(G148&lt;='0-Inputs'!$B$155,'0-Inputs'!$B$159,IF(G148&lt;='0-Inputs'!$B$156,'0-Inputs'!$B$160,IF(G148&lt;='0-Inputs'!$B$157,'0-Inputs'!$B$161,1)))</f>
        <v>1</v>
      </c>
      <c r="H149" s="12">
        <f>IF(H148&lt;='0-Inputs'!$B$155,'0-Inputs'!$B$159,IF(H148&lt;='0-Inputs'!$B$156,'0-Inputs'!$B$160,IF(H148&lt;='0-Inputs'!$B$157,'0-Inputs'!$B$161,1)))</f>
        <v>1</v>
      </c>
      <c r="I149" s="12">
        <f>IF(I148&lt;='0-Inputs'!$B$155,'0-Inputs'!$B$159,IF(I148&lt;='0-Inputs'!$B$156,'0-Inputs'!$B$160,IF(I148&lt;='0-Inputs'!$B$157,'0-Inputs'!$B$161,1)))</f>
        <v>1</v>
      </c>
      <c r="J149" s="12">
        <f>IF(J148&lt;='0-Inputs'!$B$155,'0-Inputs'!$B$159,IF(J148&lt;='0-Inputs'!$B$156,'0-Inputs'!$B$160,IF(J148&lt;='0-Inputs'!$B$157,'0-Inputs'!$B$161,1)))</f>
        <v>1</v>
      </c>
      <c r="K149" s="12">
        <f>IF(K148&lt;='0-Inputs'!$B$155,'0-Inputs'!$B$159,IF(K148&lt;='0-Inputs'!$B$156,'0-Inputs'!$B$160,IF(K148&lt;='0-Inputs'!$B$157,'0-Inputs'!$B$161,1)))</f>
        <v>1</v>
      </c>
      <c r="L149" s="12">
        <f>IF(L148&lt;='0-Inputs'!$B$155,'0-Inputs'!$B$159,IF(L148&lt;='0-Inputs'!$B$156,'0-Inputs'!$B$160,IF(L148&lt;='0-Inputs'!$B$157,'0-Inputs'!$B$161,1)))</f>
        <v>1</v>
      </c>
      <c r="M149" s="12">
        <f>IF(M148&lt;='0-Inputs'!$B$155,'0-Inputs'!$B$159,IF(M148&lt;='0-Inputs'!$B$156,'0-Inputs'!$B$160,IF(M148&lt;='0-Inputs'!$B$157,'0-Inputs'!$B$161,1)))</f>
        <v>1</v>
      </c>
      <c r="N149" s="12">
        <f>IF(N148&lt;='0-Inputs'!$B$155,'0-Inputs'!$B$159,IF(N148&lt;='0-Inputs'!$B$156,'0-Inputs'!$B$160,IF(N148&lt;='0-Inputs'!$B$157,'0-Inputs'!$B$161,1)))</f>
        <v>1</v>
      </c>
      <c r="O149" s="12">
        <f>IF(O148&lt;='0-Inputs'!$B$155,'0-Inputs'!$B$159,IF(O148&lt;='0-Inputs'!$B$156,'0-Inputs'!$B$160,IF(O148&lt;='0-Inputs'!$B$157,'0-Inputs'!$B$161,1)))</f>
        <v>1</v>
      </c>
      <c r="P149" s="12">
        <f>IF(P148&lt;='0-Inputs'!$B$155,'0-Inputs'!$B$159,IF(P148&lt;='0-Inputs'!$B$156,'0-Inputs'!$B$160,IF(P148&lt;='0-Inputs'!$B$157,'0-Inputs'!$B$161,1)))</f>
        <v>1</v>
      </c>
      <c r="Q149" s="12">
        <f>IF(Q148&lt;='0-Inputs'!$B$155,'0-Inputs'!$B$159,IF(Q148&lt;='0-Inputs'!$B$156,'0-Inputs'!$B$160,IF(Q148&lt;='0-Inputs'!$B$157,'0-Inputs'!$B$161,1)))</f>
        <v>1</v>
      </c>
      <c r="R149" s="12">
        <f>IF(R148&lt;='0-Inputs'!$B$155,'0-Inputs'!$B$159,IF(R148&lt;='0-Inputs'!$B$156,'0-Inputs'!$B$160,IF(R148&lt;='0-Inputs'!$B$157,'0-Inputs'!$B$161,1)))</f>
        <v>1</v>
      </c>
      <c r="S149" s="12">
        <f>IF(S148&lt;='0-Inputs'!$B$155,'0-Inputs'!$B$159,IF(S148&lt;='0-Inputs'!$B$156,'0-Inputs'!$B$160,IF(S148&lt;='0-Inputs'!$B$157,'0-Inputs'!$B$161,1)))</f>
        <v>1</v>
      </c>
      <c r="T149" s="12">
        <f>IF(T148&lt;='0-Inputs'!$B$155,'0-Inputs'!$B$159,IF(T148&lt;='0-Inputs'!$B$156,'0-Inputs'!$B$160,IF(T148&lt;='0-Inputs'!$B$157,'0-Inputs'!$B$161,1)))</f>
        <v>1</v>
      </c>
      <c r="U149" s="12">
        <f>IF(U148&lt;='0-Inputs'!$B$155,'0-Inputs'!$B$159,IF(U148&lt;='0-Inputs'!$B$156,'0-Inputs'!$B$160,IF(U148&lt;='0-Inputs'!$B$157,'0-Inputs'!$B$161,1)))</f>
        <v>1</v>
      </c>
      <c r="V149" s="12">
        <f>IF(V148&lt;='0-Inputs'!$B$155,'0-Inputs'!$B$159,IF(V148&lt;='0-Inputs'!$B$156,'0-Inputs'!$B$160,IF(V148&lt;='0-Inputs'!$B$157,'0-Inputs'!$B$161,1)))</f>
        <v>1</v>
      </c>
      <c r="W149" s="12">
        <f>IF(W148&lt;='0-Inputs'!$B$155,'0-Inputs'!$B$159,IF(W148&lt;='0-Inputs'!$B$156,'0-Inputs'!$B$160,IF(W148&lt;='0-Inputs'!$B$157,'0-Inputs'!$B$161,1)))</f>
        <v>1</v>
      </c>
    </row>
    <row r="150" spans="1:23" x14ac:dyDescent="0.35">
      <c r="A150" s="8" t="s">
        <v>314</v>
      </c>
      <c r="B150" s="173"/>
      <c r="D150" s="175"/>
      <c r="E150" s="176">
        <f ca="1">-(E148)*E149*D135</f>
        <v>0</v>
      </c>
      <c r="F150" s="176">
        <f t="shared" ref="F150:W150" ca="1" si="30">-(F148)*F149*E135</f>
        <v>0</v>
      </c>
      <c r="G150" s="176">
        <f t="shared" ca="1" si="30"/>
        <v>0</v>
      </c>
      <c r="H150" s="176">
        <f t="shared" ca="1" si="30"/>
        <v>0</v>
      </c>
      <c r="I150" s="176">
        <f t="shared" ca="1" si="30"/>
        <v>0</v>
      </c>
      <c r="J150" s="176">
        <f ca="1">-(J148)*J149*I135</f>
        <v>0</v>
      </c>
      <c r="K150" s="176">
        <f t="shared" ca="1" si="30"/>
        <v>0</v>
      </c>
      <c r="L150" s="176">
        <f ca="1">-(L148)*L149*K135</f>
        <v>0</v>
      </c>
      <c r="M150" s="176">
        <f t="shared" ca="1" si="30"/>
        <v>0</v>
      </c>
      <c r="N150" s="176">
        <f t="shared" ca="1" si="30"/>
        <v>0</v>
      </c>
      <c r="O150" s="176">
        <f t="shared" ca="1" si="30"/>
        <v>0</v>
      </c>
      <c r="P150" s="176">
        <f t="shared" ca="1" si="30"/>
        <v>0</v>
      </c>
      <c r="Q150" s="176">
        <f ca="1">-(Q148)*Q149*P135</f>
        <v>0</v>
      </c>
      <c r="R150" s="176">
        <f t="shared" ca="1" si="30"/>
        <v>0</v>
      </c>
      <c r="S150" s="176">
        <f t="shared" ca="1" si="30"/>
        <v>0</v>
      </c>
      <c r="T150" s="176">
        <f t="shared" ca="1" si="30"/>
        <v>0</v>
      </c>
      <c r="U150" s="176">
        <f t="shared" ca="1" si="30"/>
        <v>0</v>
      </c>
      <c r="V150" s="176">
        <f t="shared" ca="1" si="30"/>
        <v>0</v>
      </c>
      <c r="W150" s="176">
        <f t="shared" ca="1" si="30"/>
        <v>0</v>
      </c>
    </row>
    <row r="151" spans="1:23" x14ac:dyDescent="0.35">
      <c r="A151" s="8"/>
      <c r="B151" s="173"/>
      <c r="C151" s="52" t="s">
        <v>315</v>
      </c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</row>
    <row r="152" spans="1:23" x14ac:dyDescent="0.35">
      <c r="A152" s="8" t="s">
        <v>316</v>
      </c>
      <c r="C152" s="41">
        <f>'0-Inputs'!B128</f>
        <v>0</v>
      </c>
      <c r="D152" s="21">
        <f t="shared" ref="D152:W152" ca="1" si="31">-IF(D112&lt;=$C152,0,OFFSET(D133,0,-$C152))</f>
        <v>0</v>
      </c>
      <c r="E152" s="21">
        <f t="shared" ca="1" si="31"/>
        <v>0</v>
      </c>
      <c r="F152" s="21">
        <f t="shared" ca="1" si="31"/>
        <v>0</v>
      </c>
      <c r="G152" s="21">
        <f t="shared" ca="1" si="31"/>
        <v>0</v>
      </c>
      <c r="H152" s="21">
        <f t="shared" ca="1" si="31"/>
        <v>0</v>
      </c>
      <c r="I152" s="21">
        <f t="shared" ca="1" si="31"/>
        <v>0</v>
      </c>
      <c r="J152" s="21">
        <f t="shared" ca="1" si="31"/>
        <v>0</v>
      </c>
      <c r="K152" s="21">
        <f t="shared" ca="1" si="31"/>
        <v>0</v>
      </c>
      <c r="L152" s="21">
        <f t="shared" ca="1" si="31"/>
        <v>0</v>
      </c>
      <c r="M152" s="21">
        <f t="shared" ca="1" si="31"/>
        <v>0</v>
      </c>
      <c r="N152" s="21">
        <f t="shared" ca="1" si="31"/>
        <v>0</v>
      </c>
      <c r="O152" s="21">
        <f t="shared" ca="1" si="31"/>
        <v>0</v>
      </c>
      <c r="P152" s="21">
        <f t="shared" ca="1" si="31"/>
        <v>0</v>
      </c>
      <c r="Q152" s="21">
        <f t="shared" ca="1" si="31"/>
        <v>0</v>
      </c>
      <c r="R152" s="21">
        <f t="shared" ca="1" si="31"/>
        <v>0</v>
      </c>
      <c r="S152" s="21">
        <f t="shared" ca="1" si="31"/>
        <v>0</v>
      </c>
      <c r="T152" s="21">
        <f t="shared" ca="1" si="31"/>
        <v>0</v>
      </c>
      <c r="U152" s="21">
        <f t="shared" ca="1" si="31"/>
        <v>0</v>
      </c>
      <c r="V152" s="21">
        <f t="shared" ca="1" si="31"/>
        <v>0</v>
      </c>
      <c r="W152" s="21">
        <f t="shared" ca="1" si="31"/>
        <v>0</v>
      </c>
    </row>
    <row r="153" spans="1:23" x14ac:dyDescent="0.35">
      <c r="A153" s="8" t="s">
        <v>317</v>
      </c>
      <c r="B153" s="173"/>
      <c r="D153" s="174">
        <f ca="1">MAX(D150+SUM($D152:D152),-D135)</f>
        <v>0</v>
      </c>
      <c r="E153" s="174">
        <f ca="1">MAX(E150+SUM($D152:E152),-E135)</f>
        <v>0</v>
      </c>
      <c r="F153" s="174">
        <f ca="1">MAX(F150+SUM($D152:F152),-F135)</f>
        <v>0</v>
      </c>
      <c r="G153" s="174">
        <f ca="1">MAX(G150+SUM($D152:G152),-G135)</f>
        <v>0</v>
      </c>
      <c r="H153" s="174">
        <f ca="1">MAX(H150+SUM($D152:H152),-H135)</f>
        <v>0</v>
      </c>
      <c r="I153" s="174">
        <f ca="1">MAX(I150+SUM($D152:I152),-I135)</f>
        <v>0</v>
      </c>
      <c r="J153" s="174">
        <f ca="1">MAX(J150+SUM($D152:J152),-J135)</f>
        <v>0</v>
      </c>
      <c r="K153" s="174">
        <f ca="1">MAX(K150+SUM($D152:K152),-K135)</f>
        <v>0</v>
      </c>
      <c r="L153" s="174">
        <f ca="1">MAX(L150+SUM($D152:L152),-L135)</f>
        <v>0</v>
      </c>
      <c r="M153" s="174">
        <f ca="1">MAX(M150+SUM($D152:M152),-M135)</f>
        <v>0</v>
      </c>
      <c r="N153" s="174">
        <f ca="1">MAX(N150+SUM($D152:N152),-N135)</f>
        <v>0</v>
      </c>
      <c r="O153" s="174">
        <f ca="1">MAX(O150+SUM($D152:O152),-O135)</f>
        <v>0</v>
      </c>
      <c r="P153" s="174">
        <f ca="1">MAX(P150+SUM($D152:P152),-P135)</f>
        <v>0</v>
      </c>
      <c r="Q153" s="174">
        <f ca="1">MAX(Q150+SUM($D152:Q152),-Q135)</f>
        <v>0</v>
      </c>
      <c r="R153" s="174">
        <f ca="1">MAX(R150+SUM($D152:R152),-R135)</f>
        <v>0</v>
      </c>
      <c r="S153" s="174">
        <f ca="1">MAX(S150+SUM($D152:S152),-S135)</f>
        <v>0</v>
      </c>
      <c r="T153" s="174">
        <f ca="1">MAX(T150+SUM($D152:T152),-T135)</f>
        <v>0</v>
      </c>
      <c r="U153" s="174">
        <f ca="1">MAX(U150+SUM($D152:U152),-U135)</f>
        <v>0</v>
      </c>
      <c r="V153" s="174">
        <f ca="1">MAX(V150+SUM($D152:V152),-V135)</f>
        <v>0</v>
      </c>
      <c r="W153" s="174">
        <f ca="1">MAX(W150+SUM($D152:W152),-W135)</f>
        <v>0</v>
      </c>
    </row>
    <row r="154" spans="1:23" x14ac:dyDescent="0.35">
      <c r="A154" s="8"/>
      <c r="B154" s="17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x14ac:dyDescent="0.35">
      <c r="A155" s="8" t="s">
        <v>318</v>
      </c>
      <c r="B155" s="173"/>
      <c r="D155" s="40">
        <f ca="1">IFERROR(SUMPRODUCT($D132:D132,$D133:D133)/D135,0)</f>
        <v>0</v>
      </c>
      <c r="E155" s="40">
        <f ca="1">IFERROR(SUMPRODUCT($D132:E132,$D133:E133)/E135,0)</f>
        <v>0</v>
      </c>
      <c r="F155" s="40">
        <f ca="1">IFERROR(SUMPRODUCT($D132:F132,$D133:F133)/F135,0)</f>
        <v>0</v>
      </c>
      <c r="G155" s="40">
        <f ca="1">IFERROR(SUMPRODUCT($D132:G132,$D133:G133)/G135,0)</f>
        <v>0</v>
      </c>
      <c r="H155" s="40">
        <f ca="1">IFERROR(SUMPRODUCT($D132:H132,$D133:H133)/H135,0)</f>
        <v>0</v>
      </c>
      <c r="I155" s="40">
        <f ca="1">IFERROR(SUMPRODUCT($D132:I132,$D133:I133)/I135,0)</f>
        <v>0</v>
      </c>
      <c r="J155" s="40">
        <f ca="1">IFERROR(SUMPRODUCT($D132:J132,$D133:J133)/J135,0)</f>
        <v>0</v>
      </c>
      <c r="K155" s="40">
        <f ca="1">IFERROR(SUMPRODUCT($D132:K132,$D133:K133)/K135,0)</f>
        <v>0</v>
      </c>
      <c r="L155" s="40">
        <f ca="1">IFERROR(SUMPRODUCT($D132:L132,$D133:L133)/L135,0)</f>
        <v>0</v>
      </c>
      <c r="M155" s="40">
        <f ca="1">IFERROR(SUMPRODUCT($D132:M132,$D133:M133)/M135,0)</f>
        <v>0</v>
      </c>
      <c r="N155" s="40">
        <f ca="1">IFERROR(SUMPRODUCT($D132:N132,$D133:N133)/N135,0)</f>
        <v>0</v>
      </c>
      <c r="O155" s="40">
        <f ca="1">IFERROR(SUMPRODUCT($D132:O132,$D133:O133)/O135,0)</f>
        <v>0</v>
      </c>
      <c r="P155" s="40">
        <f ca="1">IFERROR(SUMPRODUCT($D132:P132,$D133:P133)/P135,0)</f>
        <v>0</v>
      </c>
      <c r="Q155" s="40">
        <f ca="1">IFERROR(SUMPRODUCT($D132:Q132,$D133:Q133)/Q135,0)</f>
        <v>0</v>
      </c>
      <c r="R155" s="40">
        <f ca="1">IFERROR(SUMPRODUCT($D132:R132,$D133:R133)/R135,0)</f>
        <v>0</v>
      </c>
      <c r="S155" s="40">
        <f ca="1">IFERROR(SUMPRODUCT($D132:S132,$D133:S133)/S135,0)</f>
        <v>0</v>
      </c>
      <c r="T155" s="40">
        <f ca="1">IFERROR(SUMPRODUCT($D132:T132,$D133:T133)/T135,0)</f>
        <v>0</v>
      </c>
      <c r="U155" s="40">
        <f ca="1">IFERROR(SUMPRODUCT($D132:U132,$D133:U133)/U135,0)</f>
        <v>0</v>
      </c>
      <c r="V155" s="40">
        <f ca="1">IFERROR(SUMPRODUCT($D132:V132,$D133:V133)/V135,0)</f>
        <v>0</v>
      </c>
      <c r="W155" s="40">
        <f ca="1">IFERROR(SUMPRODUCT($D132:W132,$D133:W133)/W135,0)</f>
        <v>0</v>
      </c>
    </row>
    <row r="156" spans="1:23" x14ac:dyDescent="0.35">
      <c r="A156" s="8" t="s">
        <v>319</v>
      </c>
      <c r="B156" s="173"/>
      <c r="C156" s="41">
        <v>0</v>
      </c>
      <c r="D156" s="13">
        <f ca="1">D153*D155</f>
        <v>0</v>
      </c>
      <c r="E156" s="13">
        <f ca="1">D156+(E153-D153)*E155</f>
        <v>0</v>
      </c>
      <c r="F156" s="13">
        <f t="shared" ref="F156:W156" ca="1" si="32">E156+(F153-E153)*F155</f>
        <v>0</v>
      </c>
      <c r="G156" s="13">
        <f t="shared" ca="1" si="32"/>
        <v>0</v>
      </c>
      <c r="H156" s="13">
        <f t="shared" ca="1" si="32"/>
        <v>0</v>
      </c>
      <c r="I156" s="13">
        <f t="shared" ca="1" si="32"/>
        <v>0</v>
      </c>
      <c r="J156" s="13">
        <f t="shared" ca="1" si="32"/>
        <v>0</v>
      </c>
      <c r="K156" s="13">
        <f t="shared" ca="1" si="32"/>
        <v>0</v>
      </c>
      <c r="L156" s="13">
        <f t="shared" ca="1" si="32"/>
        <v>0</v>
      </c>
      <c r="M156" s="13">
        <f t="shared" ca="1" si="32"/>
        <v>0</v>
      </c>
      <c r="N156" s="13">
        <f t="shared" ca="1" si="32"/>
        <v>0</v>
      </c>
      <c r="O156" s="13">
        <f t="shared" ca="1" si="32"/>
        <v>0</v>
      </c>
      <c r="P156" s="13">
        <f t="shared" ca="1" si="32"/>
        <v>0</v>
      </c>
      <c r="Q156" s="13">
        <f t="shared" ca="1" si="32"/>
        <v>0</v>
      </c>
      <c r="R156" s="13">
        <f t="shared" ca="1" si="32"/>
        <v>0</v>
      </c>
      <c r="S156" s="13">
        <f t="shared" ca="1" si="32"/>
        <v>0</v>
      </c>
      <c r="T156" s="13">
        <f t="shared" ca="1" si="32"/>
        <v>0</v>
      </c>
      <c r="U156" s="13">
        <f t="shared" ca="1" si="32"/>
        <v>0</v>
      </c>
      <c r="V156" s="13">
        <f t="shared" ca="1" si="32"/>
        <v>0</v>
      </c>
      <c r="W156" s="13">
        <f t="shared" ca="1" si="32"/>
        <v>0</v>
      </c>
    </row>
    <row r="157" spans="1:23" x14ac:dyDescent="0.35">
      <c r="A157" s="8"/>
      <c r="B157" s="17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x14ac:dyDescent="0.35">
      <c r="A158" s="8" t="s">
        <v>320</v>
      </c>
      <c r="B158" s="173"/>
      <c r="C158" s="168">
        <v>0</v>
      </c>
      <c r="D158" s="13">
        <f ca="1">D135+D153</f>
        <v>0</v>
      </c>
      <c r="E158" s="13">
        <f t="shared" ref="E158:W158" ca="1" si="33">E135+E153</f>
        <v>0</v>
      </c>
      <c r="F158" s="13">
        <f t="shared" ca="1" si="33"/>
        <v>0</v>
      </c>
      <c r="G158" s="13">
        <f t="shared" ca="1" si="33"/>
        <v>0</v>
      </c>
      <c r="H158" s="13">
        <f t="shared" ca="1" si="33"/>
        <v>0</v>
      </c>
      <c r="I158" s="13">
        <f t="shared" ca="1" si="33"/>
        <v>0</v>
      </c>
      <c r="J158" s="13">
        <f t="shared" ca="1" si="33"/>
        <v>0</v>
      </c>
      <c r="K158" s="13">
        <f t="shared" ca="1" si="33"/>
        <v>0</v>
      </c>
      <c r="L158" s="13">
        <f t="shared" ca="1" si="33"/>
        <v>0</v>
      </c>
      <c r="M158" s="13">
        <f t="shared" ca="1" si="33"/>
        <v>0</v>
      </c>
      <c r="N158" s="13">
        <f t="shared" ca="1" si="33"/>
        <v>0</v>
      </c>
      <c r="O158" s="13">
        <f t="shared" ca="1" si="33"/>
        <v>0</v>
      </c>
      <c r="P158" s="13">
        <f t="shared" ca="1" si="33"/>
        <v>0</v>
      </c>
      <c r="Q158" s="13">
        <f t="shared" ca="1" si="33"/>
        <v>0</v>
      </c>
      <c r="R158" s="13">
        <f t="shared" ca="1" si="33"/>
        <v>0</v>
      </c>
      <c r="S158" s="13">
        <f t="shared" ca="1" si="33"/>
        <v>0</v>
      </c>
      <c r="T158" s="13">
        <f t="shared" ca="1" si="33"/>
        <v>0</v>
      </c>
      <c r="U158" s="13">
        <f t="shared" ca="1" si="33"/>
        <v>0</v>
      </c>
      <c r="V158" s="13">
        <f t="shared" ca="1" si="33"/>
        <v>0</v>
      </c>
      <c r="W158" s="13">
        <f t="shared" ca="1" si="33"/>
        <v>0</v>
      </c>
    </row>
    <row r="159" spans="1:23" ht="29" x14ac:dyDescent="0.35">
      <c r="A159" s="33"/>
      <c r="B159" s="1" t="s">
        <v>299</v>
      </c>
      <c r="C159" s="53" t="str">
        <f>"Per Collector "&amp;YearOne-1</f>
        <v>Per Collector 2025</v>
      </c>
      <c r="D159" s="6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R159" s="12"/>
      <c r="W159" s="12"/>
    </row>
    <row r="160" spans="1:23" x14ac:dyDescent="0.35">
      <c r="A160" s="33" t="s">
        <v>321</v>
      </c>
      <c r="B160" s="186">
        <f>'0-Inputs'!$B$126</f>
        <v>0</v>
      </c>
      <c r="C160" s="170">
        <f>'0-Inputs'!B123</f>
        <v>0</v>
      </c>
      <c r="D160" s="7">
        <f t="shared" ref="D160:W160" si="34">IF($B160="yes",C160*(1+InflationGeneral),C160)</f>
        <v>0</v>
      </c>
      <c r="E160" s="7">
        <f t="shared" si="34"/>
        <v>0</v>
      </c>
      <c r="F160" s="7">
        <f t="shared" si="34"/>
        <v>0</v>
      </c>
      <c r="G160" s="7">
        <f t="shared" si="34"/>
        <v>0</v>
      </c>
      <c r="H160" s="7">
        <f t="shared" si="34"/>
        <v>0</v>
      </c>
      <c r="I160" s="7">
        <f t="shared" si="34"/>
        <v>0</v>
      </c>
      <c r="J160" s="7">
        <f t="shared" si="34"/>
        <v>0</v>
      </c>
      <c r="K160" s="7">
        <f t="shared" si="34"/>
        <v>0</v>
      </c>
      <c r="L160" s="7">
        <f t="shared" si="34"/>
        <v>0</v>
      </c>
      <c r="M160" s="7">
        <f t="shared" si="34"/>
        <v>0</v>
      </c>
      <c r="N160" s="7">
        <f t="shared" si="34"/>
        <v>0</v>
      </c>
      <c r="O160" s="7">
        <f t="shared" si="34"/>
        <v>0</v>
      </c>
      <c r="P160" s="7">
        <f t="shared" si="34"/>
        <v>0</v>
      </c>
      <c r="Q160" s="7">
        <f t="shared" si="34"/>
        <v>0</v>
      </c>
      <c r="R160" s="7">
        <f t="shared" si="34"/>
        <v>0</v>
      </c>
      <c r="S160" s="7">
        <f t="shared" si="34"/>
        <v>0</v>
      </c>
      <c r="T160" s="7">
        <f t="shared" si="34"/>
        <v>0</v>
      </c>
      <c r="U160" s="7">
        <f t="shared" si="34"/>
        <v>0</v>
      </c>
      <c r="V160" s="7">
        <f t="shared" si="34"/>
        <v>0</v>
      </c>
      <c r="W160" s="7">
        <f t="shared" si="34"/>
        <v>0</v>
      </c>
    </row>
    <row r="161" spans="1:23" s="19" customFormat="1" x14ac:dyDescent="0.35">
      <c r="A161" s="181" t="s">
        <v>322</v>
      </c>
      <c r="C161" s="182"/>
      <c r="D161" s="183">
        <f ca="1">D160*AVERAGE(C158:D158)</f>
        <v>0</v>
      </c>
      <c r="E161" s="183">
        <f t="shared" ref="E161:W161" ca="1" si="35">E160*AVERAGE(D158:E158)</f>
        <v>0</v>
      </c>
      <c r="F161" s="183">
        <f t="shared" ca="1" si="35"/>
        <v>0</v>
      </c>
      <c r="G161" s="183">
        <f ca="1">G160*AVERAGE(F158:G158)</f>
        <v>0</v>
      </c>
      <c r="H161" s="183">
        <f t="shared" ca="1" si="35"/>
        <v>0</v>
      </c>
      <c r="I161" s="183">
        <f t="shared" ca="1" si="35"/>
        <v>0</v>
      </c>
      <c r="J161" s="183">
        <f t="shared" ca="1" si="35"/>
        <v>0</v>
      </c>
      <c r="K161" s="183">
        <f t="shared" ca="1" si="35"/>
        <v>0</v>
      </c>
      <c r="L161" s="183">
        <f t="shared" ca="1" si="35"/>
        <v>0</v>
      </c>
      <c r="M161" s="183">
        <f t="shared" ca="1" si="35"/>
        <v>0</v>
      </c>
      <c r="N161" s="183">
        <f t="shared" ca="1" si="35"/>
        <v>0</v>
      </c>
      <c r="O161" s="183">
        <f t="shared" ca="1" si="35"/>
        <v>0</v>
      </c>
      <c r="P161" s="183">
        <f t="shared" ca="1" si="35"/>
        <v>0</v>
      </c>
      <c r="Q161" s="183">
        <f t="shared" ca="1" si="35"/>
        <v>0</v>
      </c>
      <c r="R161" s="183">
        <f t="shared" ca="1" si="35"/>
        <v>0</v>
      </c>
      <c r="S161" s="183">
        <f t="shared" ca="1" si="35"/>
        <v>0</v>
      </c>
      <c r="T161" s="183">
        <f t="shared" ca="1" si="35"/>
        <v>0</v>
      </c>
      <c r="U161" s="183">
        <f t="shared" ca="1" si="35"/>
        <v>0</v>
      </c>
      <c r="V161" s="183">
        <f t="shared" ca="1" si="35"/>
        <v>0</v>
      </c>
      <c r="W161" s="183">
        <f t="shared" ca="1" si="35"/>
        <v>0</v>
      </c>
    </row>
    <row r="162" spans="1:23" x14ac:dyDescent="0.35">
      <c r="A162" s="33"/>
      <c r="B162" s="1" t="s">
        <v>299</v>
      </c>
      <c r="C162" s="71" t="s">
        <v>323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</row>
    <row r="163" spans="1:23" x14ac:dyDescent="0.35">
      <c r="A163" s="181" t="s">
        <v>324</v>
      </c>
      <c r="B163" s="186">
        <f>'0-Inputs'!$B$126</f>
        <v>0</v>
      </c>
      <c r="C163" s="71">
        <f>'0-Inputs'!B125</f>
        <v>0</v>
      </c>
      <c r="D163" s="7">
        <f t="shared" ref="D163:W163" si="36">IF($B163="yes",C163*(1+InflationGeneral),C163)</f>
        <v>0</v>
      </c>
      <c r="E163" s="7">
        <f t="shared" si="36"/>
        <v>0</v>
      </c>
      <c r="F163" s="7">
        <f t="shared" si="36"/>
        <v>0</v>
      </c>
      <c r="G163" s="7">
        <f t="shared" si="36"/>
        <v>0</v>
      </c>
      <c r="H163" s="7">
        <f t="shared" si="36"/>
        <v>0</v>
      </c>
      <c r="I163" s="7">
        <f t="shared" si="36"/>
        <v>0</v>
      </c>
      <c r="J163" s="7">
        <f t="shared" si="36"/>
        <v>0</v>
      </c>
      <c r="K163" s="7">
        <f t="shared" si="36"/>
        <v>0</v>
      </c>
      <c r="L163" s="7">
        <f t="shared" si="36"/>
        <v>0</v>
      </c>
      <c r="M163" s="7">
        <f t="shared" si="36"/>
        <v>0</v>
      </c>
      <c r="N163" s="7">
        <f t="shared" si="36"/>
        <v>0</v>
      </c>
      <c r="O163" s="7">
        <f t="shared" si="36"/>
        <v>0</v>
      </c>
      <c r="P163" s="7">
        <f t="shared" si="36"/>
        <v>0</v>
      </c>
      <c r="Q163" s="7">
        <f t="shared" si="36"/>
        <v>0</v>
      </c>
      <c r="R163" s="7">
        <f t="shared" si="36"/>
        <v>0</v>
      </c>
      <c r="S163" s="7">
        <f t="shared" si="36"/>
        <v>0</v>
      </c>
      <c r="T163" s="7">
        <f t="shared" si="36"/>
        <v>0</v>
      </c>
      <c r="U163" s="7">
        <f t="shared" si="36"/>
        <v>0</v>
      </c>
      <c r="V163" s="7">
        <f t="shared" si="36"/>
        <v>0</v>
      </c>
      <c r="W163" s="7">
        <f t="shared" si="36"/>
        <v>0</v>
      </c>
    </row>
    <row r="164" spans="1:23" s="19" customFormat="1" x14ac:dyDescent="0.35">
      <c r="A164" s="181" t="s">
        <v>325</v>
      </c>
      <c r="C164" s="182"/>
      <c r="D164" s="183">
        <f ca="1">D163*D158</f>
        <v>0</v>
      </c>
      <c r="E164" s="183">
        <f t="shared" ref="E164:W164" ca="1" si="37">E163*E158</f>
        <v>0</v>
      </c>
      <c r="F164" s="183">
        <f t="shared" ca="1" si="37"/>
        <v>0</v>
      </c>
      <c r="G164" s="183">
        <f t="shared" ca="1" si="37"/>
        <v>0</v>
      </c>
      <c r="H164" s="183">
        <f t="shared" ca="1" si="37"/>
        <v>0</v>
      </c>
      <c r="I164" s="183">
        <f t="shared" ca="1" si="37"/>
        <v>0</v>
      </c>
      <c r="J164" s="183">
        <f t="shared" ca="1" si="37"/>
        <v>0</v>
      </c>
      <c r="K164" s="183">
        <f t="shared" ca="1" si="37"/>
        <v>0</v>
      </c>
      <c r="L164" s="183">
        <f t="shared" ca="1" si="37"/>
        <v>0</v>
      </c>
      <c r="M164" s="183">
        <f t="shared" ca="1" si="37"/>
        <v>0</v>
      </c>
      <c r="N164" s="183">
        <f t="shared" ca="1" si="37"/>
        <v>0</v>
      </c>
      <c r="O164" s="183">
        <f t="shared" ca="1" si="37"/>
        <v>0</v>
      </c>
      <c r="P164" s="183">
        <f t="shared" ca="1" si="37"/>
        <v>0</v>
      </c>
      <c r="Q164" s="183">
        <f t="shared" ca="1" si="37"/>
        <v>0</v>
      </c>
      <c r="R164" s="183">
        <f t="shared" ca="1" si="37"/>
        <v>0</v>
      </c>
      <c r="S164" s="183">
        <f t="shared" ca="1" si="37"/>
        <v>0</v>
      </c>
      <c r="T164" s="183">
        <f t="shared" ca="1" si="37"/>
        <v>0</v>
      </c>
      <c r="U164" s="183">
        <f t="shared" ca="1" si="37"/>
        <v>0</v>
      </c>
      <c r="V164" s="183">
        <f t="shared" ca="1" si="37"/>
        <v>0</v>
      </c>
      <c r="W164" s="183">
        <f t="shared" ca="1" si="37"/>
        <v>0</v>
      </c>
    </row>
    <row r="165" spans="1:23" x14ac:dyDescent="0.35">
      <c r="A165" s="33"/>
      <c r="C165" s="71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</row>
    <row r="166" spans="1:23" x14ac:dyDescent="0.35">
      <c r="D166" s="6"/>
    </row>
    <row r="167" spans="1:23" x14ac:dyDescent="0.35">
      <c r="C167">
        <f>D167-1</f>
        <v>2025</v>
      </c>
      <c r="D167" s="270">
        <f>YearOne</f>
        <v>2026</v>
      </c>
      <c r="E167" s="270">
        <f>D167+1</f>
        <v>2027</v>
      </c>
      <c r="F167" s="270">
        <f t="shared" ref="F167:W167" si="38">E167+1</f>
        <v>2028</v>
      </c>
      <c r="G167" s="270">
        <f t="shared" si="38"/>
        <v>2029</v>
      </c>
      <c r="H167" s="270">
        <f t="shared" si="38"/>
        <v>2030</v>
      </c>
      <c r="I167" s="270">
        <f t="shared" si="38"/>
        <v>2031</v>
      </c>
      <c r="J167" s="270">
        <f t="shared" si="38"/>
        <v>2032</v>
      </c>
      <c r="K167" s="270">
        <f t="shared" si="38"/>
        <v>2033</v>
      </c>
      <c r="L167" s="270">
        <f t="shared" si="38"/>
        <v>2034</v>
      </c>
      <c r="M167" s="270">
        <f t="shared" si="38"/>
        <v>2035</v>
      </c>
      <c r="N167" s="270">
        <f t="shared" si="38"/>
        <v>2036</v>
      </c>
      <c r="O167" s="270">
        <f t="shared" si="38"/>
        <v>2037</v>
      </c>
      <c r="P167" s="270">
        <f t="shared" si="38"/>
        <v>2038</v>
      </c>
      <c r="Q167" s="270">
        <f t="shared" si="38"/>
        <v>2039</v>
      </c>
      <c r="R167" s="270">
        <f t="shared" si="38"/>
        <v>2040</v>
      </c>
      <c r="S167" s="270">
        <f t="shared" si="38"/>
        <v>2041</v>
      </c>
      <c r="T167" s="270">
        <f t="shared" si="38"/>
        <v>2042</v>
      </c>
      <c r="U167" s="270">
        <f t="shared" si="38"/>
        <v>2043</v>
      </c>
      <c r="V167" s="270">
        <f t="shared" si="38"/>
        <v>2044</v>
      </c>
      <c r="W167" s="270">
        <f t="shared" si="38"/>
        <v>2045</v>
      </c>
    </row>
    <row r="168" spans="1:23" ht="21" x14ac:dyDescent="0.5">
      <c r="A168" s="95" t="s">
        <v>326</v>
      </c>
    </row>
    <row r="169" spans="1:23" x14ac:dyDescent="0.35">
      <c r="A169" s="33" t="s">
        <v>327</v>
      </c>
      <c r="D169" s="34">
        <f t="shared" ref="D169:W169" si="39">IF($B$2="AMI",SUMPRODUCT(D$61:D$64,D$115:D$118)+SUMPRODUCT(D$65:D$68,D$115:D$118)+SUMPRODUCT(D$69:D$72,D$115:D$118),IF($B$2="AMR",SUMPRODUCT(D$61:D$64,D$115:D$118)+SUMPRODUCT(D$65:D$68,D$120:D$123)+SUMPRODUCT(D$69:D$72,D$120:D$123),SUMPRODUCT(D$61:D$64,D$115:D$118)+SUMPRODUCT(D$65:D$68,D$120:D$123)+SUMPRODUCT(D$71:D$72,D$125:D$126)))</f>
        <v>0</v>
      </c>
      <c r="E169" s="34">
        <f t="shared" ca="1" si="39"/>
        <v>0</v>
      </c>
      <c r="F169" s="34">
        <f t="shared" ca="1" si="39"/>
        <v>0</v>
      </c>
      <c r="G169" s="34">
        <f t="shared" ca="1" si="39"/>
        <v>0</v>
      </c>
      <c r="H169" s="34">
        <f t="shared" ca="1" si="39"/>
        <v>0</v>
      </c>
      <c r="I169" s="34">
        <f t="shared" ca="1" si="39"/>
        <v>0</v>
      </c>
      <c r="J169" s="34">
        <f t="shared" ca="1" si="39"/>
        <v>0</v>
      </c>
      <c r="K169" s="34">
        <f t="shared" ca="1" si="39"/>
        <v>0</v>
      </c>
      <c r="L169" s="34">
        <f t="shared" ca="1" si="39"/>
        <v>0</v>
      </c>
      <c r="M169" s="34">
        <f t="shared" ca="1" si="39"/>
        <v>0</v>
      </c>
      <c r="N169" s="34">
        <f t="shared" ca="1" si="39"/>
        <v>0</v>
      </c>
      <c r="O169" s="34">
        <f t="shared" ca="1" si="39"/>
        <v>0</v>
      </c>
      <c r="P169" s="34">
        <f t="shared" ca="1" si="39"/>
        <v>0</v>
      </c>
      <c r="Q169" s="34">
        <f t="shared" ca="1" si="39"/>
        <v>0</v>
      </c>
      <c r="R169" s="34">
        <f t="shared" ca="1" si="39"/>
        <v>0</v>
      </c>
      <c r="S169" s="34">
        <f t="shared" ca="1" si="39"/>
        <v>0</v>
      </c>
      <c r="T169" s="34">
        <f t="shared" ca="1" si="39"/>
        <v>0</v>
      </c>
      <c r="U169" s="34">
        <f t="shared" ca="1" si="39"/>
        <v>0</v>
      </c>
      <c r="V169" s="34">
        <f t="shared" ca="1" si="39"/>
        <v>0</v>
      </c>
      <c r="W169" s="34">
        <f t="shared" ca="1" si="39"/>
        <v>0</v>
      </c>
    </row>
    <row r="170" spans="1:23" x14ac:dyDescent="0.35">
      <c r="A170" s="33" t="s">
        <v>328</v>
      </c>
      <c r="D170" s="34">
        <f t="shared" ref="D170:W170" si="40">IF($B$2="AMI",SUMPRODUCT(D97:D100,D115:D118)+SUMPRODUCT(D101:D104,D115:D118)+SUMPRODUCT(D105:D108,D115:D118),IF($B$2="AMR",SUMPRODUCT(D97:D100,D115:D118)+SUMPRODUCT(D101:D104,D120:D123)+SUMPRODUCT(D105:D108,D120:D123),SUMPRODUCT(D97:D100,D115:D118)+SUMPRODUCT(D101:D104,D120:D123)+SUMPRODUCT(D107:D108,D125:D126)))</f>
        <v>0</v>
      </c>
      <c r="E170" s="34">
        <f t="shared" ca="1" si="40"/>
        <v>0</v>
      </c>
      <c r="F170" s="34">
        <f t="shared" ca="1" si="40"/>
        <v>0</v>
      </c>
      <c r="G170" s="34">
        <f t="shared" ca="1" si="40"/>
        <v>0</v>
      </c>
      <c r="H170" s="34">
        <f t="shared" ca="1" si="40"/>
        <v>0</v>
      </c>
      <c r="I170" s="34">
        <f t="shared" ca="1" si="40"/>
        <v>0</v>
      </c>
      <c r="J170" s="34">
        <f t="shared" ca="1" si="40"/>
        <v>0</v>
      </c>
      <c r="K170" s="34">
        <f t="shared" ca="1" si="40"/>
        <v>0</v>
      </c>
      <c r="L170" s="34">
        <f t="shared" ca="1" si="40"/>
        <v>0</v>
      </c>
      <c r="M170" s="34">
        <f t="shared" ca="1" si="40"/>
        <v>0</v>
      </c>
      <c r="N170" s="34">
        <f t="shared" ca="1" si="40"/>
        <v>0</v>
      </c>
      <c r="O170" s="34">
        <f t="shared" ca="1" si="40"/>
        <v>0</v>
      </c>
      <c r="P170" s="34">
        <f t="shared" ca="1" si="40"/>
        <v>0</v>
      </c>
      <c r="Q170" s="34">
        <f t="shared" ca="1" si="40"/>
        <v>0</v>
      </c>
      <c r="R170" s="34">
        <f t="shared" ca="1" si="40"/>
        <v>0</v>
      </c>
      <c r="S170" s="34">
        <f t="shared" ca="1" si="40"/>
        <v>0</v>
      </c>
      <c r="T170" s="34">
        <f t="shared" ca="1" si="40"/>
        <v>0</v>
      </c>
      <c r="U170" s="34">
        <f t="shared" ca="1" si="40"/>
        <v>0</v>
      </c>
      <c r="V170" s="34">
        <f t="shared" ca="1" si="40"/>
        <v>0</v>
      </c>
      <c r="W170" s="34">
        <f t="shared" ca="1" si="40"/>
        <v>0</v>
      </c>
    </row>
    <row r="171" spans="1:23" x14ac:dyDescent="0.35">
      <c r="A171" s="33" t="s">
        <v>329</v>
      </c>
      <c r="D171" s="34">
        <f t="shared" ref="D171:W171" ca="1" si="41">D134</f>
        <v>0</v>
      </c>
      <c r="E171" s="34">
        <f t="shared" ca="1" si="41"/>
        <v>0</v>
      </c>
      <c r="F171" s="34">
        <f t="shared" ca="1" si="41"/>
        <v>0</v>
      </c>
      <c r="G171" s="34">
        <f t="shared" ca="1" si="41"/>
        <v>0</v>
      </c>
      <c r="H171" s="34">
        <f t="shared" ca="1" si="41"/>
        <v>0</v>
      </c>
      <c r="I171" s="34">
        <f t="shared" ca="1" si="41"/>
        <v>0</v>
      </c>
      <c r="J171" s="34">
        <f t="shared" ca="1" si="41"/>
        <v>0</v>
      </c>
      <c r="K171" s="34">
        <f t="shared" ca="1" si="41"/>
        <v>0</v>
      </c>
      <c r="L171" s="34">
        <f t="shared" ca="1" si="41"/>
        <v>0</v>
      </c>
      <c r="M171" s="34">
        <f t="shared" ca="1" si="41"/>
        <v>0</v>
      </c>
      <c r="N171" s="34">
        <f t="shared" ca="1" si="41"/>
        <v>0</v>
      </c>
      <c r="O171" s="34">
        <f t="shared" ca="1" si="41"/>
        <v>0</v>
      </c>
      <c r="P171" s="34">
        <f t="shared" ca="1" si="41"/>
        <v>0</v>
      </c>
      <c r="Q171" s="34">
        <f t="shared" ca="1" si="41"/>
        <v>0</v>
      </c>
      <c r="R171" s="34">
        <f t="shared" ca="1" si="41"/>
        <v>0</v>
      </c>
      <c r="S171" s="34">
        <f t="shared" ca="1" si="41"/>
        <v>0</v>
      </c>
      <c r="T171" s="34">
        <f t="shared" ca="1" si="41"/>
        <v>0</v>
      </c>
      <c r="U171" s="34">
        <f t="shared" ca="1" si="41"/>
        <v>0</v>
      </c>
      <c r="V171" s="34">
        <f t="shared" ca="1" si="41"/>
        <v>0</v>
      </c>
      <c r="W171" s="34">
        <f t="shared" ca="1" si="41"/>
        <v>0</v>
      </c>
    </row>
    <row r="172" spans="1:23" x14ac:dyDescent="0.35">
      <c r="A172" s="33" t="s">
        <v>330</v>
      </c>
      <c r="D172" s="34">
        <f t="shared" ref="D172:W172" si="42">IF($B$2="AMI",SUMPRODUCT(D$76:D$79,D$115:D$118)+SUMPRODUCT(D$80:D$83,D$115:D$118)+SUMPRODUCT(D$84:D$87,D$115:D$118),IF($B$2="AMR",SUMPRODUCT(D$76:D$79,D$115:D$118)+SUMPRODUCT(D$80:D$83,D$120:D$123)+SUMPRODUCT(D$84:D$87,D$120:D$123),SUMPRODUCT(D$76:D$79,D$115:D$118)+SUMPRODUCT(D$80:D$83,D$120:D$123)+SUMPRODUCT(D$86:D$87,D$125:D$126)))</f>
        <v>0</v>
      </c>
      <c r="E172" s="34">
        <f t="shared" ca="1" si="42"/>
        <v>0</v>
      </c>
      <c r="F172" s="34">
        <f t="shared" ca="1" si="42"/>
        <v>0</v>
      </c>
      <c r="G172" s="34">
        <f t="shared" ca="1" si="42"/>
        <v>0</v>
      </c>
      <c r="H172" s="34">
        <f t="shared" ca="1" si="42"/>
        <v>0</v>
      </c>
      <c r="I172" s="34">
        <f t="shared" ca="1" si="42"/>
        <v>0</v>
      </c>
      <c r="J172" s="34">
        <f t="shared" ca="1" si="42"/>
        <v>0</v>
      </c>
      <c r="K172" s="34">
        <f t="shared" ca="1" si="42"/>
        <v>0</v>
      </c>
      <c r="L172" s="34">
        <f t="shared" ca="1" si="42"/>
        <v>0</v>
      </c>
      <c r="M172" s="34">
        <f t="shared" ca="1" si="42"/>
        <v>0</v>
      </c>
      <c r="N172" s="34">
        <f t="shared" ca="1" si="42"/>
        <v>0</v>
      </c>
      <c r="O172" s="34">
        <f t="shared" ca="1" si="42"/>
        <v>0</v>
      </c>
      <c r="P172" s="34">
        <f t="shared" ca="1" si="42"/>
        <v>0</v>
      </c>
      <c r="Q172" s="34">
        <f t="shared" ca="1" si="42"/>
        <v>0</v>
      </c>
      <c r="R172" s="34">
        <f t="shared" ca="1" si="42"/>
        <v>0</v>
      </c>
      <c r="S172" s="34">
        <f t="shared" ca="1" si="42"/>
        <v>0</v>
      </c>
      <c r="T172" s="34">
        <f t="shared" ca="1" si="42"/>
        <v>0</v>
      </c>
      <c r="U172" s="34">
        <f t="shared" ca="1" si="42"/>
        <v>0</v>
      </c>
      <c r="V172" s="34">
        <f t="shared" ca="1" si="42"/>
        <v>0</v>
      </c>
      <c r="W172" s="34">
        <f t="shared" ca="1" si="42"/>
        <v>0</v>
      </c>
    </row>
    <row r="173" spans="1:23" x14ac:dyDescent="0.35">
      <c r="A173" s="33" t="s">
        <v>331</v>
      </c>
      <c r="D173" s="35">
        <f ca="1">SUM(D169:D172)</f>
        <v>0</v>
      </c>
      <c r="E173" s="35">
        <f t="shared" ref="E173:W173" ca="1" si="43">SUM(E169:E172)</f>
        <v>0</v>
      </c>
      <c r="F173" s="35">
        <f t="shared" ca="1" si="43"/>
        <v>0</v>
      </c>
      <c r="G173" s="35">
        <f t="shared" ca="1" si="43"/>
        <v>0</v>
      </c>
      <c r="H173" s="35">
        <f t="shared" ca="1" si="43"/>
        <v>0</v>
      </c>
      <c r="I173" s="35">
        <f t="shared" ca="1" si="43"/>
        <v>0</v>
      </c>
      <c r="J173" s="35">
        <f t="shared" ca="1" si="43"/>
        <v>0</v>
      </c>
      <c r="K173" s="35">
        <f t="shared" ca="1" si="43"/>
        <v>0</v>
      </c>
      <c r="L173" s="35">
        <f t="shared" ca="1" si="43"/>
        <v>0</v>
      </c>
      <c r="M173" s="35">
        <f t="shared" ca="1" si="43"/>
        <v>0</v>
      </c>
      <c r="N173" s="35">
        <f t="shared" ca="1" si="43"/>
        <v>0</v>
      </c>
      <c r="O173" s="35">
        <f t="shared" ca="1" si="43"/>
        <v>0</v>
      </c>
      <c r="P173" s="35">
        <f t="shared" ca="1" si="43"/>
        <v>0</v>
      </c>
      <c r="Q173" s="35">
        <f t="shared" ca="1" si="43"/>
        <v>0</v>
      </c>
      <c r="R173" s="35">
        <f t="shared" ca="1" si="43"/>
        <v>0</v>
      </c>
      <c r="S173" s="35">
        <f t="shared" ca="1" si="43"/>
        <v>0</v>
      </c>
      <c r="T173" s="35">
        <f t="shared" ca="1" si="43"/>
        <v>0</v>
      </c>
      <c r="U173" s="35">
        <f t="shared" ca="1" si="43"/>
        <v>0</v>
      </c>
      <c r="V173" s="35">
        <f t="shared" ca="1" si="43"/>
        <v>0</v>
      </c>
      <c r="W173" s="35">
        <f t="shared" ca="1" si="43"/>
        <v>0</v>
      </c>
    </row>
    <row r="174" spans="1:23" x14ac:dyDescent="0.35">
      <c r="A174" s="33" t="s">
        <v>332</v>
      </c>
      <c r="B174">
        <v>0</v>
      </c>
      <c r="C174" s="301">
        <f>'0-Inputs'!B50</f>
        <v>53383617</v>
      </c>
      <c r="D174" s="35">
        <f ca="1">C174+SUM(D169:D172)</f>
        <v>53383617</v>
      </c>
      <c r="E174" s="35">
        <f ca="1">D174+SUM(E169:E172)</f>
        <v>53383617</v>
      </c>
      <c r="F174" s="35">
        <f ca="1">E174+SUM(F169:F172)</f>
        <v>53383617</v>
      </c>
      <c r="G174" s="35">
        <f t="shared" ref="G174:W174" ca="1" si="44">F174+SUM(G169:G172)</f>
        <v>53383617</v>
      </c>
      <c r="H174" s="35">
        <f t="shared" ca="1" si="44"/>
        <v>53383617</v>
      </c>
      <c r="I174" s="35">
        <f t="shared" ca="1" si="44"/>
        <v>53383617</v>
      </c>
      <c r="J174" s="35">
        <f t="shared" ca="1" si="44"/>
        <v>53383617</v>
      </c>
      <c r="K174" s="35">
        <f t="shared" ca="1" si="44"/>
        <v>53383617</v>
      </c>
      <c r="L174" s="35">
        <f t="shared" ca="1" si="44"/>
        <v>53383617</v>
      </c>
      <c r="M174" s="35">
        <f t="shared" ca="1" si="44"/>
        <v>53383617</v>
      </c>
      <c r="N174" s="35">
        <f t="shared" ca="1" si="44"/>
        <v>53383617</v>
      </c>
      <c r="O174" s="35">
        <f t="shared" ca="1" si="44"/>
        <v>53383617</v>
      </c>
      <c r="P174" s="35">
        <f t="shared" ca="1" si="44"/>
        <v>53383617</v>
      </c>
      <c r="Q174" s="35">
        <f t="shared" ca="1" si="44"/>
        <v>53383617</v>
      </c>
      <c r="R174" s="35">
        <f t="shared" ca="1" si="44"/>
        <v>53383617</v>
      </c>
      <c r="S174" s="35">
        <f t="shared" ca="1" si="44"/>
        <v>53383617</v>
      </c>
      <c r="T174" s="35">
        <f t="shared" ca="1" si="44"/>
        <v>53383617</v>
      </c>
      <c r="U174" s="35">
        <f t="shared" ca="1" si="44"/>
        <v>53383617</v>
      </c>
      <c r="V174" s="35">
        <f t="shared" ca="1" si="44"/>
        <v>53383617</v>
      </c>
      <c r="W174" s="35">
        <f t="shared" ca="1" si="44"/>
        <v>53383617</v>
      </c>
    </row>
    <row r="175" spans="1:23" x14ac:dyDescent="0.35">
      <c r="A175" s="33" t="s">
        <v>333</v>
      </c>
      <c r="B175" t="s">
        <v>334</v>
      </c>
      <c r="C175" s="39">
        <f>C174</f>
        <v>53383617</v>
      </c>
      <c r="D175" s="39">
        <f ca="1">AVERAGE(C174:D174)</f>
        <v>53383617</v>
      </c>
      <c r="E175" s="39">
        <f ca="1">AVERAGE(D174:E174)</f>
        <v>53383617</v>
      </c>
      <c r="F175" s="39">
        <f t="shared" ref="F175:R175" ca="1" si="45">AVERAGE(E174:F174)</f>
        <v>53383617</v>
      </c>
      <c r="G175" s="39">
        <f t="shared" ca="1" si="45"/>
        <v>53383617</v>
      </c>
      <c r="H175" s="39">
        <f t="shared" ca="1" si="45"/>
        <v>53383617</v>
      </c>
      <c r="I175" s="39">
        <f t="shared" ca="1" si="45"/>
        <v>53383617</v>
      </c>
      <c r="J175" s="39">
        <f t="shared" ca="1" si="45"/>
        <v>53383617</v>
      </c>
      <c r="K175" s="39">
        <f t="shared" ca="1" si="45"/>
        <v>53383617</v>
      </c>
      <c r="L175" s="39">
        <f t="shared" ca="1" si="45"/>
        <v>53383617</v>
      </c>
      <c r="M175" s="39">
        <f t="shared" ca="1" si="45"/>
        <v>53383617</v>
      </c>
      <c r="N175" s="39">
        <f t="shared" ca="1" si="45"/>
        <v>53383617</v>
      </c>
      <c r="O175" s="39">
        <f t="shared" ca="1" si="45"/>
        <v>53383617</v>
      </c>
      <c r="P175" s="39">
        <f t="shared" ca="1" si="45"/>
        <v>53383617</v>
      </c>
      <c r="Q175" s="39">
        <f t="shared" ca="1" si="45"/>
        <v>53383617</v>
      </c>
      <c r="R175" s="39">
        <f t="shared" ca="1" si="45"/>
        <v>53383617</v>
      </c>
      <c r="S175" s="39">
        <f ca="1">AVERAGE(R174:S174)</f>
        <v>53383617</v>
      </c>
      <c r="T175" s="39">
        <f ca="1">AVERAGE(S174:T174)</f>
        <v>53383617</v>
      </c>
      <c r="U175" s="39">
        <f ca="1">AVERAGE(T174:U174)</f>
        <v>53383617</v>
      </c>
      <c r="V175" s="39">
        <f t="shared" ref="V175:W175" ca="1" si="46">AVERAGE(U174:V174)</f>
        <v>53383617</v>
      </c>
      <c r="W175" s="39">
        <f t="shared" ca="1" si="46"/>
        <v>53383617</v>
      </c>
    </row>
    <row r="176" spans="1:23" x14ac:dyDescent="0.35">
      <c r="A176" s="26"/>
      <c r="B176" s="52" t="s">
        <v>335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 x14ac:dyDescent="0.35">
      <c r="A177" s="33" t="s">
        <v>336</v>
      </c>
      <c r="B177" s="150">
        <f>'0-Inputs'!B24</f>
        <v>1</v>
      </c>
      <c r="D177" s="34">
        <f>IF(D$7&lt;='0-Inputs'!$B$22,-$B$177*D73*IF($B2="Like",'CONF-MeterPrice'!E78,'CONF-MeterPrice'!E77),0)</f>
        <v>0</v>
      </c>
      <c r="E177" s="34">
        <f>IF(E$7&lt;='0-Inputs'!$B$22,-$B$177*E73*IF($B2="Like",'CONF-MeterPrice'!F78,'CONF-MeterPrice'!F77),0)</f>
        <v>0</v>
      </c>
      <c r="F177" s="34">
        <f>IF(F$7&lt;='0-Inputs'!$B$22,-$B$177*F73*IF($B2="Like",'CONF-MeterPrice'!G78,'CONF-MeterPrice'!G77),0)</f>
        <v>0</v>
      </c>
      <c r="G177" s="34">
        <f>IF(G$7&lt;='0-Inputs'!$B$22,-$B$177*G73*IF($B2="Like",'CONF-MeterPrice'!H78,'CONF-MeterPrice'!H77),0)</f>
        <v>0</v>
      </c>
      <c r="H177" s="34">
        <f>IF(H$7&lt;='0-Inputs'!$B$22,-$B$177*H73*IF($B2="Like",'CONF-MeterPrice'!I78,'CONF-MeterPrice'!I77),0)</f>
        <v>0</v>
      </c>
      <c r="I177" s="34">
        <f>IF(I$7&lt;='0-Inputs'!$B$22,-$B$177*I73*IF($B2="Like",'CONF-MeterPrice'!J78,'CONF-MeterPrice'!J77),0)</f>
        <v>0</v>
      </c>
      <c r="J177" s="34">
        <f>IF(J$7&lt;='0-Inputs'!$B$22,-$B$177*J73*IF($B2="Like",'CONF-MeterPrice'!K78,'CONF-MeterPrice'!K77),0)</f>
        <v>0</v>
      </c>
      <c r="K177" s="34">
        <f>IF(K$7&lt;='0-Inputs'!$B$22,-$B$177*K73*IF($B2="Like",'CONF-MeterPrice'!L78,'CONF-MeterPrice'!L77),0)</f>
        <v>0</v>
      </c>
      <c r="L177" s="34">
        <f>IF(L$7&lt;='0-Inputs'!$B$22,-$B$177*L73*IF($B2="Like",'CONF-MeterPrice'!M78,'CONF-MeterPrice'!M77),0)</f>
        <v>0</v>
      </c>
      <c r="M177" s="34">
        <f>IF(M$7&lt;='0-Inputs'!$B$22,-$B$177*M73*IF($B2="Like",'CONF-MeterPrice'!N78,'CONF-MeterPrice'!N77),0)</f>
        <v>0</v>
      </c>
      <c r="N177" s="34">
        <f>IF(N$7&lt;='0-Inputs'!$B$22,-$B$177*N73*IF($B2="Like",'CONF-MeterPrice'!O78,'CONF-MeterPrice'!O77),0)</f>
        <v>0</v>
      </c>
      <c r="O177" s="34">
        <f>IF(O$7&lt;='0-Inputs'!$B$22,-$B$177*O73*IF($B2="Like",'CONF-MeterPrice'!P78,'CONF-MeterPrice'!P77),0)</f>
        <v>0</v>
      </c>
      <c r="P177" s="34">
        <f>IF(P$7&lt;='0-Inputs'!$B$22,-$B$177*P73*IF($B2="Like",'CONF-MeterPrice'!Q78,'CONF-MeterPrice'!Q77),0)</f>
        <v>0</v>
      </c>
      <c r="Q177" s="34">
        <f>IF(Q$7&lt;='0-Inputs'!$B$22,-$B$177*Q73*IF($B2="Like",'CONF-MeterPrice'!R78,'CONF-MeterPrice'!R77),0)</f>
        <v>0</v>
      </c>
      <c r="R177" s="34">
        <f>IF(R$7&lt;='0-Inputs'!$B$22,-$B$177*R73*IF($B2="Like",'CONF-MeterPrice'!S78,'CONF-MeterPrice'!S77),0)</f>
        <v>0</v>
      </c>
      <c r="S177" s="34">
        <f>IF(S$7&lt;='0-Inputs'!$B$22,-$B$177*S73*IF($B2="Like",'CONF-MeterPrice'!T78,'CONF-MeterPrice'!T77),0)</f>
        <v>0</v>
      </c>
      <c r="T177" s="34">
        <f>IF(T$7&lt;='0-Inputs'!$B$22,-$B$177*T73*IF($B2="Like",'CONF-MeterPrice'!U78,'CONF-MeterPrice'!U77),0)</f>
        <v>0</v>
      </c>
      <c r="U177" s="34">
        <f>IF(U$7&lt;='0-Inputs'!$B$22,-$B$177*U73*IF($B2="Like",'CONF-MeterPrice'!V78,'CONF-MeterPrice'!V77),0)</f>
        <v>0</v>
      </c>
      <c r="V177" s="34">
        <f>IF(V$7&lt;='0-Inputs'!$B$22,-$B$177*V73*IF($B2="Like",'CONF-MeterPrice'!W78,'CONF-MeterPrice'!W77),0)</f>
        <v>0</v>
      </c>
      <c r="W177" s="34">
        <f>IF(W$7&lt;='0-Inputs'!$B$22,-$B$177*W73*IF($B2="Like",'CONF-MeterPrice'!X78,'CONF-MeterPrice'!X77),0)</f>
        <v>0</v>
      </c>
    </row>
    <row r="178" spans="1:23" x14ac:dyDescent="0.35">
      <c r="A178" s="33" t="s">
        <v>337</v>
      </c>
      <c r="B178" s="63"/>
      <c r="C178" s="1"/>
      <c r="D178" s="34">
        <f>IF(D$7&lt;='0-Inputs'!$B$22,0,-D170/(1+InflationMeter)^MeterRetireYearsAlt)</f>
        <v>0</v>
      </c>
      <c r="E178" s="34">
        <f>IF(E$7&lt;='0-Inputs'!$B$22,0,-E170/(1+InflationMeter)^MeterRetireYearsAlt)</f>
        <v>0</v>
      </c>
      <c r="F178" s="34">
        <f>IF(F$7&lt;='0-Inputs'!$B$22,0,-F170/(1+InflationMeter)^MeterRetireYearsAlt)</f>
        <v>0</v>
      </c>
      <c r="G178" s="34">
        <f>IF(G$7&lt;='0-Inputs'!$B$22,0,-G170/(1+InflationMeter)^MeterRetireYearsAlt)</f>
        <v>0</v>
      </c>
      <c r="H178" s="34">
        <f>IF(H$7&lt;='0-Inputs'!$B$22,0,-H170/(1+InflationMeter)^MeterRetireYearsAlt)</f>
        <v>0</v>
      </c>
      <c r="I178" s="34">
        <f>IF(I$7&lt;='0-Inputs'!$B$22,0,-I170/(1+InflationMeter)^MeterRetireYearsAlt)</f>
        <v>0</v>
      </c>
      <c r="J178" s="34">
        <f>IF(J$7&lt;='0-Inputs'!$B$22,0,-J170/(1+InflationMeter)^MeterRetireYearsAlt)</f>
        <v>0</v>
      </c>
      <c r="K178" s="34">
        <f>IF(K$7&lt;='0-Inputs'!$B$22,0,-K170/(1+InflationMeter)^MeterRetireYearsAlt)</f>
        <v>0</v>
      </c>
      <c r="L178" s="34">
        <f>IF(L$7&lt;='0-Inputs'!$B$22,0,-L170/(1+InflationMeter)^MeterRetireYearsAlt)</f>
        <v>0</v>
      </c>
      <c r="M178" s="34">
        <f>IF(M$7&lt;='0-Inputs'!$B$22,0,-M170/(1+InflationMeter)^MeterRetireYearsAlt)</f>
        <v>0</v>
      </c>
      <c r="N178" s="34">
        <f ca="1">IF(N$7&lt;='0-Inputs'!$B$22,0,-N170/(1+InflationMeter)^MeterRetireYearsAlt)</f>
        <v>0</v>
      </c>
      <c r="O178" s="34">
        <f ca="1">IF(O$7&lt;='0-Inputs'!$B$22,0,-O170/(1+InflationMeter)^MeterRetireYearsAlt)</f>
        <v>0</v>
      </c>
      <c r="P178" s="34">
        <f ca="1">IF(P$7&lt;='0-Inputs'!$B$22,0,-P170/(1+InflationMeter)^MeterRetireYearsAlt)</f>
        <v>0</v>
      </c>
      <c r="Q178" s="34">
        <f ca="1">IF(Q$7&lt;='0-Inputs'!$B$22,0,-Q170/(1+InflationMeter)^MeterRetireYearsAlt)</f>
        <v>0</v>
      </c>
      <c r="R178" s="34">
        <f ca="1">IF(R$7&lt;='0-Inputs'!$B$22,0,-R170/(1+InflationMeter)^MeterRetireYearsAlt)</f>
        <v>0</v>
      </c>
      <c r="S178" s="34">
        <f ca="1">IF(S$7&lt;='0-Inputs'!$B$22,0,-S170/(1+InflationMeter)^MeterRetireYearsAlt)</f>
        <v>0</v>
      </c>
      <c r="T178" s="34">
        <f ca="1">IF(T$7&lt;='0-Inputs'!$B$22,0,-T170/(1+InflationMeter)^MeterRetireYearsAlt)</f>
        <v>0</v>
      </c>
      <c r="U178" s="34">
        <f ca="1">IF(U$7&lt;='0-Inputs'!$B$22,0,-U170/(1+InflationMeter)^MeterRetireYearsAlt)</f>
        <v>0</v>
      </c>
      <c r="V178" s="34">
        <f ca="1">IF(V$7&lt;='0-Inputs'!$B$22,0,-V170/(1+InflationMeter)^MeterRetireYearsAlt)</f>
        <v>0</v>
      </c>
      <c r="W178" s="34">
        <f ca="1">IF(W$7&lt;='0-Inputs'!$B$22,0,-W170/(1+InflationMeter)^MeterRetireYearsAlt)</f>
        <v>0</v>
      </c>
    </row>
    <row r="179" spans="1:23" x14ac:dyDescent="0.35">
      <c r="A179" s="33" t="s">
        <v>338</v>
      </c>
      <c r="B179" s="63"/>
      <c r="C179" s="63"/>
      <c r="D179" s="34">
        <f t="shared" ref="D179:W179" ca="1" si="47">D156-C156</f>
        <v>0</v>
      </c>
      <c r="E179" s="34">
        <f t="shared" ca="1" si="47"/>
        <v>0</v>
      </c>
      <c r="F179" s="34">
        <f t="shared" ca="1" si="47"/>
        <v>0</v>
      </c>
      <c r="G179" s="34">
        <f t="shared" ca="1" si="47"/>
        <v>0</v>
      </c>
      <c r="H179" s="34">
        <f t="shared" ca="1" si="47"/>
        <v>0</v>
      </c>
      <c r="I179" s="34">
        <f t="shared" ca="1" si="47"/>
        <v>0</v>
      </c>
      <c r="J179" s="34">
        <f t="shared" ca="1" si="47"/>
        <v>0</v>
      </c>
      <c r="K179" s="34">
        <f t="shared" ca="1" si="47"/>
        <v>0</v>
      </c>
      <c r="L179" s="34">
        <f t="shared" ca="1" si="47"/>
        <v>0</v>
      </c>
      <c r="M179" s="34">
        <f t="shared" ca="1" si="47"/>
        <v>0</v>
      </c>
      <c r="N179" s="34">
        <f t="shared" ca="1" si="47"/>
        <v>0</v>
      </c>
      <c r="O179" s="34">
        <f t="shared" ca="1" si="47"/>
        <v>0</v>
      </c>
      <c r="P179" s="34">
        <f t="shared" ca="1" si="47"/>
        <v>0</v>
      </c>
      <c r="Q179" s="34">
        <f t="shared" ca="1" si="47"/>
        <v>0</v>
      </c>
      <c r="R179" s="34">
        <f t="shared" ca="1" si="47"/>
        <v>0</v>
      </c>
      <c r="S179" s="34">
        <f t="shared" ca="1" si="47"/>
        <v>0</v>
      </c>
      <c r="T179" s="34">
        <f t="shared" ca="1" si="47"/>
        <v>0</v>
      </c>
      <c r="U179" s="34">
        <f t="shared" ca="1" si="47"/>
        <v>0</v>
      </c>
      <c r="V179" s="34">
        <f t="shared" ca="1" si="47"/>
        <v>0</v>
      </c>
      <c r="W179" s="34">
        <f t="shared" ca="1" si="47"/>
        <v>0</v>
      </c>
    </row>
    <row r="180" spans="1:23" x14ac:dyDescent="0.35">
      <c r="A180" s="33" t="s">
        <v>339</v>
      </c>
      <c r="B180" s="63"/>
      <c r="C180" s="63"/>
      <c r="D180" s="34">
        <f>IF(D$7&lt;='0-Inputs'!$B$22,-$B$177*SUM(D76:D87)*'CONF-MeterPrice'!E$77,0)</f>
        <v>0</v>
      </c>
      <c r="E180" s="34">
        <f>IF(E$7&lt;='0-Inputs'!$B$22,-$B$177*SUM(E76:E87)*'CONF-MeterPrice'!F$77,0)</f>
        <v>0</v>
      </c>
      <c r="F180" s="34">
        <f>IF(F$7&lt;='0-Inputs'!$B$22,-$B$177*SUM(F76:F87)*'CONF-MeterPrice'!G$77,0)</f>
        <v>0</v>
      </c>
      <c r="G180" s="34">
        <f>IF(G$7&lt;='0-Inputs'!$B$22,-$B$177*SUM(G76:G87)*'CONF-MeterPrice'!H$77,0)</f>
        <v>0</v>
      </c>
      <c r="H180" s="34">
        <f>IF(H$7&lt;='0-Inputs'!$B$22,-$B$177*SUM(H76:H87)*'CONF-MeterPrice'!I$77,0)</f>
        <v>0</v>
      </c>
      <c r="I180" s="34">
        <f>IF(I$7&lt;='0-Inputs'!$B$22,-$B$177*SUM(I76:I87)*'CONF-MeterPrice'!J$77,0)</f>
        <v>0</v>
      </c>
      <c r="J180" s="34">
        <f>IF(J$7&lt;='0-Inputs'!$B$22,-$B$177*SUM(J76:J87)*'CONF-MeterPrice'!K$77,0)</f>
        <v>0</v>
      </c>
      <c r="K180" s="34">
        <f>IF(K$7&lt;='0-Inputs'!$B$22,-$B$177*SUM(K76:K87)*'CONF-MeterPrice'!L$77,0)</f>
        <v>0</v>
      </c>
      <c r="L180" s="34">
        <f>IF(L$7&lt;='0-Inputs'!$B$22,-$B$177*SUM(L76:L87)*'CONF-MeterPrice'!M$77,0)</f>
        <v>0</v>
      </c>
      <c r="M180" s="34">
        <f>IF(M$7&lt;='0-Inputs'!$B$22,-$B$177*SUM(M76:M87)*'CONF-MeterPrice'!N$77,0)</f>
        <v>0</v>
      </c>
      <c r="N180" s="34">
        <f>IF(N$7&lt;='0-Inputs'!$B$22,-$B$177*SUM(N76:N87)*'CONF-MeterPrice'!O$77,0)</f>
        <v>0</v>
      </c>
      <c r="O180" s="34">
        <f>IF(O$7&lt;='0-Inputs'!$B$22,-$B$177*SUM(O76:O87)*'CONF-MeterPrice'!P$77,0)</f>
        <v>0</v>
      </c>
      <c r="P180" s="34">
        <f>IF(P$7&lt;='0-Inputs'!$B$22,-$B$177*SUM(P76:P87)*'CONF-MeterPrice'!Q$77,0)</f>
        <v>0</v>
      </c>
      <c r="Q180" s="34">
        <f>IF(Q$7&lt;='0-Inputs'!$B$22,-$B$177*SUM(Q76:Q87)*'CONF-MeterPrice'!R$77,0)</f>
        <v>0</v>
      </c>
      <c r="R180" s="34">
        <f>IF(R$7&lt;='0-Inputs'!$B$22,-$B$177*SUM(R76:R87)*'CONF-MeterPrice'!S$77,0)</f>
        <v>0</v>
      </c>
      <c r="S180" s="34">
        <f>IF(S$7&lt;='0-Inputs'!$B$22,-$B$177*SUM(S76:S87)*'CONF-MeterPrice'!T$77,0)</f>
        <v>0</v>
      </c>
      <c r="T180" s="34">
        <f>IF(T$7&lt;='0-Inputs'!$B$22,-$B$177*SUM(T76:T87)*'CONF-MeterPrice'!U$77,0)</f>
        <v>0</v>
      </c>
      <c r="U180" s="34">
        <f>IF(U$7&lt;='0-Inputs'!$B$22,-$B$177*SUM(U76:U87)*'CONF-MeterPrice'!V$77,0)</f>
        <v>0</v>
      </c>
      <c r="V180" s="34">
        <f>IF(V$7&lt;='0-Inputs'!$B$22,-$B$177*SUM(V76:V87)*'CONF-MeterPrice'!W$77,0)</f>
        <v>0</v>
      </c>
      <c r="W180" s="34">
        <f>IF(W$7&lt;='0-Inputs'!$B$22,-$B$177*SUM(W76:W87)*'CONF-MeterPrice'!X$77,0)</f>
        <v>0</v>
      </c>
    </row>
    <row r="181" spans="1:23" x14ac:dyDescent="0.35">
      <c r="A181" s="33" t="s">
        <v>340</v>
      </c>
      <c r="B181" s="63"/>
      <c r="C181" s="63"/>
      <c r="D181" s="35">
        <f ca="1">SUM(D177:D180)</f>
        <v>0</v>
      </c>
      <c r="E181" s="35">
        <f t="shared" ref="E181:N181" ca="1" si="48">SUM(E177:E180)</f>
        <v>0</v>
      </c>
      <c r="F181" s="35">
        <f t="shared" ca="1" si="48"/>
        <v>0</v>
      </c>
      <c r="G181" s="35">
        <f t="shared" ca="1" si="48"/>
        <v>0</v>
      </c>
      <c r="H181" s="35">
        <f t="shared" ca="1" si="48"/>
        <v>0</v>
      </c>
      <c r="I181" s="35">
        <f t="shared" ca="1" si="48"/>
        <v>0</v>
      </c>
      <c r="J181" s="35">
        <f t="shared" ca="1" si="48"/>
        <v>0</v>
      </c>
      <c r="K181" s="35">
        <f t="shared" ca="1" si="48"/>
        <v>0</v>
      </c>
      <c r="L181" s="35">
        <f t="shared" ca="1" si="48"/>
        <v>0</v>
      </c>
      <c r="M181" s="35">
        <f t="shared" ca="1" si="48"/>
        <v>0</v>
      </c>
      <c r="N181" s="35">
        <f t="shared" ca="1" si="48"/>
        <v>0</v>
      </c>
      <c r="O181" s="35">
        <f ca="1">SUM(O177:O180)</f>
        <v>0</v>
      </c>
      <c r="P181" s="35">
        <f t="shared" ref="P181" ca="1" si="49">SUM(P177:P180)</f>
        <v>0</v>
      </c>
      <c r="Q181" s="35">
        <f t="shared" ref="Q181" ca="1" si="50">SUM(Q177:Q180)</f>
        <v>0</v>
      </c>
      <c r="R181" s="35">
        <f t="shared" ref="R181" ca="1" si="51">SUM(R177:R180)</f>
        <v>0</v>
      </c>
      <c r="S181" s="35">
        <f t="shared" ref="S181" ca="1" si="52">SUM(S177:S180)</f>
        <v>0</v>
      </c>
      <c r="T181" s="35">
        <f t="shared" ref="T181" ca="1" si="53">SUM(T177:T180)</f>
        <v>0</v>
      </c>
      <c r="U181" s="35">
        <f t="shared" ref="U181" ca="1" si="54">SUM(U177:U180)</f>
        <v>0</v>
      </c>
      <c r="V181" s="35">
        <f t="shared" ref="V181" ca="1" si="55">SUM(V177:V180)</f>
        <v>0</v>
      </c>
      <c r="W181" s="35">
        <f t="shared" ref="W181" ca="1" si="56">SUM(W177:W180)</f>
        <v>0</v>
      </c>
    </row>
    <row r="182" spans="1:23" x14ac:dyDescent="0.35">
      <c r="A182" s="33" t="s">
        <v>341</v>
      </c>
      <c r="C182" s="41">
        <v>0</v>
      </c>
      <c r="D182" s="35">
        <f ca="1">SUM($D177:D180)</f>
        <v>0</v>
      </c>
      <c r="E182" s="35">
        <f ca="1">SUM($D177:E180)</f>
        <v>0</v>
      </c>
      <c r="F182" s="35">
        <f ca="1">SUM($D177:F180)</f>
        <v>0</v>
      </c>
      <c r="G182" s="35">
        <f ca="1">SUM($D177:G180)</f>
        <v>0</v>
      </c>
      <c r="H182" s="35">
        <f ca="1">SUM($D177:H180)</f>
        <v>0</v>
      </c>
      <c r="I182" s="35">
        <f ca="1">SUM($D177:I180)</f>
        <v>0</v>
      </c>
      <c r="J182" s="35">
        <f ca="1">SUM($D177:J180)</f>
        <v>0</v>
      </c>
      <c r="K182" s="35">
        <f ca="1">SUM($D177:K180)</f>
        <v>0</v>
      </c>
      <c r="L182" s="35">
        <f ca="1">SUM($D177:L180)</f>
        <v>0</v>
      </c>
      <c r="M182" s="35">
        <f ca="1">SUM($D177:M180)</f>
        <v>0</v>
      </c>
      <c r="N182" s="35">
        <f ca="1">SUM($D177:N180)</f>
        <v>0</v>
      </c>
      <c r="O182" s="35">
        <f ca="1">SUM($D177:O180)</f>
        <v>0</v>
      </c>
      <c r="P182" s="35">
        <f ca="1">SUM($D177:P180)</f>
        <v>0</v>
      </c>
      <c r="Q182" s="35">
        <f ca="1">SUM($D177:Q180)</f>
        <v>0</v>
      </c>
      <c r="R182" s="35">
        <f ca="1">SUM($D177:R180)</f>
        <v>0</v>
      </c>
      <c r="S182" s="35">
        <f ca="1">SUM($D177:S180)</f>
        <v>0</v>
      </c>
      <c r="T182" s="35">
        <f ca="1">SUM($D177:T180)</f>
        <v>0</v>
      </c>
      <c r="U182" s="35">
        <f ca="1">SUM($D177:U180)</f>
        <v>0</v>
      </c>
      <c r="V182" s="35">
        <f ca="1">SUM($D177:V180)</f>
        <v>0</v>
      </c>
      <c r="W182" s="35">
        <f ca="1">SUM($D177:W180)</f>
        <v>0</v>
      </c>
    </row>
    <row r="183" spans="1:23" x14ac:dyDescent="0.35">
      <c r="A183" s="33" t="s">
        <v>342</v>
      </c>
      <c r="D183" s="39">
        <f ca="1">AVERAGE(C182:D182)</f>
        <v>0</v>
      </c>
      <c r="E183" s="39">
        <f ca="1">AVERAGE(D182:E182)</f>
        <v>0</v>
      </c>
      <c r="F183" s="39">
        <f t="shared" ref="F183:R183" ca="1" si="57">AVERAGE(E182:F182)</f>
        <v>0</v>
      </c>
      <c r="G183" s="39">
        <f t="shared" ca="1" si="57"/>
        <v>0</v>
      </c>
      <c r="H183" s="39">
        <f t="shared" ca="1" si="57"/>
        <v>0</v>
      </c>
      <c r="I183" s="39">
        <f t="shared" ca="1" si="57"/>
        <v>0</v>
      </c>
      <c r="J183" s="39">
        <f t="shared" ca="1" si="57"/>
        <v>0</v>
      </c>
      <c r="K183" s="39">
        <f t="shared" ca="1" si="57"/>
        <v>0</v>
      </c>
      <c r="L183" s="39">
        <f t="shared" ca="1" si="57"/>
        <v>0</v>
      </c>
      <c r="M183" s="39">
        <f t="shared" ca="1" si="57"/>
        <v>0</v>
      </c>
      <c r="N183" s="39">
        <f t="shared" ca="1" si="57"/>
        <v>0</v>
      </c>
      <c r="O183" s="39">
        <f t="shared" ca="1" si="57"/>
        <v>0</v>
      </c>
      <c r="P183" s="39">
        <f t="shared" ca="1" si="57"/>
        <v>0</v>
      </c>
      <c r="Q183" s="39">
        <f t="shared" ca="1" si="57"/>
        <v>0</v>
      </c>
      <c r="R183" s="39">
        <f t="shared" ca="1" si="57"/>
        <v>0</v>
      </c>
      <c r="S183" s="39">
        <f ca="1">AVERAGE(R182:S182)</f>
        <v>0</v>
      </c>
      <c r="T183" s="39">
        <f ca="1">AVERAGE(S182:T182)</f>
        <v>0</v>
      </c>
      <c r="U183" s="39">
        <f ca="1">AVERAGE(T182:U182)</f>
        <v>0</v>
      </c>
      <c r="V183" s="39">
        <f t="shared" ref="V183:W183" ca="1" si="58">AVERAGE(U182:V182)</f>
        <v>0</v>
      </c>
      <c r="W183" s="39">
        <f t="shared" ca="1" si="58"/>
        <v>0</v>
      </c>
    </row>
    <row r="184" spans="1:23" x14ac:dyDescent="0.35">
      <c r="A184" s="33" t="s">
        <v>343</v>
      </c>
      <c r="C184" s="14">
        <f>C174+C182</f>
        <v>53383617</v>
      </c>
      <c r="D184" s="14">
        <f t="shared" ref="D184:W184" ca="1" si="59">D174+D182</f>
        <v>53383617</v>
      </c>
      <c r="E184" s="14">
        <f t="shared" ca="1" si="59"/>
        <v>53383617</v>
      </c>
      <c r="F184" s="14">
        <f t="shared" ca="1" si="59"/>
        <v>53383617</v>
      </c>
      <c r="G184" s="14">
        <f t="shared" ca="1" si="59"/>
        <v>53383617</v>
      </c>
      <c r="H184" s="14">
        <f t="shared" ca="1" si="59"/>
        <v>53383617</v>
      </c>
      <c r="I184" s="14">
        <f t="shared" ca="1" si="59"/>
        <v>53383617</v>
      </c>
      <c r="J184" s="14">
        <f t="shared" ca="1" si="59"/>
        <v>53383617</v>
      </c>
      <c r="K184" s="14">
        <f t="shared" ca="1" si="59"/>
        <v>53383617</v>
      </c>
      <c r="L184" s="14">
        <f t="shared" ca="1" si="59"/>
        <v>53383617</v>
      </c>
      <c r="M184" s="14">
        <f t="shared" ca="1" si="59"/>
        <v>53383617</v>
      </c>
      <c r="N184" s="14">
        <f t="shared" ca="1" si="59"/>
        <v>53383617</v>
      </c>
      <c r="O184" s="14">
        <f t="shared" ca="1" si="59"/>
        <v>53383617</v>
      </c>
      <c r="P184" s="14">
        <f t="shared" ca="1" si="59"/>
        <v>53383617</v>
      </c>
      <c r="Q184" s="14">
        <f t="shared" ca="1" si="59"/>
        <v>53383617</v>
      </c>
      <c r="R184" s="14">
        <f t="shared" ca="1" si="59"/>
        <v>53383617</v>
      </c>
      <c r="S184" s="14">
        <f t="shared" ca="1" si="59"/>
        <v>53383617</v>
      </c>
      <c r="T184" s="14">
        <f t="shared" ca="1" si="59"/>
        <v>53383617</v>
      </c>
      <c r="U184" s="14">
        <f t="shared" ca="1" si="59"/>
        <v>53383617</v>
      </c>
      <c r="V184" s="14">
        <f t="shared" ca="1" si="59"/>
        <v>53383617</v>
      </c>
      <c r="W184" s="14">
        <f t="shared" ca="1" si="59"/>
        <v>53383617</v>
      </c>
    </row>
    <row r="185" spans="1:23" x14ac:dyDescent="0.35">
      <c r="A185" s="33" t="s">
        <v>344</v>
      </c>
      <c r="C185" s="14">
        <f>C184</f>
        <v>53383617</v>
      </c>
      <c r="D185" s="14">
        <f ca="1">AVERAGE(C184:D184)</f>
        <v>53383617</v>
      </c>
      <c r="E185" s="14">
        <f t="shared" ref="E185:W185" ca="1" si="60">AVERAGE(D184:E184)</f>
        <v>53383617</v>
      </c>
      <c r="F185" s="14">
        <f t="shared" ca="1" si="60"/>
        <v>53383617</v>
      </c>
      <c r="G185" s="14">
        <f t="shared" ca="1" si="60"/>
        <v>53383617</v>
      </c>
      <c r="H185" s="14">
        <f t="shared" ca="1" si="60"/>
        <v>53383617</v>
      </c>
      <c r="I185" s="14">
        <f t="shared" ca="1" si="60"/>
        <v>53383617</v>
      </c>
      <c r="J185" s="14">
        <f t="shared" ca="1" si="60"/>
        <v>53383617</v>
      </c>
      <c r="K185" s="14">
        <f t="shared" ca="1" si="60"/>
        <v>53383617</v>
      </c>
      <c r="L185" s="14">
        <f t="shared" ca="1" si="60"/>
        <v>53383617</v>
      </c>
      <c r="M185" s="14">
        <f t="shared" ca="1" si="60"/>
        <v>53383617</v>
      </c>
      <c r="N185" s="14">
        <f t="shared" ca="1" si="60"/>
        <v>53383617</v>
      </c>
      <c r="O185" s="14">
        <f t="shared" ca="1" si="60"/>
        <v>53383617</v>
      </c>
      <c r="P185" s="14">
        <f t="shared" ca="1" si="60"/>
        <v>53383617</v>
      </c>
      <c r="Q185" s="14">
        <f t="shared" ca="1" si="60"/>
        <v>53383617</v>
      </c>
      <c r="R185" s="14">
        <f t="shared" ca="1" si="60"/>
        <v>53383617</v>
      </c>
      <c r="S185" s="14">
        <f t="shared" ca="1" si="60"/>
        <v>53383617</v>
      </c>
      <c r="T185" s="14">
        <f t="shared" ca="1" si="60"/>
        <v>53383617</v>
      </c>
      <c r="U185" s="14">
        <f t="shared" ca="1" si="60"/>
        <v>53383617</v>
      </c>
      <c r="V185" s="14">
        <f t="shared" ca="1" si="60"/>
        <v>53383617</v>
      </c>
      <c r="W185" s="14">
        <f t="shared" ca="1" si="60"/>
        <v>53383617</v>
      </c>
    </row>
    <row r="186" spans="1:23" x14ac:dyDescent="0.35">
      <c r="A186" s="33" t="s">
        <v>345</v>
      </c>
      <c r="C186" s="35"/>
      <c r="D186" s="35">
        <f ca="1">D185-$C185</f>
        <v>0</v>
      </c>
      <c r="E186" s="35">
        <f t="shared" ref="E186:W186" ca="1" si="61">E185-$C185</f>
        <v>0</v>
      </c>
      <c r="F186" s="35">
        <f t="shared" ca="1" si="61"/>
        <v>0</v>
      </c>
      <c r="G186" s="35">
        <f t="shared" ca="1" si="61"/>
        <v>0</v>
      </c>
      <c r="H186" s="35">
        <f t="shared" ca="1" si="61"/>
        <v>0</v>
      </c>
      <c r="I186" s="35">
        <f t="shared" ca="1" si="61"/>
        <v>0</v>
      </c>
      <c r="J186" s="35">
        <f t="shared" ca="1" si="61"/>
        <v>0</v>
      </c>
      <c r="K186" s="35">
        <f t="shared" ca="1" si="61"/>
        <v>0</v>
      </c>
      <c r="L186" s="35">
        <f t="shared" ca="1" si="61"/>
        <v>0</v>
      </c>
      <c r="M186" s="35">
        <f ca="1">M185-$C185</f>
        <v>0</v>
      </c>
      <c r="N186" s="35">
        <f t="shared" ca="1" si="61"/>
        <v>0</v>
      </c>
      <c r="O186" s="35">
        <f t="shared" ca="1" si="61"/>
        <v>0</v>
      </c>
      <c r="P186" s="35">
        <f t="shared" ca="1" si="61"/>
        <v>0</v>
      </c>
      <c r="Q186" s="35">
        <f t="shared" ca="1" si="61"/>
        <v>0</v>
      </c>
      <c r="R186" s="35">
        <f t="shared" ca="1" si="61"/>
        <v>0</v>
      </c>
      <c r="S186" s="35">
        <f t="shared" ca="1" si="61"/>
        <v>0</v>
      </c>
      <c r="T186" s="35">
        <f t="shared" ca="1" si="61"/>
        <v>0</v>
      </c>
      <c r="U186" s="35">
        <f t="shared" ca="1" si="61"/>
        <v>0</v>
      </c>
      <c r="V186" s="35">
        <f t="shared" ca="1" si="61"/>
        <v>0</v>
      </c>
      <c r="W186" s="35">
        <f t="shared" ca="1" si="61"/>
        <v>0</v>
      </c>
    </row>
    <row r="187" spans="1:23" x14ac:dyDescent="0.35">
      <c r="A187" s="33" t="s">
        <v>346</v>
      </c>
      <c r="D187" s="98">
        <f ca="1">AVERAGE(SUM($C171:C171)+SUM($C179:C179),SUM($C171:D171)+SUM($C179:D179))</f>
        <v>0</v>
      </c>
      <c r="E187" s="98">
        <f ca="1">AVERAGE(SUM($C171:D171)+SUM($C179:D179),SUM($C171:E171)+SUM($C179:E179))</f>
        <v>0</v>
      </c>
      <c r="F187" s="98">
        <f ca="1">AVERAGE(SUM($C171:E171)+SUM($C179:E179),SUM($C171:F171)+SUM($C179:F179))</f>
        <v>0</v>
      </c>
      <c r="G187" s="98">
        <f ca="1">AVERAGE(SUM($C171:F171)+SUM($C179:F179),SUM($C171:G171)+SUM($C179:G179))</f>
        <v>0</v>
      </c>
      <c r="H187" s="98">
        <f ca="1">AVERAGE(SUM($C171:G171)+SUM($C179:G179),SUM($C171:H171)+SUM($C179:H179))</f>
        <v>0</v>
      </c>
      <c r="I187" s="98">
        <f ca="1">AVERAGE(SUM($C171:H171)+SUM($C179:H179),SUM($C171:I171)+SUM($C179:I179))</f>
        <v>0</v>
      </c>
      <c r="J187" s="98">
        <f ca="1">AVERAGE(SUM($C171:I171)+SUM($C179:I179),SUM($C171:J171)+SUM($C179:J179))</f>
        <v>0</v>
      </c>
      <c r="K187" s="98">
        <f ca="1">AVERAGE(SUM($C171:J171)+SUM($C179:J179),SUM($C171:K171)+SUM($C179:K179))</f>
        <v>0</v>
      </c>
      <c r="L187" s="98">
        <f ca="1">AVERAGE(SUM($C171:K171)+SUM($C179:K179),SUM($C171:L171)+SUM($C179:L179))</f>
        <v>0</v>
      </c>
      <c r="M187" s="98">
        <f ca="1">AVERAGE(SUM($C171:L171)+SUM($C179:L179),SUM($C171:M171)+SUM($C179:M179))</f>
        <v>0</v>
      </c>
      <c r="N187" s="98">
        <f ca="1">AVERAGE(SUM($C171:M171)+SUM($C179:M179),SUM($C171:N171)+SUM($C179:N179))</f>
        <v>0</v>
      </c>
      <c r="O187" s="98">
        <f ca="1">AVERAGE(SUM($C171:N171)+SUM($C179:N179),SUM($C171:O171)+SUM($C179:O179))</f>
        <v>0</v>
      </c>
      <c r="P187" s="98">
        <f ca="1">AVERAGE(SUM($C171:O171)+SUM($C179:O179),SUM($C171:P171)+SUM($C179:P179))</f>
        <v>0</v>
      </c>
      <c r="Q187" s="98">
        <f ca="1">AVERAGE(SUM($C171:P171)+SUM($C179:P179),SUM($C171:Q171)+SUM($C179:Q179))</f>
        <v>0</v>
      </c>
      <c r="R187" s="98">
        <f ca="1">AVERAGE(SUM($C171:Q171)+SUM($C179:Q179),SUM($C171:R171)+SUM($C179:R179))</f>
        <v>0</v>
      </c>
      <c r="S187" s="98">
        <f ca="1">AVERAGE(SUM($C171:R171)+SUM($C179:R179),SUM($C171:S171)+SUM($C179:S179))</f>
        <v>0</v>
      </c>
      <c r="T187" s="98">
        <f ca="1">AVERAGE(SUM($C171:S171)+SUM($C179:S179),SUM($C171:T171)+SUM($C179:T179))</f>
        <v>0</v>
      </c>
      <c r="U187" s="98">
        <f ca="1">AVERAGE(SUM($C171:T171)+SUM($C179:T179),SUM($C171:U171)+SUM($C179:U179))</f>
        <v>0</v>
      </c>
      <c r="V187" s="98">
        <f ca="1">AVERAGE(SUM($C171:U171)+SUM($C179:U179),SUM($C171:V171)+SUM($C179:V179))</f>
        <v>0</v>
      </c>
      <c r="W187" s="98">
        <f ca="1">AVERAGE(SUM($C171:V171)+SUM($C179:V179),SUM($C171:W171)+SUM($C179:W179))</f>
        <v>0</v>
      </c>
    </row>
    <row r="188" spans="1:23" x14ac:dyDescent="0.35">
      <c r="A188" s="33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</row>
    <row r="189" spans="1:23" x14ac:dyDescent="0.35">
      <c r="A189" s="26"/>
      <c r="B189" s="1"/>
      <c r="C189" s="1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3" x14ac:dyDescent="0.35">
      <c r="A190" s="33" t="s">
        <v>347</v>
      </c>
      <c r="C190" s="302">
        <f>C185*DeprRateMeters</f>
        <v>5338361.7</v>
      </c>
      <c r="D190" s="9">
        <f t="shared" ref="D190:W190" ca="1" si="62">(D185-D187)*DeprRateMeters+D187*DeprRateCollectors</f>
        <v>5338361.7</v>
      </c>
      <c r="E190" s="9">
        <f t="shared" ca="1" si="62"/>
        <v>5338361.7</v>
      </c>
      <c r="F190" s="9">
        <f t="shared" ca="1" si="62"/>
        <v>5338361.7</v>
      </c>
      <c r="G190" s="9">
        <f t="shared" ca="1" si="62"/>
        <v>5338361.7</v>
      </c>
      <c r="H190" s="9">
        <f t="shared" ca="1" si="62"/>
        <v>5338361.7</v>
      </c>
      <c r="I190" s="9">
        <f t="shared" ca="1" si="62"/>
        <v>5338361.7</v>
      </c>
      <c r="J190" s="9">
        <f t="shared" ca="1" si="62"/>
        <v>5338361.7</v>
      </c>
      <c r="K190" s="9">
        <f t="shared" ca="1" si="62"/>
        <v>5338361.7</v>
      </c>
      <c r="L190" s="9">
        <f t="shared" ca="1" si="62"/>
        <v>5338361.7</v>
      </c>
      <c r="M190" s="9">
        <f t="shared" ca="1" si="62"/>
        <v>5338361.7</v>
      </c>
      <c r="N190" s="9">
        <f t="shared" ca="1" si="62"/>
        <v>5338361.7</v>
      </c>
      <c r="O190" s="9">
        <f t="shared" ca="1" si="62"/>
        <v>5338361.7</v>
      </c>
      <c r="P190" s="9">
        <f t="shared" ca="1" si="62"/>
        <v>5338361.7</v>
      </c>
      <c r="Q190" s="9">
        <f t="shared" ca="1" si="62"/>
        <v>5338361.7</v>
      </c>
      <c r="R190" s="9">
        <f t="shared" ca="1" si="62"/>
        <v>5338361.7</v>
      </c>
      <c r="S190" s="9">
        <f t="shared" ca="1" si="62"/>
        <v>5338361.7</v>
      </c>
      <c r="T190" s="9">
        <f t="shared" ca="1" si="62"/>
        <v>5338361.7</v>
      </c>
      <c r="U190" s="9">
        <f t="shared" ca="1" si="62"/>
        <v>5338361.7</v>
      </c>
      <c r="V190" s="9">
        <f t="shared" ca="1" si="62"/>
        <v>5338361.7</v>
      </c>
      <c r="W190" s="9">
        <f t="shared" ca="1" si="62"/>
        <v>5338361.7</v>
      </c>
    </row>
    <row r="191" spans="1:23" x14ac:dyDescent="0.35">
      <c r="A191" s="33" t="s">
        <v>348</v>
      </c>
      <c r="C191" s="98"/>
      <c r="D191" s="34">
        <f ca="1">D190-$C190</f>
        <v>0</v>
      </c>
      <c r="E191" s="34">
        <f t="shared" ref="E191:W191" ca="1" si="63">E190-$C190</f>
        <v>0</v>
      </c>
      <c r="F191" s="34">
        <f t="shared" ca="1" si="63"/>
        <v>0</v>
      </c>
      <c r="G191" s="34">
        <f t="shared" ca="1" si="63"/>
        <v>0</v>
      </c>
      <c r="H191" s="34">
        <f t="shared" ca="1" si="63"/>
        <v>0</v>
      </c>
      <c r="I191" s="34">
        <f t="shared" ca="1" si="63"/>
        <v>0</v>
      </c>
      <c r="J191" s="34">
        <f t="shared" ca="1" si="63"/>
        <v>0</v>
      </c>
      <c r="K191" s="34">
        <f t="shared" ca="1" si="63"/>
        <v>0</v>
      </c>
      <c r="L191" s="34">
        <f t="shared" ca="1" si="63"/>
        <v>0</v>
      </c>
      <c r="M191" s="34">
        <f t="shared" ca="1" si="63"/>
        <v>0</v>
      </c>
      <c r="N191" s="34">
        <f t="shared" ca="1" si="63"/>
        <v>0</v>
      </c>
      <c r="O191" s="34">
        <f t="shared" ca="1" si="63"/>
        <v>0</v>
      </c>
      <c r="P191" s="34">
        <f t="shared" ca="1" si="63"/>
        <v>0</v>
      </c>
      <c r="Q191" s="34">
        <f t="shared" ca="1" si="63"/>
        <v>0</v>
      </c>
      <c r="R191" s="34">
        <f t="shared" ca="1" si="63"/>
        <v>0</v>
      </c>
      <c r="S191" s="34">
        <f t="shared" ca="1" si="63"/>
        <v>0</v>
      </c>
      <c r="T191" s="34">
        <f t="shared" ca="1" si="63"/>
        <v>0</v>
      </c>
      <c r="U191" s="34">
        <f t="shared" ca="1" si="63"/>
        <v>0</v>
      </c>
      <c r="V191" s="34">
        <f t="shared" ca="1" si="63"/>
        <v>0</v>
      </c>
      <c r="W191" s="34">
        <f t="shared" ca="1" si="63"/>
        <v>0</v>
      </c>
    </row>
    <row r="192" spans="1:23" x14ac:dyDescent="0.35">
      <c r="A192" s="33"/>
      <c r="C192" s="98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</row>
    <row r="193" spans="1:23" x14ac:dyDescent="0.35">
      <c r="A193" s="33" t="s">
        <v>349</v>
      </c>
      <c r="C193" s="301">
        <f>'0-Inputs'!B51</f>
        <v>13259821</v>
      </c>
      <c r="D193" s="34">
        <f ca="1">C193+D190</f>
        <v>18598182.699999999</v>
      </c>
      <c r="E193" s="34">
        <f ca="1">SUM($D190:E190)</f>
        <v>10676723.4</v>
      </c>
      <c r="F193" s="34">
        <f ca="1">SUM($D190:F190)</f>
        <v>16015085.100000001</v>
      </c>
      <c r="G193" s="34">
        <f ca="1">SUM($D190:G190)</f>
        <v>21353446.800000001</v>
      </c>
      <c r="H193" s="34">
        <f ca="1">SUM($D190:H190)</f>
        <v>26691808.5</v>
      </c>
      <c r="I193" s="34">
        <f ca="1">SUM($D190:I190)</f>
        <v>32030170.199999999</v>
      </c>
      <c r="J193" s="34">
        <f ca="1">SUM($D190:J190)</f>
        <v>37368531.899999999</v>
      </c>
      <c r="K193" s="34">
        <f ca="1">SUM($D190:K190)</f>
        <v>42706893.600000001</v>
      </c>
      <c r="L193" s="34">
        <f ca="1">SUM($D190:L190)</f>
        <v>48045255.300000004</v>
      </c>
      <c r="M193" s="34">
        <f ca="1">SUM($D190:M190)</f>
        <v>53383617.000000007</v>
      </c>
      <c r="N193" s="34">
        <f ca="1">SUM($D190:N190)</f>
        <v>58721978.70000001</v>
      </c>
      <c r="O193" s="34">
        <f ca="1">SUM($D190:O190)</f>
        <v>64060340.400000013</v>
      </c>
      <c r="P193" s="34">
        <f ca="1">SUM($D190:P190)</f>
        <v>69398702.100000009</v>
      </c>
      <c r="Q193" s="34">
        <f ca="1">SUM($D190:Q190)</f>
        <v>74737063.800000012</v>
      </c>
      <c r="R193" s="34">
        <f ca="1">SUM($D190:R190)</f>
        <v>80075425.500000015</v>
      </c>
      <c r="S193" s="34">
        <f ca="1">SUM($D190:S190)</f>
        <v>85413787.200000018</v>
      </c>
      <c r="T193" s="34">
        <f ca="1">SUM($D190:T190)</f>
        <v>90752148.900000021</v>
      </c>
      <c r="U193" s="34">
        <f ca="1">SUM($D190:U190)</f>
        <v>96090510.600000024</v>
      </c>
      <c r="V193" s="34">
        <f ca="1">SUM($D190:V190)</f>
        <v>101428872.30000003</v>
      </c>
      <c r="W193" s="34">
        <f ca="1">SUM($D190:W190)</f>
        <v>106767234.00000003</v>
      </c>
    </row>
    <row r="194" spans="1:23" x14ac:dyDescent="0.35">
      <c r="A194" s="33" t="s">
        <v>350</v>
      </c>
      <c r="C194" s="41">
        <v>0</v>
      </c>
      <c r="D194" s="34">
        <f ca="1">D182</f>
        <v>0</v>
      </c>
      <c r="E194" s="34">
        <f t="shared" ref="E194:W194" ca="1" si="64">E182</f>
        <v>0</v>
      </c>
      <c r="F194" s="34">
        <f t="shared" ca="1" si="64"/>
        <v>0</v>
      </c>
      <c r="G194" s="34">
        <f t="shared" ca="1" si="64"/>
        <v>0</v>
      </c>
      <c r="H194" s="34">
        <f t="shared" ca="1" si="64"/>
        <v>0</v>
      </c>
      <c r="I194" s="34">
        <f t="shared" ca="1" si="64"/>
        <v>0</v>
      </c>
      <c r="J194" s="34">
        <f ca="1">J182</f>
        <v>0</v>
      </c>
      <c r="K194" s="34">
        <f t="shared" ca="1" si="64"/>
        <v>0</v>
      </c>
      <c r="L194" s="34">
        <f t="shared" ca="1" si="64"/>
        <v>0</v>
      </c>
      <c r="M194" s="34">
        <f t="shared" ca="1" si="64"/>
        <v>0</v>
      </c>
      <c r="N194" s="34">
        <f t="shared" ca="1" si="64"/>
        <v>0</v>
      </c>
      <c r="O194" s="34">
        <f t="shared" ca="1" si="64"/>
        <v>0</v>
      </c>
      <c r="P194" s="34">
        <f t="shared" ca="1" si="64"/>
        <v>0</v>
      </c>
      <c r="Q194" s="34">
        <f t="shared" ca="1" si="64"/>
        <v>0</v>
      </c>
      <c r="R194" s="34">
        <f t="shared" ca="1" si="64"/>
        <v>0</v>
      </c>
      <c r="S194" s="34">
        <f t="shared" ca="1" si="64"/>
        <v>0</v>
      </c>
      <c r="T194" s="34">
        <f t="shared" ca="1" si="64"/>
        <v>0</v>
      </c>
      <c r="U194" s="34">
        <f t="shared" ca="1" si="64"/>
        <v>0</v>
      </c>
      <c r="V194" s="34">
        <f t="shared" ca="1" si="64"/>
        <v>0</v>
      </c>
      <c r="W194" s="34">
        <f t="shared" ca="1" si="64"/>
        <v>0</v>
      </c>
    </row>
    <row r="195" spans="1:23" x14ac:dyDescent="0.35">
      <c r="A195" s="33" t="s">
        <v>351</v>
      </c>
      <c r="D195" s="34">
        <f ca="1">-SUM($D138:D138)</f>
        <v>0</v>
      </c>
      <c r="E195" s="34">
        <f ca="1">-SUM($D138:E138)</f>
        <v>0</v>
      </c>
      <c r="F195" s="34">
        <f ca="1">-SUM($D138:F138)</f>
        <v>0</v>
      </c>
      <c r="G195" s="34">
        <f ca="1">-SUM($D138:G138)</f>
        <v>0</v>
      </c>
      <c r="H195" s="34">
        <f ca="1">-SUM($D138:H138)</f>
        <v>0</v>
      </c>
      <c r="I195" s="34">
        <f ca="1">-SUM($D138:I138)</f>
        <v>0</v>
      </c>
      <c r="J195" s="34">
        <f ca="1">-SUM($D138:J138)</f>
        <v>0</v>
      </c>
      <c r="K195" s="34">
        <f ca="1">-SUM($D138:K138)</f>
        <v>0</v>
      </c>
      <c r="L195" s="34">
        <f ca="1">-SUM($D138:L138)</f>
        <v>0</v>
      </c>
      <c r="M195" s="34">
        <f ca="1">-SUM($D138:M138)</f>
        <v>0</v>
      </c>
      <c r="N195" s="34">
        <f ca="1">-SUM($D138:N138)</f>
        <v>0</v>
      </c>
      <c r="O195" s="34">
        <f ca="1">-SUM($D138:O138)</f>
        <v>0</v>
      </c>
      <c r="P195" s="34">
        <f ca="1">-SUM($D138:P138)</f>
        <v>0</v>
      </c>
      <c r="Q195" s="34">
        <f ca="1">-SUM($D138:Q138)</f>
        <v>0</v>
      </c>
      <c r="R195" s="34">
        <f ca="1">-SUM($D138:R138)</f>
        <v>0</v>
      </c>
      <c r="S195" s="34">
        <f ca="1">-SUM($D138:S138)</f>
        <v>0</v>
      </c>
      <c r="T195" s="34">
        <f ca="1">-SUM($D138:T138)</f>
        <v>0</v>
      </c>
      <c r="U195" s="34">
        <f ca="1">-SUM($D138:U138)</f>
        <v>0</v>
      </c>
      <c r="V195" s="34">
        <f ca="1">-SUM($D138:V138)</f>
        <v>0</v>
      </c>
      <c r="W195" s="34">
        <f ca="1">-SUM($D138:W138)</f>
        <v>0</v>
      </c>
    </row>
    <row r="196" spans="1:23" x14ac:dyDescent="0.35">
      <c r="A196" s="33" t="s">
        <v>352</v>
      </c>
      <c r="C196" s="39">
        <f>C193</f>
        <v>13259821</v>
      </c>
      <c r="D196" s="39">
        <f ca="1">AVERAGE(C193:D193)+AVERAGE(C194:D194)+AVERAGE(C195:D195)</f>
        <v>15929001.85</v>
      </c>
      <c r="E196" s="39">
        <f ca="1">AVERAGE(D193:E193)+AVERAGE(D194:E194)+AVERAGE(D195:E195)</f>
        <v>14637453.050000001</v>
      </c>
      <c r="F196" s="39">
        <f t="shared" ref="F196:L196" ca="1" si="65">AVERAGE(E193:F193)+AVERAGE(E194:F194)+AVERAGE(E195:F195)</f>
        <v>13345904.25</v>
      </c>
      <c r="G196" s="39">
        <f t="shared" ca="1" si="65"/>
        <v>18684265.950000003</v>
      </c>
      <c r="H196" s="39">
        <f t="shared" ca="1" si="65"/>
        <v>24022627.649999999</v>
      </c>
      <c r="I196" s="39">
        <f t="shared" ca="1" si="65"/>
        <v>29360989.350000001</v>
      </c>
      <c r="J196" s="39">
        <f t="shared" ca="1" si="65"/>
        <v>34699351.049999997</v>
      </c>
      <c r="K196" s="39">
        <f t="shared" ca="1" si="65"/>
        <v>40037712.75</v>
      </c>
      <c r="L196" s="39">
        <f t="shared" ca="1" si="65"/>
        <v>45376074.450000003</v>
      </c>
      <c r="M196" s="39">
        <f ca="1">AVERAGE(L193:M193)+AVERAGE(L194:M194)+AVERAGE(L195:M195)</f>
        <v>50714436.150000006</v>
      </c>
      <c r="N196" s="39">
        <f ca="1">AVERAGE(M193:N193)+AVERAGE(M194:N194)+AVERAGE(M195:N195)</f>
        <v>56052797.850000009</v>
      </c>
      <c r="O196" s="39">
        <f ca="1">AVERAGE(N193:O193)+AVERAGE(N194:O194)+AVERAGE(N195:O195)</f>
        <v>61391159.550000012</v>
      </c>
      <c r="P196" s="39">
        <f ca="1">AVERAGE(O193:P193)+AVERAGE(O194:P194)+AVERAGE(O195:P195)</f>
        <v>66729521.250000015</v>
      </c>
      <c r="Q196" s="39">
        <f t="shared" ref="Q196:W196" ca="1" si="66">AVERAGE(P193:Q193)+AVERAGE(P194:Q194)+AVERAGE(P195:Q195)</f>
        <v>72067882.950000018</v>
      </c>
      <c r="R196" s="39">
        <f t="shared" ca="1" si="66"/>
        <v>77406244.650000006</v>
      </c>
      <c r="S196" s="39">
        <f t="shared" ca="1" si="66"/>
        <v>82744606.350000024</v>
      </c>
      <c r="T196" s="39">
        <f t="shared" ca="1" si="66"/>
        <v>88082968.050000012</v>
      </c>
      <c r="U196" s="39">
        <f t="shared" ca="1" si="66"/>
        <v>93421329.75000003</v>
      </c>
      <c r="V196" s="39">
        <f t="shared" ca="1" si="66"/>
        <v>98759691.450000018</v>
      </c>
      <c r="W196" s="39">
        <f t="shared" ca="1" si="66"/>
        <v>104098053.15000004</v>
      </c>
    </row>
    <row r="197" spans="1:23" x14ac:dyDescent="0.35">
      <c r="A197" s="33" t="s">
        <v>353</v>
      </c>
      <c r="C197" s="40"/>
      <c r="D197" s="40">
        <f ca="1">D196-$C196</f>
        <v>2669180.8499999996</v>
      </c>
      <c r="E197" s="40">
        <f t="shared" ref="E197:W197" ca="1" si="67">E196-$C196</f>
        <v>1377632.0500000007</v>
      </c>
      <c r="F197" s="40">
        <f t="shared" ca="1" si="67"/>
        <v>86083.25</v>
      </c>
      <c r="G197" s="40">
        <f t="shared" ca="1" si="67"/>
        <v>5424444.950000003</v>
      </c>
      <c r="H197" s="40">
        <f t="shared" ca="1" si="67"/>
        <v>10762806.649999999</v>
      </c>
      <c r="I197" s="40">
        <f t="shared" ca="1" si="67"/>
        <v>16101168.350000001</v>
      </c>
      <c r="J197" s="40">
        <f t="shared" ca="1" si="67"/>
        <v>21439530.049999997</v>
      </c>
      <c r="K197" s="40">
        <f t="shared" ca="1" si="67"/>
        <v>26777891.75</v>
      </c>
      <c r="L197" s="40">
        <f t="shared" ca="1" si="67"/>
        <v>32116253.450000003</v>
      </c>
      <c r="M197" s="40">
        <f t="shared" ca="1" si="67"/>
        <v>37454615.150000006</v>
      </c>
      <c r="N197" s="40">
        <f t="shared" ca="1" si="67"/>
        <v>42792976.850000009</v>
      </c>
      <c r="O197" s="40">
        <f t="shared" ca="1" si="67"/>
        <v>48131338.550000012</v>
      </c>
      <c r="P197" s="40">
        <f t="shared" ca="1" si="67"/>
        <v>53469700.250000015</v>
      </c>
      <c r="Q197" s="40">
        <f t="shared" ca="1" si="67"/>
        <v>58808061.950000018</v>
      </c>
      <c r="R197" s="40">
        <f t="shared" ca="1" si="67"/>
        <v>64146423.650000006</v>
      </c>
      <c r="S197" s="40">
        <f t="shared" ca="1" si="67"/>
        <v>69484785.350000024</v>
      </c>
      <c r="T197" s="40">
        <f t="shared" ca="1" si="67"/>
        <v>74823147.050000012</v>
      </c>
      <c r="U197" s="40">
        <f t="shared" ca="1" si="67"/>
        <v>80161508.75000003</v>
      </c>
      <c r="V197" s="40">
        <f t="shared" ca="1" si="67"/>
        <v>85499870.450000018</v>
      </c>
      <c r="W197" s="40">
        <f t="shared" ca="1" si="67"/>
        <v>90838232.150000036</v>
      </c>
    </row>
    <row r="198" spans="1:23" x14ac:dyDescent="0.35">
      <c r="A198" s="33"/>
      <c r="B198" s="1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</row>
    <row r="199" spans="1:23" ht="15" thickBot="1" x14ac:dyDescent="0.4">
      <c r="A199" s="33" t="s">
        <v>354</v>
      </c>
      <c r="B199" s="1"/>
      <c r="C199" s="42">
        <f>C185-C196</f>
        <v>40123796</v>
      </c>
      <c r="D199" s="42">
        <f ca="1">D185-D196</f>
        <v>37454615.149999999</v>
      </c>
      <c r="E199" s="42">
        <f t="shared" ref="E199:W199" ca="1" si="68">E185-E196</f>
        <v>38746163.950000003</v>
      </c>
      <c r="F199" s="42">
        <f t="shared" ca="1" si="68"/>
        <v>40037712.75</v>
      </c>
      <c r="G199" s="42">
        <f t="shared" ca="1" si="68"/>
        <v>34699351.049999997</v>
      </c>
      <c r="H199" s="42">
        <f t="shared" ca="1" si="68"/>
        <v>29360989.350000001</v>
      </c>
      <c r="I199" s="42">
        <f t="shared" ca="1" si="68"/>
        <v>24022627.649999999</v>
      </c>
      <c r="J199" s="42">
        <f t="shared" ca="1" si="68"/>
        <v>18684265.950000003</v>
      </c>
      <c r="K199" s="42">
        <f t="shared" ca="1" si="68"/>
        <v>13345904.25</v>
      </c>
      <c r="L199" s="42">
        <f ca="1">L185-L196</f>
        <v>8007542.549999997</v>
      </c>
      <c r="M199" s="42">
        <f t="shared" ca="1" si="68"/>
        <v>2669180.849999994</v>
      </c>
      <c r="N199" s="42">
        <f t="shared" ca="1" si="68"/>
        <v>-2669180.8500000089</v>
      </c>
      <c r="O199" s="42">
        <f t="shared" ca="1" si="68"/>
        <v>-8007542.5500000119</v>
      </c>
      <c r="P199" s="42">
        <f t="shared" ca="1" si="68"/>
        <v>-13345904.250000015</v>
      </c>
      <c r="Q199" s="42">
        <f t="shared" ca="1" si="68"/>
        <v>-18684265.950000018</v>
      </c>
      <c r="R199" s="42">
        <f t="shared" ca="1" si="68"/>
        <v>-24022627.650000006</v>
      </c>
      <c r="S199" s="42">
        <f t="shared" ca="1" si="68"/>
        <v>-29360989.350000024</v>
      </c>
      <c r="T199" s="42">
        <f t="shared" ca="1" si="68"/>
        <v>-34699351.050000012</v>
      </c>
      <c r="U199" s="42">
        <f t="shared" ca="1" si="68"/>
        <v>-40037712.75000003</v>
      </c>
      <c r="V199" s="42">
        <f t="shared" ca="1" si="68"/>
        <v>-45376074.450000018</v>
      </c>
      <c r="W199" s="42">
        <f t="shared" ca="1" si="68"/>
        <v>-50714436.150000036</v>
      </c>
    </row>
    <row r="200" spans="1:23" ht="15" thickTop="1" x14ac:dyDescent="0.35">
      <c r="A200" s="33"/>
      <c r="B200" s="1"/>
      <c r="D200" s="40">
        <f ca="1">D199-C199</f>
        <v>-2669180.8500000015</v>
      </c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</row>
    <row r="201" spans="1:23" x14ac:dyDescent="0.35">
      <c r="A201" s="33"/>
      <c r="B201" s="1" t="s">
        <v>253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3" x14ac:dyDescent="0.35">
      <c r="A202" s="33" t="s">
        <v>355</v>
      </c>
      <c r="B202" s="43">
        <f>TaxDeprMeters</f>
        <v>0.04</v>
      </c>
      <c r="D202" s="91">
        <f t="shared" ref="D202:W202" ca="1" si="69">D186*TaxDeprMeters</f>
        <v>0</v>
      </c>
      <c r="E202" s="91">
        <f t="shared" ca="1" si="69"/>
        <v>0</v>
      </c>
      <c r="F202" s="91">
        <f t="shared" ca="1" si="69"/>
        <v>0</v>
      </c>
      <c r="G202" s="91">
        <f t="shared" ca="1" si="69"/>
        <v>0</v>
      </c>
      <c r="H202" s="91">
        <f t="shared" ca="1" si="69"/>
        <v>0</v>
      </c>
      <c r="I202" s="91">
        <f t="shared" ca="1" si="69"/>
        <v>0</v>
      </c>
      <c r="J202" s="91">
        <f t="shared" ca="1" si="69"/>
        <v>0</v>
      </c>
      <c r="K202" s="91">
        <f t="shared" ca="1" si="69"/>
        <v>0</v>
      </c>
      <c r="L202" s="91">
        <f t="shared" ca="1" si="69"/>
        <v>0</v>
      </c>
      <c r="M202" s="91">
        <f t="shared" ca="1" si="69"/>
        <v>0</v>
      </c>
      <c r="N202" s="91">
        <f t="shared" ca="1" si="69"/>
        <v>0</v>
      </c>
      <c r="O202" s="91">
        <f t="shared" ca="1" si="69"/>
        <v>0</v>
      </c>
      <c r="P202" s="91">
        <f t="shared" ca="1" si="69"/>
        <v>0</v>
      </c>
      <c r="Q202" s="91">
        <f t="shared" ca="1" si="69"/>
        <v>0</v>
      </c>
      <c r="R202" s="91">
        <f t="shared" ca="1" si="69"/>
        <v>0</v>
      </c>
      <c r="S202" s="91">
        <f t="shared" ca="1" si="69"/>
        <v>0</v>
      </c>
      <c r="T202" s="91">
        <f t="shared" ca="1" si="69"/>
        <v>0</v>
      </c>
      <c r="U202" s="91">
        <f t="shared" ca="1" si="69"/>
        <v>0</v>
      </c>
      <c r="V202" s="91">
        <f t="shared" ca="1" si="69"/>
        <v>0</v>
      </c>
      <c r="W202" s="91">
        <f t="shared" ca="1" si="69"/>
        <v>0</v>
      </c>
    </row>
    <row r="203" spans="1:23" x14ac:dyDescent="0.35">
      <c r="A203" s="33" t="s">
        <v>356</v>
      </c>
      <c r="B203" s="48"/>
      <c r="D203" s="62">
        <f>IF(1/TaxDeprMeters&gt;'0-Inputs'!$B$22,(DeprRateMeters-TaxDeprMeters)*'0-Inputs'!$B$22*-D178,0)</f>
        <v>0</v>
      </c>
      <c r="E203" s="62">
        <f>IF(1/TaxDeprMeters&gt;'0-Inputs'!$B$22,(DeprRateMeters-TaxDeprMeters)*'0-Inputs'!$B$22*-E178,0)</f>
        <v>0</v>
      </c>
      <c r="F203" s="62">
        <f>IF(1/TaxDeprMeters&gt;'0-Inputs'!$B$22,(DeprRateMeters-TaxDeprMeters)*'0-Inputs'!$B$22*-F178,0)</f>
        <v>0</v>
      </c>
      <c r="G203" s="62">
        <f>IF(1/TaxDeprMeters&gt;'0-Inputs'!$B$22,(DeprRateMeters-TaxDeprMeters)*'0-Inputs'!$B$22*-G178,0)</f>
        <v>0</v>
      </c>
      <c r="H203" s="62">
        <f>IF(1/TaxDeprMeters&gt;'0-Inputs'!$B$22,(DeprRateMeters-TaxDeprMeters)*'0-Inputs'!$B$22*-H178,0)</f>
        <v>0</v>
      </c>
      <c r="I203" s="62">
        <f>IF(1/TaxDeprMeters&gt;'0-Inputs'!$B$22,(DeprRateMeters-TaxDeprMeters)*'0-Inputs'!$B$22*-I178,0)</f>
        <v>0</v>
      </c>
      <c r="J203" s="62">
        <f>IF(1/TaxDeprMeters&gt;'0-Inputs'!$B$22,(DeprRateMeters-TaxDeprMeters)*'0-Inputs'!$B$22*-J178,0)</f>
        <v>0</v>
      </c>
      <c r="K203" s="62">
        <f>IF(1/TaxDeprMeters&gt;'0-Inputs'!$B$22,(DeprRateMeters-TaxDeprMeters)*'0-Inputs'!$B$22*-K178,0)</f>
        <v>0</v>
      </c>
      <c r="L203" s="62">
        <f>IF(1/TaxDeprMeters&gt;'0-Inputs'!$B$22,(DeprRateMeters-TaxDeprMeters)*'0-Inputs'!$B$22*-L178,0)</f>
        <v>0</v>
      </c>
      <c r="M203" s="62">
        <f>IF(1/TaxDeprMeters&gt;'0-Inputs'!$B$22,(DeprRateMeters-TaxDeprMeters)*'0-Inputs'!$B$22*-M178,0)</f>
        <v>0</v>
      </c>
      <c r="N203" s="62">
        <f ca="1">IF(1/TaxDeprMeters&gt;'0-Inputs'!$B$22,(DeprRateMeters-TaxDeprMeters)*'0-Inputs'!$B$22*-N178,0)</f>
        <v>0</v>
      </c>
      <c r="O203" s="62">
        <f ca="1">IF(1/TaxDeprMeters&gt;'0-Inputs'!$B$22,(DeprRateMeters-TaxDeprMeters)*'0-Inputs'!$B$22*-O178,0)</f>
        <v>0</v>
      </c>
      <c r="P203" s="62">
        <f ca="1">IF(1/TaxDeprMeters&gt;'0-Inputs'!$B$22,(DeprRateMeters-TaxDeprMeters)*'0-Inputs'!$B$22*-P178,0)</f>
        <v>0</v>
      </c>
      <c r="Q203" s="62">
        <f ca="1">IF(1/TaxDeprMeters&gt;'0-Inputs'!$B$22,(DeprRateMeters-TaxDeprMeters)*'0-Inputs'!$B$22*-Q178,0)</f>
        <v>0</v>
      </c>
      <c r="R203" s="62">
        <f ca="1">IF(1/TaxDeprMeters&gt;'0-Inputs'!$B$22,(DeprRateMeters-TaxDeprMeters)*'0-Inputs'!$B$22*-R178,0)</f>
        <v>0</v>
      </c>
      <c r="S203" s="62">
        <f ca="1">IF(1/TaxDeprMeters&gt;'0-Inputs'!$B$22,(DeprRateMeters-TaxDeprMeters)*'0-Inputs'!$B$22*-S178,0)</f>
        <v>0</v>
      </c>
      <c r="T203" s="62">
        <f ca="1">IF(1/TaxDeprMeters&gt;'0-Inputs'!$B$22,(DeprRateMeters-TaxDeprMeters)*'0-Inputs'!$B$22*-T178,0)</f>
        <v>0</v>
      </c>
      <c r="U203" s="62">
        <f ca="1">IF(1/TaxDeprMeters&gt;'0-Inputs'!$B$22,(DeprRateMeters-TaxDeprMeters)*'0-Inputs'!$B$22*-U178,0)</f>
        <v>0</v>
      </c>
      <c r="V203" s="62">
        <f ca="1">IF(1/TaxDeprMeters&gt;'0-Inputs'!$B$22,(DeprRateMeters-TaxDeprMeters)*'0-Inputs'!$B$22*-V178,0)</f>
        <v>0</v>
      </c>
      <c r="W203" s="62">
        <f ca="1">IF(1/TaxDeprMeters&gt;'0-Inputs'!$B$22,(DeprRateMeters-TaxDeprMeters)*'0-Inputs'!$B$22*-W178,0)</f>
        <v>0</v>
      </c>
    </row>
    <row r="204" spans="1:23" x14ac:dyDescent="0.35">
      <c r="A204" s="33" t="s">
        <v>357</v>
      </c>
      <c r="B204" s="44"/>
      <c r="D204" s="21">
        <f ca="1">SUM(D202:D203)-D190</f>
        <v>-5338361.7</v>
      </c>
      <c r="E204" s="21">
        <f t="shared" ref="E204:W204" ca="1" si="70">SUM(E202:E203)-E190</f>
        <v>-5338361.7</v>
      </c>
      <c r="F204" s="21">
        <f t="shared" ca="1" si="70"/>
        <v>-5338361.7</v>
      </c>
      <c r="G204" s="21">
        <f t="shared" ca="1" si="70"/>
        <v>-5338361.7</v>
      </c>
      <c r="H204" s="21">
        <f t="shared" ca="1" si="70"/>
        <v>-5338361.7</v>
      </c>
      <c r="I204" s="21">
        <f t="shared" ca="1" si="70"/>
        <v>-5338361.7</v>
      </c>
      <c r="J204" s="21">
        <f t="shared" ca="1" si="70"/>
        <v>-5338361.7</v>
      </c>
      <c r="K204" s="21">
        <f t="shared" ca="1" si="70"/>
        <v>-5338361.7</v>
      </c>
      <c r="L204" s="21">
        <f t="shared" ca="1" si="70"/>
        <v>-5338361.7</v>
      </c>
      <c r="M204" s="21">
        <f t="shared" ca="1" si="70"/>
        <v>-5338361.7</v>
      </c>
      <c r="N204" s="21">
        <f t="shared" ca="1" si="70"/>
        <v>-5338361.7</v>
      </c>
      <c r="O204" s="21">
        <f t="shared" ca="1" si="70"/>
        <v>-5338361.7</v>
      </c>
      <c r="P204" s="21">
        <f t="shared" ca="1" si="70"/>
        <v>-5338361.7</v>
      </c>
      <c r="Q204" s="21">
        <f t="shared" ca="1" si="70"/>
        <v>-5338361.7</v>
      </c>
      <c r="R204" s="21">
        <f t="shared" ca="1" si="70"/>
        <v>-5338361.7</v>
      </c>
      <c r="S204" s="21">
        <f t="shared" ca="1" si="70"/>
        <v>-5338361.7</v>
      </c>
      <c r="T204" s="21">
        <f t="shared" ca="1" si="70"/>
        <v>-5338361.7</v>
      </c>
      <c r="U204" s="21">
        <f t="shared" ca="1" si="70"/>
        <v>-5338361.7</v>
      </c>
      <c r="V204" s="21">
        <f t="shared" ca="1" si="70"/>
        <v>-5338361.7</v>
      </c>
      <c r="W204" s="21">
        <f t="shared" ca="1" si="70"/>
        <v>-5338361.7</v>
      </c>
    </row>
    <row r="205" spans="1:23" x14ac:dyDescent="0.35">
      <c r="A205" s="33"/>
      <c r="B205" s="44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1:23" x14ac:dyDescent="0.35">
      <c r="A206" s="33" t="s">
        <v>358</v>
      </c>
      <c r="B206" s="43">
        <f>ETR</f>
        <v>0.2495</v>
      </c>
      <c r="D206" s="21">
        <f ca="1">D204*ETR</f>
        <v>-1331921.2441500002</v>
      </c>
      <c r="E206" s="21">
        <f t="shared" ref="E206:W206" ca="1" si="71">E204*ETR</f>
        <v>-1331921.2441500002</v>
      </c>
      <c r="F206" s="21">
        <f t="shared" ca="1" si="71"/>
        <v>-1331921.2441500002</v>
      </c>
      <c r="G206" s="21">
        <f t="shared" ca="1" si="71"/>
        <v>-1331921.2441500002</v>
      </c>
      <c r="H206" s="21">
        <f t="shared" ca="1" si="71"/>
        <v>-1331921.2441500002</v>
      </c>
      <c r="I206" s="21">
        <f t="shared" ca="1" si="71"/>
        <v>-1331921.2441500002</v>
      </c>
      <c r="J206" s="21">
        <f t="shared" ca="1" si="71"/>
        <v>-1331921.2441500002</v>
      </c>
      <c r="K206" s="21">
        <f t="shared" ca="1" si="71"/>
        <v>-1331921.2441500002</v>
      </c>
      <c r="L206" s="21">
        <f t="shared" ca="1" si="71"/>
        <v>-1331921.2441500002</v>
      </c>
      <c r="M206" s="21">
        <f t="shared" ca="1" si="71"/>
        <v>-1331921.2441500002</v>
      </c>
      <c r="N206" s="21">
        <f t="shared" ca="1" si="71"/>
        <v>-1331921.2441500002</v>
      </c>
      <c r="O206" s="21">
        <f t="shared" ca="1" si="71"/>
        <v>-1331921.2441500002</v>
      </c>
      <c r="P206" s="21">
        <f t="shared" ca="1" si="71"/>
        <v>-1331921.2441500002</v>
      </c>
      <c r="Q206" s="21">
        <f t="shared" ca="1" si="71"/>
        <v>-1331921.2441500002</v>
      </c>
      <c r="R206" s="21">
        <f t="shared" ca="1" si="71"/>
        <v>-1331921.2441500002</v>
      </c>
      <c r="S206" s="21">
        <f t="shared" ca="1" si="71"/>
        <v>-1331921.2441500002</v>
      </c>
      <c r="T206" s="21">
        <f t="shared" ca="1" si="71"/>
        <v>-1331921.2441500002</v>
      </c>
      <c r="U206" s="21">
        <f t="shared" ca="1" si="71"/>
        <v>-1331921.2441500002</v>
      </c>
      <c r="V206" s="21">
        <f t="shared" ca="1" si="71"/>
        <v>-1331921.2441500002</v>
      </c>
      <c r="W206" s="21">
        <f t="shared" ca="1" si="71"/>
        <v>-1331921.2441500002</v>
      </c>
    </row>
    <row r="207" spans="1:23" x14ac:dyDescent="0.35">
      <c r="A207" s="33" t="s">
        <v>359</v>
      </c>
      <c r="C207">
        <v>0</v>
      </c>
      <c r="D207" s="34">
        <f ca="1">SUM($D206:D206)</f>
        <v>-1331921.2441500002</v>
      </c>
      <c r="E207" s="34">
        <f ca="1">SUM($D206:E206)</f>
        <v>-2663842.4883000003</v>
      </c>
      <c r="F207" s="34">
        <f ca="1">SUM($D206:F206)</f>
        <v>-3995763.7324500005</v>
      </c>
      <c r="G207" s="34">
        <f ca="1">SUM($D206:G206)</f>
        <v>-5327684.9766000006</v>
      </c>
      <c r="H207" s="34">
        <f ca="1">SUM($D206:H206)</f>
        <v>-6659606.2207500003</v>
      </c>
      <c r="I207" s="34">
        <f ca="1">SUM($D206:I206)</f>
        <v>-7991527.4649</v>
      </c>
      <c r="J207" s="34">
        <f ca="1">SUM($D206:J206)</f>
        <v>-9323448.7090499997</v>
      </c>
      <c r="K207" s="34">
        <f ca="1">SUM($D206:K206)</f>
        <v>-10655369.953199999</v>
      </c>
      <c r="L207" s="34">
        <f ca="1">SUM($D206:L206)</f>
        <v>-11987291.197349999</v>
      </c>
      <c r="M207" s="34">
        <f ca="1">SUM($D206:M206)</f>
        <v>-13319212.441499999</v>
      </c>
      <c r="N207" s="34">
        <f ca="1">SUM($D206:N206)</f>
        <v>-14651133.685649998</v>
      </c>
      <c r="O207" s="34">
        <f ca="1">SUM($D206:O206)</f>
        <v>-15983054.929799998</v>
      </c>
      <c r="P207" s="34">
        <f ca="1">SUM($D206:P206)</f>
        <v>-17314976.173949998</v>
      </c>
      <c r="Q207" s="34">
        <f ca="1">SUM($D206:Q206)</f>
        <v>-18646897.418099999</v>
      </c>
      <c r="R207" s="34">
        <f ca="1">SUM($D206:R206)</f>
        <v>-19978818.662250001</v>
      </c>
      <c r="S207" s="34">
        <f ca="1">SUM($D206:S206)</f>
        <v>-21310739.906400003</v>
      </c>
      <c r="T207" s="34">
        <f ca="1">SUM($D206:T206)</f>
        <v>-22642661.150550004</v>
      </c>
      <c r="U207" s="34">
        <f ca="1">SUM($D206:U206)</f>
        <v>-23974582.394700006</v>
      </c>
      <c r="V207" s="34">
        <f ca="1">SUM($D206:V206)</f>
        <v>-25306503.638850007</v>
      </c>
      <c r="W207" s="34">
        <f ca="1">SUM($D206:W206)</f>
        <v>-26638424.883000009</v>
      </c>
    </row>
    <row r="208" spans="1:23" x14ac:dyDescent="0.35">
      <c r="A208" s="33" t="s">
        <v>360</v>
      </c>
      <c r="B208" s="1"/>
      <c r="D208" s="39">
        <f ca="1">SUM($C206:C206)+0.5*D206</f>
        <v>-665960.62207500008</v>
      </c>
      <c r="E208" s="39">
        <f ca="1">SUM($C206:D206)+0.5*E206</f>
        <v>-1997881.8662250002</v>
      </c>
      <c r="F208" s="39">
        <f ca="1">SUM($C206:E206)+0.5*F206</f>
        <v>-3329803.1103750002</v>
      </c>
      <c r="G208" s="39">
        <f ca="1">SUM($C206:F206)+0.5*G206</f>
        <v>-4661724.3545250008</v>
      </c>
      <c r="H208" s="39">
        <f ca="1">SUM($C206:G206)+0.5*H206</f>
        <v>-5993645.5986750005</v>
      </c>
      <c r="I208" s="39">
        <f ca="1">SUM($C206:H206)+0.5*I206</f>
        <v>-7325566.8428250002</v>
      </c>
      <c r="J208" s="39">
        <f ca="1">SUM($C206:I206)+0.5*J206</f>
        <v>-8657488.0869750008</v>
      </c>
      <c r="K208" s="39">
        <f ca="1">SUM($C206:J206)+0.5*K206</f>
        <v>-9989409.3311250005</v>
      </c>
      <c r="L208" s="39">
        <f ca="1">SUM($C206:K206)+0.5*L206</f>
        <v>-11321330.575275</v>
      </c>
      <c r="M208" s="39">
        <f ca="1">SUM($C206:L206)+0.5*M206</f>
        <v>-12653251.819425</v>
      </c>
      <c r="N208" s="39">
        <f ca="1">SUM($C206:M206)+0.5*N206</f>
        <v>-13985173.063575</v>
      </c>
      <c r="O208" s="39">
        <f ca="1">SUM($C206:N206)+0.5*O206</f>
        <v>-15317094.307724999</v>
      </c>
      <c r="P208" s="39">
        <f ca="1">SUM($C206:O206)+0.5*P206</f>
        <v>-16649015.551874999</v>
      </c>
      <c r="Q208" s="39">
        <f ca="1">SUM($C206:P206)+0.5*Q206</f>
        <v>-17980936.796024997</v>
      </c>
      <c r="R208" s="39">
        <f ca="1">SUM($C206:Q206)+0.5*R206</f>
        <v>-19312858.040174998</v>
      </c>
      <c r="S208" s="39">
        <f ca="1">SUM($C206:R206)+0.5*S206</f>
        <v>-20644779.284325</v>
      </c>
      <c r="T208" s="39">
        <f ca="1">SUM($C206:S206)+0.5*T206</f>
        <v>-21976700.528475001</v>
      </c>
      <c r="U208" s="39">
        <f ca="1">SUM($C206:T206)+0.5*U206</f>
        <v>-23308621.772625003</v>
      </c>
      <c r="V208" s="39">
        <f ca="1">SUM($C206:U206)+0.5*V206</f>
        <v>-24640543.016775005</v>
      </c>
      <c r="W208" s="39">
        <f ca="1">SUM($C206:V206)+0.5*W206</f>
        <v>-25972464.260925006</v>
      </c>
    </row>
    <row r="209" spans="1:23" ht="15" thickBot="1" x14ac:dyDescent="0.4">
      <c r="A209" s="33" t="s">
        <v>361</v>
      </c>
      <c r="B209" t="s">
        <v>362</v>
      </c>
      <c r="C209" s="302">
        <f>C215</f>
        <v>40123796</v>
      </c>
      <c r="D209" s="42">
        <f ca="1">D199-D208</f>
        <v>38120575.772074997</v>
      </c>
      <c r="E209" s="42">
        <f ca="1">E199-E208</f>
        <v>40744045.816225</v>
      </c>
      <c r="F209" s="42">
        <f ca="1">F199-F208</f>
        <v>43367515.860375002</v>
      </c>
      <c r="G209" s="42">
        <f t="shared" ref="G209:W209" ca="1" si="72">G199-G208</f>
        <v>39361075.404524997</v>
      </c>
      <c r="H209" s="42">
        <f t="shared" ca="1" si="72"/>
        <v>35354634.948674999</v>
      </c>
      <c r="I209" s="42">
        <f t="shared" ca="1" si="72"/>
        <v>31348194.492824998</v>
      </c>
      <c r="J209" s="42">
        <f t="shared" ca="1" si="72"/>
        <v>27341754.036975004</v>
      </c>
      <c r="K209" s="42">
        <f t="shared" ca="1" si="72"/>
        <v>23335313.581124999</v>
      </c>
      <c r="L209" s="42">
        <f t="shared" ca="1" si="72"/>
        <v>19328873.125274997</v>
      </c>
      <c r="M209" s="42">
        <f t="shared" ca="1" si="72"/>
        <v>15322432.669424994</v>
      </c>
      <c r="N209" s="42">
        <f t="shared" ca="1" si="72"/>
        <v>11315992.213574991</v>
      </c>
      <c r="O209" s="42">
        <f t="shared" ca="1" si="72"/>
        <v>7309551.7577249873</v>
      </c>
      <c r="P209" s="42">
        <f t="shared" ca="1" si="72"/>
        <v>3303111.3018749841</v>
      </c>
      <c r="Q209" s="42">
        <f t="shared" ca="1" si="72"/>
        <v>-703329.15397502109</v>
      </c>
      <c r="R209" s="42">
        <f t="shared" ca="1" si="72"/>
        <v>-4709769.6098250076</v>
      </c>
      <c r="S209" s="42">
        <f t="shared" ca="1" si="72"/>
        <v>-8716210.0656750239</v>
      </c>
      <c r="T209" s="42">
        <f t="shared" ca="1" si="72"/>
        <v>-12722650.52152501</v>
      </c>
      <c r="U209" s="42">
        <f t="shared" ca="1" si="72"/>
        <v>-16729090.977375027</v>
      </c>
      <c r="V209" s="42">
        <f t="shared" ca="1" si="72"/>
        <v>-20735531.433225013</v>
      </c>
      <c r="W209" s="42">
        <f t="shared" ca="1" si="72"/>
        <v>-24741971.88907503</v>
      </c>
    </row>
    <row r="210" spans="1:23" ht="15" thickTop="1" x14ac:dyDescent="0.35">
      <c r="A210" s="33" t="s">
        <v>363</v>
      </c>
      <c r="D210" s="98">
        <f ca="1">D209-$C209</f>
        <v>-2003220.2279250026</v>
      </c>
      <c r="E210" s="98">
        <f t="shared" ref="E210:W210" ca="1" si="73">E209-$C209</f>
        <v>620249.81622499973</v>
      </c>
      <c r="F210" s="98">
        <f t="shared" ca="1" si="73"/>
        <v>3243719.860375002</v>
      </c>
      <c r="G210" s="98">
        <f t="shared" ca="1" si="73"/>
        <v>-762720.59547500312</v>
      </c>
      <c r="H210" s="98">
        <f t="shared" ca="1" si="73"/>
        <v>-4769161.0513250008</v>
      </c>
      <c r="I210" s="98">
        <f t="shared" ca="1" si="73"/>
        <v>-8775601.5071750022</v>
      </c>
      <c r="J210" s="98">
        <f t="shared" ca="1" si="73"/>
        <v>-12782041.963024996</v>
      </c>
      <c r="K210" s="98">
        <f t="shared" ca="1" si="73"/>
        <v>-16788482.418875001</v>
      </c>
      <c r="L210" s="98">
        <f t="shared" ca="1" si="73"/>
        <v>-20794922.874725003</v>
      </c>
      <c r="M210" s="98">
        <f t="shared" ca="1" si="73"/>
        <v>-24801363.330575004</v>
      </c>
      <c r="N210" s="98">
        <f t="shared" ca="1" si="73"/>
        <v>-28807803.786425009</v>
      </c>
      <c r="O210" s="98">
        <f t="shared" ca="1" si="73"/>
        <v>-32814244.242275015</v>
      </c>
      <c r="P210" s="98">
        <f t="shared" ca="1" si="73"/>
        <v>-36820684.69812502</v>
      </c>
      <c r="Q210" s="98">
        <f t="shared" ca="1" si="73"/>
        <v>-40827125.153975025</v>
      </c>
      <c r="R210" s="98">
        <f t="shared" ca="1" si="73"/>
        <v>-44833565.609825008</v>
      </c>
      <c r="S210" s="98">
        <f t="shared" ca="1" si="73"/>
        <v>-48840006.06567502</v>
      </c>
      <c r="T210" s="98">
        <f t="shared" ca="1" si="73"/>
        <v>-52846446.52152501</v>
      </c>
      <c r="U210" s="98">
        <f t="shared" ca="1" si="73"/>
        <v>-56852886.977375031</v>
      </c>
      <c r="V210" s="98">
        <f t="shared" ca="1" si="73"/>
        <v>-60859327.433225013</v>
      </c>
      <c r="W210" s="98">
        <f t="shared" ca="1" si="73"/>
        <v>-64865767.889075026</v>
      </c>
    </row>
    <row r="211" spans="1:23" x14ac:dyDescent="0.35">
      <c r="A211" s="33"/>
      <c r="B211" s="52" t="s">
        <v>253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</row>
    <row r="212" spans="1:23" x14ac:dyDescent="0.35">
      <c r="A212" s="33" t="s">
        <v>364</v>
      </c>
      <c r="B212" s="43">
        <f>PropTaxRate</f>
        <v>1.4800000000000001E-2</v>
      </c>
      <c r="C212" s="40">
        <f>PropTaxRate*C199</f>
        <v>593832.18079999997</v>
      </c>
      <c r="D212" s="40">
        <f ca="1">PropTaxRate*D199</f>
        <v>554328.30422000005</v>
      </c>
      <c r="E212" s="40">
        <f t="shared" ref="E212:W212" ca="1" si="74">PropTaxRate*E199</f>
        <v>573443.22646000003</v>
      </c>
      <c r="F212" s="40">
        <f t="shared" ca="1" si="74"/>
        <v>592558.14870000002</v>
      </c>
      <c r="G212" s="40">
        <f t="shared" ca="1" si="74"/>
        <v>513550.39554</v>
      </c>
      <c r="H212" s="40">
        <f t="shared" ca="1" si="74"/>
        <v>434542.64238000003</v>
      </c>
      <c r="I212" s="40">
        <f t="shared" ca="1" si="74"/>
        <v>355534.88922000001</v>
      </c>
      <c r="J212" s="40">
        <f t="shared" ca="1" si="74"/>
        <v>276527.13606000005</v>
      </c>
      <c r="K212" s="40">
        <f t="shared" ca="1" si="74"/>
        <v>197519.3829</v>
      </c>
      <c r="L212" s="40">
        <f t="shared" ca="1" si="74"/>
        <v>118511.62973999996</v>
      </c>
      <c r="M212" s="40">
        <f t="shared" ca="1" si="74"/>
        <v>39503.876579999916</v>
      </c>
      <c r="N212" s="40">
        <f t="shared" ca="1" si="74"/>
        <v>-39503.876580000135</v>
      </c>
      <c r="O212" s="40">
        <f t="shared" ca="1" si="74"/>
        <v>-118511.62974000018</v>
      </c>
      <c r="P212" s="40">
        <f ca="1">PropTaxRate*P199</f>
        <v>-197519.38290000023</v>
      </c>
      <c r="Q212" s="40">
        <f t="shared" ca="1" si="74"/>
        <v>-276527.13606000028</v>
      </c>
      <c r="R212" s="40">
        <f t="shared" ca="1" si="74"/>
        <v>-355534.88922000013</v>
      </c>
      <c r="S212" s="40">
        <f t="shared" ca="1" si="74"/>
        <v>-434542.64238000038</v>
      </c>
      <c r="T212" s="40">
        <f t="shared" ca="1" si="74"/>
        <v>-513550.39554000017</v>
      </c>
      <c r="U212" s="40">
        <f t="shared" ca="1" si="74"/>
        <v>-592558.14870000049</v>
      </c>
      <c r="V212" s="40">
        <f t="shared" ca="1" si="74"/>
        <v>-671565.90186000033</v>
      </c>
      <c r="W212" s="40">
        <f t="shared" ca="1" si="74"/>
        <v>-750573.65502000053</v>
      </c>
    </row>
    <row r="213" spans="1:23" x14ac:dyDescent="0.35">
      <c r="A213" s="33" t="s">
        <v>365</v>
      </c>
      <c r="B213" s="44"/>
      <c r="C213" s="98"/>
      <c r="D213" s="98">
        <f ca="1">D212-$C212</f>
        <v>-39503.876579999924</v>
      </c>
      <c r="E213" s="98">
        <f t="shared" ref="E213:W213" ca="1" si="75">E212-$C212</f>
        <v>-20388.954339999938</v>
      </c>
      <c r="F213" s="98">
        <f t="shared" ca="1" si="75"/>
        <v>-1274.0320999999531</v>
      </c>
      <c r="G213" s="98">
        <f t="shared" ca="1" si="75"/>
        <v>-80281.785259999975</v>
      </c>
      <c r="H213" s="98">
        <f t="shared" ca="1" si="75"/>
        <v>-159289.53841999994</v>
      </c>
      <c r="I213" s="98">
        <f t="shared" ca="1" si="75"/>
        <v>-238297.29157999996</v>
      </c>
      <c r="J213" s="98">
        <f t="shared" ca="1" si="75"/>
        <v>-317305.04473999992</v>
      </c>
      <c r="K213" s="98">
        <f t="shared" ca="1" si="75"/>
        <v>-396312.79790000001</v>
      </c>
      <c r="L213" s="98">
        <f t="shared" ca="1" si="75"/>
        <v>-475320.55106000003</v>
      </c>
      <c r="M213" s="98">
        <f t="shared" ca="1" si="75"/>
        <v>-554328.30422000005</v>
      </c>
      <c r="N213" s="98">
        <f t="shared" ca="1" si="75"/>
        <v>-633336.05738000013</v>
      </c>
      <c r="O213" s="98">
        <f t="shared" ca="1" si="75"/>
        <v>-712343.81054000021</v>
      </c>
      <c r="P213" s="98">
        <f t="shared" ca="1" si="75"/>
        <v>-791351.56370000017</v>
      </c>
      <c r="Q213" s="98">
        <f t="shared" ca="1" si="75"/>
        <v>-870359.31686000025</v>
      </c>
      <c r="R213" s="98">
        <f t="shared" ca="1" si="75"/>
        <v>-949367.0700200001</v>
      </c>
      <c r="S213" s="98">
        <f t="shared" ca="1" si="75"/>
        <v>-1028374.8231800003</v>
      </c>
      <c r="T213" s="98">
        <f t="shared" ca="1" si="75"/>
        <v>-1107382.5763400001</v>
      </c>
      <c r="U213" s="98">
        <f t="shared" ca="1" si="75"/>
        <v>-1186390.3295000005</v>
      </c>
      <c r="V213" s="98">
        <f t="shared" ca="1" si="75"/>
        <v>-1265398.0826600003</v>
      </c>
      <c r="W213" s="98">
        <f t="shared" ca="1" si="75"/>
        <v>-1344405.8358200006</v>
      </c>
    </row>
    <row r="214" spans="1:23" x14ac:dyDescent="0.35">
      <c r="A214" s="33"/>
      <c r="B214" s="1"/>
      <c r="D214" s="47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</row>
    <row r="215" spans="1:23" x14ac:dyDescent="0.35">
      <c r="A215" s="33" t="s">
        <v>366</v>
      </c>
      <c r="B215" s="1"/>
      <c r="C215" s="98">
        <f>C184-SUM(C193:C195)-C207</f>
        <v>40123796</v>
      </c>
      <c r="D215" s="98">
        <f t="shared" ref="D215:W215" ca="1" si="76">D184-SUM(D193:D195)-D207</f>
        <v>36117355.544149995</v>
      </c>
      <c r="E215" s="98">
        <f t="shared" ca="1" si="76"/>
        <v>45370736.088300005</v>
      </c>
      <c r="F215" s="98">
        <f t="shared" ca="1" si="76"/>
        <v>41364295.632449999</v>
      </c>
      <c r="G215" s="98">
        <f t="shared" ca="1" si="76"/>
        <v>37357855.176600002</v>
      </c>
      <c r="H215" s="98">
        <f t="shared" ca="1" si="76"/>
        <v>33351414.72075</v>
      </c>
      <c r="I215" s="98">
        <f t="shared" ca="1" si="76"/>
        <v>29344974.264899999</v>
      </c>
      <c r="J215" s="98">
        <f t="shared" ca="1" si="76"/>
        <v>25338533.809050001</v>
      </c>
      <c r="K215" s="98">
        <f t="shared" ca="1" si="76"/>
        <v>21332093.353199996</v>
      </c>
      <c r="L215" s="98">
        <f t="shared" ca="1" si="76"/>
        <v>17325652.897349995</v>
      </c>
      <c r="M215" s="98">
        <f ca="1">M184-SUM(M193:M195)-M207</f>
        <v>13319212.441499991</v>
      </c>
      <c r="N215" s="98">
        <f t="shared" ca="1" si="76"/>
        <v>9312771.9856499881</v>
      </c>
      <c r="O215" s="98">
        <f t="shared" ca="1" si="76"/>
        <v>5306331.5297999848</v>
      </c>
      <c r="P215" s="98">
        <f t="shared" ca="1" si="76"/>
        <v>1299891.0739499889</v>
      </c>
      <c r="Q215" s="98">
        <f t="shared" ca="1" si="76"/>
        <v>-2706549.3819000125</v>
      </c>
      <c r="R215" s="98">
        <f t="shared" ca="1" si="76"/>
        <v>-6712989.8377500139</v>
      </c>
      <c r="S215" s="98">
        <f t="shared" ca="1" si="76"/>
        <v>-10719430.293600015</v>
      </c>
      <c r="T215" s="98">
        <f t="shared" ca="1" si="76"/>
        <v>-14725870.749450017</v>
      </c>
      <c r="U215" s="98">
        <f t="shared" ca="1" si="76"/>
        <v>-18732311.205300018</v>
      </c>
      <c r="V215" s="98">
        <f t="shared" ca="1" si="76"/>
        <v>-22738751.66115002</v>
      </c>
      <c r="W215" s="98">
        <f t="shared" ca="1" si="76"/>
        <v>-26745192.117000021</v>
      </c>
    </row>
    <row r="216" spans="1:23" x14ac:dyDescent="0.35">
      <c r="A216" s="33"/>
      <c r="B216" s="1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</row>
    <row r="217" spans="1:23" ht="21" x14ac:dyDescent="0.5">
      <c r="A217" s="93" t="s">
        <v>367</v>
      </c>
      <c r="B217" s="52" t="s">
        <v>368</v>
      </c>
      <c r="D217" s="27">
        <f t="shared" ref="D217:W217" si="77">YearOne+D$7-1</f>
        <v>2026</v>
      </c>
      <c r="E217" s="27">
        <f t="shared" si="77"/>
        <v>2027</v>
      </c>
      <c r="F217" s="27">
        <f t="shared" si="77"/>
        <v>2028</v>
      </c>
      <c r="G217" s="27">
        <f t="shared" si="77"/>
        <v>2029</v>
      </c>
      <c r="H217" s="27">
        <f t="shared" si="77"/>
        <v>2030</v>
      </c>
      <c r="I217" s="27">
        <f t="shared" si="77"/>
        <v>2031</v>
      </c>
      <c r="J217" s="27">
        <f t="shared" si="77"/>
        <v>2032</v>
      </c>
      <c r="K217" s="27">
        <f t="shared" si="77"/>
        <v>2033</v>
      </c>
      <c r="L217" s="27">
        <f t="shared" si="77"/>
        <v>2034</v>
      </c>
      <c r="M217" s="27">
        <f t="shared" si="77"/>
        <v>2035</v>
      </c>
      <c r="N217" s="27">
        <f t="shared" si="77"/>
        <v>2036</v>
      </c>
      <c r="O217" s="27">
        <f t="shared" si="77"/>
        <v>2037</v>
      </c>
      <c r="P217" s="27">
        <f t="shared" si="77"/>
        <v>2038</v>
      </c>
      <c r="Q217" s="27">
        <f t="shared" si="77"/>
        <v>2039</v>
      </c>
      <c r="R217" s="27">
        <f t="shared" si="77"/>
        <v>2040</v>
      </c>
      <c r="S217" s="27">
        <f t="shared" si="77"/>
        <v>2041</v>
      </c>
      <c r="T217" s="27">
        <f t="shared" si="77"/>
        <v>2042</v>
      </c>
      <c r="U217" s="27">
        <f t="shared" si="77"/>
        <v>2043</v>
      </c>
      <c r="V217" s="27">
        <f t="shared" si="77"/>
        <v>2044</v>
      </c>
      <c r="W217" s="27">
        <f t="shared" si="77"/>
        <v>2045</v>
      </c>
    </row>
    <row r="218" spans="1:23" x14ac:dyDescent="0.35">
      <c r="A218" s="33" t="s">
        <v>369</v>
      </c>
      <c r="B218" s="46">
        <f>'0-Inputs'!B168</f>
        <v>0.4778</v>
      </c>
      <c r="C218" s="41">
        <v>0</v>
      </c>
      <c r="D218" s="40">
        <f t="shared" ref="D218:W218" ca="1" si="78">(D215-C215)*DebtRatio</f>
        <v>-1914277.2498051324</v>
      </c>
      <c r="E218" s="40">
        <f t="shared" ca="1" si="78"/>
        <v>4421265.2239948744</v>
      </c>
      <c r="F218" s="40">
        <f t="shared" ca="1" si="78"/>
        <v>-1914277.2498051324</v>
      </c>
      <c r="G218" s="40">
        <f t="shared" ca="1" si="78"/>
        <v>-1914277.2498051289</v>
      </c>
      <c r="H218" s="40">
        <f t="shared" ca="1" si="78"/>
        <v>-1914277.2498051308</v>
      </c>
      <c r="I218" s="40">
        <f t="shared" ca="1" si="78"/>
        <v>-1914277.2498051308</v>
      </c>
      <c r="J218" s="40">
        <f t="shared" ca="1" si="78"/>
        <v>-1914277.2498051289</v>
      </c>
      <c r="K218" s="40">
        <f t="shared" ca="1" si="78"/>
        <v>-1914277.2498051324</v>
      </c>
      <c r="L218" s="40">
        <f t="shared" ca="1" si="78"/>
        <v>-1914277.2498051308</v>
      </c>
      <c r="M218" s="40">
        <f t="shared" ca="1" si="78"/>
        <v>-1914277.2498051317</v>
      </c>
      <c r="N218" s="40">
        <f t="shared" ca="1" si="78"/>
        <v>-1914277.2498051317</v>
      </c>
      <c r="O218" s="40">
        <f t="shared" ca="1" si="78"/>
        <v>-1914277.2498051317</v>
      </c>
      <c r="P218" s="40">
        <f t="shared" ca="1" si="78"/>
        <v>-1914277.249805128</v>
      </c>
      <c r="Q218" s="40">
        <f t="shared" ca="1" si="78"/>
        <v>-1914277.2498051308</v>
      </c>
      <c r="R218" s="40">
        <f t="shared" ca="1" si="78"/>
        <v>-1914277.2498051308</v>
      </c>
      <c r="S218" s="40">
        <f t="shared" ca="1" si="78"/>
        <v>-1914277.2498051308</v>
      </c>
      <c r="T218" s="40">
        <f t="shared" ca="1" si="78"/>
        <v>-1914277.2498051308</v>
      </c>
      <c r="U218" s="40">
        <f t="shared" ca="1" si="78"/>
        <v>-1914277.2498051308</v>
      </c>
      <c r="V218" s="40">
        <f t="shared" ca="1" si="78"/>
        <v>-1914277.2498051308</v>
      </c>
      <c r="W218" s="40">
        <f t="shared" ca="1" si="78"/>
        <v>-1914277.2498051308</v>
      </c>
    </row>
    <row r="219" spans="1:23" x14ac:dyDescent="0.35">
      <c r="A219" s="33" t="s">
        <v>370</v>
      </c>
      <c r="B219" s="46">
        <f>'0-Inputs'!B169</f>
        <v>0.5222</v>
      </c>
      <c r="C219" s="41">
        <v>0</v>
      </c>
      <c r="D219" s="40">
        <f t="shared" ref="D219:W219" ca="1" si="79">(D215-C215)*EquityRatio</f>
        <v>-2092163.2060448728</v>
      </c>
      <c r="E219" s="40">
        <f t="shared" ca="1" si="79"/>
        <v>4832115.3201551354</v>
      </c>
      <c r="F219" s="40">
        <f t="shared" ca="1" si="79"/>
        <v>-2092163.2060448728</v>
      </c>
      <c r="G219" s="40">
        <f t="shared" ca="1" si="79"/>
        <v>-2092163.2060448688</v>
      </c>
      <c r="H219" s="40">
        <f t="shared" ca="1" si="79"/>
        <v>-2092163.2060448707</v>
      </c>
      <c r="I219" s="40">
        <f t="shared" ca="1" si="79"/>
        <v>-2092163.2060448707</v>
      </c>
      <c r="J219" s="40">
        <f t="shared" ca="1" si="79"/>
        <v>-2092163.2060448688</v>
      </c>
      <c r="K219" s="40">
        <f t="shared" ca="1" si="79"/>
        <v>-2092163.2060448728</v>
      </c>
      <c r="L219" s="40">
        <f t="shared" ca="1" si="79"/>
        <v>-2092163.2060448707</v>
      </c>
      <c r="M219" s="40">
        <f t="shared" ca="1" si="79"/>
        <v>-2092163.2060448716</v>
      </c>
      <c r="N219" s="40">
        <f t="shared" ca="1" si="79"/>
        <v>-2092163.2060448716</v>
      </c>
      <c r="O219" s="40">
        <f t="shared" ca="1" si="79"/>
        <v>-2092163.2060448716</v>
      </c>
      <c r="P219" s="40">
        <f t="shared" ca="1" si="79"/>
        <v>-2092163.2060448679</v>
      </c>
      <c r="Q219" s="40">
        <f t="shared" ca="1" si="79"/>
        <v>-2092163.2060448707</v>
      </c>
      <c r="R219" s="40">
        <f t="shared" ca="1" si="79"/>
        <v>-2092163.2060448707</v>
      </c>
      <c r="S219" s="40">
        <f t="shared" ca="1" si="79"/>
        <v>-2092163.2060448707</v>
      </c>
      <c r="T219" s="40">
        <f t="shared" ca="1" si="79"/>
        <v>-2092163.2060448707</v>
      </c>
      <c r="U219" s="40">
        <f t="shared" ca="1" si="79"/>
        <v>-2092163.2060448707</v>
      </c>
      <c r="V219" s="40">
        <f t="shared" ca="1" si="79"/>
        <v>-2092163.2060448707</v>
      </c>
      <c r="W219" s="40">
        <f t="shared" ca="1" si="79"/>
        <v>-2092163.2060448707</v>
      </c>
    </row>
    <row r="220" spans="1:23" x14ac:dyDescent="0.35"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</row>
    <row r="221" spans="1:23" x14ac:dyDescent="0.35">
      <c r="A221" s="8" t="s">
        <v>371</v>
      </c>
      <c r="D221" s="47">
        <f>'0-Inputs'!B175</f>
        <v>4.7E-2</v>
      </c>
      <c r="E221" s="23">
        <f>'0-Inputs'!B176</f>
        <v>4.7E-2</v>
      </c>
      <c r="F221" s="23">
        <f>'0-Inputs'!B177</f>
        <v>4.7E-2</v>
      </c>
      <c r="G221" s="23">
        <f>'0-Inputs'!B178</f>
        <v>4.7E-2</v>
      </c>
      <c r="H221" s="23">
        <f>'0-Inputs'!B179</f>
        <v>4.7E-2</v>
      </c>
      <c r="I221" s="23">
        <f>'0-Inputs'!B180</f>
        <v>4.7E-2</v>
      </c>
      <c r="J221" s="32">
        <f>'0-Inputs'!B181</f>
        <v>4.7E-2</v>
      </c>
      <c r="K221" s="32">
        <f>'0-Inputs'!B182</f>
        <v>4.7E-2</v>
      </c>
      <c r="L221" s="32">
        <f>'0-Inputs'!B183</f>
        <v>4.7E-2</v>
      </c>
      <c r="M221" s="23">
        <f>'0-Inputs'!$B$184</f>
        <v>4.7E-2</v>
      </c>
      <c r="N221" s="32">
        <f>'0-Inputs'!$B$184</f>
        <v>4.7E-2</v>
      </c>
      <c r="O221" s="32">
        <f>'0-Inputs'!$B$184</f>
        <v>4.7E-2</v>
      </c>
      <c r="P221" s="32">
        <f>'0-Inputs'!$B$184</f>
        <v>4.7E-2</v>
      </c>
      <c r="Q221" s="32">
        <f>'0-Inputs'!$B$184</f>
        <v>4.7E-2</v>
      </c>
      <c r="R221" s="23">
        <f>'0-Inputs'!$B$184</f>
        <v>4.7E-2</v>
      </c>
      <c r="S221" s="32">
        <f>'0-Inputs'!$B$184</f>
        <v>4.7E-2</v>
      </c>
      <c r="T221" s="32">
        <f>'0-Inputs'!$B$184</f>
        <v>4.7E-2</v>
      </c>
      <c r="U221" s="32">
        <f>'0-Inputs'!$B$184</f>
        <v>4.7E-2</v>
      </c>
      <c r="V221" s="32">
        <f>'0-Inputs'!$B$184</f>
        <v>4.7E-2</v>
      </c>
      <c r="W221" s="23">
        <f>'0-Inputs'!$B$184</f>
        <v>4.7E-2</v>
      </c>
    </row>
    <row r="222" spans="1:23" x14ac:dyDescent="0.35">
      <c r="A222" s="33" t="s">
        <v>372</v>
      </c>
      <c r="D222" s="40">
        <f ca="1">D218*D221</f>
        <v>-89971.030740841219</v>
      </c>
      <c r="E222" s="40">
        <f ca="1">E218*E221</f>
        <v>207799.46552775911</v>
      </c>
      <c r="F222" s="40">
        <f t="shared" ref="F222:W222" ca="1" si="80">F218*F221</f>
        <v>-89971.030740841219</v>
      </c>
      <c r="G222" s="40">
        <f t="shared" ca="1" si="80"/>
        <v>-89971.030740841059</v>
      </c>
      <c r="H222" s="40">
        <f t="shared" ca="1" si="80"/>
        <v>-89971.030740841146</v>
      </c>
      <c r="I222" s="40">
        <f t="shared" ca="1" si="80"/>
        <v>-89971.030740841146</v>
      </c>
      <c r="J222" s="40">
        <f t="shared" ca="1" si="80"/>
        <v>-89971.030740841059</v>
      </c>
      <c r="K222" s="40">
        <f t="shared" ca="1" si="80"/>
        <v>-89971.030740841219</v>
      </c>
      <c r="L222" s="40">
        <f t="shared" ca="1" si="80"/>
        <v>-89971.030740841146</v>
      </c>
      <c r="M222" s="40">
        <f ca="1">M218*M221</f>
        <v>-89971.03074084119</v>
      </c>
      <c r="N222" s="40">
        <f t="shared" ca="1" si="80"/>
        <v>-89971.03074084119</v>
      </c>
      <c r="O222" s="40">
        <f t="shared" ca="1" si="80"/>
        <v>-89971.03074084119</v>
      </c>
      <c r="P222" s="40">
        <f t="shared" ca="1" si="80"/>
        <v>-89971.030740841015</v>
      </c>
      <c r="Q222" s="40">
        <f t="shared" ca="1" si="80"/>
        <v>-89971.030740841146</v>
      </c>
      <c r="R222" s="40">
        <f t="shared" ca="1" si="80"/>
        <v>-89971.030740841146</v>
      </c>
      <c r="S222" s="40">
        <f t="shared" ca="1" si="80"/>
        <v>-89971.030740841146</v>
      </c>
      <c r="T222" s="40">
        <f t="shared" ca="1" si="80"/>
        <v>-89971.030740841146</v>
      </c>
      <c r="U222" s="40">
        <f t="shared" ca="1" si="80"/>
        <v>-89971.030740841146</v>
      </c>
      <c r="V222" s="40">
        <f t="shared" ca="1" si="80"/>
        <v>-89971.030740841146</v>
      </c>
      <c r="W222" s="40">
        <f t="shared" ca="1" si="80"/>
        <v>-89971.030740841146</v>
      </c>
    </row>
    <row r="223" spans="1:23" x14ac:dyDescent="0.35">
      <c r="A223" s="33" t="s">
        <v>373</v>
      </c>
      <c r="D223" s="39">
        <f ca="1">SUM($C222:C222)+D222*0.5</f>
        <v>-44985.51537042061</v>
      </c>
      <c r="E223" s="39">
        <f ca="1">SUM($C222:D222)+E222*0.5</f>
        <v>13928.702023038335</v>
      </c>
      <c r="F223" s="39">
        <f ca="1">SUM($C222:E222)+F222*0.5</f>
        <v>72842.919416497287</v>
      </c>
      <c r="G223" s="39">
        <f ca="1">SUM($C222:F222)+G222*0.5</f>
        <v>-17128.111324343859</v>
      </c>
      <c r="H223" s="39">
        <f ca="1">SUM($C222:G222)+H222*0.5</f>
        <v>-107099.14206518496</v>
      </c>
      <c r="I223" s="39">
        <f ca="1">SUM($C222:H222)+I222*0.5</f>
        <v>-197070.17280602612</v>
      </c>
      <c r="J223" s="39">
        <f ca="1">SUM($C222:I222)+J222*0.5</f>
        <v>-287041.20354686724</v>
      </c>
      <c r="K223" s="39">
        <f ca="1">SUM($C222:J222)+K222*0.5</f>
        <v>-377012.23428770836</v>
      </c>
      <c r="L223" s="39">
        <f ca="1">SUM($C222:K222)+L222*0.5</f>
        <v>-466983.26502854959</v>
      </c>
      <c r="M223" s="39">
        <f ca="1">SUM($C222:L222)+M222*0.5</f>
        <v>-556954.29576939077</v>
      </c>
      <c r="N223" s="39">
        <f ca="1">SUM($C222:M222)+N222*0.5</f>
        <v>-646925.32651023194</v>
      </c>
      <c r="O223" s="39">
        <f ca="1">SUM($C222:N222)+O222*0.5</f>
        <v>-736896.35725107312</v>
      </c>
      <c r="P223" s="39">
        <f ca="1">SUM($C222:O222)+P222*0.5</f>
        <v>-826867.38799191418</v>
      </c>
      <c r="Q223" s="39">
        <f ca="1">SUM($C222:P222)+Q222*0.5</f>
        <v>-916838.41873275524</v>
      </c>
      <c r="R223" s="39">
        <f ca="1">SUM($C222:Q222)+R222*0.5</f>
        <v>-1006809.4494735964</v>
      </c>
      <c r="S223" s="39">
        <f ca="1">SUM($C222:R222)+S222*0.5</f>
        <v>-1096780.4802144377</v>
      </c>
      <c r="T223" s="39">
        <f ca="1">SUM($C222:S222)+T222*0.5</f>
        <v>-1186751.5109552788</v>
      </c>
      <c r="U223" s="39">
        <f ca="1">SUM($C222:T222)+U222*0.5</f>
        <v>-1276722.5416961198</v>
      </c>
      <c r="V223" s="39">
        <f ca="1">SUM($C222:U222)+V222*0.5</f>
        <v>-1366693.5724369609</v>
      </c>
      <c r="W223" s="39">
        <f ca="1">SUM($C222:V222)+W222*0.5</f>
        <v>-1456664.6031778019</v>
      </c>
    </row>
    <row r="224" spans="1:23" x14ac:dyDescent="0.35">
      <c r="A224" s="33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</row>
    <row r="225" spans="1:23" x14ac:dyDescent="0.35">
      <c r="A225" s="33" t="s">
        <v>374</v>
      </c>
      <c r="B225" s="48">
        <f>'0-Inputs'!B165</f>
        <v>9.7000000000000003E-2</v>
      </c>
      <c r="D225" s="40">
        <f ca="1">$B225*D219</f>
        <v>-202939.83098635267</v>
      </c>
      <c r="E225" s="40">
        <f t="shared" ref="E225:W225" ca="1" si="81">$B225*E219</f>
        <v>468715.18605504814</v>
      </c>
      <c r="F225" s="40">
        <f t="shared" ca="1" si="81"/>
        <v>-202939.83098635267</v>
      </c>
      <c r="G225" s="40">
        <f t="shared" ca="1" si="81"/>
        <v>-202939.83098635229</v>
      </c>
      <c r="H225" s="40">
        <f t="shared" ca="1" si="81"/>
        <v>-202939.83098635246</v>
      </c>
      <c r="I225" s="40">
        <f t="shared" ca="1" si="81"/>
        <v>-202939.83098635246</v>
      </c>
      <c r="J225" s="40">
        <f t="shared" ca="1" si="81"/>
        <v>-202939.83098635229</v>
      </c>
      <c r="K225" s="40">
        <f t="shared" ca="1" si="81"/>
        <v>-202939.83098635267</v>
      </c>
      <c r="L225" s="40">
        <f t="shared" ca="1" si="81"/>
        <v>-202939.83098635246</v>
      </c>
      <c r="M225" s="40">
        <f t="shared" ca="1" si="81"/>
        <v>-202939.83098635255</v>
      </c>
      <c r="N225" s="40">
        <f t="shared" ca="1" si="81"/>
        <v>-202939.83098635255</v>
      </c>
      <c r="O225" s="40">
        <f t="shared" ca="1" si="81"/>
        <v>-202939.83098635255</v>
      </c>
      <c r="P225" s="40">
        <f t="shared" ca="1" si="81"/>
        <v>-202939.8309863522</v>
      </c>
      <c r="Q225" s="40">
        <f t="shared" ca="1" si="81"/>
        <v>-202939.83098635246</v>
      </c>
      <c r="R225" s="40">
        <f t="shared" ca="1" si="81"/>
        <v>-202939.83098635246</v>
      </c>
      <c r="S225" s="40">
        <f t="shared" ca="1" si="81"/>
        <v>-202939.83098635246</v>
      </c>
      <c r="T225" s="40">
        <f t="shared" ca="1" si="81"/>
        <v>-202939.83098635246</v>
      </c>
      <c r="U225" s="40">
        <f t="shared" ca="1" si="81"/>
        <v>-202939.83098635246</v>
      </c>
      <c r="V225" s="40">
        <f t="shared" ca="1" si="81"/>
        <v>-202939.83098635246</v>
      </c>
      <c r="W225" s="40">
        <f t="shared" ca="1" si="81"/>
        <v>-202939.83098635246</v>
      </c>
    </row>
    <row r="226" spans="1:23" x14ac:dyDescent="0.35">
      <c r="A226" s="33" t="s">
        <v>375</v>
      </c>
      <c r="D226" s="39">
        <f ca="1">SUM($C225:C225)+D225*0.5</f>
        <v>-101469.91549317633</v>
      </c>
      <c r="E226" s="39">
        <f ca="1">SUM($C225:D225)+E225*0.5</f>
        <v>31417.762041171402</v>
      </c>
      <c r="F226" s="39">
        <f ca="1">SUM($C225:E225)+F225*0.5</f>
        <v>164305.43957551918</v>
      </c>
      <c r="G226" s="39">
        <f ca="1">SUM($C225:F225)+G225*0.5</f>
        <v>-38634.391410833312</v>
      </c>
      <c r="H226" s="39">
        <f ca="1">SUM($C225:G225)+H225*0.5</f>
        <v>-241574.22239718569</v>
      </c>
      <c r="I226" s="39">
        <f ca="1">SUM($C225:H225)+I225*0.5</f>
        <v>-444514.05338353815</v>
      </c>
      <c r="J226" s="39">
        <f ca="1">SUM($C225:I225)+J225*0.5</f>
        <v>-647453.88436989044</v>
      </c>
      <c r="K226" s="39">
        <f ca="1">SUM($C225:J225)+K225*0.5</f>
        <v>-850393.71535624296</v>
      </c>
      <c r="L226" s="39">
        <f ca="1">SUM($C225:K225)+L225*0.5</f>
        <v>-1053333.5463425955</v>
      </c>
      <c r="M226" s="39">
        <f ca="1">SUM($C225:L225)+M225*0.5</f>
        <v>-1256273.3773289481</v>
      </c>
      <c r="N226" s="39">
        <f ca="1">SUM($C225:M225)+N225*0.5</f>
        <v>-1459213.2083153008</v>
      </c>
      <c r="O226" s="39">
        <f ca="1">SUM($C225:N225)+O225*0.5</f>
        <v>-1662153.0393016534</v>
      </c>
      <c r="P226" s="39">
        <f ca="1">SUM($C225:O225)+P225*0.5</f>
        <v>-1865092.8702880058</v>
      </c>
      <c r="Q226" s="39">
        <f ca="1">SUM($C225:P225)+Q225*0.5</f>
        <v>-2068032.7012743582</v>
      </c>
      <c r="R226" s="39">
        <f ca="1">SUM($C225:Q225)+R225*0.5</f>
        <v>-2270972.5322607108</v>
      </c>
      <c r="S226" s="39">
        <f ca="1">SUM($C225:R225)+S225*0.5</f>
        <v>-2473912.3632470635</v>
      </c>
      <c r="T226" s="39">
        <f ca="1">SUM($C225:S225)+T225*0.5</f>
        <v>-2676852.1942334161</v>
      </c>
      <c r="U226" s="39">
        <f ca="1">SUM($C225:T225)+U225*0.5</f>
        <v>-2879792.0252197688</v>
      </c>
      <c r="V226" s="39">
        <f ca="1">SUM($C225:U225)+V225*0.5</f>
        <v>-3082731.8562061214</v>
      </c>
      <c r="W226" s="39">
        <f ca="1">SUM($C225:V225)+W225*0.5</f>
        <v>-3285671.687192474</v>
      </c>
    </row>
    <row r="227" spans="1:23" x14ac:dyDescent="0.35">
      <c r="B227" s="52"/>
    </row>
    <row r="228" spans="1:23" x14ac:dyDescent="0.35">
      <c r="A228" s="33" t="s">
        <v>376</v>
      </c>
      <c r="B228" s="43">
        <f>ETR</f>
        <v>0.2495</v>
      </c>
      <c r="D228" s="14">
        <f ca="1">D225/(1-ETR)-D225</f>
        <v>-67466.339548427699</v>
      </c>
      <c r="E228" s="14">
        <f t="shared" ref="E228:W229" ca="1" si="82">E225/(1-ETR)-E225</f>
        <v>155822.03720284416</v>
      </c>
      <c r="F228" s="14">
        <f t="shared" ca="1" si="82"/>
        <v>-67466.339548427699</v>
      </c>
      <c r="G228" s="14">
        <f t="shared" ca="1" si="82"/>
        <v>-67466.339548427612</v>
      </c>
      <c r="H228" s="14">
        <f t="shared" ca="1" si="82"/>
        <v>-67466.33954842767</v>
      </c>
      <c r="I228" s="14">
        <f t="shared" ca="1" si="82"/>
        <v>-67466.33954842767</v>
      </c>
      <c r="J228" s="14">
        <f t="shared" ca="1" si="82"/>
        <v>-67466.339548427612</v>
      </c>
      <c r="K228" s="14">
        <f t="shared" ca="1" si="82"/>
        <v>-67466.339548427699</v>
      </c>
      <c r="L228" s="14">
        <f t="shared" ca="1" si="82"/>
        <v>-67466.33954842767</v>
      </c>
      <c r="M228" s="14">
        <f t="shared" ca="1" si="82"/>
        <v>-67466.339548427699</v>
      </c>
      <c r="N228" s="14">
        <f t="shared" ca="1" si="82"/>
        <v>-67466.339548427699</v>
      </c>
      <c r="O228" s="14">
        <f t="shared" ca="1" si="82"/>
        <v>-67466.339548427699</v>
      </c>
      <c r="P228" s="14">
        <f t="shared" ca="1" si="82"/>
        <v>-67466.339548427582</v>
      </c>
      <c r="Q228" s="14">
        <f t="shared" ca="1" si="82"/>
        <v>-67466.33954842767</v>
      </c>
      <c r="R228" s="14">
        <f t="shared" ca="1" si="82"/>
        <v>-67466.33954842767</v>
      </c>
      <c r="S228" s="14">
        <f t="shared" ca="1" si="82"/>
        <v>-67466.33954842767</v>
      </c>
      <c r="T228" s="14">
        <f t="shared" ca="1" si="82"/>
        <v>-67466.33954842767</v>
      </c>
      <c r="U228" s="14">
        <f t="shared" ca="1" si="82"/>
        <v>-67466.33954842767</v>
      </c>
      <c r="V228" s="14">
        <f t="shared" ca="1" si="82"/>
        <v>-67466.33954842767</v>
      </c>
      <c r="W228" s="14">
        <f t="shared" ca="1" si="82"/>
        <v>-67466.33954842767</v>
      </c>
    </row>
    <row r="229" spans="1:23" x14ac:dyDescent="0.35">
      <c r="A229" s="33" t="s">
        <v>377</v>
      </c>
      <c r="D229" s="74">
        <f ca="1">D226/(1-ETR)-D226</f>
        <v>-33733.169774213849</v>
      </c>
      <c r="E229" s="74">
        <f t="shared" ca="1" si="82"/>
        <v>10444.679052994361</v>
      </c>
      <c r="F229" s="74">
        <f t="shared" ca="1" si="82"/>
        <v>54622.5278802026</v>
      </c>
      <c r="G229" s="74">
        <f t="shared" ca="1" si="82"/>
        <v>-12843.811668225069</v>
      </c>
      <c r="H229" s="74">
        <f t="shared" ca="1" si="82"/>
        <v>-80310.15121665271</v>
      </c>
      <c r="I229" s="74">
        <f t="shared" ca="1" si="82"/>
        <v>-147776.49076508032</v>
      </c>
      <c r="J229" s="74">
        <f t="shared" ca="1" si="82"/>
        <v>-215242.83031350793</v>
      </c>
      <c r="K229" s="74">
        <f t="shared" ca="1" si="82"/>
        <v>-282709.16986193566</v>
      </c>
      <c r="L229" s="74">
        <f t="shared" ca="1" si="82"/>
        <v>-350175.50941036339</v>
      </c>
      <c r="M229" s="74">
        <f t="shared" ca="1" si="82"/>
        <v>-417641.848958791</v>
      </c>
      <c r="N229" s="74">
        <f t="shared" ca="1" si="82"/>
        <v>-485108.18850721861</v>
      </c>
      <c r="O229" s="74">
        <f t="shared" ca="1" si="82"/>
        <v>-552574.52805564646</v>
      </c>
      <c r="P229" s="74">
        <f t="shared" ca="1" si="82"/>
        <v>-620040.86760407384</v>
      </c>
      <c r="Q229" s="74">
        <f t="shared" ca="1" si="82"/>
        <v>-687507.20715250168</v>
      </c>
      <c r="R229" s="74">
        <f t="shared" ca="1" si="82"/>
        <v>-754973.54670092929</v>
      </c>
      <c r="S229" s="74">
        <f t="shared" ca="1" si="82"/>
        <v>-822439.8862493569</v>
      </c>
      <c r="T229" s="74">
        <f t="shared" ca="1" si="82"/>
        <v>-889906.22579778498</v>
      </c>
      <c r="U229" s="74">
        <f t="shared" ca="1" si="82"/>
        <v>-957372.56534621259</v>
      </c>
      <c r="V229" s="74">
        <f t="shared" ca="1" si="82"/>
        <v>-1024838.9048946402</v>
      </c>
      <c r="W229" s="74">
        <f t="shared" ca="1" si="82"/>
        <v>-1092305.2444430678</v>
      </c>
    </row>
    <row r="231" spans="1:23" s="50" customFormat="1" x14ac:dyDescent="0.35">
      <c r="A231" s="49" t="s">
        <v>378</v>
      </c>
      <c r="D231" s="51">
        <f ca="1">(D223+D226+D229)/D210</f>
        <v>8.9949471419053961E-2</v>
      </c>
      <c r="E231" s="51">
        <f t="shared" ref="E231:W231" ca="1" si="83">(E223+E226+E229)/E210</f>
        <v>8.9949471419053975E-2</v>
      </c>
      <c r="F231" s="51">
        <f t="shared" ca="1" si="83"/>
        <v>8.9949471419053989E-2</v>
      </c>
      <c r="G231" s="51">
        <f t="shared" ca="1" si="83"/>
        <v>8.9949471419053476E-2</v>
      </c>
      <c r="H231" s="51">
        <f t="shared" ca="1" si="83"/>
        <v>8.9949471419053934E-2</v>
      </c>
      <c r="I231" s="51">
        <f t="shared" ca="1" si="83"/>
        <v>8.9949471419053934E-2</v>
      </c>
      <c r="J231" s="51">
        <f t="shared" ca="1" si="83"/>
        <v>8.9949471419053989E-2</v>
      </c>
      <c r="K231" s="51">
        <f t="shared" ca="1" si="83"/>
        <v>8.9949471419053961E-2</v>
      </c>
      <c r="L231" s="51">
        <f t="shared" ca="1" si="83"/>
        <v>8.9949471419053975E-2</v>
      </c>
      <c r="M231" s="51">
        <f t="shared" ca="1" si="83"/>
        <v>8.9949471419053989E-2</v>
      </c>
      <c r="N231" s="51">
        <f t="shared" ca="1" si="83"/>
        <v>8.9949471419053989E-2</v>
      </c>
      <c r="O231" s="51">
        <f t="shared" ca="1" si="83"/>
        <v>8.9949471419053975E-2</v>
      </c>
      <c r="P231" s="51">
        <f t="shared" ca="1" si="83"/>
        <v>8.9949471419053947E-2</v>
      </c>
      <c r="Q231" s="51">
        <f t="shared" ca="1" si="83"/>
        <v>8.9949471419053947E-2</v>
      </c>
      <c r="R231" s="51">
        <f t="shared" ca="1" si="83"/>
        <v>8.9949471419054003E-2</v>
      </c>
      <c r="S231" s="51">
        <f t="shared" ca="1" si="83"/>
        <v>8.9949471419053975E-2</v>
      </c>
      <c r="T231" s="51">
        <f t="shared" ca="1" si="83"/>
        <v>8.9949471419054003E-2</v>
      </c>
      <c r="U231" s="51">
        <f t="shared" ca="1" si="83"/>
        <v>8.9949471419053975E-2</v>
      </c>
      <c r="V231" s="51">
        <f t="shared" ca="1" si="83"/>
        <v>8.9949471419053989E-2</v>
      </c>
      <c r="W231" s="51">
        <f t="shared" ca="1" si="83"/>
        <v>8.9949471419053989E-2</v>
      </c>
    </row>
    <row r="232" spans="1:23" s="50" customFormat="1" x14ac:dyDescent="0.35">
      <c r="A232" s="49" t="s">
        <v>379</v>
      </c>
      <c r="D232" s="51">
        <f ca="1">(D223+D226)/D210</f>
        <v>7.3109999999999994E-2</v>
      </c>
      <c r="E232" s="51">
        <f t="shared" ref="E232:W232" ca="1" si="84">(E223+E226)/E210</f>
        <v>7.3110000000000008E-2</v>
      </c>
      <c r="F232" s="51">
        <f t="shared" ca="1" si="84"/>
        <v>7.3110000000000022E-2</v>
      </c>
      <c r="G232" s="51">
        <f t="shared" ca="1" si="84"/>
        <v>7.3109999999999592E-2</v>
      </c>
      <c r="H232" s="51">
        <f t="shared" ca="1" si="84"/>
        <v>7.3109999999999967E-2</v>
      </c>
      <c r="I232" s="51">
        <f t="shared" ca="1" si="84"/>
        <v>7.3109999999999981E-2</v>
      </c>
      <c r="J232" s="51">
        <f t="shared" ca="1" si="84"/>
        <v>7.3110000000000022E-2</v>
      </c>
      <c r="K232" s="51">
        <f t="shared" ca="1" si="84"/>
        <v>7.3110000000000008E-2</v>
      </c>
      <c r="L232" s="51">
        <f t="shared" ca="1" si="84"/>
        <v>7.3110000000000008E-2</v>
      </c>
      <c r="M232" s="51">
        <f t="shared" ca="1" si="84"/>
        <v>7.3110000000000008E-2</v>
      </c>
      <c r="N232" s="51">
        <f t="shared" ca="1" si="84"/>
        <v>7.3110000000000008E-2</v>
      </c>
      <c r="O232" s="51">
        <f t="shared" ca="1" si="84"/>
        <v>7.3110000000000008E-2</v>
      </c>
      <c r="P232" s="51">
        <f t="shared" ca="1" si="84"/>
        <v>7.3109999999999994E-2</v>
      </c>
      <c r="Q232" s="51">
        <f t="shared" ca="1" si="84"/>
        <v>7.3109999999999981E-2</v>
      </c>
      <c r="R232" s="51">
        <f t="shared" ca="1" si="84"/>
        <v>7.3110000000000022E-2</v>
      </c>
      <c r="S232" s="51">
        <f t="shared" ca="1" si="84"/>
        <v>7.3110000000000008E-2</v>
      </c>
      <c r="T232" s="51">
        <f t="shared" ca="1" si="84"/>
        <v>7.3110000000000022E-2</v>
      </c>
      <c r="U232" s="51">
        <f t="shared" ca="1" si="84"/>
        <v>7.3109999999999994E-2</v>
      </c>
      <c r="V232" s="51">
        <f t="shared" ca="1" si="84"/>
        <v>7.3110000000000022E-2</v>
      </c>
      <c r="W232" s="51">
        <f t="shared" ca="1" si="84"/>
        <v>7.3110000000000022E-2</v>
      </c>
    </row>
    <row r="234" spans="1:23" ht="21" x14ac:dyDescent="0.5">
      <c r="A234" s="95" t="s">
        <v>380</v>
      </c>
      <c r="B234" s="25"/>
      <c r="C234" s="27">
        <f>YearOne-1</f>
        <v>2025</v>
      </c>
      <c r="D234" s="27">
        <f t="shared" ref="D234:W234" si="85">YearOne+D$7-1</f>
        <v>2026</v>
      </c>
      <c r="E234" s="27">
        <f t="shared" si="85"/>
        <v>2027</v>
      </c>
      <c r="F234" s="27">
        <f t="shared" si="85"/>
        <v>2028</v>
      </c>
      <c r="G234" s="27">
        <f t="shared" si="85"/>
        <v>2029</v>
      </c>
      <c r="H234" s="27">
        <f t="shared" si="85"/>
        <v>2030</v>
      </c>
      <c r="I234" s="27">
        <f t="shared" si="85"/>
        <v>2031</v>
      </c>
      <c r="J234" s="27">
        <f t="shared" si="85"/>
        <v>2032</v>
      </c>
      <c r="K234" s="27">
        <f t="shared" si="85"/>
        <v>2033</v>
      </c>
      <c r="L234" s="27">
        <f t="shared" si="85"/>
        <v>2034</v>
      </c>
      <c r="M234" s="27">
        <f t="shared" si="85"/>
        <v>2035</v>
      </c>
      <c r="N234" s="27">
        <f t="shared" si="85"/>
        <v>2036</v>
      </c>
      <c r="O234" s="27">
        <f t="shared" si="85"/>
        <v>2037</v>
      </c>
      <c r="P234" s="27">
        <f t="shared" si="85"/>
        <v>2038</v>
      </c>
      <c r="Q234" s="27">
        <f t="shared" si="85"/>
        <v>2039</v>
      </c>
      <c r="R234" s="27">
        <f t="shared" si="85"/>
        <v>2040</v>
      </c>
      <c r="S234" s="27">
        <f t="shared" si="85"/>
        <v>2041</v>
      </c>
      <c r="T234" s="27">
        <f t="shared" si="85"/>
        <v>2042</v>
      </c>
      <c r="U234" s="27">
        <f t="shared" si="85"/>
        <v>2043</v>
      </c>
      <c r="V234" s="27">
        <f t="shared" si="85"/>
        <v>2044</v>
      </c>
      <c r="W234" s="27">
        <f t="shared" si="85"/>
        <v>2045</v>
      </c>
    </row>
    <row r="235" spans="1:23" ht="21" x14ac:dyDescent="0.5">
      <c r="A235" s="59"/>
      <c r="C235" s="27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</row>
    <row r="236" spans="1:23" ht="21" x14ac:dyDescent="0.5">
      <c r="A236" s="93" t="s">
        <v>206</v>
      </c>
      <c r="B236" s="1" t="s">
        <v>381</v>
      </c>
      <c r="C236" s="53" t="str">
        <f>"Per Meter "&amp;YearOne-1</f>
        <v>Per Meter 2025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</row>
    <row r="237" spans="1:23" x14ac:dyDescent="0.35">
      <c r="A237" t="s">
        <v>382</v>
      </c>
      <c r="B237" s="1"/>
      <c r="C237" s="1"/>
      <c r="D237" s="400">
        <f>IF($B$2="Like",MIN('0-Inputs'!$B11,SUM($D65:D68)+SUM($D80:D83)),0)</f>
        <v>17226</v>
      </c>
      <c r="E237" s="400">
        <f>IF($B$2="Like",MIN('0-Inputs'!$B11,SUM($D65:E68)+SUM($D80:E83)),0)</f>
        <v>35713</v>
      </c>
      <c r="F237" s="400">
        <f>IF($B$2="Like",MIN('0-Inputs'!$B11,SUM($D65:F68)+SUM($D80:F83)),0)</f>
        <v>51481</v>
      </c>
      <c r="G237" s="400">
        <f>IF($B$2="Like",MIN('0-Inputs'!$B11,SUM($D65:G68)+SUM($D80:G83)),0)</f>
        <v>63531</v>
      </c>
      <c r="H237" s="400">
        <f>IF($B$2="Like",MIN('0-Inputs'!$B11,SUM($D65:H68)+SUM($D80:H83)),0)</f>
        <v>65098</v>
      </c>
      <c r="I237" s="400">
        <f>IF($B$2="Like",MIN('0-Inputs'!$B11,SUM($D65:I68)+SUM($D80:I83)),0)</f>
        <v>71986</v>
      </c>
      <c r="J237" s="400">
        <f>IF($B$2="Like",MIN('0-Inputs'!$B11,SUM($D65:J68)+SUM($D80:J83)),0)</f>
        <v>78286</v>
      </c>
      <c r="K237" s="400">
        <f>IF($B$2="Like",MIN('0-Inputs'!$B11,SUM($D65:K68)+SUM($D80:K83)),0)</f>
        <v>95590</v>
      </c>
      <c r="L237" s="400">
        <f>IF($B$2="Like",MIN('0-Inputs'!$B11,SUM($D65:L68)+SUM($D80:L83)),0)</f>
        <v>127217</v>
      </c>
      <c r="M237" s="400">
        <f>IF($B$2="Like",MIN('0-Inputs'!$B11,SUM($D65:M68)+SUM($D80:M83)),0)</f>
        <v>143201</v>
      </c>
      <c r="N237" s="400">
        <f>IF($B$2="Like",MIN('0-Inputs'!$B11,SUM($D65:N68)+SUM($D80:N83)),0)</f>
        <v>143201</v>
      </c>
      <c r="O237" s="400">
        <f>IF($B$2="Like",MIN('0-Inputs'!$B11,SUM($D65:O68)+SUM($D80:O83)),0)</f>
        <v>143201</v>
      </c>
      <c r="P237" s="400">
        <f>IF($B$2="Like",MIN('0-Inputs'!$B11,SUM($D65:P68)+SUM($D80:P83)),0)</f>
        <v>143201</v>
      </c>
      <c r="Q237" s="400">
        <f>IF($B$2="Like",MIN('0-Inputs'!$B11,SUM($D65:Q68)+SUM($D80:Q83)),0)</f>
        <v>143201</v>
      </c>
      <c r="R237" s="400">
        <f>IF($B$2="Like",MIN('0-Inputs'!$B11,SUM($D65:R68)+SUM($D80:R83)),0)</f>
        <v>143201</v>
      </c>
      <c r="S237" s="400">
        <f>IF($B$2="Like",MIN('0-Inputs'!$B11,SUM($D65:S68)+SUM($D80:S83)),0)</f>
        <v>143201</v>
      </c>
      <c r="T237" s="400">
        <f>IF($B$2="Like",MIN('0-Inputs'!$B11,SUM($D65:T68)+SUM($D80:T83)),0)</f>
        <v>143201</v>
      </c>
      <c r="U237" s="400">
        <f>IF($B$2="Like",MIN('0-Inputs'!$B11,SUM($D65:U68)+SUM($D80:U83)),0)</f>
        <v>143201</v>
      </c>
      <c r="V237" s="400">
        <f>IF($B$2="Like",MIN('0-Inputs'!$B11,SUM($D65:V68)+SUM($D80:V83)),0)</f>
        <v>143201</v>
      </c>
      <c r="W237" s="400">
        <f>IF($B$2="Like",MIN('0-Inputs'!$B11,SUM($D65:W68)+SUM($D80:W83)),0)</f>
        <v>143201</v>
      </c>
    </row>
    <row r="238" spans="1:23" x14ac:dyDescent="0.35">
      <c r="A238" t="s">
        <v>383</v>
      </c>
      <c r="B238" s="398">
        <f>InflationGeneral</f>
        <v>2.8545476330126728E-2</v>
      </c>
      <c r="C238" s="170">
        <f>'0-Inputs'!B33</f>
        <v>0</v>
      </c>
      <c r="D238" s="14">
        <f t="shared" ref="D238:W238" si="86">D237*$C238*(1+$B238)^D7</f>
        <v>0</v>
      </c>
      <c r="E238" s="14">
        <f t="shared" si="86"/>
        <v>0</v>
      </c>
      <c r="F238" s="14">
        <f t="shared" si="86"/>
        <v>0</v>
      </c>
      <c r="G238" s="14">
        <f t="shared" si="86"/>
        <v>0</v>
      </c>
      <c r="H238" s="14">
        <f t="shared" si="86"/>
        <v>0</v>
      </c>
      <c r="I238" s="14">
        <f t="shared" si="86"/>
        <v>0</v>
      </c>
      <c r="J238" s="14">
        <f t="shared" si="86"/>
        <v>0</v>
      </c>
      <c r="K238" s="14">
        <f t="shared" si="86"/>
        <v>0</v>
      </c>
      <c r="L238" s="14">
        <f t="shared" si="86"/>
        <v>0</v>
      </c>
      <c r="M238" s="14">
        <f t="shared" si="86"/>
        <v>0</v>
      </c>
      <c r="N238" s="14">
        <f t="shared" si="86"/>
        <v>0</v>
      </c>
      <c r="O238" s="14">
        <f t="shared" si="86"/>
        <v>0</v>
      </c>
      <c r="P238" s="14">
        <f t="shared" si="86"/>
        <v>0</v>
      </c>
      <c r="Q238" s="14">
        <f t="shared" si="86"/>
        <v>0</v>
      </c>
      <c r="R238" s="14">
        <f t="shared" si="86"/>
        <v>0</v>
      </c>
      <c r="S238" s="14">
        <f t="shared" si="86"/>
        <v>0</v>
      </c>
      <c r="T238" s="14">
        <f t="shared" si="86"/>
        <v>0</v>
      </c>
      <c r="U238" s="14">
        <f t="shared" si="86"/>
        <v>0</v>
      </c>
      <c r="V238" s="14">
        <f t="shared" si="86"/>
        <v>0</v>
      </c>
      <c r="W238" s="14">
        <f t="shared" si="86"/>
        <v>0</v>
      </c>
    </row>
    <row r="239" spans="1:23" x14ac:dyDescent="0.35">
      <c r="A239" t="s">
        <v>384</v>
      </c>
      <c r="B239" s="399"/>
      <c r="C239" s="71"/>
      <c r="D239" s="400">
        <f>IF($B$2="AMI",MIN(SUM('0-Inputs'!$B$10:$B$12),SUM($D73:D73,$D76:D87)),0)</f>
        <v>0</v>
      </c>
      <c r="E239" s="400">
        <f>IF($B$2="AMI",MIN(SUM('0-Inputs'!$B$10:$B$12),SUM($D73:E73,$D76:E87)),0)</f>
        <v>0</v>
      </c>
      <c r="F239" s="400">
        <f>IF($B$2="AMI",MIN(SUM('0-Inputs'!$B$10:$B$12),SUM($D73:F73,$D76:F87)),0)</f>
        <v>0</v>
      </c>
      <c r="G239" s="400">
        <f>IF($B$2="AMI",MIN(SUM('0-Inputs'!$B$10:$B$12),SUM($D73:G73,$D76:G87)),0)</f>
        <v>0</v>
      </c>
      <c r="H239" s="400">
        <f>IF($B$2="AMI",MIN(SUM('0-Inputs'!$B$10:$B$12),SUM($D73:H73,$D76:H87)),0)</f>
        <v>0</v>
      </c>
      <c r="I239" s="400">
        <f>IF($B$2="AMI",MIN(SUM('0-Inputs'!$B$10:$B$12),SUM($D73:I73,$D76:I87)),0)</f>
        <v>0</v>
      </c>
      <c r="J239" s="400">
        <f>IF($B$2="AMI",MIN(SUM('0-Inputs'!$B$10:$B$12),SUM($D73:J73,$D76:J87)),0)</f>
        <v>0</v>
      </c>
      <c r="K239" s="400">
        <f>IF($B$2="AMI",MIN(SUM('0-Inputs'!$B$10:$B$12),SUM($D73:K73,$D76:K87)),0)</f>
        <v>0</v>
      </c>
      <c r="L239" s="400">
        <f>IF($B$2="AMI",MIN(SUM('0-Inputs'!$B$10:$B$12),SUM($D73:L73,$D76:L87)),0)</f>
        <v>0</v>
      </c>
      <c r="M239" s="400">
        <f>IF($B$2="AMI",MIN(SUM('0-Inputs'!$B$10:$B$12),SUM($D73:M73,$D76:M87)),0)</f>
        <v>0</v>
      </c>
      <c r="N239" s="400">
        <f>IF($B$2="AMI",MIN(SUM('0-Inputs'!$B$10:$B$12),SUM($D73:N73,$D76:N87)),0)</f>
        <v>0</v>
      </c>
      <c r="O239" s="400">
        <f>IF($B$2="AMI",MIN(SUM('0-Inputs'!$B$10:$B$12),SUM($D73:O73,$D76:O87)),0)</f>
        <v>0</v>
      </c>
      <c r="P239" s="400">
        <f>IF($B$2="AMI",MIN(SUM('0-Inputs'!$B$10:$B$12),SUM($D73:P73,$D76:P87)),0)</f>
        <v>0</v>
      </c>
      <c r="Q239" s="400">
        <f>IF($B$2="AMI",MIN(SUM('0-Inputs'!$B$10:$B$12),SUM($D73:Q73,$D76:Q87)),0)</f>
        <v>0</v>
      </c>
      <c r="R239" s="400">
        <f>IF($B$2="AMI",MIN(SUM('0-Inputs'!$B$10:$B$12),SUM($D73:R73,$D76:R87)),0)</f>
        <v>0</v>
      </c>
      <c r="S239" s="400">
        <f>IF($B$2="AMI",MIN(SUM('0-Inputs'!$B$10:$B$12),SUM($D73:S73,$D76:S87)),0)</f>
        <v>0</v>
      </c>
      <c r="T239" s="400">
        <f>IF($B$2="AMI",MIN(SUM('0-Inputs'!$B$10:$B$12),SUM($D73:T73,$D76:T87)),0)</f>
        <v>0</v>
      </c>
      <c r="U239" s="400">
        <f>IF($B$2="AMI",MIN(SUM('0-Inputs'!$B$10:$B$12),SUM($D73:U73,$D76:U87)),0)</f>
        <v>0</v>
      </c>
      <c r="V239" s="400">
        <f>IF($B$2="AMI",MIN(SUM('0-Inputs'!$B$10:$B$12),SUM($D73:V73,$D76:V87)),0)</f>
        <v>0</v>
      </c>
      <c r="W239" s="400">
        <f>IF($B$2="AMI",MIN(SUM('0-Inputs'!$B$10:$B$12),SUM($D73:W73,$D76:W87)),0)</f>
        <v>0</v>
      </c>
    </row>
    <row r="240" spans="1:23" x14ac:dyDescent="0.35">
      <c r="A240" t="s">
        <v>25</v>
      </c>
      <c r="B240" s="398">
        <f>InflationGeneral</f>
        <v>2.8545476330126728E-2</v>
      </c>
      <c r="C240" s="170">
        <f>'0-Inputs'!B34</f>
        <v>0</v>
      </c>
      <c r="D240" s="402">
        <f t="shared" ref="D240:W240" si="87">D239*$C240*(1+$B240)^D7</f>
        <v>0</v>
      </c>
      <c r="E240" s="402">
        <f t="shared" si="87"/>
        <v>0</v>
      </c>
      <c r="F240" s="402">
        <f t="shared" si="87"/>
        <v>0</v>
      </c>
      <c r="G240" s="402">
        <f t="shared" si="87"/>
        <v>0</v>
      </c>
      <c r="H240" s="402">
        <f t="shared" si="87"/>
        <v>0</v>
      </c>
      <c r="I240" s="402">
        <f t="shared" si="87"/>
        <v>0</v>
      </c>
      <c r="J240" s="402">
        <f t="shared" si="87"/>
        <v>0</v>
      </c>
      <c r="K240" s="402">
        <f t="shared" si="87"/>
        <v>0</v>
      </c>
      <c r="L240" s="402">
        <f t="shared" si="87"/>
        <v>0</v>
      </c>
      <c r="M240" s="402">
        <f t="shared" si="87"/>
        <v>0</v>
      </c>
      <c r="N240" s="402">
        <f t="shared" si="87"/>
        <v>0</v>
      </c>
      <c r="O240" s="402">
        <f t="shared" si="87"/>
        <v>0</v>
      </c>
      <c r="P240" s="402">
        <f t="shared" si="87"/>
        <v>0</v>
      </c>
      <c r="Q240" s="402">
        <f t="shared" si="87"/>
        <v>0</v>
      </c>
      <c r="R240" s="402">
        <f t="shared" si="87"/>
        <v>0</v>
      </c>
      <c r="S240" s="402">
        <f t="shared" si="87"/>
        <v>0</v>
      </c>
      <c r="T240" s="402">
        <f t="shared" si="87"/>
        <v>0</v>
      </c>
      <c r="U240" s="402">
        <f t="shared" si="87"/>
        <v>0</v>
      </c>
      <c r="V240" s="402">
        <f t="shared" si="87"/>
        <v>0</v>
      </c>
      <c r="W240" s="402">
        <f t="shared" si="87"/>
        <v>0</v>
      </c>
    </row>
    <row r="242" spans="1:23" ht="21" x14ac:dyDescent="0.5">
      <c r="A242" s="93" t="s">
        <v>385</v>
      </c>
    </row>
    <row r="243" spans="1:23" x14ac:dyDescent="0.35">
      <c r="A243" s="8" t="s">
        <v>386</v>
      </c>
      <c r="C243" s="68">
        <f>'0-Inputs'!B10</f>
        <v>42</v>
      </c>
      <c r="D243" s="68">
        <f t="shared" ref="D243:W243" si="88">C243-D91</f>
        <v>42</v>
      </c>
      <c r="E243" s="68">
        <f t="shared" si="88"/>
        <v>42</v>
      </c>
      <c r="F243" s="21">
        <f t="shared" si="88"/>
        <v>42</v>
      </c>
      <c r="G243" s="21">
        <f t="shared" si="88"/>
        <v>42</v>
      </c>
      <c r="H243" s="21">
        <f t="shared" si="88"/>
        <v>42</v>
      </c>
      <c r="I243" s="21">
        <f t="shared" si="88"/>
        <v>42</v>
      </c>
      <c r="J243" s="21">
        <f t="shared" si="88"/>
        <v>42</v>
      </c>
      <c r="K243" s="21">
        <f t="shared" si="88"/>
        <v>42</v>
      </c>
      <c r="L243" s="21">
        <f t="shared" si="88"/>
        <v>42</v>
      </c>
      <c r="M243" s="21">
        <f t="shared" si="88"/>
        <v>42</v>
      </c>
      <c r="N243" s="21">
        <f t="shared" si="88"/>
        <v>42</v>
      </c>
      <c r="O243" s="21">
        <f t="shared" si="88"/>
        <v>42</v>
      </c>
      <c r="P243" s="21">
        <f t="shared" si="88"/>
        <v>42</v>
      </c>
      <c r="Q243" s="21">
        <f t="shared" si="88"/>
        <v>42</v>
      </c>
      <c r="R243" s="21">
        <f t="shared" si="88"/>
        <v>42</v>
      </c>
      <c r="S243" s="21">
        <f t="shared" si="88"/>
        <v>42</v>
      </c>
      <c r="T243" s="21">
        <f t="shared" si="88"/>
        <v>42</v>
      </c>
      <c r="U243" s="21">
        <f t="shared" si="88"/>
        <v>42</v>
      </c>
      <c r="V243" s="21">
        <f t="shared" si="88"/>
        <v>42</v>
      </c>
      <c r="W243" s="21">
        <f t="shared" si="88"/>
        <v>42</v>
      </c>
    </row>
    <row r="244" spans="1:23" x14ac:dyDescent="0.35">
      <c r="A244" s="8" t="s">
        <v>387</v>
      </c>
      <c r="C244" s="68">
        <f>'0-Inputs'!B11</f>
        <v>143201</v>
      </c>
      <c r="D244" s="68">
        <f t="shared" ref="D244:W244" si="89">IF(C244=0,0,MAX(C244-D92-(IF(AND($B$2="AMI",$B$3="Hybrid"),D143-C143,0)+IF($B91="AMR",D91,0)),0))</f>
        <v>143201</v>
      </c>
      <c r="E244" s="68">
        <f t="shared" si="89"/>
        <v>143201</v>
      </c>
      <c r="F244" s="68">
        <f t="shared" si="89"/>
        <v>143201</v>
      </c>
      <c r="G244" s="68">
        <f t="shared" si="89"/>
        <v>143201</v>
      </c>
      <c r="H244" s="68">
        <f t="shared" si="89"/>
        <v>143201</v>
      </c>
      <c r="I244" s="68">
        <f t="shared" si="89"/>
        <v>143201</v>
      </c>
      <c r="J244" s="68">
        <f t="shared" si="89"/>
        <v>143201</v>
      </c>
      <c r="K244" s="68">
        <f t="shared" si="89"/>
        <v>143201</v>
      </c>
      <c r="L244" s="68">
        <f t="shared" si="89"/>
        <v>143201</v>
      </c>
      <c r="M244" s="68">
        <f t="shared" si="89"/>
        <v>143201</v>
      </c>
      <c r="N244" s="68">
        <f t="shared" si="89"/>
        <v>143201</v>
      </c>
      <c r="O244" s="68">
        <f t="shared" si="89"/>
        <v>143201</v>
      </c>
      <c r="P244" s="68">
        <f t="shared" si="89"/>
        <v>143201</v>
      </c>
      <c r="Q244" s="68">
        <f t="shared" si="89"/>
        <v>143201</v>
      </c>
      <c r="R244" s="68">
        <f t="shared" si="89"/>
        <v>143201</v>
      </c>
      <c r="S244" s="68">
        <f t="shared" si="89"/>
        <v>143201</v>
      </c>
      <c r="T244" s="68">
        <f t="shared" si="89"/>
        <v>143201</v>
      </c>
      <c r="U244" s="68">
        <f t="shared" si="89"/>
        <v>143201</v>
      </c>
      <c r="V244" s="68">
        <f t="shared" si="89"/>
        <v>143201</v>
      </c>
      <c r="W244" s="68">
        <f t="shared" si="89"/>
        <v>143201</v>
      </c>
    </row>
    <row r="245" spans="1:23" x14ac:dyDescent="0.35">
      <c r="A245" s="8" t="s">
        <v>388</v>
      </c>
      <c r="C245" s="68">
        <f>'0-Inputs'!B12</f>
        <v>257</v>
      </c>
      <c r="D245" s="68">
        <f t="shared" ref="D245:W245" si="90">MIN(C245+IF(AND($B$2="AMI",$B$3="Hybrid"),D143-C143,0)+IF($B91="AMI",D91,0)+IF($B92="AMI",D92,0),SUM($C$243:$C$245)-SUM(D243:D244))</f>
        <v>257</v>
      </c>
      <c r="E245" s="68">
        <f t="shared" si="90"/>
        <v>257</v>
      </c>
      <c r="F245" s="68">
        <f t="shared" si="90"/>
        <v>257</v>
      </c>
      <c r="G245" s="68">
        <f t="shared" si="90"/>
        <v>257</v>
      </c>
      <c r="H245" s="68">
        <f t="shared" si="90"/>
        <v>257</v>
      </c>
      <c r="I245" s="68">
        <f t="shared" si="90"/>
        <v>257</v>
      </c>
      <c r="J245" s="68">
        <f t="shared" si="90"/>
        <v>257</v>
      </c>
      <c r="K245" s="68">
        <f t="shared" si="90"/>
        <v>257</v>
      </c>
      <c r="L245" s="68">
        <f t="shared" si="90"/>
        <v>257</v>
      </c>
      <c r="M245" s="68">
        <f t="shared" si="90"/>
        <v>257</v>
      </c>
      <c r="N245" s="68">
        <f t="shared" si="90"/>
        <v>257</v>
      </c>
      <c r="O245" s="68">
        <f t="shared" si="90"/>
        <v>257</v>
      </c>
      <c r="P245" s="68">
        <f t="shared" si="90"/>
        <v>257</v>
      </c>
      <c r="Q245" s="68">
        <f t="shared" si="90"/>
        <v>257</v>
      </c>
      <c r="R245" s="68">
        <f t="shared" si="90"/>
        <v>257</v>
      </c>
      <c r="S245" s="68">
        <f t="shared" si="90"/>
        <v>257</v>
      </c>
      <c r="T245" s="68">
        <f t="shared" si="90"/>
        <v>257</v>
      </c>
      <c r="U245" s="68">
        <f t="shared" si="90"/>
        <v>257</v>
      </c>
      <c r="V245" s="68">
        <f t="shared" si="90"/>
        <v>257</v>
      </c>
      <c r="W245" s="68">
        <f t="shared" si="90"/>
        <v>257</v>
      </c>
    </row>
    <row r="246" spans="1:23" x14ac:dyDescent="0.35">
      <c r="A246" s="137" t="s">
        <v>389</v>
      </c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</row>
    <row r="247" spans="1:23" x14ac:dyDescent="0.35">
      <c r="A247" s="8" t="s">
        <v>390</v>
      </c>
      <c r="C247" s="12">
        <f t="shared" ref="C247:W247" si="91">C243/SUM(C$243:C$245)</f>
        <v>2.9268292682926828E-4</v>
      </c>
      <c r="D247" s="12">
        <f>D243/SUM(D$243:D$245)</f>
        <v>2.9268292682926828E-4</v>
      </c>
      <c r="E247" s="12">
        <f t="shared" si="91"/>
        <v>2.9268292682926828E-4</v>
      </c>
      <c r="F247" s="12">
        <f t="shared" si="91"/>
        <v>2.9268292682926828E-4</v>
      </c>
      <c r="G247" s="12">
        <f t="shared" si="91"/>
        <v>2.9268292682926828E-4</v>
      </c>
      <c r="H247" s="12">
        <f t="shared" si="91"/>
        <v>2.9268292682926828E-4</v>
      </c>
      <c r="I247" s="12">
        <f t="shared" si="91"/>
        <v>2.9268292682926828E-4</v>
      </c>
      <c r="J247" s="12">
        <f t="shared" si="91"/>
        <v>2.9268292682926828E-4</v>
      </c>
      <c r="K247" s="12">
        <f t="shared" si="91"/>
        <v>2.9268292682926828E-4</v>
      </c>
      <c r="L247" s="12">
        <f t="shared" si="91"/>
        <v>2.9268292682926828E-4</v>
      </c>
      <c r="M247" s="12">
        <f t="shared" si="91"/>
        <v>2.9268292682926828E-4</v>
      </c>
      <c r="N247" s="12">
        <f t="shared" si="91"/>
        <v>2.9268292682926828E-4</v>
      </c>
      <c r="O247" s="12">
        <f t="shared" si="91"/>
        <v>2.9268292682926828E-4</v>
      </c>
      <c r="P247" s="12">
        <f t="shared" si="91"/>
        <v>2.9268292682926828E-4</v>
      </c>
      <c r="Q247" s="12">
        <f t="shared" si="91"/>
        <v>2.9268292682926828E-4</v>
      </c>
      <c r="R247" s="12">
        <f t="shared" si="91"/>
        <v>2.9268292682926828E-4</v>
      </c>
      <c r="S247" s="12">
        <f t="shared" si="91"/>
        <v>2.9268292682926828E-4</v>
      </c>
      <c r="T247" s="12">
        <f t="shared" si="91"/>
        <v>2.9268292682926828E-4</v>
      </c>
      <c r="U247" s="12">
        <f t="shared" si="91"/>
        <v>2.9268292682926828E-4</v>
      </c>
      <c r="V247" s="12">
        <f t="shared" si="91"/>
        <v>2.9268292682926828E-4</v>
      </c>
      <c r="W247" s="12">
        <f t="shared" si="91"/>
        <v>2.9268292682926828E-4</v>
      </c>
    </row>
    <row r="248" spans="1:23" x14ac:dyDescent="0.35">
      <c r="A248" s="8" t="s">
        <v>391</v>
      </c>
      <c r="C248" s="12">
        <f t="shared" ref="C248:R249" si="92">C244/SUM(C$243:C$245)</f>
        <v>0.99791637630662022</v>
      </c>
      <c r="D248" s="12">
        <f t="shared" si="92"/>
        <v>0.99791637630662022</v>
      </c>
      <c r="E248" s="12">
        <f t="shared" si="92"/>
        <v>0.99791637630662022</v>
      </c>
      <c r="F248" s="12">
        <f t="shared" si="92"/>
        <v>0.99791637630662022</v>
      </c>
      <c r="G248" s="12">
        <f t="shared" si="92"/>
        <v>0.99791637630662022</v>
      </c>
      <c r="H248" s="12">
        <f t="shared" si="92"/>
        <v>0.99791637630662022</v>
      </c>
      <c r="I248" s="12">
        <f t="shared" si="92"/>
        <v>0.99791637630662022</v>
      </c>
      <c r="J248" s="12">
        <f>J244/SUM(J$243:J$245)</f>
        <v>0.99791637630662022</v>
      </c>
      <c r="K248" s="12">
        <f t="shared" si="92"/>
        <v>0.99791637630662022</v>
      </c>
      <c r="L248" s="12">
        <f t="shared" si="92"/>
        <v>0.99791637630662022</v>
      </c>
      <c r="M248" s="12">
        <f t="shared" si="92"/>
        <v>0.99791637630662022</v>
      </c>
      <c r="N248" s="12">
        <f t="shared" si="92"/>
        <v>0.99791637630662022</v>
      </c>
      <c r="O248" s="12">
        <f t="shared" si="92"/>
        <v>0.99791637630662022</v>
      </c>
      <c r="P248" s="12">
        <f t="shared" si="92"/>
        <v>0.99791637630662022</v>
      </c>
      <c r="Q248" s="12">
        <f t="shared" si="92"/>
        <v>0.99791637630662022</v>
      </c>
      <c r="R248" s="12">
        <f t="shared" si="92"/>
        <v>0.99791637630662022</v>
      </c>
      <c r="S248" s="12">
        <f t="shared" ref="S248:W249" si="93">S244/SUM(S$243:S$245)</f>
        <v>0.99791637630662022</v>
      </c>
      <c r="T248" s="12">
        <f t="shared" si="93"/>
        <v>0.99791637630662022</v>
      </c>
      <c r="U248" s="12">
        <f t="shared" si="93"/>
        <v>0.99791637630662022</v>
      </c>
      <c r="V248" s="12">
        <f t="shared" si="93"/>
        <v>0.99791637630662022</v>
      </c>
      <c r="W248" s="12">
        <f t="shared" si="93"/>
        <v>0.99791637630662022</v>
      </c>
    </row>
    <row r="249" spans="1:23" x14ac:dyDescent="0.35">
      <c r="A249" s="8" t="s">
        <v>392</v>
      </c>
      <c r="C249" s="12">
        <f t="shared" si="92"/>
        <v>1.7909407665505227E-3</v>
      </c>
      <c r="D249" s="12">
        <f t="shared" ref="D249:R249" si="94">D245/SUM(D$243:D$245)</f>
        <v>1.7909407665505227E-3</v>
      </c>
      <c r="E249" s="12">
        <f t="shared" si="94"/>
        <v>1.7909407665505227E-3</v>
      </c>
      <c r="F249" s="12">
        <f t="shared" si="94"/>
        <v>1.7909407665505227E-3</v>
      </c>
      <c r="G249" s="12">
        <f t="shared" si="94"/>
        <v>1.7909407665505227E-3</v>
      </c>
      <c r="H249" s="12">
        <f t="shared" si="94"/>
        <v>1.7909407665505227E-3</v>
      </c>
      <c r="I249" s="12">
        <f t="shared" si="94"/>
        <v>1.7909407665505227E-3</v>
      </c>
      <c r="J249" s="12">
        <f t="shared" si="94"/>
        <v>1.7909407665505227E-3</v>
      </c>
      <c r="K249" s="12">
        <f t="shared" si="94"/>
        <v>1.7909407665505227E-3</v>
      </c>
      <c r="L249" s="12">
        <f t="shared" si="94"/>
        <v>1.7909407665505227E-3</v>
      </c>
      <c r="M249" s="12">
        <f t="shared" si="94"/>
        <v>1.7909407665505227E-3</v>
      </c>
      <c r="N249" s="12">
        <f t="shared" si="94"/>
        <v>1.7909407665505227E-3</v>
      </c>
      <c r="O249" s="12">
        <f t="shared" si="94"/>
        <v>1.7909407665505227E-3</v>
      </c>
      <c r="P249" s="12">
        <f t="shared" si="94"/>
        <v>1.7909407665505227E-3</v>
      </c>
      <c r="Q249" s="12">
        <f t="shared" si="94"/>
        <v>1.7909407665505227E-3</v>
      </c>
      <c r="R249" s="12">
        <f t="shared" si="94"/>
        <v>1.7909407665505227E-3</v>
      </c>
      <c r="S249" s="12">
        <f t="shared" si="93"/>
        <v>1.7909407665505227E-3</v>
      </c>
      <c r="T249" s="12">
        <f t="shared" si="93"/>
        <v>1.7909407665505227E-3</v>
      </c>
      <c r="U249" s="12">
        <f t="shared" si="93"/>
        <v>1.7909407665505227E-3</v>
      </c>
      <c r="V249" s="12">
        <f t="shared" si="93"/>
        <v>1.7909407665505227E-3</v>
      </c>
      <c r="W249" s="12">
        <f t="shared" si="93"/>
        <v>1.7909407665505227E-3</v>
      </c>
    </row>
    <row r="250" spans="1:23" x14ac:dyDescent="0.35">
      <c r="A250" s="8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</row>
    <row r="251" spans="1:23" x14ac:dyDescent="0.35">
      <c r="A251" s="8" t="s">
        <v>393</v>
      </c>
      <c r="C251" s="144">
        <v>0</v>
      </c>
      <c r="D251" s="12">
        <f t="shared" ref="D251:W251" si="95">(D249-$C249)/(1-$C249)</f>
        <v>0</v>
      </c>
      <c r="E251" s="12">
        <f t="shared" si="95"/>
        <v>0</v>
      </c>
      <c r="F251" s="12">
        <f t="shared" si="95"/>
        <v>0</v>
      </c>
      <c r="G251" s="12">
        <f t="shared" si="95"/>
        <v>0</v>
      </c>
      <c r="H251" s="12">
        <f t="shared" si="95"/>
        <v>0</v>
      </c>
      <c r="I251" s="12">
        <f t="shared" si="95"/>
        <v>0</v>
      </c>
      <c r="J251" s="12">
        <f t="shared" si="95"/>
        <v>0</v>
      </c>
      <c r="K251" s="12">
        <f t="shared" si="95"/>
        <v>0</v>
      </c>
      <c r="L251" s="12">
        <f t="shared" si="95"/>
        <v>0</v>
      </c>
      <c r="M251" s="12">
        <f t="shared" si="95"/>
        <v>0</v>
      </c>
      <c r="N251" s="12">
        <f t="shared" si="95"/>
        <v>0</v>
      </c>
      <c r="O251" s="12">
        <f t="shared" si="95"/>
        <v>0</v>
      </c>
      <c r="P251" s="12">
        <f t="shared" si="95"/>
        <v>0</v>
      </c>
      <c r="Q251" s="12">
        <f t="shared" si="95"/>
        <v>0</v>
      </c>
      <c r="R251" s="12">
        <f t="shared" si="95"/>
        <v>0</v>
      </c>
      <c r="S251" s="12">
        <f t="shared" si="95"/>
        <v>0</v>
      </c>
      <c r="T251" s="12">
        <f t="shared" si="95"/>
        <v>0</v>
      </c>
      <c r="U251" s="12">
        <f t="shared" si="95"/>
        <v>0</v>
      </c>
      <c r="V251" s="12">
        <f t="shared" si="95"/>
        <v>0</v>
      </c>
      <c r="W251" s="12">
        <f t="shared" si="95"/>
        <v>0</v>
      </c>
    </row>
    <row r="252" spans="1:23" x14ac:dyDescent="0.35">
      <c r="A252" s="8" t="s">
        <v>394</v>
      </c>
      <c r="C252" s="21"/>
      <c r="D252" s="12">
        <f>AVERAGE(C251:D251)</f>
        <v>0</v>
      </c>
      <c r="E252" s="12">
        <f t="shared" ref="E252:W252" si="96">AVERAGE(D251:E251)</f>
        <v>0</v>
      </c>
      <c r="F252" s="12">
        <f t="shared" si="96"/>
        <v>0</v>
      </c>
      <c r="G252" s="12">
        <f t="shared" si="96"/>
        <v>0</v>
      </c>
      <c r="H252" s="12">
        <f t="shared" si="96"/>
        <v>0</v>
      </c>
      <c r="I252" s="12">
        <f t="shared" si="96"/>
        <v>0</v>
      </c>
      <c r="J252" s="12">
        <f t="shared" si="96"/>
        <v>0</v>
      </c>
      <c r="K252" s="12">
        <f t="shared" si="96"/>
        <v>0</v>
      </c>
      <c r="L252" s="12">
        <f t="shared" si="96"/>
        <v>0</v>
      </c>
      <c r="M252" s="12">
        <f t="shared" si="96"/>
        <v>0</v>
      </c>
      <c r="N252" s="12">
        <f t="shared" si="96"/>
        <v>0</v>
      </c>
      <c r="O252" s="12">
        <f t="shared" si="96"/>
        <v>0</v>
      </c>
      <c r="P252" s="12">
        <f t="shared" si="96"/>
        <v>0</v>
      </c>
      <c r="Q252" s="12">
        <f t="shared" si="96"/>
        <v>0</v>
      </c>
      <c r="R252" s="12">
        <f t="shared" si="96"/>
        <v>0</v>
      </c>
      <c r="S252" s="12">
        <f t="shared" si="96"/>
        <v>0</v>
      </c>
      <c r="T252" s="12">
        <f t="shared" si="96"/>
        <v>0</v>
      </c>
      <c r="U252" s="12">
        <f t="shared" si="96"/>
        <v>0</v>
      </c>
      <c r="V252" s="12">
        <f t="shared" si="96"/>
        <v>0</v>
      </c>
      <c r="W252" s="12">
        <f t="shared" si="96"/>
        <v>0</v>
      </c>
    </row>
    <row r="253" spans="1:23" x14ac:dyDescent="0.35">
      <c r="A253" s="8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</row>
    <row r="254" spans="1:23" x14ac:dyDescent="0.35">
      <c r="A254" s="8" t="s">
        <v>395</v>
      </c>
      <c r="C254" s="21">
        <v>12</v>
      </c>
      <c r="D254" s="21">
        <v>12</v>
      </c>
      <c r="E254" s="21">
        <v>12</v>
      </c>
      <c r="F254" s="21">
        <v>12</v>
      </c>
      <c r="G254" s="21">
        <v>12</v>
      </c>
      <c r="H254" s="21">
        <v>12</v>
      </c>
      <c r="I254" s="21">
        <v>12</v>
      </c>
      <c r="J254" s="21">
        <v>12</v>
      </c>
      <c r="K254" s="21">
        <v>12</v>
      </c>
      <c r="L254" s="21">
        <v>12</v>
      </c>
      <c r="M254" s="21">
        <v>12</v>
      </c>
      <c r="N254" s="21">
        <v>12</v>
      </c>
      <c r="O254" s="21">
        <v>12</v>
      </c>
      <c r="P254" s="21">
        <v>12</v>
      </c>
      <c r="Q254" s="21">
        <v>12</v>
      </c>
      <c r="R254" s="21">
        <v>12</v>
      </c>
      <c r="S254" s="21">
        <v>12</v>
      </c>
      <c r="T254" s="21">
        <v>12</v>
      </c>
      <c r="U254" s="21">
        <v>12</v>
      </c>
      <c r="V254" s="21">
        <v>12</v>
      </c>
      <c r="W254" s="21">
        <v>12</v>
      </c>
    </row>
    <row r="255" spans="1:23" x14ac:dyDescent="0.35">
      <c r="A255" s="8"/>
      <c r="D255" s="80"/>
    </row>
    <row r="256" spans="1:23" x14ac:dyDescent="0.35">
      <c r="A256" s="8" t="s">
        <v>396</v>
      </c>
      <c r="B256" s="41">
        <f>'0-Inputs'!B196</f>
        <v>7</v>
      </c>
      <c r="D256" s="80"/>
    </row>
    <row r="257" spans="1:23" x14ac:dyDescent="0.35">
      <c r="A257" s="8" t="s">
        <v>397</v>
      </c>
      <c r="C257" s="89">
        <f>($B$256*2088)/(SUM(C243:C244)*12)</f>
        <v>8.5030333070376905E-3</v>
      </c>
      <c r="D257" s="89">
        <f>C257</f>
        <v>8.5030333070376905E-3</v>
      </c>
      <c r="E257" s="89">
        <f t="shared" ref="E257:W257" si="97">D257</f>
        <v>8.5030333070376905E-3</v>
      </c>
      <c r="F257" s="89">
        <f t="shared" si="97"/>
        <v>8.5030333070376905E-3</v>
      </c>
      <c r="G257" s="89">
        <f t="shared" si="97"/>
        <v>8.5030333070376905E-3</v>
      </c>
      <c r="H257" s="89">
        <f t="shared" si="97"/>
        <v>8.5030333070376905E-3</v>
      </c>
      <c r="I257" s="89">
        <f t="shared" si="97"/>
        <v>8.5030333070376905E-3</v>
      </c>
      <c r="J257" s="89">
        <f t="shared" si="97"/>
        <v>8.5030333070376905E-3</v>
      </c>
      <c r="K257" s="89">
        <f t="shared" si="97"/>
        <v>8.5030333070376905E-3</v>
      </c>
      <c r="L257" s="89">
        <f t="shared" si="97"/>
        <v>8.5030333070376905E-3</v>
      </c>
      <c r="M257" s="89">
        <f t="shared" si="97"/>
        <v>8.5030333070376905E-3</v>
      </c>
      <c r="N257" s="89">
        <f t="shared" si="97"/>
        <v>8.5030333070376905E-3</v>
      </c>
      <c r="O257" s="89">
        <f t="shared" si="97"/>
        <v>8.5030333070376905E-3</v>
      </c>
      <c r="P257" s="89">
        <f t="shared" si="97"/>
        <v>8.5030333070376905E-3</v>
      </c>
      <c r="Q257" s="89">
        <f t="shared" si="97"/>
        <v>8.5030333070376905E-3</v>
      </c>
      <c r="R257" s="89">
        <f t="shared" si="97"/>
        <v>8.5030333070376905E-3</v>
      </c>
      <c r="S257" s="89">
        <f t="shared" si="97"/>
        <v>8.5030333070376905E-3</v>
      </c>
      <c r="T257" s="89">
        <f t="shared" si="97"/>
        <v>8.5030333070376905E-3</v>
      </c>
      <c r="U257" s="89">
        <f t="shared" si="97"/>
        <v>8.5030333070376905E-3</v>
      </c>
      <c r="V257" s="89">
        <f t="shared" si="97"/>
        <v>8.5030333070376905E-3</v>
      </c>
      <c r="W257" s="89">
        <f t="shared" si="97"/>
        <v>8.5030333070376905E-3</v>
      </c>
    </row>
    <row r="258" spans="1:23" x14ac:dyDescent="0.35">
      <c r="A258" s="8" t="s">
        <v>398</v>
      </c>
      <c r="C258" s="68">
        <f t="shared" ref="C258:W258" si="98">SUM(C243:C244)*C254*C257</f>
        <v>14615.999999999998</v>
      </c>
      <c r="D258" s="68">
        <f t="shared" si="98"/>
        <v>14615.999999999998</v>
      </c>
      <c r="E258" s="68">
        <f t="shared" si="98"/>
        <v>14615.999999999998</v>
      </c>
      <c r="F258" s="68">
        <f t="shared" si="98"/>
        <v>14615.999999999998</v>
      </c>
      <c r="G258" s="68">
        <f t="shared" si="98"/>
        <v>14615.999999999998</v>
      </c>
      <c r="H258" s="68">
        <f t="shared" si="98"/>
        <v>14615.999999999998</v>
      </c>
      <c r="I258" s="68">
        <f t="shared" si="98"/>
        <v>14615.999999999998</v>
      </c>
      <c r="J258" s="68">
        <f t="shared" si="98"/>
        <v>14615.999999999998</v>
      </c>
      <c r="K258" s="68">
        <f t="shared" si="98"/>
        <v>14615.999999999998</v>
      </c>
      <c r="L258" s="68">
        <f t="shared" si="98"/>
        <v>14615.999999999998</v>
      </c>
      <c r="M258" s="68">
        <f t="shared" si="98"/>
        <v>14615.999999999998</v>
      </c>
      <c r="N258" s="68">
        <f t="shared" si="98"/>
        <v>14615.999999999998</v>
      </c>
      <c r="O258" s="68">
        <f t="shared" si="98"/>
        <v>14615.999999999998</v>
      </c>
      <c r="P258" s="68">
        <f t="shared" si="98"/>
        <v>14615.999999999998</v>
      </c>
      <c r="Q258" s="68">
        <f t="shared" si="98"/>
        <v>14615.999999999998</v>
      </c>
      <c r="R258" s="68">
        <f t="shared" si="98"/>
        <v>14615.999999999998</v>
      </c>
      <c r="S258" s="68">
        <f t="shared" si="98"/>
        <v>14615.999999999998</v>
      </c>
      <c r="T258" s="68">
        <f t="shared" si="98"/>
        <v>14615.999999999998</v>
      </c>
      <c r="U258" s="68">
        <f t="shared" si="98"/>
        <v>14615.999999999998</v>
      </c>
      <c r="V258" s="68">
        <f t="shared" si="98"/>
        <v>14615.999999999998</v>
      </c>
      <c r="W258" s="68">
        <f t="shared" si="98"/>
        <v>14615.999999999998</v>
      </c>
    </row>
    <row r="259" spans="1:23" x14ac:dyDescent="0.35">
      <c r="A259" s="8" t="s">
        <v>399</v>
      </c>
      <c r="C259" s="68"/>
      <c r="D259" s="31">
        <f t="shared" ref="D259:W259" si="99">IF($B$2="AMI",IF(D252&lt;Plateau1,PlateauFactor1,IF(D252&lt;Plateau2,PlateauFactor2,IF(D252&lt;Plateau3,PlateauFactor3,IF(D252&lt;Plateau4,PlateauFactor4,1)))),1)</f>
        <v>1</v>
      </c>
      <c r="E259" s="31">
        <f t="shared" si="99"/>
        <v>1</v>
      </c>
      <c r="F259" s="31">
        <f t="shared" si="99"/>
        <v>1</v>
      </c>
      <c r="G259" s="31">
        <f t="shared" si="99"/>
        <v>1</v>
      </c>
      <c r="H259" s="31">
        <f t="shared" si="99"/>
        <v>1</v>
      </c>
      <c r="I259" s="31">
        <f t="shared" si="99"/>
        <v>1</v>
      </c>
      <c r="J259" s="31">
        <f t="shared" si="99"/>
        <v>1</v>
      </c>
      <c r="K259" s="31">
        <f t="shared" si="99"/>
        <v>1</v>
      </c>
      <c r="L259" s="31">
        <f t="shared" si="99"/>
        <v>1</v>
      </c>
      <c r="M259" s="31">
        <f t="shared" si="99"/>
        <v>1</v>
      </c>
      <c r="N259" s="31">
        <f t="shared" si="99"/>
        <v>1</v>
      </c>
      <c r="O259" s="31">
        <f t="shared" si="99"/>
        <v>1</v>
      </c>
      <c r="P259" s="31">
        <f t="shared" si="99"/>
        <v>1</v>
      </c>
      <c r="Q259" s="31">
        <f t="shared" si="99"/>
        <v>1</v>
      </c>
      <c r="R259" s="31">
        <f t="shared" si="99"/>
        <v>1</v>
      </c>
      <c r="S259" s="31">
        <f t="shared" si="99"/>
        <v>1</v>
      </c>
      <c r="T259" s="31">
        <f t="shared" si="99"/>
        <v>1</v>
      </c>
      <c r="U259" s="31">
        <f t="shared" si="99"/>
        <v>1</v>
      </c>
      <c r="V259" s="31">
        <f t="shared" si="99"/>
        <v>1</v>
      </c>
      <c r="W259" s="31">
        <f t="shared" si="99"/>
        <v>1</v>
      </c>
    </row>
    <row r="260" spans="1:23" x14ac:dyDescent="0.35">
      <c r="A260" s="8" t="s">
        <v>400</v>
      </c>
      <c r="C260" s="68">
        <f>C258</f>
        <v>14615.999999999998</v>
      </c>
      <c r="D260" s="68">
        <f>(D258-$C258)*D259+$C258</f>
        <v>14615.999999999998</v>
      </c>
      <c r="E260" s="68">
        <f>(E258-$C258)*E259+$C258</f>
        <v>14615.999999999998</v>
      </c>
      <c r="F260" s="68">
        <f t="shared" ref="F260:W260" si="100">(F258-$C258)*F259+$C258</f>
        <v>14615.999999999998</v>
      </c>
      <c r="G260" s="68">
        <f t="shared" si="100"/>
        <v>14615.999999999998</v>
      </c>
      <c r="H260" s="68">
        <f t="shared" si="100"/>
        <v>14615.999999999998</v>
      </c>
      <c r="I260" s="68">
        <f t="shared" si="100"/>
        <v>14615.999999999998</v>
      </c>
      <c r="J260" s="68">
        <f t="shared" si="100"/>
        <v>14615.999999999998</v>
      </c>
      <c r="K260" s="68">
        <f t="shared" si="100"/>
        <v>14615.999999999998</v>
      </c>
      <c r="L260" s="68">
        <f t="shared" si="100"/>
        <v>14615.999999999998</v>
      </c>
      <c r="M260" s="68">
        <f t="shared" si="100"/>
        <v>14615.999999999998</v>
      </c>
      <c r="N260" s="68">
        <f t="shared" si="100"/>
        <v>14615.999999999998</v>
      </c>
      <c r="O260" s="68">
        <f t="shared" si="100"/>
        <v>14615.999999999998</v>
      </c>
      <c r="P260" s="68">
        <f t="shared" si="100"/>
        <v>14615.999999999998</v>
      </c>
      <c r="Q260" s="68">
        <f t="shared" si="100"/>
        <v>14615.999999999998</v>
      </c>
      <c r="R260" s="68">
        <f t="shared" si="100"/>
        <v>14615.999999999998</v>
      </c>
      <c r="S260" s="68">
        <f t="shared" si="100"/>
        <v>14615.999999999998</v>
      </c>
      <c r="T260" s="68">
        <f t="shared" si="100"/>
        <v>14615.999999999998</v>
      </c>
      <c r="U260" s="68">
        <f t="shared" si="100"/>
        <v>14615.999999999998</v>
      </c>
      <c r="V260" s="68">
        <f t="shared" si="100"/>
        <v>14615.999999999998</v>
      </c>
      <c r="W260" s="68">
        <f t="shared" si="100"/>
        <v>14615.999999999998</v>
      </c>
    </row>
    <row r="261" spans="1:23" x14ac:dyDescent="0.35">
      <c r="A261" s="8" t="s">
        <v>401</v>
      </c>
      <c r="C261" s="68">
        <f>C258</f>
        <v>14615.999999999998</v>
      </c>
      <c r="D261" s="68">
        <f>AVERAGE(C260:D260)</f>
        <v>14615.999999999998</v>
      </c>
      <c r="E261" s="68">
        <f>AVERAGE(D260:E260)</f>
        <v>14615.999999999998</v>
      </c>
      <c r="F261" s="68">
        <f>AVERAGE(E260:F260)</f>
        <v>14615.999999999998</v>
      </c>
      <c r="G261" s="68">
        <f t="shared" ref="G261:W261" si="101">AVERAGE(F260:G260)</f>
        <v>14615.999999999998</v>
      </c>
      <c r="H261" s="68">
        <f t="shared" si="101"/>
        <v>14615.999999999998</v>
      </c>
      <c r="I261" s="68">
        <f t="shared" si="101"/>
        <v>14615.999999999998</v>
      </c>
      <c r="J261" s="68">
        <f t="shared" si="101"/>
        <v>14615.999999999998</v>
      </c>
      <c r="K261" s="68">
        <f t="shared" si="101"/>
        <v>14615.999999999998</v>
      </c>
      <c r="L261" s="68">
        <f t="shared" si="101"/>
        <v>14615.999999999998</v>
      </c>
      <c r="M261" s="68">
        <f t="shared" si="101"/>
        <v>14615.999999999998</v>
      </c>
      <c r="N261" s="68">
        <f t="shared" si="101"/>
        <v>14615.999999999998</v>
      </c>
      <c r="O261" s="68">
        <f t="shared" si="101"/>
        <v>14615.999999999998</v>
      </c>
      <c r="P261" s="68">
        <f t="shared" si="101"/>
        <v>14615.999999999998</v>
      </c>
      <c r="Q261" s="68">
        <f t="shared" si="101"/>
        <v>14615.999999999998</v>
      </c>
      <c r="R261" s="68">
        <f t="shared" si="101"/>
        <v>14615.999999999998</v>
      </c>
      <c r="S261" s="68">
        <f t="shared" si="101"/>
        <v>14615.999999999998</v>
      </c>
      <c r="T261" s="68">
        <f t="shared" si="101"/>
        <v>14615.999999999998</v>
      </c>
      <c r="U261" s="68">
        <f t="shared" si="101"/>
        <v>14615.999999999998</v>
      </c>
      <c r="V261" s="68">
        <f t="shared" si="101"/>
        <v>14615.999999999998</v>
      </c>
      <c r="W261" s="68">
        <f t="shared" si="101"/>
        <v>14615.999999999998</v>
      </c>
    </row>
    <row r="262" spans="1:23" x14ac:dyDescent="0.35">
      <c r="A262" s="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</row>
    <row r="263" spans="1:23" x14ac:dyDescent="0.35">
      <c r="A263" s="8" t="s">
        <v>402</v>
      </c>
      <c r="C263" s="79">
        <f>HourlyMRRate</f>
        <v>0</v>
      </c>
      <c r="D263" s="79" t="e">
        <f t="shared" ref="D263:W263" si="102">C263*(1+InflationLabor)</f>
        <v>#DIV/0!</v>
      </c>
      <c r="E263" s="79" t="e">
        <f t="shared" si="102"/>
        <v>#DIV/0!</v>
      </c>
      <c r="F263" s="79" t="e">
        <f t="shared" si="102"/>
        <v>#DIV/0!</v>
      </c>
      <c r="G263" s="79" t="e">
        <f t="shared" si="102"/>
        <v>#DIV/0!</v>
      </c>
      <c r="H263" s="79" t="e">
        <f t="shared" si="102"/>
        <v>#DIV/0!</v>
      </c>
      <c r="I263" s="79" t="e">
        <f t="shared" si="102"/>
        <v>#DIV/0!</v>
      </c>
      <c r="J263" s="79" t="e">
        <f t="shared" si="102"/>
        <v>#DIV/0!</v>
      </c>
      <c r="K263" s="79" t="e">
        <f t="shared" si="102"/>
        <v>#DIV/0!</v>
      </c>
      <c r="L263" s="79" t="e">
        <f t="shared" si="102"/>
        <v>#DIV/0!</v>
      </c>
      <c r="M263" s="79" t="e">
        <f t="shared" si="102"/>
        <v>#DIV/0!</v>
      </c>
      <c r="N263" s="79" t="e">
        <f t="shared" si="102"/>
        <v>#DIV/0!</v>
      </c>
      <c r="O263" s="79" t="e">
        <f t="shared" si="102"/>
        <v>#DIV/0!</v>
      </c>
      <c r="P263" s="79" t="e">
        <f t="shared" si="102"/>
        <v>#DIV/0!</v>
      </c>
      <c r="Q263" s="79" t="e">
        <f t="shared" si="102"/>
        <v>#DIV/0!</v>
      </c>
      <c r="R263" s="79" t="e">
        <f t="shared" si="102"/>
        <v>#DIV/0!</v>
      </c>
      <c r="S263" s="79" t="e">
        <f t="shared" si="102"/>
        <v>#DIV/0!</v>
      </c>
      <c r="T263" s="79" t="e">
        <f t="shared" si="102"/>
        <v>#DIV/0!</v>
      </c>
      <c r="U263" s="79" t="e">
        <f t="shared" si="102"/>
        <v>#DIV/0!</v>
      </c>
      <c r="V263" s="79" t="e">
        <f t="shared" si="102"/>
        <v>#DIV/0!</v>
      </c>
      <c r="W263" s="79" t="e">
        <f t="shared" si="102"/>
        <v>#DIV/0!</v>
      </c>
    </row>
    <row r="264" spans="1:23" x14ac:dyDescent="0.35">
      <c r="A264" s="8" t="s">
        <v>403</v>
      </c>
      <c r="C264" s="75"/>
      <c r="D264" s="13">
        <f t="shared" ref="D264:W264" si="103">D261-$C261</f>
        <v>0</v>
      </c>
      <c r="E264" s="13">
        <f t="shared" si="103"/>
        <v>0</v>
      </c>
      <c r="F264" s="13">
        <f t="shared" si="103"/>
        <v>0</v>
      </c>
      <c r="G264" s="13">
        <f t="shared" si="103"/>
        <v>0</v>
      </c>
      <c r="H264" s="13">
        <f t="shared" si="103"/>
        <v>0</v>
      </c>
      <c r="I264" s="13">
        <f t="shared" si="103"/>
        <v>0</v>
      </c>
      <c r="J264" s="13">
        <f t="shared" si="103"/>
        <v>0</v>
      </c>
      <c r="K264" s="13">
        <f t="shared" si="103"/>
        <v>0</v>
      </c>
      <c r="L264" s="13">
        <f t="shared" si="103"/>
        <v>0</v>
      </c>
      <c r="M264" s="13">
        <f t="shared" si="103"/>
        <v>0</v>
      </c>
      <c r="N264" s="13">
        <f t="shared" si="103"/>
        <v>0</v>
      </c>
      <c r="O264" s="13">
        <f t="shared" si="103"/>
        <v>0</v>
      </c>
      <c r="P264" s="13">
        <f t="shared" si="103"/>
        <v>0</v>
      </c>
      <c r="Q264" s="13">
        <f t="shared" si="103"/>
        <v>0</v>
      </c>
      <c r="R264" s="13">
        <f t="shared" si="103"/>
        <v>0</v>
      </c>
      <c r="S264" s="13">
        <f t="shared" si="103"/>
        <v>0</v>
      </c>
      <c r="T264" s="13">
        <f t="shared" si="103"/>
        <v>0</v>
      </c>
      <c r="U264" s="13">
        <f t="shared" si="103"/>
        <v>0</v>
      </c>
      <c r="V264" s="13">
        <f t="shared" si="103"/>
        <v>0</v>
      </c>
      <c r="W264" s="13">
        <f t="shared" si="103"/>
        <v>0</v>
      </c>
    </row>
    <row r="265" spans="1:23" x14ac:dyDescent="0.35">
      <c r="A265" s="8"/>
    </row>
    <row r="266" spans="1:23" ht="15" thickBot="1" x14ac:dyDescent="0.4">
      <c r="A266" s="8" t="s">
        <v>404</v>
      </c>
      <c r="C266" s="76">
        <f t="shared" ref="C266:W266" si="104">C261*C263</f>
        <v>0</v>
      </c>
      <c r="D266" s="76" t="e">
        <f t="shared" si="104"/>
        <v>#DIV/0!</v>
      </c>
      <c r="E266" s="76" t="e">
        <f t="shared" si="104"/>
        <v>#DIV/0!</v>
      </c>
      <c r="F266" s="76" t="e">
        <f t="shared" si="104"/>
        <v>#DIV/0!</v>
      </c>
      <c r="G266" s="76" t="e">
        <f t="shared" si="104"/>
        <v>#DIV/0!</v>
      </c>
      <c r="H266" s="76" t="e">
        <f t="shared" si="104"/>
        <v>#DIV/0!</v>
      </c>
      <c r="I266" s="76" t="e">
        <f t="shared" si="104"/>
        <v>#DIV/0!</v>
      </c>
      <c r="J266" s="76" t="e">
        <f t="shared" si="104"/>
        <v>#DIV/0!</v>
      </c>
      <c r="K266" s="76" t="e">
        <f t="shared" si="104"/>
        <v>#DIV/0!</v>
      </c>
      <c r="L266" s="76" t="e">
        <f t="shared" si="104"/>
        <v>#DIV/0!</v>
      </c>
      <c r="M266" s="76" t="e">
        <f t="shared" si="104"/>
        <v>#DIV/0!</v>
      </c>
      <c r="N266" s="76" t="e">
        <f t="shared" si="104"/>
        <v>#DIV/0!</v>
      </c>
      <c r="O266" s="76" t="e">
        <f t="shared" si="104"/>
        <v>#DIV/0!</v>
      </c>
      <c r="P266" s="76" t="e">
        <f t="shared" si="104"/>
        <v>#DIV/0!</v>
      </c>
      <c r="Q266" s="76" t="e">
        <f t="shared" si="104"/>
        <v>#DIV/0!</v>
      </c>
      <c r="R266" s="76" t="e">
        <f t="shared" si="104"/>
        <v>#DIV/0!</v>
      </c>
      <c r="S266" s="76" t="e">
        <f t="shared" si="104"/>
        <v>#DIV/0!</v>
      </c>
      <c r="T266" s="76" t="e">
        <f t="shared" si="104"/>
        <v>#DIV/0!</v>
      </c>
      <c r="U266" s="76" t="e">
        <f t="shared" si="104"/>
        <v>#DIV/0!</v>
      </c>
      <c r="V266" s="76" t="e">
        <f t="shared" si="104"/>
        <v>#DIV/0!</v>
      </c>
      <c r="W266" s="76" t="e">
        <f t="shared" si="104"/>
        <v>#DIV/0!</v>
      </c>
    </row>
    <row r="267" spans="1:23" x14ac:dyDescent="0.35">
      <c r="A267" s="8" t="s">
        <v>405</v>
      </c>
      <c r="C267" s="40">
        <f>C266</f>
        <v>0</v>
      </c>
      <c r="D267" s="40" t="e">
        <f>C267*(1+InflationLabor)</f>
        <v>#DIV/0!</v>
      </c>
      <c r="E267" s="40" t="e">
        <f t="shared" ref="E267:W267" si="105">D267*(1+InflationLabor)</f>
        <v>#DIV/0!</v>
      </c>
      <c r="F267" s="40" t="e">
        <f t="shared" si="105"/>
        <v>#DIV/0!</v>
      </c>
      <c r="G267" s="40" t="e">
        <f t="shared" si="105"/>
        <v>#DIV/0!</v>
      </c>
      <c r="H267" s="40" t="e">
        <f t="shared" si="105"/>
        <v>#DIV/0!</v>
      </c>
      <c r="I267" s="40" t="e">
        <f t="shared" si="105"/>
        <v>#DIV/0!</v>
      </c>
      <c r="J267" s="40" t="e">
        <f t="shared" si="105"/>
        <v>#DIV/0!</v>
      </c>
      <c r="K267" s="40" t="e">
        <f t="shared" si="105"/>
        <v>#DIV/0!</v>
      </c>
      <c r="L267" s="40" t="e">
        <f t="shared" si="105"/>
        <v>#DIV/0!</v>
      </c>
      <c r="M267" s="40" t="e">
        <f t="shared" si="105"/>
        <v>#DIV/0!</v>
      </c>
      <c r="N267" s="40" t="e">
        <f t="shared" si="105"/>
        <v>#DIV/0!</v>
      </c>
      <c r="O267" s="40" t="e">
        <f t="shared" si="105"/>
        <v>#DIV/0!</v>
      </c>
      <c r="P267" s="40" t="e">
        <f t="shared" si="105"/>
        <v>#DIV/0!</v>
      </c>
      <c r="Q267" s="40" t="e">
        <f t="shared" si="105"/>
        <v>#DIV/0!</v>
      </c>
      <c r="R267" s="40" t="e">
        <f t="shared" si="105"/>
        <v>#DIV/0!</v>
      </c>
      <c r="S267" s="40" t="e">
        <f t="shared" si="105"/>
        <v>#DIV/0!</v>
      </c>
      <c r="T267" s="40" t="e">
        <f t="shared" si="105"/>
        <v>#DIV/0!</v>
      </c>
      <c r="U267" s="40" t="e">
        <f t="shared" si="105"/>
        <v>#DIV/0!</v>
      </c>
      <c r="V267" s="40" t="e">
        <f t="shared" si="105"/>
        <v>#DIV/0!</v>
      </c>
      <c r="W267" s="40" t="e">
        <f t="shared" si="105"/>
        <v>#DIV/0!</v>
      </c>
    </row>
    <row r="268" spans="1:23" x14ac:dyDescent="0.35">
      <c r="A268" s="8" t="s">
        <v>406</v>
      </c>
      <c r="C268" s="125">
        <f>C266-C267</f>
        <v>0</v>
      </c>
      <c r="D268" s="125" t="e">
        <f t="shared" ref="D268:W268" si="106">D266-D267</f>
        <v>#DIV/0!</v>
      </c>
      <c r="E268" s="125" t="e">
        <f t="shared" si="106"/>
        <v>#DIV/0!</v>
      </c>
      <c r="F268" s="125" t="e">
        <f t="shared" si="106"/>
        <v>#DIV/0!</v>
      </c>
      <c r="G268" s="125" t="e">
        <f t="shared" si="106"/>
        <v>#DIV/0!</v>
      </c>
      <c r="H268" s="125" t="e">
        <f t="shared" si="106"/>
        <v>#DIV/0!</v>
      </c>
      <c r="I268" s="125" t="e">
        <f t="shared" si="106"/>
        <v>#DIV/0!</v>
      </c>
      <c r="J268" s="125" t="e">
        <f t="shared" si="106"/>
        <v>#DIV/0!</v>
      </c>
      <c r="K268" s="125" t="e">
        <f t="shared" si="106"/>
        <v>#DIV/0!</v>
      </c>
      <c r="L268" s="125" t="e">
        <f t="shared" si="106"/>
        <v>#DIV/0!</v>
      </c>
      <c r="M268" s="125" t="e">
        <f t="shared" si="106"/>
        <v>#DIV/0!</v>
      </c>
      <c r="N268" s="125" t="e">
        <f t="shared" si="106"/>
        <v>#DIV/0!</v>
      </c>
      <c r="O268" s="125" t="e">
        <f t="shared" si="106"/>
        <v>#DIV/0!</v>
      </c>
      <c r="P268" s="125" t="e">
        <f t="shared" si="106"/>
        <v>#DIV/0!</v>
      </c>
      <c r="Q268" s="125" t="e">
        <f t="shared" si="106"/>
        <v>#DIV/0!</v>
      </c>
      <c r="R268" s="125" t="e">
        <f t="shared" si="106"/>
        <v>#DIV/0!</v>
      </c>
      <c r="S268" s="125" t="e">
        <f t="shared" si="106"/>
        <v>#DIV/0!</v>
      </c>
      <c r="T268" s="125" t="e">
        <f t="shared" si="106"/>
        <v>#DIV/0!</v>
      </c>
      <c r="U268" s="125" t="e">
        <f t="shared" si="106"/>
        <v>#DIV/0!</v>
      </c>
      <c r="V268" s="125" t="e">
        <f t="shared" si="106"/>
        <v>#DIV/0!</v>
      </c>
      <c r="W268" s="125" t="e">
        <f t="shared" si="106"/>
        <v>#DIV/0!</v>
      </c>
    </row>
    <row r="269" spans="1:23" x14ac:dyDescent="0.35">
      <c r="A269" s="8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</row>
    <row r="270" spans="1:23" x14ac:dyDescent="0.35">
      <c r="A270" s="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</row>
    <row r="272" spans="1:23" ht="21" x14ac:dyDescent="0.5">
      <c r="A272" s="93" t="s">
        <v>249</v>
      </c>
      <c r="C272" s="27">
        <f>YearOne-1</f>
        <v>2025</v>
      </c>
      <c r="D272" s="27">
        <f t="shared" ref="D272:W272" si="107">YearOne+D$7-1</f>
        <v>2026</v>
      </c>
      <c r="E272" s="27">
        <f t="shared" si="107"/>
        <v>2027</v>
      </c>
      <c r="F272" s="27">
        <f t="shared" si="107"/>
        <v>2028</v>
      </c>
      <c r="G272" s="27">
        <f t="shared" si="107"/>
        <v>2029</v>
      </c>
      <c r="H272" s="27">
        <f t="shared" si="107"/>
        <v>2030</v>
      </c>
      <c r="I272" s="27">
        <f t="shared" si="107"/>
        <v>2031</v>
      </c>
      <c r="J272" s="27">
        <f t="shared" si="107"/>
        <v>2032</v>
      </c>
      <c r="K272" s="27">
        <f t="shared" si="107"/>
        <v>2033</v>
      </c>
      <c r="L272" s="27">
        <f t="shared" si="107"/>
        <v>2034</v>
      </c>
      <c r="M272" s="27">
        <f t="shared" si="107"/>
        <v>2035</v>
      </c>
      <c r="N272" s="27">
        <f t="shared" si="107"/>
        <v>2036</v>
      </c>
      <c r="O272" s="27">
        <f t="shared" si="107"/>
        <v>2037</v>
      </c>
      <c r="P272" s="27">
        <f t="shared" si="107"/>
        <v>2038</v>
      </c>
      <c r="Q272" s="27">
        <f t="shared" si="107"/>
        <v>2039</v>
      </c>
      <c r="R272" s="27">
        <f t="shared" si="107"/>
        <v>2040</v>
      </c>
      <c r="S272" s="27">
        <f t="shared" si="107"/>
        <v>2041</v>
      </c>
      <c r="T272" s="27">
        <f t="shared" si="107"/>
        <v>2042</v>
      </c>
      <c r="U272" s="27">
        <f t="shared" si="107"/>
        <v>2043</v>
      </c>
      <c r="V272" s="27">
        <f t="shared" si="107"/>
        <v>2044</v>
      </c>
      <c r="W272" s="27">
        <f t="shared" si="107"/>
        <v>2045</v>
      </c>
    </row>
    <row r="273" spans="1:23" x14ac:dyDescent="0.35">
      <c r="A273" s="8" t="s">
        <v>407</v>
      </c>
      <c r="C273" s="7">
        <f>'Conf-Wages FSR MR'!H20</f>
        <v>0</v>
      </c>
      <c r="D273" s="79" t="e">
        <f t="shared" ref="D273" si="108">C273*(1+InflationLabor)</f>
        <v>#DIV/0!</v>
      </c>
      <c r="E273" s="79" t="e">
        <f t="shared" ref="E273" si="109">D273*(1+InflationLabor)</f>
        <v>#DIV/0!</v>
      </c>
      <c r="F273" s="79" t="e">
        <f t="shared" ref="F273" si="110">E273*(1+InflationLabor)</f>
        <v>#DIV/0!</v>
      </c>
      <c r="G273" s="79" t="e">
        <f t="shared" ref="G273" si="111">F273*(1+InflationLabor)</f>
        <v>#DIV/0!</v>
      </c>
      <c r="H273" s="79" t="e">
        <f t="shared" ref="H273" si="112">G273*(1+InflationLabor)</f>
        <v>#DIV/0!</v>
      </c>
      <c r="I273" s="79" t="e">
        <f t="shared" ref="I273" si="113">H273*(1+InflationLabor)</f>
        <v>#DIV/0!</v>
      </c>
      <c r="J273" s="79" t="e">
        <f t="shared" ref="J273" si="114">I273*(1+InflationLabor)</f>
        <v>#DIV/0!</v>
      </c>
      <c r="K273" s="79" t="e">
        <f t="shared" ref="K273" si="115">J273*(1+InflationLabor)</f>
        <v>#DIV/0!</v>
      </c>
      <c r="L273" s="79" t="e">
        <f t="shared" ref="L273" si="116">K273*(1+InflationLabor)</f>
        <v>#DIV/0!</v>
      </c>
      <c r="M273" s="79" t="e">
        <f t="shared" ref="M273" si="117">L273*(1+InflationLabor)</f>
        <v>#DIV/0!</v>
      </c>
      <c r="N273" s="79" t="e">
        <f t="shared" ref="N273" si="118">M273*(1+InflationLabor)</f>
        <v>#DIV/0!</v>
      </c>
      <c r="O273" s="79" t="e">
        <f t="shared" ref="O273" si="119">N273*(1+InflationLabor)</f>
        <v>#DIV/0!</v>
      </c>
      <c r="P273" s="79" t="e">
        <f t="shared" ref="P273" si="120">O273*(1+InflationLabor)</f>
        <v>#DIV/0!</v>
      </c>
      <c r="Q273" s="79" t="e">
        <f t="shared" ref="Q273" si="121">P273*(1+InflationLabor)</f>
        <v>#DIV/0!</v>
      </c>
      <c r="R273" s="79" t="e">
        <f t="shared" ref="R273" si="122">Q273*(1+InflationLabor)</f>
        <v>#DIV/0!</v>
      </c>
      <c r="S273" s="79" t="e">
        <f t="shared" ref="S273" si="123">R273*(1+InflationLabor)</f>
        <v>#DIV/0!</v>
      </c>
      <c r="T273" s="79" t="e">
        <f t="shared" ref="T273" si="124">S273*(1+InflationLabor)</f>
        <v>#DIV/0!</v>
      </c>
      <c r="U273" s="79" t="e">
        <f t="shared" ref="U273" si="125">T273*(1+InflationLabor)</f>
        <v>#DIV/0!</v>
      </c>
      <c r="V273" s="79" t="e">
        <f t="shared" ref="V273" si="126">U273*(1+InflationLabor)</f>
        <v>#DIV/0!</v>
      </c>
      <c r="W273" s="79" t="e">
        <f t="shared" ref="W273" si="127">V273*(1+InflationLabor)</f>
        <v>#DIV/0!</v>
      </c>
    </row>
    <row r="274" spans="1:23" x14ac:dyDescent="0.35">
      <c r="A274" s="8"/>
      <c r="C274" s="7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x14ac:dyDescent="0.35">
      <c r="A275" s="33" t="s">
        <v>408</v>
      </c>
      <c r="C275" s="21">
        <f>'ServOrderOpp-AMI'!$C$6</f>
        <v>99890</v>
      </c>
      <c r="D275" s="21">
        <f>'ServOrderOpp-AMI'!$C$6</f>
        <v>99890</v>
      </c>
      <c r="E275" s="21">
        <f>'ServOrderOpp-AMI'!$C$6</f>
        <v>99890</v>
      </c>
      <c r="F275" s="21">
        <f>'ServOrderOpp-AMI'!$C$6</f>
        <v>99890</v>
      </c>
      <c r="G275" s="21">
        <f>'ServOrderOpp-AMI'!$C$6</f>
        <v>99890</v>
      </c>
      <c r="H275" s="21">
        <f>'ServOrderOpp-AMI'!$C$6</f>
        <v>99890</v>
      </c>
      <c r="I275" s="21">
        <f>'ServOrderOpp-AMI'!$C$6</f>
        <v>99890</v>
      </c>
      <c r="J275" s="21">
        <f>'ServOrderOpp-AMI'!$C$6</f>
        <v>99890</v>
      </c>
      <c r="K275" s="21">
        <f>'ServOrderOpp-AMI'!$C$6</f>
        <v>99890</v>
      </c>
      <c r="L275" s="21">
        <f>'ServOrderOpp-AMI'!$C$6</f>
        <v>99890</v>
      </c>
      <c r="M275" s="21">
        <f>'ServOrderOpp-AMI'!$C$6</f>
        <v>99890</v>
      </c>
      <c r="N275" s="21">
        <f>'ServOrderOpp-AMI'!$C$6</f>
        <v>99890</v>
      </c>
      <c r="O275" s="21">
        <f>'ServOrderOpp-AMI'!$C$6</f>
        <v>99890</v>
      </c>
      <c r="P275" s="21">
        <f>'ServOrderOpp-AMI'!$C$6</f>
        <v>99890</v>
      </c>
      <c r="Q275" s="21">
        <f>'ServOrderOpp-AMI'!$C$6</f>
        <v>99890</v>
      </c>
      <c r="R275" s="21">
        <f>'ServOrderOpp-AMI'!$C$6</f>
        <v>99890</v>
      </c>
      <c r="S275" s="21">
        <f>'ServOrderOpp-AMI'!$C$6</f>
        <v>99890</v>
      </c>
      <c r="T275" s="21">
        <f>'ServOrderOpp-AMI'!$C$6</f>
        <v>99890</v>
      </c>
      <c r="U275" s="21">
        <f>'ServOrderOpp-AMI'!$C$6</f>
        <v>99890</v>
      </c>
      <c r="V275" s="21">
        <f>'ServOrderOpp-AMI'!$C$6</f>
        <v>99890</v>
      </c>
      <c r="W275" s="21">
        <f>'ServOrderOpp-AMI'!$C$6</f>
        <v>99890</v>
      </c>
    </row>
    <row r="276" spans="1:23" x14ac:dyDescent="0.35">
      <c r="A276" s="33" t="s">
        <v>409</v>
      </c>
      <c r="C276" s="72">
        <f>(ServOrderMins!$G$4+'Transit Time'!$F$8)/60</f>
        <v>0.455478712778497</v>
      </c>
      <c r="D276" s="72">
        <f>(ServOrderMins!$G$4+'Transit Time'!$F$8)/60</f>
        <v>0.455478712778497</v>
      </c>
      <c r="E276" s="72">
        <f>(ServOrderMins!$G$4+'Transit Time'!$F$8)/60</f>
        <v>0.455478712778497</v>
      </c>
      <c r="F276" s="72">
        <f>(ServOrderMins!$G$4+'Transit Time'!$F$8)/60</f>
        <v>0.455478712778497</v>
      </c>
      <c r="G276" s="72">
        <f>(ServOrderMins!$G$4+'Transit Time'!$F$8)/60</f>
        <v>0.455478712778497</v>
      </c>
      <c r="H276" s="72">
        <f>(ServOrderMins!$G$4+'Transit Time'!$F$8)/60</f>
        <v>0.455478712778497</v>
      </c>
      <c r="I276" s="72">
        <f>(ServOrderMins!$G$4+'Transit Time'!$F$8)/60</f>
        <v>0.455478712778497</v>
      </c>
      <c r="J276" s="72">
        <f>(ServOrderMins!$G$4+'Transit Time'!$F$8)/60</f>
        <v>0.455478712778497</v>
      </c>
      <c r="K276" s="72">
        <f>(ServOrderMins!$G$4+'Transit Time'!$F$8)/60</f>
        <v>0.455478712778497</v>
      </c>
      <c r="L276" s="72">
        <f>(ServOrderMins!$G$4+'Transit Time'!$F$8)/60</f>
        <v>0.455478712778497</v>
      </c>
      <c r="M276" s="72">
        <f>(ServOrderMins!$G$4+'Transit Time'!$F$8)/60</f>
        <v>0.455478712778497</v>
      </c>
      <c r="N276" s="72">
        <f>(ServOrderMins!$G$4+'Transit Time'!$F$8)/60</f>
        <v>0.455478712778497</v>
      </c>
      <c r="O276" s="72">
        <f>(ServOrderMins!$G$4+'Transit Time'!$F$8)/60</f>
        <v>0.455478712778497</v>
      </c>
      <c r="P276" s="72">
        <f>(ServOrderMins!$G$4+'Transit Time'!$F$8)/60</f>
        <v>0.455478712778497</v>
      </c>
      <c r="Q276" s="72">
        <f>(ServOrderMins!$G$4+'Transit Time'!$F$8)/60</f>
        <v>0.455478712778497</v>
      </c>
      <c r="R276" s="72">
        <f>(ServOrderMins!$G$4+'Transit Time'!$F$8)/60</f>
        <v>0.455478712778497</v>
      </c>
      <c r="S276" s="72">
        <f>(ServOrderMins!$G$4+'Transit Time'!$F$8)/60</f>
        <v>0.455478712778497</v>
      </c>
      <c r="T276" s="72">
        <f>(ServOrderMins!$G$4+'Transit Time'!$F$8)/60</f>
        <v>0.455478712778497</v>
      </c>
      <c r="U276" s="72">
        <f>(ServOrderMins!$G$4+'Transit Time'!$F$8)/60</f>
        <v>0.455478712778497</v>
      </c>
      <c r="V276" s="72">
        <f>(ServOrderMins!$G$4+'Transit Time'!$F$8)/60</f>
        <v>0.455478712778497</v>
      </c>
      <c r="W276" s="72">
        <f>(ServOrderMins!$G$4+'Transit Time'!$F$8)/60</f>
        <v>0.455478712778497</v>
      </c>
    </row>
    <row r="277" spans="1:23" x14ac:dyDescent="0.35">
      <c r="A277" s="33" t="s">
        <v>410</v>
      </c>
      <c r="C277" s="91">
        <f>C275*C276</f>
        <v>45497.768619444068</v>
      </c>
      <c r="D277" s="91">
        <f t="shared" ref="D277:W277" si="128">D275*D276</f>
        <v>45497.768619444068</v>
      </c>
      <c r="E277" s="91">
        <f t="shared" si="128"/>
        <v>45497.768619444068</v>
      </c>
      <c r="F277" s="91">
        <f t="shared" si="128"/>
        <v>45497.768619444068</v>
      </c>
      <c r="G277" s="91">
        <f t="shared" si="128"/>
        <v>45497.768619444068</v>
      </c>
      <c r="H277" s="91">
        <f t="shared" si="128"/>
        <v>45497.768619444068</v>
      </c>
      <c r="I277" s="91">
        <f t="shared" si="128"/>
        <v>45497.768619444068</v>
      </c>
      <c r="J277" s="91">
        <f t="shared" si="128"/>
        <v>45497.768619444068</v>
      </c>
      <c r="K277" s="91">
        <f t="shared" si="128"/>
        <v>45497.768619444068</v>
      </c>
      <c r="L277" s="91">
        <f t="shared" si="128"/>
        <v>45497.768619444068</v>
      </c>
      <c r="M277" s="91">
        <f t="shared" si="128"/>
        <v>45497.768619444068</v>
      </c>
      <c r="N277" s="91">
        <f t="shared" si="128"/>
        <v>45497.768619444068</v>
      </c>
      <c r="O277" s="91">
        <f t="shared" si="128"/>
        <v>45497.768619444068</v>
      </c>
      <c r="P277" s="91">
        <f t="shared" si="128"/>
        <v>45497.768619444068</v>
      </c>
      <c r="Q277" s="91">
        <f t="shared" si="128"/>
        <v>45497.768619444068</v>
      </c>
      <c r="R277" s="91">
        <f t="shared" si="128"/>
        <v>45497.768619444068</v>
      </c>
      <c r="S277" s="91">
        <f t="shared" si="128"/>
        <v>45497.768619444068</v>
      </c>
      <c r="T277" s="91">
        <f t="shared" si="128"/>
        <v>45497.768619444068</v>
      </c>
      <c r="U277" s="91">
        <f t="shared" si="128"/>
        <v>45497.768619444068</v>
      </c>
      <c r="V277" s="91">
        <f t="shared" si="128"/>
        <v>45497.768619444068</v>
      </c>
      <c r="W277" s="91">
        <f t="shared" si="128"/>
        <v>45497.768619444068</v>
      </c>
    </row>
    <row r="278" spans="1:23" x14ac:dyDescent="0.35">
      <c r="A278" s="33" t="s">
        <v>411</v>
      </c>
      <c r="C278" s="91">
        <f>C277/2088</f>
        <v>21.790119070614974</v>
      </c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</row>
    <row r="279" spans="1:23" x14ac:dyDescent="0.35">
      <c r="A279" s="33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</row>
    <row r="280" spans="1:23" x14ac:dyDescent="0.35">
      <c r="A280" s="33" t="s">
        <v>412</v>
      </c>
      <c r="C280" s="9">
        <f t="shared" ref="C280:W280" si="129">C273*C277</f>
        <v>0</v>
      </c>
      <c r="D280" s="9" t="e">
        <f t="shared" si="129"/>
        <v>#DIV/0!</v>
      </c>
      <c r="E280" s="9" t="e">
        <f t="shared" si="129"/>
        <v>#DIV/0!</v>
      </c>
      <c r="F280" s="9" t="e">
        <f t="shared" si="129"/>
        <v>#DIV/0!</v>
      </c>
      <c r="G280" s="9" t="e">
        <f t="shared" si="129"/>
        <v>#DIV/0!</v>
      </c>
      <c r="H280" s="9" t="e">
        <f t="shared" si="129"/>
        <v>#DIV/0!</v>
      </c>
      <c r="I280" s="9" t="e">
        <f t="shared" si="129"/>
        <v>#DIV/0!</v>
      </c>
      <c r="J280" s="9" t="e">
        <f t="shared" si="129"/>
        <v>#DIV/0!</v>
      </c>
      <c r="K280" s="9" t="e">
        <f t="shared" si="129"/>
        <v>#DIV/0!</v>
      </c>
      <c r="L280" s="9" t="e">
        <f t="shared" si="129"/>
        <v>#DIV/0!</v>
      </c>
      <c r="M280" s="9" t="e">
        <f t="shared" si="129"/>
        <v>#DIV/0!</v>
      </c>
      <c r="N280" s="9" t="e">
        <f t="shared" si="129"/>
        <v>#DIV/0!</v>
      </c>
      <c r="O280" s="9" t="e">
        <f t="shared" si="129"/>
        <v>#DIV/0!</v>
      </c>
      <c r="P280" s="9" t="e">
        <f t="shared" si="129"/>
        <v>#DIV/0!</v>
      </c>
      <c r="Q280" s="9" t="e">
        <f t="shared" si="129"/>
        <v>#DIV/0!</v>
      </c>
      <c r="R280" s="9" t="e">
        <f t="shared" si="129"/>
        <v>#DIV/0!</v>
      </c>
      <c r="S280" s="9" t="e">
        <f t="shared" si="129"/>
        <v>#DIV/0!</v>
      </c>
      <c r="T280" s="9" t="e">
        <f t="shared" si="129"/>
        <v>#DIV/0!</v>
      </c>
      <c r="U280" s="9" t="e">
        <f t="shared" si="129"/>
        <v>#DIV/0!</v>
      </c>
      <c r="V280" s="9" t="e">
        <f t="shared" si="129"/>
        <v>#DIV/0!</v>
      </c>
      <c r="W280" s="9" t="e">
        <f t="shared" si="129"/>
        <v>#DIV/0!</v>
      </c>
    </row>
    <row r="281" spans="1:23" x14ac:dyDescent="0.35">
      <c r="A281" s="33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 x14ac:dyDescent="0.35">
      <c r="A282" s="33" t="s">
        <v>413</v>
      </c>
      <c r="C282" s="21">
        <f>IF($B$2="Like",0,'ServOrderOpp-AMI'!$I$6)</f>
        <v>0</v>
      </c>
      <c r="D282" s="21">
        <f>IF($B$2="Like",0,'ServOrderOpp-AMI'!$I$6)</f>
        <v>0</v>
      </c>
      <c r="E282" s="21">
        <f>IF($B$2="Like",0,'ServOrderOpp-AMI'!$I$6)</f>
        <v>0</v>
      </c>
      <c r="F282" s="21">
        <f>IF($B$2="Like",0,'ServOrderOpp-AMI'!$I$6)</f>
        <v>0</v>
      </c>
      <c r="G282" s="21">
        <f>IF($B$2="Like",0,'ServOrderOpp-AMI'!$I$6)</f>
        <v>0</v>
      </c>
      <c r="H282" s="21">
        <f>IF($B$2="Like",0,'ServOrderOpp-AMI'!$I$6)</f>
        <v>0</v>
      </c>
      <c r="I282" s="21">
        <f>IF($B$2="Like",0,'ServOrderOpp-AMI'!$I$6)</f>
        <v>0</v>
      </c>
      <c r="J282" s="21">
        <f>IF($B$2="Like",0,'ServOrderOpp-AMI'!$I$6)</f>
        <v>0</v>
      </c>
      <c r="K282" s="21">
        <f>IF($B$2="Like",0,'ServOrderOpp-AMI'!$I$6)</f>
        <v>0</v>
      </c>
      <c r="L282" s="21">
        <f>IF($B$2="Like",0,'ServOrderOpp-AMI'!$I$6)</f>
        <v>0</v>
      </c>
      <c r="M282" s="21">
        <f>IF($B$2="Like",0,'ServOrderOpp-AMI'!$I$6)</f>
        <v>0</v>
      </c>
      <c r="N282" s="21">
        <f>IF($B$2="Like",0,'ServOrderOpp-AMI'!$I$6)</f>
        <v>0</v>
      </c>
      <c r="O282" s="21">
        <f>IF($B$2="Like",0,'ServOrderOpp-AMI'!$I$6)</f>
        <v>0</v>
      </c>
      <c r="P282" s="21">
        <f>IF($B$2="Like",0,'ServOrderOpp-AMI'!$I$6)</f>
        <v>0</v>
      </c>
      <c r="Q282" s="21">
        <f>IF($B$2="Like",0,'ServOrderOpp-AMI'!$I$6)</f>
        <v>0</v>
      </c>
      <c r="R282" s="21">
        <f>IF($B$2="Like",0,'ServOrderOpp-AMI'!$I$6)</f>
        <v>0</v>
      </c>
      <c r="S282" s="21">
        <f>IF($B$2="Like",0,'ServOrderOpp-AMI'!$I$6)</f>
        <v>0</v>
      </c>
      <c r="T282" s="21">
        <f>IF($B$2="Like",0,'ServOrderOpp-AMI'!$I$6)</f>
        <v>0</v>
      </c>
      <c r="U282" s="21">
        <f>IF($B$2="Like",0,'ServOrderOpp-AMI'!$I$6)</f>
        <v>0</v>
      </c>
      <c r="V282" s="21">
        <f>IF($B$2="Like",0,'ServOrderOpp-AMI'!$I$6)</f>
        <v>0</v>
      </c>
      <c r="W282" s="21">
        <f>IF($B$2="Like",0,'ServOrderOpp-AMI'!$I$6)</f>
        <v>0</v>
      </c>
    </row>
    <row r="283" spans="1:23" x14ac:dyDescent="0.35">
      <c r="A283" s="8" t="s">
        <v>414</v>
      </c>
      <c r="C283" s="63">
        <f>C251</f>
        <v>0</v>
      </c>
      <c r="D283" s="63">
        <f t="shared" ref="D283:W283" si="130">D251</f>
        <v>0</v>
      </c>
      <c r="E283" s="63">
        <f t="shared" si="130"/>
        <v>0</v>
      </c>
      <c r="F283" s="63">
        <f t="shared" si="130"/>
        <v>0</v>
      </c>
      <c r="G283" s="63">
        <f t="shared" si="130"/>
        <v>0</v>
      </c>
      <c r="H283" s="63">
        <f t="shared" si="130"/>
        <v>0</v>
      </c>
      <c r="I283" s="63">
        <f t="shared" si="130"/>
        <v>0</v>
      </c>
      <c r="J283" s="63">
        <f t="shared" si="130"/>
        <v>0</v>
      </c>
      <c r="K283" s="63">
        <f t="shared" si="130"/>
        <v>0</v>
      </c>
      <c r="L283" s="63">
        <f t="shared" si="130"/>
        <v>0</v>
      </c>
      <c r="M283" s="63">
        <f t="shared" si="130"/>
        <v>0</v>
      </c>
      <c r="N283" s="63">
        <f t="shared" si="130"/>
        <v>0</v>
      </c>
      <c r="O283" s="63">
        <f t="shared" si="130"/>
        <v>0</v>
      </c>
      <c r="P283" s="63">
        <f t="shared" si="130"/>
        <v>0</v>
      </c>
      <c r="Q283" s="63">
        <f t="shared" si="130"/>
        <v>0</v>
      </c>
      <c r="R283" s="63">
        <f t="shared" si="130"/>
        <v>0</v>
      </c>
      <c r="S283" s="63">
        <f t="shared" si="130"/>
        <v>0</v>
      </c>
      <c r="T283" s="63">
        <f t="shared" si="130"/>
        <v>0</v>
      </c>
      <c r="U283" s="63">
        <f t="shared" si="130"/>
        <v>0</v>
      </c>
      <c r="V283" s="63">
        <f t="shared" si="130"/>
        <v>0</v>
      </c>
      <c r="W283" s="63">
        <f t="shared" si="130"/>
        <v>0</v>
      </c>
    </row>
    <row r="284" spans="1:23" x14ac:dyDescent="0.35">
      <c r="A284" s="8" t="s">
        <v>415</v>
      </c>
      <c r="D284" s="63">
        <f>AVERAGE(C283:D283)</f>
        <v>0</v>
      </c>
      <c r="E284" s="63">
        <f t="shared" ref="E284:W284" si="131">AVERAGE(D283:E283)</f>
        <v>0</v>
      </c>
      <c r="F284" s="63">
        <f t="shared" si="131"/>
        <v>0</v>
      </c>
      <c r="G284" s="63">
        <f t="shared" si="131"/>
        <v>0</v>
      </c>
      <c r="H284" s="63">
        <f t="shared" si="131"/>
        <v>0</v>
      </c>
      <c r="I284" s="63">
        <f t="shared" si="131"/>
        <v>0</v>
      </c>
      <c r="J284" s="63">
        <f t="shared" si="131"/>
        <v>0</v>
      </c>
      <c r="K284" s="63">
        <f t="shared" si="131"/>
        <v>0</v>
      </c>
      <c r="L284" s="63">
        <f t="shared" si="131"/>
        <v>0</v>
      </c>
      <c r="M284" s="63">
        <f t="shared" si="131"/>
        <v>0</v>
      </c>
      <c r="N284" s="63">
        <f t="shared" si="131"/>
        <v>0</v>
      </c>
      <c r="O284" s="63">
        <f t="shared" si="131"/>
        <v>0</v>
      </c>
      <c r="P284" s="63">
        <f t="shared" si="131"/>
        <v>0</v>
      </c>
      <c r="Q284" s="63">
        <f t="shared" si="131"/>
        <v>0</v>
      </c>
      <c r="R284" s="63">
        <f t="shared" si="131"/>
        <v>0</v>
      </c>
      <c r="S284" s="63">
        <f t="shared" si="131"/>
        <v>0</v>
      </c>
      <c r="T284" s="63">
        <f t="shared" si="131"/>
        <v>0</v>
      </c>
      <c r="U284" s="63">
        <f t="shared" si="131"/>
        <v>0</v>
      </c>
      <c r="V284" s="63">
        <f t="shared" si="131"/>
        <v>0</v>
      </c>
      <c r="W284" s="63">
        <f t="shared" si="131"/>
        <v>0</v>
      </c>
    </row>
    <row r="285" spans="1:23" x14ac:dyDescent="0.35">
      <c r="A285" s="8" t="s">
        <v>416</v>
      </c>
      <c r="B285" s="20"/>
      <c r="C285" s="68">
        <v>0</v>
      </c>
      <c r="D285" s="13">
        <f>D282*D284</f>
        <v>0</v>
      </c>
      <c r="E285" s="13">
        <f t="shared" ref="E285:W285" si="132">E282*E284</f>
        <v>0</v>
      </c>
      <c r="F285" s="13">
        <f t="shared" si="132"/>
        <v>0</v>
      </c>
      <c r="G285" s="13">
        <f t="shared" si="132"/>
        <v>0</v>
      </c>
      <c r="H285" s="13">
        <f t="shared" si="132"/>
        <v>0</v>
      </c>
      <c r="I285" s="13">
        <f t="shared" si="132"/>
        <v>0</v>
      </c>
      <c r="J285" s="13">
        <f t="shared" si="132"/>
        <v>0</v>
      </c>
      <c r="K285" s="13">
        <f t="shared" si="132"/>
        <v>0</v>
      </c>
      <c r="L285" s="13">
        <f t="shared" si="132"/>
        <v>0</v>
      </c>
      <c r="M285" s="13">
        <f t="shared" si="132"/>
        <v>0</v>
      </c>
      <c r="N285" s="13">
        <f t="shared" si="132"/>
        <v>0</v>
      </c>
      <c r="O285" s="13">
        <f t="shared" si="132"/>
        <v>0</v>
      </c>
      <c r="P285" s="13">
        <f t="shared" si="132"/>
        <v>0</v>
      </c>
      <c r="Q285" s="13">
        <f t="shared" si="132"/>
        <v>0</v>
      </c>
      <c r="R285" s="13">
        <f t="shared" si="132"/>
        <v>0</v>
      </c>
      <c r="S285" s="13">
        <f t="shared" si="132"/>
        <v>0</v>
      </c>
      <c r="T285" s="13">
        <f t="shared" si="132"/>
        <v>0</v>
      </c>
      <c r="U285" s="13">
        <f t="shared" si="132"/>
        <v>0</v>
      </c>
      <c r="V285" s="13">
        <f t="shared" si="132"/>
        <v>0</v>
      </c>
      <c r="W285" s="13">
        <f t="shared" si="132"/>
        <v>0</v>
      </c>
    </row>
    <row r="286" spans="1:23" x14ac:dyDescent="0.35">
      <c r="A286" s="8" t="s">
        <v>417</v>
      </c>
      <c r="C286" s="206"/>
      <c r="D286" s="206">
        <f>'ServOrderOpp-AMI'!$M$6</f>
        <v>0.41448855408649765</v>
      </c>
      <c r="E286" s="206">
        <f>'ServOrderOpp-AMI'!$M$6</f>
        <v>0.41448855408649765</v>
      </c>
      <c r="F286" s="206">
        <f>'ServOrderOpp-AMI'!$M$6</f>
        <v>0.41448855408649765</v>
      </c>
      <c r="G286" s="206">
        <f>'ServOrderOpp-AMI'!$M$6</f>
        <v>0.41448855408649765</v>
      </c>
      <c r="H286" s="206">
        <f>'ServOrderOpp-AMI'!$M$6</f>
        <v>0.41448855408649765</v>
      </c>
      <c r="I286" s="206">
        <f>'ServOrderOpp-AMI'!$M$6</f>
        <v>0.41448855408649765</v>
      </c>
      <c r="J286" s="206">
        <f>'ServOrderOpp-AMI'!$M$6</f>
        <v>0.41448855408649765</v>
      </c>
      <c r="K286" s="206">
        <f>'ServOrderOpp-AMI'!$M$6</f>
        <v>0.41448855408649765</v>
      </c>
      <c r="L286" s="206">
        <f>'ServOrderOpp-AMI'!$M$6</f>
        <v>0.41448855408649765</v>
      </c>
      <c r="M286" s="206">
        <f>'ServOrderOpp-AMI'!$M$6</f>
        <v>0.41448855408649765</v>
      </c>
      <c r="N286" s="206">
        <f>'ServOrderOpp-AMI'!$M$6</f>
        <v>0.41448855408649765</v>
      </c>
      <c r="O286" s="206">
        <f>'ServOrderOpp-AMI'!$M$6</f>
        <v>0.41448855408649765</v>
      </c>
      <c r="P286" s="206">
        <f>'ServOrderOpp-AMI'!$M$6</f>
        <v>0.41448855408649765</v>
      </c>
      <c r="Q286" s="206">
        <f>'ServOrderOpp-AMI'!$M$6</f>
        <v>0.41448855408649765</v>
      </c>
      <c r="R286" s="206">
        <f>'ServOrderOpp-AMI'!$M$6</f>
        <v>0.41448855408649765</v>
      </c>
      <c r="S286" s="206">
        <f>'ServOrderOpp-AMI'!$M$6</f>
        <v>0.41448855408649765</v>
      </c>
      <c r="T286" s="206">
        <f>'ServOrderOpp-AMI'!$M$6</f>
        <v>0.41448855408649765</v>
      </c>
      <c r="U286" s="206">
        <f>'ServOrderOpp-AMI'!$M$6</f>
        <v>0.41448855408649765</v>
      </c>
      <c r="V286" s="206">
        <f>'ServOrderOpp-AMI'!$M$6</f>
        <v>0.41448855408649765</v>
      </c>
      <c r="W286" s="206">
        <f>'ServOrderOpp-AMI'!$M$6</f>
        <v>0.41448855408649765</v>
      </c>
    </row>
    <row r="287" spans="1:23" x14ac:dyDescent="0.35">
      <c r="A287" s="8" t="s">
        <v>418</v>
      </c>
      <c r="C287" s="92">
        <f>C285*C286</f>
        <v>0</v>
      </c>
      <c r="D287" s="92">
        <f>D285*D286</f>
        <v>0</v>
      </c>
      <c r="E287" s="92">
        <f t="shared" ref="E287:W287" si="133">E285*E286</f>
        <v>0</v>
      </c>
      <c r="F287" s="92">
        <f t="shared" si="133"/>
        <v>0</v>
      </c>
      <c r="G287" s="92">
        <f t="shared" si="133"/>
        <v>0</v>
      </c>
      <c r="H287" s="92">
        <f t="shared" si="133"/>
        <v>0</v>
      </c>
      <c r="I287" s="92">
        <f t="shared" si="133"/>
        <v>0</v>
      </c>
      <c r="J287" s="92">
        <f t="shared" si="133"/>
        <v>0</v>
      </c>
      <c r="K287" s="92">
        <f t="shared" si="133"/>
        <v>0</v>
      </c>
      <c r="L287" s="92">
        <f t="shared" si="133"/>
        <v>0</v>
      </c>
      <c r="M287" s="92">
        <f t="shared" si="133"/>
        <v>0</v>
      </c>
      <c r="N287" s="92">
        <f t="shared" si="133"/>
        <v>0</v>
      </c>
      <c r="O287" s="92">
        <f t="shared" si="133"/>
        <v>0</v>
      </c>
      <c r="P287" s="92">
        <f t="shared" si="133"/>
        <v>0</v>
      </c>
      <c r="Q287" s="92">
        <f t="shared" si="133"/>
        <v>0</v>
      </c>
      <c r="R287" s="92">
        <f t="shared" si="133"/>
        <v>0</v>
      </c>
      <c r="S287" s="92">
        <f t="shared" si="133"/>
        <v>0</v>
      </c>
      <c r="T287" s="92">
        <f t="shared" si="133"/>
        <v>0</v>
      </c>
      <c r="U287" s="92">
        <f t="shared" si="133"/>
        <v>0</v>
      </c>
      <c r="V287" s="92">
        <f t="shared" si="133"/>
        <v>0</v>
      </c>
      <c r="W287" s="92">
        <f t="shared" si="133"/>
        <v>0</v>
      </c>
    </row>
    <row r="288" spans="1:23" x14ac:dyDescent="0.35">
      <c r="A288" s="8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</row>
    <row r="289" spans="1:23" x14ac:dyDescent="0.35">
      <c r="A289" s="8" t="s">
        <v>419</v>
      </c>
      <c r="C289" s="110"/>
      <c r="D289" s="35" t="e">
        <f t="shared" ref="D289:W289" si="134">D273*D287</f>
        <v>#DIV/0!</v>
      </c>
      <c r="E289" s="35" t="e">
        <f t="shared" si="134"/>
        <v>#DIV/0!</v>
      </c>
      <c r="F289" s="35" t="e">
        <f t="shared" si="134"/>
        <v>#DIV/0!</v>
      </c>
      <c r="G289" s="35" t="e">
        <f t="shared" si="134"/>
        <v>#DIV/0!</v>
      </c>
      <c r="H289" s="35" t="e">
        <f t="shared" si="134"/>
        <v>#DIV/0!</v>
      </c>
      <c r="I289" s="35" t="e">
        <f t="shared" si="134"/>
        <v>#DIV/0!</v>
      </c>
      <c r="J289" s="35" t="e">
        <f t="shared" si="134"/>
        <v>#DIV/0!</v>
      </c>
      <c r="K289" s="35" t="e">
        <f t="shared" si="134"/>
        <v>#DIV/0!</v>
      </c>
      <c r="L289" s="35" t="e">
        <f t="shared" si="134"/>
        <v>#DIV/0!</v>
      </c>
      <c r="M289" s="35" t="e">
        <f t="shared" si="134"/>
        <v>#DIV/0!</v>
      </c>
      <c r="N289" s="35" t="e">
        <f t="shared" si="134"/>
        <v>#DIV/0!</v>
      </c>
      <c r="O289" s="35" t="e">
        <f t="shared" si="134"/>
        <v>#DIV/0!</v>
      </c>
      <c r="P289" s="35" t="e">
        <f t="shared" si="134"/>
        <v>#DIV/0!</v>
      </c>
      <c r="Q289" s="35" t="e">
        <f t="shared" si="134"/>
        <v>#DIV/0!</v>
      </c>
      <c r="R289" s="35" t="e">
        <f t="shared" si="134"/>
        <v>#DIV/0!</v>
      </c>
      <c r="S289" s="35" t="e">
        <f t="shared" si="134"/>
        <v>#DIV/0!</v>
      </c>
      <c r="T289" s="35" t="e">
        <f t="shared" si="134"/>
        <v>#DIV/0!</v>
      </c>
      <c r="U289" s="35" t="e">
        <f t="shared" si="134"/>
        <v>#DIV/0!</v>
      </c>
      <c r="V289" s="35" t="e">
        <f t="shared" si="134"/>
        <v>#DIV/0!</v>
      </c>
      <c r="W289" s="35" t="e">
        <f t="shared" si="134"/>
        <v>#DIV/0!</v>
      </c>
    </row>
    <row r="290" spans="1:23" x14ac:dyDescent="0.35">
      <c r="A290" s="8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:23" x14ac:dyDescent="0.35">
      <c r="A291" s="8" t="s">
        <v>420</v>
      </c>
      <c r="C291" s="14">
        <f t="shared" ref="C291:W291" si="135">C280+C289</f>
        <v>0</v>
      </c>
      <c r="D291" s="14" t="e">
        <f t="shared" si="135"/>
        <v>#DIV/0!</v>
      </c>
      <c r="E291" s="14" t="e">
        <f t="shared" si="135"/>
        <v>#DIV/0!</v>
      </c>
      <c r="F291" s="14" t="e">
        <f t="shared" si="135"/>
        <v>#DIV/0!</v>
      </c>
      <c r="G291" s="14" t="e">
        <f t="shared" si="135"/>
        <v>#DIV/0!</v>
      </c>
      <c r="H291" s="14" t="e">
        <f t="shared" si="135"/>
        <v>#DIV/0!</v>
      </c>
      <c r="I291" s="14" t="e">
        <f t="shared" si="135"/>
        <v>#DIV/0!</v>
      </c>
      <c r="J291" s="14" t="e">
        <f t="shared" si="135"/>
        <v>#DIV/0!</v>
      </c>
      <c r="K291" s="14" t="e">
        <f t="shared" si="135"/>
        <v>#DIV/0!</v>
      </c>
      <c r="L291" s="14" t="e">
        <f t="shared" si="135"/>
        <v>#DIV/0!</v>
      </c>
      <c r="M291" s="14" t="e">
        <f t="shared" si="135"/>
        <v>#DIV/0!</v>
      </c>
      <c r="N291" s="14" t="e">
        <f t="shared" si="135"/>
        <v>#DIV/0!</v>
      </c>
      <c r="O291" s="14" t="e">
        <f t="shared" si="135"/>
        <v>#DIV/0!</v>
      </c>
      <c r="P291" s="14" t="e">
        <f t="shared" si="135"/>
        <v>#DIV/0!</v>
      </c>
      <c r="Q291" s="14" t="e">
        <f t="shared" si="135"/>
        <v>#DIV/0!</v>
      </c>
      <c r="R291" s="14" t="e">
        <f t="shared" si="135"/>
        <v>#DIV/0!</v>
      </c>
      <c r="S291" s="14" t="e">
        <f t="shared" si="135"/>
        <v>#DIV/0!</v>
      </c>
      <c r="T291" s="14" t="e">
        <f t="shared" si="135"/>
        <v>#DIV/0!</v>
      </c>
      <c r="U291" s="14" t="e">
        <f t="shared" si="135"/>
        <v>#DIV/0!</v>
      </c>
      <c r="V291" s="14" t="e">
        <f t="shared" si="135"/>
        <v>#DIV/0!</v>
      </c>
      <c r="W291" s="14" t="e">
        <f t="shared" si="135"/>
        <v>#DIV/0!</v>
      </c>
    </row>
    <row r="293" spans="1:23" ht="21" x14ac:dyDescent="0.5">
      <c r="A293" s="93" t="s">
        <v>421</v>
      </c>
      <c r="C293" s="27">
        <f>YearOne-1</f>
        <v>2025</v>
      </c>
      <c r="D293" s="27">
        <f t="shared" ref="D293:W293" si="136">YearOne+D$7-1</f>
        <v>2026</v>
      </c>
      <c r="E293" s="27">
        <f t="shared" si="136"/>
        <v>2027</v>
      </c>
      <c r="F293" s="27">
        <f t="shared" si="136"/>
        <v>2028</v>
      </c>
      <c r="G293" s="27">
        <f t="shared" si="136"/>
        <v>2029</v>
      </c>
      <c r="H293" s="27">
        <f t="shared" si="136"/>
        <v>2030</v>
      </c>
      <c r="I293" s="27">
        <f t="shared" si="136"/>
        <v>2031</v>
      </c>
      <c r="J293" s="27">
        <f t="shared" si="136"/>
        <v>2032</v>
      </c>
      <c r="K293" s="27">
        <f t="shared" si="136"/>
        <v>2033</v>
      </c>
      <c r="L293" s="27">
        <f t="shared" si="136"/>
        <v>2034</v>
      </c>
      <c r="M293" s="27">
        <f t="shared" si="136"/>
        <v>2035</v>
      </c>
      <c r="N293" s="27">
        <f t="shared" si="136"/>
        <v>2036</v>
      </c>
      <c r="O293" s="27">
        <f t="shared" si="136"/>
        <v>2037</v>
      </c>
      <c r="P293" s="27">
        <f t="shared" si="136"/>
        <v>2038</v>
      </c>
      <c r="Q293" s="27">
        <f t="shared" si="136"/>
        <v>2039</v>
      </c>
      <c r="R293" s="27">
        <f t="shared" si="136"/>
        <v>2040</v>
      </c>
      <c r="S293" s="27">
        <f t="shared" si="136"/>
        <v>2041</v>
      </c>
      <c r="T293" s="27">
        <f t="shared" si="136"/>
        <v>2042</v>
      </c>
      <c r="U293" s="27">
        <f t="shared" si="136"/>
        <v>2043</v>
      </c>
      <c r="V293" s="27">
        <f t="shared" si="136"/>
        <v>2044</v>
      </c>
      <c r="W293" s="27">
        <f t="shared" si="136"/>
        <v>2045</v>
      </c>
    </row>
    <row r="294" spans="1:23" x14ac:dyDescent="0.35">
      <c r="A294" s="8" t="s">
        <v>422</v>
      </c>
      <c r="C294" s="13">
        <f t="shared" ref="C294:W294" si="137">C287+C264</f>
        <v>0</v>
      </c>
      <c r="D294" s="13">
        <f t="shared" si="137"/>
        <v>0</v>
      </c>
      <c r="E294" s="13">
        <f t="shared" si="137"/>
        <v>0</v>
      </c>
      <c r="F294" s="13">
        <f t="shared" si="137"/>
        <v>0</v>
      </c>
      <c r="G294" s="13">
        <f t="shared" si="137"/>
        <v>0</v>
      </c>
      <c r="H294" s="13">
        <f t="shared" si="137"/>
        <v>0</v>
      </c>
      <c r="I294" s="13">
        <f t="shared" si="137"/>
        <v>0</v>
      </c>
      <c r="J294" s="13">
        <f t="shared" si="137"/>
        <v>0</v>
      </c>
      <c r="K294" s="13">
        <f t="shared" si="137"/>
        <v>0</v>
      </c>
      <c r="L294" s="13">
        <f t="shared" si="137"/>
        <v>0</v>
      </c>
      <c r="M294" s="13">
        <f t="shared" si="137"/>
        <v>0</v>
      </c>
      <c r="N294" s="13">
        <f t="shared" si="137"/>
        <v>0</v>
      </c>
      <c r="O294" s="13">
        <f t="shared" si="137"/>
        <v>0</v>
      </c>
      <c r="P294" s="13">
        <f t="shared" si="137"/>
        <v>0</v>
      </c>
      <c r="Q294" s="13">
        <f t="shared" si="137"/>
        <v>0</v>
      </c>
      <c r="R294" s="13">
        <f t="shared" si="137"/>
        <v>0</v>
      </c>
      <c r="S294" s="13">
        <f t="shared" si="137"/>
        <v>0</v>
      </c>
      <c r="T294" s="13">
        <f t="shared" si="137"/>
        <v>0</v>
      </c>
      <c r="U294" s="13">
        <f t="shared" si="137"/>
        <v>0</v>
      </c>
      <c r="V294" s="13">
        <f t="shared" si="137"/>
        <v>0</v>
      </c>
      <c r="W294" s="13">
        <f t="shared" si="137"/>
        <v>0</v>
      </c>
    </row>
    <row r="295" spans="1:23" x14ac:dyDescent="0.35">
      <c r="A295" s="8" t="s">
        <v>423</v>
      </c>
      <c r="C295" s="13">
        <f>C294/2088</f>
        <v>0</v>
      </c>
      <c r="D295" s="13">
        <f>D294/2088</f>
        <v>0</v>
      </c>
      <c r="E295" s="13">
        <f t="shared" ref="E295:W295" si="138">E294/2088</f>
        <v>0</v>
      </c>
      <c r="F295" s="13">
        <f t="shared" si="138"/>
        <v>0</v>
      </c>
      <c r="G295" s="13">
        <f t="shared" si="138"/>
        <v>0</v>
      </c>
      <c r="H295" s="13">
        <f t="shared" si="138"/>
        <v>0</v>
      </c>
      <c r="I295" s="13">
        <f t="shared" si="138"/>
        <v>0</v>
      </c>
      <c r="J295" s="13">
        <f t="shared" si="138"/>
        <v>0</v>
      </c>
      <c r="K295" s="13">
        <f t="shared" si="138"/>
        <v>0</v>
      </c>
      <c r="L295" s="13">
        <f t="shared" si="138"/>
        <v>0</v>
      </c>
      <c r="M295" s="13">
        <f t="shared" si="138"/>
        <v>0</v>
      </c>
      <c r="N295" s="13">
        <f t="shared" si="138"/>
        <v>0</v>
      </c>
      <c r="O295" s="13">
        <f t="shared" si="138"/>
        <v>0</v>
      </c>
      <c r="P295" s="13">
        <f t="shared" si="138"/>
        <v>0</v>
      </c>
      <c r="Q295" s="13">
        <f t="shared" si="138"/>
        <v>0</v>
      </c>
      <c r="R295" s="13">
        <f t="shared" si="138"/>
        <v>0</v>
      </c>
      <c r="S295" s="13">
        <f t="shared" si="138"/>
        <v>0</v>
      </c>
      <c r="T295" s="13">
        <f t="shared" si="138"/>
        <v>0</v>
      </c>
      <c r="U295" s="13">
        <f t="shared" si="138"/>
        <v>0</v>
      </c>
      <c r="V295" s="13">
        <f t="shared" si="138"/>
        <v>0</v>
      </c>
      <c r="W295" s="13">
        <f t="shared" si="138"/>
        <v>0</v>
      </c>
    </row>
    <row r="296" spans="1:23" x14ac:dyDescent="0.35">
      <c r="A296" s="19"/>
    </row>
    <row r="297" spans="1:23" x14ac:dyDescent="0.35">
      <c r="A297" s="8" t="s">
        <v>424</v>
      </c>
      <c r="B297" s="22"/>
      <c r="C297" s="58">
        <f>'Truck Miles'!H29</f>
        <v>11437.2131707317</v>
      </c>
      <c r="D297" s="13">
        <f>C297</f>
        <v>11437.2131707317</v>
      </c>
      <c r="E297" s="13">
        <f t="shared" ref="E297:W297" si="139">D297</f>
        <v>11437.2131707317</v>
      </c>
      <c r="F297" s="13">
        <f t="shared" si="139"/>
        <v>11437.2131707317</v>
      </c>
      <c r="G297" s="13">
        <f t="shared" si="139"/>
        <v>11437.2131707317</v>
      </c>
      <c r="H297" s="13">
        <f t="shared" si="139"/>
        <v>11437.2131707317</v>
      </c>
      <c r="I297" s="13">
        <f t="shared" si="139"/>
        <v>11437.2131707317</v>
      </c>
      <c r="J297" s="13">
        <f t="shared" si="139"/>
        <v>11437.2131707317</v>
      </c>
      <c r="K297" s="13">
        <f t="shared" si="139"/>
        <v>11437.2131707317</v>
      </c>
      <c r="L297" s="13">
        <f t="shared" si="139"/>
        <v>11437.2131707317</v>
      </c>
      <c r="M297" s="13">
        <f t="shared" si="139"/>
        <v>11437.2131707317</v>
      </c>
      <c r="N297" s="13">
        <f t="shared" si="139"/>
        <v>11437.2131707317</v>
      </c>
      <c r="O297" s="13">
        <f t="shared" si="139"/>
        <v>11437.2131707317</v>
      </c>
      <c r="P297" s="13">
        <f t="shared" si="139"/>
        <v>11437.2131707317</v>
      </c>
      <c r="Q297" s="13">
        <f t="shared" si="139"/>
        <v>11437.2131707317</v>
      </c>
      <c r="R297" s="13">
        <f t="shared" si="139"/>
        <v>11437.2131707317</v>
      </c>
      <c r="S297" s="13">
        <f t="shared" si="139"/>
        <v>11437.2131707317</v>
      </c>
      <c r="T297" s="13">
        <f t="shared" si="139"/>
        <v>11437.2131707317</v>
      </c>
      <c r="U297" s="13">
        <f t="shared" si="139"/>
        <v>11437.2131707317</v>
      </c>
      <c r="V297" s="13">
        <f t="shared" si="139"/>
        <v>11437.2131707317</v>
      </c>
      <c r="W297" s="13">
        <f t="shared" si="139"/>
        <v>11437.2131707317</v>
      </c>
    </row>
    <row r="298" spans="1:23" x14ac:dyDescent="0.35">
      <c r="A298" s="8" t="s">
        <v>425</v>
      </c>
      <c r="B298" s="22"/>
      <c r="C298" s="97">
        <f>'Truck Miles'!$C$29</f>
        <v>12.18314789381655</v>
      </c>
      <c r="D298" s="97">
        <f>'Truck Miles'!$C$29</f>
        <v>12.18314789381655</v>
      </c>
      <c r="E298" s="97">
        <f>'Truck Miles'!$C$29</f>
        <v>12.18314789381655</v>
      </c>
      <c r="F298" s="97">
        <f>'Truck Miles'!$C$29</f>
        <v>12.18314789381655</v>
      </c>
      <c r="G298" s="97">
        <f>'Truck Miles'!$C$29</f>
        <v>12.18314789381655</v>
      </c>
      <c r="H298" s="97">
        <f>'Truck Miles'!$C$29</f>
        <v>12.18314789381655</v>
      </c>
      <c r="I298" s="97">
        <f>'Truck Miles'!$C$29</f>
        <v>12.18314789381655</v>
      </c>
      <c r="J298" s="97">
        <f>'Truck Miles'!$C$29</f>
        <v>12.18314789381655</v>
      </c>
      <c r="K298" s="97">
        <f>'Truck Miles'!$C$29</f>
        <v>12.18314789381655</v>
      </c>
      <c r="L298" s="97">
        <f>'Truck Miles'!$C$29</f>
        <v>12.18314789381655</v>
      </c>
      <c r="M298" s="97">
        <f>'Truck Miles'!$C$29</f>
        <v>12.18314789381655</v>
      </c>
      <c r="N298" s="97">
        <f>'Truck Miles'!$C$29</f>
        <v>12.18314789381655</v>
      </c>
      <c r="O298" s="97">
        <f>'Truck Miles'!$C$29</f>
        <v>12.18314789381655</v>
      </c>
      <c r="P298" s="97">
        <f>'Truck Miles'!$C$29</f>
        <v>12.18314789381655</v>
      </c>
      <c r="Q298" s="97">
        <f>'Truck Miles'!$C$29</f>
        <v>12.18314789381655</v>
      </c>
      <c r="R298" s="97">
        <f>'Truck Miles'!$C$29</f>
        <v>12.18314789381655</v>
      </c>
      <c r="S298" s="97">
        <f>'Truck Miles'!$C$29</f>
        <v>12.18314789381655</v>
      </c>
      <c r="T298" s="97">
        <f>'Truck Miles'!$C$29</f>
        <v>12.18314789381655</v>
      </c>
      <c r="U298" s="97">
        <f>'Truck Miles'!$C$29</f>
        <v>12.18314789381655</v>
      </c>
      <c r="V298" s="97">
        <f>'Truck Miles'!$C$29</f>
        <v>12.18314789381655</v>
      </c>
      <c r="W298" s="97">
        <f>'Truck Miles'!$C$29</f>
        <v>12.18314789381655</v>
      </c>
    </row>
    <row r="299" spans="1:23" x14ac:dyDescent="0.35">
      <c r="A299" s="8" t="s">
        <v>426</v>
      </c>
      <c r="B299" s="22" t="s">
        <v>427</v>
      </c>
      <c r="C299" s="96">
        <f>INDEX(PriceFuelOutlook!$F$66:$AI$66,MATCH(C293,PriceFuelOutlook!$F$5:$AI$5,0))</f>
        <v>3.3818709999999998</v>
      </c>
      <c r="D299" s="96">
        <f>INDEX(PriceFuelOutlook!$F$66:$AI$66,MATCH(D293,PriceFuelOutlook!$F$5:$AI$5,0))</f>
        <v>3.4165350000000001</v>
      </c>
      <c r="E299" s="96">
        <f>INDEX(PriceFuelOutlook!$F$66:$AI$66,MATCH(E293,PriceFuelOutlook!$F$5:$AI$5,0))</f>
        <v>3.468658</v>
      </c>
      <c r="F299" s="96">
        <f>INDEX(PriceFuelOutlook!$F$66:$AI$66,MATCH(F293,PriceFuelOutlook!$F$5:$AI$5,0))</f>
        <v>3.5444469999999999</v>
      </c>
      <c r="G299" s="96">
        <f>INDEX(PriceFuelOutlook!$F$66:$AI$66,MATCH(G293,PriceFuelOutlook!$F$5:$AI$5,0))</f>
        <v>3.627688</v>
      </c>
      <c r="H299" s="96">
        <f>INDEX(PriceFuelOutlook!$F$66:$AI$66,MATCH(H293,PriceFuelOutlook!$F$5:$AI$5,0))</f>
        <v>3.7206999999999999</v>
      </c>
      <c r="I299" s="96">
        <f>INDEX(PriceFuelOutlook!$F$66:$AI$66,MATCH(I293,PriceFuelOutlook!$F$5:$AI$5,0))</f>
        <v>3.7995350000000001</v>
      </c>
      <c r="J299" s="96">
        <f>INDEX(PriceFuelOutlook!$F$66:$AI$66,MATCH(J293,PriceFuelOutlook!$F$5:$AI$5,0))</f>
        <v>3.906202</v>
      </c>
      <c r="K299" s="96">
        <f>INDEX(PriceFuelOutlook!$F$66:$AI$66,MATCH(K293,PriceFuelOutlook!$F$5:$AI$5,0))</f>
        <v>4.0075830000000003</v>
      </c>
      <c r="L299" s="96">
        <f>INDEX(PriceFuelOutlook!$F$66:$AI$66,MATCH(L293,PriceFuelOutlook!$F$5:$AI$5,0))</f>
        <v>4.1168290000000001</v>
      </c>
      <c r="M299" s="96">
        <f>INDEX(PriceFuelOutlook!$F$66:$AI$66,MATCH(M293,PriceFuelOutlook!$F$5:$AI$5,0))</f>
        <v>4.2216589999999998</v>
      </c>
      <c r="N299" s="96">
        <f>INDEX(PriceFuelOutlook!$F$66:$AI$66,MATCH(N293,PriceFuelOutlook!$F$5:$AI$5,0))</f>
        <v>4.3647850000000004</v>
      </c>
      <c r="O299" s="96">
        <f>INDEX(PriceFuelOutlook!$F$66:$AI$66,MATCH(O293,PriceFuelOutlook!$F$5:$AI$5,0))</f>
        <v>4.4682969999999997</v>
      </c>
      <c r="P299" s="96">
        <f>INDEX(PriceFuelOutlook!$F$66:$AI$66,MATCH(P293,PriceFuelOutlook!$F$5:$AI$5,0))</f>
        <v>4.5803690000000001</v>
      </c>
      <c r="Q299" s="96">
        <f>INDEX(PriceFuelOutlook!$F$66:$AI$66,MATCH(Q293,PriceFuelOutlook!$F$5:$AI$5,0))</f>
        <v>4.7007490000000001</v>
      </c>
      <c r="R299" s="96">
        <f>INDEX(PriceFuelOutlook!$F$66:$AI$66,MATCH(R293,PriceFuelOutlook!$F$5:$AI$5,0))</f>
        <v>4.8112940000000002</v>
      </c>
      <c r="S299" s="96">
        <f>INDEX(PriceFuelOutlook!$F$66:$AI$66,MATCH(S293,PriceFuelOutlook!$F$5:$AI$5,0))</f>
        <v>4.9186759999999996</v>
      </c>
      <c r="T299" s="96">
        <f>INDEX(PriceFuelOutlook!$F$66:$AI$66,MATCH(T293,PriceFuelOutlook!$F$5:$AI$5,0))</f>
        <v>5.0421829999999996</v>
      </c>
      <c r="U299" s="96">
        <f>INDEX(PriceFuelOutlook!$F$66:$AI$66,MATCH(U293,PriceFuelOutlook!$F$5:$AI$5,0))</f>
        <v>5.1363669999999999</v>
      </c>
      <c r="V299" s="96">
        <f>INDEX(PriceFuelOutlook!$F$66:$AI$66,MATCH(V293,PriceFuelOutlook!$F$5:$AI$5,0))</f>
        <v>5.2888909999999996</v>
      </c>
      <c r="W299" s="96">
        <f>INDEX(PriceFuelOutlook!$F$66:$AI$66,MATCH(W293,PriceFuelOutlook!$F$5:$AI$5,0))</f>
        <v>5.413583</v>
      </c>
    </row>
    <row r="300" spans="1:23" x14ac:dyDescent="0.35">
      <c r="A300" s="8" t="s">
        <v>428</v>
      </c>
      <c r="B300" s="20"/>
      <c r="C300" s="110"/>
      <c r="D300" s="35">
        <f t="shared" ref="D300:W300" si="140">D295*D297/D298*D299</f>
        <v>0</v>
      </c>
      <c r="E300" s="35">
        <f t="shared" si="140"/>
        <v>0</v>
      </c>
      <c r="F300" s="35">
        <f t="shared" si="140"/>
        <v>0</v>
      </c>
      <c r="G300" s="35">
        <f t="shared" si="140"/>
        <v>0</v>
      </c>
      <c r="H300" s="35">
        <f t="shared" si="140"/>
        <v>0</v>
      </c>
      <c r="I300" s="35">
        <f t="shared" si="140"/>
        <v>0</v>
      </c>
      <c r="J300" s="35">
        <f t="shared" si="140"/>
        <v>0</v>
      </c>
      <c r="K300" s="35">
        <f t="shared" si="140"/>
        <v>0</v>
      </c>
      <c r="L300" s="35">
        <f t="shared" si="140"/>
        <v>0</v>
      </c>
      <c r="M300" s="35">
        <f t="shared" si="140"/>
        <v>0</v>
      </c>
      <c r="N300" s="35">
        <f t="shared" si="140"/>
        <v>0</v>
      </c>
      <c r="O300" s="35">
        <f t="shared" si="140"/>
        <v>0</v>
      </c>
      <c r="P300" s="35">
        <f t="shared" si="140"/>
        <v>0</v>
      </c>
      <c r="Q300" s="35">
        <f t="shared" si="140"/>
        <v>0</v>
      </c>
      <c r="R300" s="35">
        <f t="shared" si="140"/>
        <v>0</v>
      </c>
      <c r="S300" s="35">
        <f t="shared" si="140"/>
        <v>0</v>
      </c>
      <c r="T300" s="35">
        <f t="shared" si="140"/>
        <v>0</v>
      </c>
      <c r="U300" s="35">
        <f t="shared" si="140"/>
        <v>0</v>
      </c>
      <c r="V300" s="35">
        <f t="shared" si="140"/>
        <v>0</v>
      </c>
      <c r="W300" s="35">
        <f t="shared" si="140"/>
        <v>0</v>
      </c>
    </row>
    <row r="301" spans="1:23" x14ac:dyDescent="0.35">
      <c r="A301" s="8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</row>
    <row r="302" spans="1:23" x14ac:dyDescent="0.35">
      <c r="A302" s="8" t="s">
        <v>429</v>
      </c>
      <c r="B302" s="22"/>
      <c r="C302" s="34">
        <f>'Truck Maint'!D22</f>
        <v>3145.8976615853662</v>
      </c>
      <c r="D302" s="34">
        <f t="shared" ref="D302:W302" si="141">C302*(1+InflationGeneral)</f>
        <v>3235.6988088211524</v>
      </c>
      <c r="E302" s="34">
        <f t="shared" si="141"/>
        <v>3328.0633725797757</v>
      </c>
      <c r="F302" s="34">
        <f t="shared" si="141"/>
        <v>3423.0645268069134</v>
      </c>
      <c r="G302" s="34">
        <f t="shared" si="141"/>
        <v>3520.7775342333766</v>
      </c>
      <c r="H302" s="34">
        <f t="shared" si="141"/>
        <v>3621.2798060004775</v>
      </c>
      <c r="I302" s="34">
        <f t="shared" si="141"/>
        <v>3724.6509629874299</v>
      </c>
      <c r="J302" s="34">
        <f t="shared" si="141"/>
        <v>3830.9728988893712</v>
      </c>
      <c r="K302" s="34">
        <f t="shared" si="141"/>
        <v>3940.3298450959746</v>
      </c>
      <c r="L302" s="34">
        <f t="shared" si="141"/>
        <v>4052.8084374220534</v>
      </c>
      <c r="M302" s="34">
        <f t="shared" si="141"/>
        <v>4168.4977847430227</v>
      </c>
      <c r="N302" s="34">
        <f t="shared" si="141"/>
        <v>4287.4895395895901</v>
      </c>
      <c r="O302" s="34">
        <f t="shared" si="141"/>
        <v>4409.8779707576105</v>
      </c>
      <c r="P302" s="34">
        <f t="shared" si="141"/>
        <v>4535.7600379906189</v>
      </c>
      <c r="Q302" s="34">
        <f t="shared" si="141"/>
        <v>4665.2354687942152</v>
      </c>
      <c r="R302" s="34">
        <f t="shared" si="141"/>
        <v>4798.4068374431481</v>
      </c>
      <c r="S302" s="34">
        <f t="shared" si="141"/>
        <v>4935.3796462436994</v>
      </c>
      <c r="T302" s="34">
        <f t="shared" si="141"/>
        <v>5076.2624091157377</v>
      </c>
      <c r="U302" s="34">
        <f t="shared" si="141"/>
        <v>5221.166737560663</v>
      </c>
      <c r="V302" s="34">
        <f t="shared" si="141"/>
        <v>5370.2074290833461</v>
      </c>
      <c r="W302" s="34">
        <f t="shared" si="141"/>
        <v>5523.5025581381151</v>
      </c>
    </row>
    <row r="303" spans="1:23" x14ac:dyDescent="0.35">
      <c r="A303" s="8" t="s">
        <v>430</v>
      </c>
      <c r="C303" s="110"/>
      <c r="D303" s="35">
        <f t="shared" ref="D303:W303" si="142">D295*D302</f>
        <v>0</v>
      </c>
      <c r="E303" s="35">
        <f t="shared" si="142"/>
        <v>0</v>
      </c>
      <c r="F303" s="35">
        <f t="shared" si="142"/>
        <v>0</v>
      </c>
      <c r="G303" s="35">
        <f t="shared" si="142"/>
        <v>0</v>
      </c>
      <c r="H303" s="35">
        <f t="shared" si="142"/>
        <v>0</v>
      </c>
      <c r="I303" s="35">
        <f t="shared" si="142"/>
        <v>0</v>
      </c>
      <c r="J303" s="35">
        <f t="shared" si="142"/>
        <v>0</v>
      </c>
      <c r="K303" s="35">
        <f t="shared" si="142"/>
        <v>0</v>
      </c>
      <c r="L303" s="35">
        <f t="shared" si="142"/>
        <v>0</v>
      </c>
      <c r="M303" s="35">
        <f t="shared" si="142"/>
        <v>0</v>
      </c>
      <c r="N303" s="35">
        <f t="shared" si="142"/>
        <v>0</v>
      </c>
      <c r="O303" s="35">
        <f t="shared" si="142"/>
        <v>0</v>
      </c>
      <c r="P303" s="35">
        <f t="shared" si="142"/>
        <v>0</v>
      </c>
      <c r="Q303" s="35">
        <f t="shared" si="142"/>
        <v>0</v>
      </c>
      <c r="R303" s="35">
        <f t="shared" si="142"/>
        <v>0</v>
      </c>
      <c r="S303" s="35">
        <f t="shared" si="142"/>
        <v>0</v>
      </c>
      <c r="T303" s="35">
        <f t="shared" si="142"/>
        <v>0</v>
      </c>
      <c r="U303" s="35">
        <f t="shared" si="142"/>
        <v>0</v>
      </c>
      <c r="V303" s="35">
        <f t="shared" si="142"/>
        <v>0</v>
      </c>
      <c r="W303" s="35">
        <f t="shared" si="142"/>
        <v>0</v>
      </c>
    </row>
    <row r="304" spans="1:23" x14ac:dyDescent="0.35">
      <c r="A304" s="8"/>
    </row>
    <row r="305" spans="1:23" x14ac:dyDescent="0.35">
      <c r="A305" s="8" t="s">
        <v>431</v>
      </c>
      <c r="D305" s="34">
        <f>'Fleet UPIS'!$E$31</f>
        <v>33111.678225712058</v>
      </c>
      <c r="E305" s="34">
        <f>'Fleet UPIS'!$E$31</f>
        <v>33111.678225712058</v>
      </c>
      <c r="F305" s="34">
        <f>'Fleet UPIS'!$E$31</f>
        <v>33111.678225712058</v>
      </c>
      <c r="G305" s="34">
        <f>'Fleet UPIS'!$E$31</f>
        <v>33111.678225712058</v>
      </c>
      <c r="H305" s="34">
        <f>'Fleet UPIS'!$E$31</f>
        <v>33111.678225712058</v>
      </c>
      <c r="I305" s="34">
        <f>'Fleet UPIS'!$E$31</f>
        <v>33111.678225712058</v>
      </c>
      <c r="J305" s="34">
        <f>'Fleet UPIS'!$E$31</f>
        <v>33111.678225712058</v>
      </c>
      <c r="K305" s="34">
        <f>'Fleet UPIS'!$E$31</f>
        <v>33111.678225712058</v>
      </c>
      <c r="L305" s="34">
        <f>'Fleet UPIS'!$E$31</f>
        <v>33111.678225712058</v>
      </c>
      <c r="M305" s="34">
        <f>'Fleet UPIS'!$E$31</f>
        <v>33111.678225712058</v>
      </c>
      <c r="N305" s="34">
        <f>'Fleet UPIS'!$E$31</f>
        <v>33111.678225712058</v>
      </c>
      <c r="O305" s="34">
        <f>'Fleet UPIS'!$E$31</f>
        <v>33111.678225712058</v>
      </c>
      <c r="P305" s="34">
        <f>'Fleet UPIS'!$E$31</f>
        <v>33111.678225712058</v>
      </c>
      <c r="Q305" s="34">
        <f>'Fleet UPIS'!$E$31</f>
        <v>33111.678225712058</v>
      </c>
      <c r="R305" s="34">
        <f>'Fleet UPIS'!$E$31</f>
        <v>33111.678225712058</v>
      </c>
      <c r="S305" s="34">
        <f>'Fleet UPIS'!$E$31</f>
        <v>33111.678225712058</v>
      </c>
      <c r="T305" s="34">
        <f>'Fleet UPIS'!$E$31</f>
        <v>33111.678225712058</v>
      </c>
      <c r="U305" s="34">
        <f>'Fleet UPIS'!$E$31</f>
        <v>33111.678225712058</v>
      </c>
      <c r="V305" s="34">
        <f>'Fleet UPIS'!$E$31</f>
        <v>33111.678225712058</v>
      </c>
      <c r="W305" s="34">
        <f>'Fleet UPIS'!$E$31</f>
        <v>33111.678225712058</v>
      </c>
    </row>
    <row r="306" spans="1:23" x14ac:dyDescent="0.35">
      <c r="A306" s="8" t="s">
        <v>432</v>
      </c>
      <c r="D306" s="140">
        <f t="shared" ref="D306:W306" ca="1" si="143">D231</f>
        <v>8.9949471419053961E-2</v>
      </c>
      <c r="E306" s="140">
        <f t="shared" ca="1" si="143"/>
        <v>8.9949471419053975E-2</v>
      </c>
      <c r="F306" s="140">
        <f t="shared" ca="1" si="143"/>
        <v>8.9949471419053989E-2</v>
      </c>
      <c r="G306" s="140">
        <f t="shared" ca="1" si="143"/>
        <v>8.9949471419053476E-2</v>
      </c>
      <c r="H306" s="140">
        <f t="shared" ca="1" si="143"/>
        <v>8.9949471419053934E-2</v>
      </c>
      <c r="I306" s="140">
        <f t="shared" ca="1" si="143"/>
        <v>8.9949471419053934E-2</v>
      </c>
      <c r="J306" s="140">
        <f t="shared" ca="1" si="143"/>
        <v>8.9949471419053989E-2</v>
      </c>
      <c r="K306" s="140">
        <f t="shared" ca="1" si="143"/>
        <v>8.9949471419053961E-2</v>
      </c>
      <c r="L306" s="140">
        <f t="shared" ca="1" si="143"/>
        <v>8.9949471419053975E-2</v>
      </c>
      <c r="M306" s="140">
        <f t="shared" ca="1" si="143"/>
        <v>8.9949471419053989E-2</v>
      </c>
      <c r="N306" s="140">
        <f t="shared" ca="1" si="143"/>
        <v>8.9949471419053989E-2</v>
      </c>
      <c r="O306" s="140">
        <f t="shared" ca="1" si="143"/>
        <v>8.9949471419053975E-2</v>
      </c>
      <c r="P306" s="140">
        <f t="shared" ca="1" si="143"/>
        <v>8.9949471419053947E-2</v>
      </c>
      <c r="Q306" s="140">
        <f t="shared" ca="1" si="143"/>
        <v>8.9949471419053947E-2</v>
      </c>
      <c r="R306" s="140">
        <f t="shared" ca="1" si="143"/>
        <v>8.9949471419054003E-2</v>
      </c>
      <c r="S306" s="140">
        <f t="shared" ca="1" si="143"/>
        <v>8.9949471419053975E-2</v>
      </c>
      <c r="T306" s="140">
        <f t="shared" ca="1" si="143"/>
        <v>8.9949471419054003E-2</v>
      </c>
      <c r="U306" s="140">
        <f t="shared" ca="1" si="143"/>
        <v>8.9949471419053975E-2</v>
      </c>
      <c r="V306" s="140">
        <f t="shared" ca="1" si="143"/>
        <v>8.9949471419053989E-2</v>
      </c>
      <c r="W306" s="140">
        <f t="shared" ca="1" si="143"/>
        <v>8.9949471419053989E-2</v>
      </c>
    </row>
    <row r="307" spans="1:23" x14ac:dyDescent="0.35">
      <c r="A307" s="8" t="s">
        <v>433</v>
      </c>
      <c r="D307" s="141">
        <f ca="1">D305*D306</f>
        <v>2978.3779542005982</v>
      </c>
      <c r="E307" s="141">
        <f t="shared" ref="E307:W307" ca="1" si="144">E305*E306</f>
        <v>2978.3779542005987</v>
      </c>
      <c r="F307" s="141">
        <f t="shared" ca="1" si="144"/>
        <v>2978.3779542005991</v>
      </c>
      <c r="G307" s="141">
        <f t="shared" ca="1" si="144"/>
        <v>2978.3779542005818</v>
      </c>
      <c r="H307" s="141">
        <f t="shared" ca="1" si="144"/>
        <v>2978.3779542005973</v>
      </c>
      <c r="I307" s="141">
        <f t="shared" ca="1" si="144"/>
        <v>2978.3779542005973</v>
      </c>
      <c r="J307" s="141">
        <f t="shared" ca="1" si="144"/>
        <v>2978.3779542005991</v>
      </c>
      <c r="K307" s="141">
        <f t="shared" ca="1" si="144"/>
        <v>2978.3779542005982</v>
      </c>
      <c r="L307" s="141">
        <f t="shared" ca="1" si="144"/>
        <v>2978.3779542005987</v>
      </c>
      <c r="M307" s="141">
        <f t="shared" ca="1" si="144"/>
        <v>2978.3779542005991</v>
      </c>
      <c r="N307" s="141">
        <f t="shared" ca="1" si="144"/>
        <v>2978.3779542005991</v>
      </c>
      <c r="O307" s="141">
        <f t="shared" ca="1" si="144"/>
        <v>2978.3779542005987</v>
      </c>
      <c r="P307" s="141">
        <f t="shared" ca="1" si="144"/>
        <v>2978.3779542005977</v>
      </c>
      <c r="Q307" s="141">
        <f t="shared" ca="1" si="144"/>
        <v>2978.3779542005977</v>
      </c>
      <c r="R307" s="141">
        <f t="shared" ca="1" si="144"/>
        <v>2978.3779542005996</v>
      </c>
      <c r="S307" s="141">
        <f t="shared" ca="1" si="144"/>
        <v>2978.3779542005987</v>
      </c>
      <c r="T307" s="141">
        <f t="shared" ca="1" si="144"/>
        <v>2978.3779542005996</v>
      </c>
      <c r="U307" s="141">
        <f t="shared" ca="1" si="144"/>
        <v>2978.3779542005987</v>
      </c>
      <c r="V307" s="141">
        <f t="shared" ca="1" si="144"/>
        <v>2978.3779542005991</v>
      </c>
      <c r="W307" s="141">
        <f t="shared" ca="1" si="144"/>
        <v>2978.3779542005991</v>
      </c>
    </row>
    <row r="308" spans="1:23" x14ac:dyDescent="0.35">
      <c r="A308" s="8" t="s">
        <v>434</v>
      </c>
      <c r="D308" s="98">
        <f>'Fleet UPIS'!$F$31</f>
        <v>6928.3544999999995</v>
      </c>
      <c r="E308" s="98">
        <f>'Fleet UPIS'!$F$31</f>
        <v>6928.3544999999995</v>
      </c>
      <c r="F308" s="98">
        <f>'Fleet UPIS'!$F$31</f>
        <v>6928.3544999999995</v>
      </c>
      <c r="G308" s="98">
        <f>'Fleet UPIS'!$F$31</f>
        <v>6928.3544999999995</v>
      </c>
      <c r="H308" s="98">
        <f>'Fleet UPIS'!$F$31</f>
        <v>6928.3544999999995</v>
      </c>
      <c r="I308" s="98">
        <f>'Fleet UPIS'!$F$31</f>
        <v>6928.3544999999995</v>
      </c>
      <c r="J308" s="98">
        <f>'Fleet UPIS'!$F$31</f>
        <v>6928.3544999999995</v>
      </c>
      <c r="K308" s="98">
        <f>'Fleet UPIS'!$F$31</f>
        <v>6928.3544999999995</v>
      </c>
      <c r="L308" s="98">
        <f>'Fleet UPIS'!$F$31</f>
        <v>6928.3544999999995</v>
      </c>
      <c r="M308" s="98">
        <f>'Fleet UPIS'!$F$31</f>
        <v>6928.3544999999995</v>
      </c>
      <c r="N308" s="98">
        <f>'Fleet UPIS'!$F$31</f>
        <v>6928.3544999999995</v>
      </c>
      <c r="O308" s="98">
        <f>'Fleet UPIS'!$F$31</f>
        <v>6928.3544999999995</v>
      </c>
      <c r="P308" s="98">
        <f>'Fleet UPIS'!$F$31</f>
        <v>6928.3544999999995</v>
      </c>
      <c r="Q308" s="98">
        <f>'Fleet UPIS'!$F$31</f>
        <v>6928.3544999999995</v>
      </c>
      <c r="R308" s="98">
        <f>'Fleet UPIS'!$F$31</f>
        <v>6928.3544999999995</v>
      </c>
      <c r="S308" s="98">
        <f>'Fleet UPIS'!$F$31</f>
        <v>6928.3544999999995</v>
      </c>
      <c r="T308" s="98">
        <f>'Fleet UPIS'!$F$31</f>
        <v>6928.3544999999995</v>
      </c>
      <c r="U308" s="98">
        <f>'Fleet UPIS'!$F$31</f>
        <v>6928.3544999999995</v>
      </c>
      <c r="V308" s="98">
        <f>'Fleet UPIS'!$F$31</f>
        <v>6928.3544999999995</v>
      </c>
      <c r="W308" s="98">
        <f>'Fleet UPIS'!$F$31</f>
        <v>6928.3544999999995</v>
      </c>
    </row>
    <row r="309" spans="1:23" x14ac:dyDescent="0.35">
      <c r="A309" s="8" t="s">
        <v>435</v>
      </c>
      <c r="C309" s="110"/>
      <c r="D309" s="35">
        <f ca="1">D295*(SUM(D307:D308))</f>
        <v>0</v>
      </c>
      <c r="E309" s="35">
        <f t="shared" ref="E309:W309" ca="1" si="145">E295*(SUM(E307:E308))</f>
        <v>0</v>
      </c>
      <c r="F309" s="35">
        <f t="shared" ca="1" si="145"/>
        <v>0</v>
      </c>
      <c r="G309" s="35">
        <f t="shared" ca="1" si="145"/>
        <v>0</v>
      </c>
      <c r="H309" s="35">
        <f t="shared" ca="1" si="145"/>
        <v>0</v>
      </c>
      <c r="I309" s="35">
        <f t="shared" ca="1" si="145"/>
        <v>0</v>
      </c>
      <c r="J309" s="35">
        <f t="shared" ca="1" si="145"/>
        <v>0</v>
      </c>
      <c r="K309" s="35">
        <f t="shared" ca="1" si="145"/>
        <v>0</v>
      </c>
      <c r="L309" s="35">
        <f t="shared" ca="1" si="145"/>
        <v>0</v>
      </c>
      <c r="M309" s="35">
        <f t="shared" ca="1" si="145"/>
        <v>0</v>
      </c>
      <c r="N309" s="35">
        <f t="shared" ca="1" si="145"/>
        <v>0</v>
      </c>
      <c r="O309" s="35">
        <f t="shared" ca="1" si="145"/>
        <v>0</v>
      </c>
      <c r="P309" s="35">
        <f t="shared" ca="1" si="145"/>
        <v>0</v>
      </c>
      <c r="Q309" s="35">
        <f t="shared" ca="1" si="145"/>
        <v>0</v>
      </c>
      <c r="R309" s="35">
        <f t="shared" ca="1" si="145"/>
        <v>0</v>
      </c>
      <c r="S309" s="35">
        <f t="shared" ca="1" si="145"/>
        <v>0</v>
      </c>
      <c r="T309" s="35">
        <f t="shared" ca="1" si="145"/>
        <v>0</v>
      </c>
      <c r="U309" s="35">
        <f t="shared" ca="1" si="145"/>
        <v>0</v>
      </c>
      <c r="V309" s="35">
        <f t="shared" ca="1" si="145"/>
        <v>0</v>
      </c>
      <c r="W309" s="35">
        <f t="shared" ca="1" si="145"/>
        <v>0</v>
      </c>
    </row>
    <row r="310" spans="1:23" x14ac:dyDescent="0.35">
      <c r="A310" s="8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</row>
    <row r="311" spans="1:23" x14ac:dyDescent="0.35">
      <c r="A311" s="8" t="s">
        <v>436</v>
      </c>
      <c r="C311" s="110"/>
      <c r="D311" s="35">
        <f t="shared" ref="D311:W311" ca="1" si="146">D300+D303+D309</f>
        <v>0</v>
      </c>
      <c r="E311" s="35">
        <f t="shared" ca="1" si="146"/>
        <v>0</v>
      </c>
      <c r="F311" s="35">
        <f t="shared" ca="1" si="146"/>
        <v>0</v>
      </c>
      <c r="G311" s="35">
        <f t="shared" ca="1" si="146"/>
        <v>0</v>
      </c>
      <c r="H311" s="35">
        <f t="shared" ca="1" si="146"/>
        <v>0</v>
      </c>
      <c r="I311" s="35">
        <f t="shared" ca="1" si="146"/>
        <v>0</v>
      </c>
      <c r="J311" s="35">
        <f t="shared" ca="1" si="146"/>
        <v>0</v>
      </c>
      <c r="K311" s="35">
        <f t="shared" ca="1" si="146"/>
        <v>0</v>
      </c>
      <c r="L311" s="35">
        <f t="shared" ca="1" si="146"/>
        <v>0</v>
      </c>
      <c r="M311" s="35">
        <f t="shared" ca="1" si="146"/>
        <v>0</v>
      </c>
      <c r="N311" s="35">
        <f t="shared" ca="1" si="146"/>
        <v>0</v>
      </c>
      <c r="O311" s="35">
        <f t="shared" ca="1" si="146"/>
        <v>0</v>
      </c>
      <c r="P311" s="35">
        <f t="shared" ca="1" si="146"/>
        <v>0</v>
      </c>
      <c r="Q311" s="35">
        <f t="shared" ca="1" si="146"/>
        <v>0</v>
      </c>
      <c r="R311" s="35">
        <f t="shared" ca="1" si="146"/>
        <v>0</v>
      </c>
      <c r="S311" s="35">
        <f t="shared" ca="1" si="146"/>
        <v>0</v>
      </c>
      <c r="T311" s="35">
        <f t="shared" ca="1" si="146"/>
        <v>0</v>
      </c>
      <c r="U311" s="35">
        <f t="shared" ca="1" si="146"/>
        <v>0</v>
      </c>
      <c r="V311" s="35">
        <f t="shared" ca="1" si="146"/>
        <v>0</v>
      </c>
      <c r="W311" s="35">
        <f t="shared" ca="1" si="146"/>
        <v>0</v>
      </c>
    </row>
    <row r="312" spans="1:23" x14ac:dyDescent="0.35">
      <c r="A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</sheetData>
  <dataValidations disablePrompts="1" count="1">
    <dataValidation type="list" allowBlank="1" showInputMessage="1" showErrorMessage="1" sqref="D3:D4 B3" xr:uid="{8CCD97C3-A44D-44ED-A63D-D04B4B3B3954}">
      <formula1>"Cellular, Hybrid, n/a"</formula1>
    </dataValidation>
  </dataValidation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37FBEF3-DC26-41A3-8BF0-8864D106C65F}">
          <x14:formula1>
            <xm:f>'CONF-MeterPrice'!#REF!</xm:f>
          </x14:formula1>
          <xm:sqref>A115:A118 A120:A123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2C461-3765-48AD-ADBB-9DF4FA7B3670}">
  <sheetPr>
    <tabColor theme="2" tint="-0.499984740745262"/>
  </sheetPr>
  <dimension ref="A1:W312"/>
  <sheetViews>
    <sheetView zoomScale="80" zoomScaleNormal="80" workbookViewId="0">
      <pane xSplit="1" ySplit="8" topLeftCell="B24" activePane="bottomRight" state="frozen"/>
      <selection activeCell="D41" sqref="D41"/>
      <selection pane="topRight" activeCell="D41" sqref="D41"/>
      <selection pane="bottomLeft" activeCell="D41" sqref="D41"/>
      <selection pane="bottomRight" activeCell="D2" sqref="D2"/>
    </sheetView>
  </sheetViews>
  <sheetFormatPr defaultColWidth="9.26953125" defaultRowHeight="14.5" outlineLevelRow="1" x14ac:dyDescent="0.35"/>
  <cols>
    <col min="1" max="1" width="45.7265625" customWidth="1"/>
    <col min="2" max="2" width="21.54296875" customWidth="1"/>
    <col min="3" max="3" width="15" bestFit="1" customWidth="1"/>
    <col min="4" max="4" width="18.7265625" customWidth="1"/>
    <col min="5" max="15" width="15.81640625" bestFit="1" customWidth="1"/>
    <col min="16" max="18" width="15.453125" bestFit="1" customWidth="1"/>
    <col min="19" max="19" width="15.26953125" bestFit="1" customWidth="1"/>
    <col min="20" max="22" width="15.7265625" bestFit="1" customWidth="1"/>
    <col min="23" max="23" width="16.453125" bestFit="1" customWidth="1"/>
  </cols>
  <sheetData>
    <row r="1" spans="1:23" ht="21" x14ac:dyDescent="0.5">
      <c r="A1" s="59" t="str">
        <f>"Cost Benefit Analysis- Length of Service Basis "&amp;B2&amp;" "&amp;B3&amp;" Program"</f>
        <v>Cost Benefit Analysis- Length of Service Basis AMI Cellular Program</v>
      </c>
      <c r="B1" s="60"/>
      <c r="D1" s="296" t="s">
        <v>1107</v>
      </c>
    </row>
    <row r="2" spans="1:23" ht="21" x14ac:dyDescent="0.5">
      <c r="A2" s="60" t="s">
        <v>238</v>
      </c>
      <c r="B2" s="61" t="s">
        <v>184</v>
      </c>
    </row>
    <row r="3" spans="1:23" ht="21" x14ac:dyDescent="0.5">
      <c r="A3" s="60"/>
      <c r="B3" s="61" t="s">
        <v>438</v>
      </c>
      <c r="C3" s="60"/>
      <c r="D3" s="178"/>
      <c r="R3" s="9"/>
    </row>
    <row r="4" spans="1:23" ht="21" x14ac:dyDescent="0.5">
      <c r="A4" s="60"/>
      <c r="B4" s="178"/>
      <c r="C4" s="60"/>
      <c r="D4" s="178"/>
    </row>
    <row r="5" spans="1:23" ht="21" outlineLevel="1" x14ac:dyDescent="0.5">
      <c r="A5" s="60" t="s">
        <v>240</v>
      </c>
      <c r="B5" s="179">
        <f>Selected</f>
        <v>5</v>
      </c>
      <c r="C5" s="9"/>
      <c r="D5" s="178"/>
    </row>
    <row r="6" spans="1:23" ht="26.25" customHeight="1" outlineLevel="1" x14ac:dyDescent="0.5">
      <c r="A6" s="60" t="s">
        <v>241</v>
      </c>
      <c r="B6" s="180" t="str">
        <f>'0-Inputs'!B5</f>
        <v>Average 
Cost*</v>
      </c>
      <c r="C6" s="303"/>
      <c r="D6" s="178"/>
    </row>
    <row r="7" spans="1:23" ht="20.25" customHeight="1" x14ac:dyDescent="0.35">
      <c r="C7">
        <v>0</v>
      </c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M7">
        <v>10</v>
      </c>
      <c r="N7">
        <v>11</v>
      </c>
      <c r="O7">
        <v>12</v>
      </c>
      <c r="P7">
        <v>13</v>
      </c>
      <c r="Q7">
        <v>14</v>
      </c>
      <c r="R7">
        <v>15</v>
      </c>
      <c r="S7">
        <v>16</v>
      </c>
      <c r="T7">
        <v>17</v>
      </c>
      <c r="U7">
        <v>18</v>
      </c>
      <c r="V7">
        <v>19</v>
      </c>
      <c r="W7">
        <v>20</v>
      </c>
    </row>
    <row r="8" spans="1:23" x14ac:dyDescent="0.35">
      <c r="D8" s="27">
        <f t="shared" ref="D8:W8" si="0">YearOne+D$7-1</f>
        <v>2026</v>
      </c>
      <c r="E8" s="27">
        <f t="shared" si="0"/>
        <v>2027</v>
      </c>
      <c r="F8" s="27">
        <f t="shared" si="0"/>
        <v>2028</v>
      </c>
      <c r="G8" s="27">
        <f t="shared" si="0"/>
        <v>2029</v>
      </c>
      <c r="H8" s="27">
        <f t="shared" si="0"/>
        <v>2030</v>
      </c>
      <c r="I8" s="27">
        <f t="shared" si="0"/>
        <v>2031</v>
      </c>
      <c r="J8" s="27">
        <f t="shared" si="0"/>
        <v>2032</v>
      </c>
      <c r="K8" s="27">
        <f t="shared" si="0"/>
        <v>2033</v>
      </c>
      <c r="L8" s="27">
        <f t="shared" si="0"/>
        <v>2034</v>
      </c>
      <c r="M8" s="27">
        <f t="shared" si="0"/>
        <v>2035</v>
      </c>
      <c r="N8" s="27">
        <f t="shared" si="0"/>
        <v>2036</v>
      </c>
      <c r="O8" s="27">
        <f t="shared" si="0"/>
        <v>2037</v>
      </c>
      <c r="P8" s="27">
        <f t="shared" si="0"/>
        <v>2038</v>
      </c>
      <c r="Q8" s="27">
        <f t="shared" si="0"/>
        <v>2039</v>
      </c>
      <c r="R8" s="27">
        <f t="shared" si="0"/>
        <v>2040</v>
      </c>
      <c r="S8" s="27">
        <f t="shared" si="0"/>
        <v>2041</v>
      </c>
      <c r="T8" s="27">
        <f t="shared" si="0"/>
        <v>2042</v>
      </c>
      <c r="U8" s="27">
        <f t="shared" si="0"/>
        <v>2043</v>
      </c>
      <c r="V8" s="27">
        <f t="shared" si="0"/>
        <v>2044</v>
      </c>
      <c r="W8" s="27">
        <f t="shared" si="0"/>
        <v>2045</v>
      </c>
    </row>
    <row r="9" spans="1:23" ht="21" x14ac:dyDescent="0.5">
      <c r="A9" s="93" t="s">
        <v>242</v>
      </c>
      <c r="B9" s="1"/>
    </row>
    <row r="10" spans="1:23" ht="15" customHeight="1" x14ac:dyDescent="0.35">
      <c r="A10" s="8" t="s">
        <v>243</v>
      </c>
      <c r="B10" s="1"/>
      <c r="D10" s="14">
        <f ca="1">SUM(D169:D172)</f>
        <v>0</v>
      </c>
      <c r="E10" s="14">
        <f t="shared" ref="E10:W10" ca="1" si="1">SUM(E169:E172)</f>
        <v>0</v>
      </c>
      <c r="F10" s="14">
        <f t="shared" ca="1" si="1"/>
        <v>0</v>
      </c>
      <c r="G10" s="14">
        <f t="shared" ca="1" si="1"/>
        <v>0</v>
      </c>
      <c r="H10" s="14">
        <f t="shared" ca="1" si="1"/>
        <v>0</v>
      </c>
      <c r="I10" s="14">
        <f t="shared" ca="1" si="1"/>
        <v>0</v>
      </c>
      <c r="J10" s="14">
        <f t="shared" ca="1" si="1"/>
        <v>0</v>
      </c>
      <c r="K10" s="14">
        <f t="shared" ca="1" si="1"/>
        <v>0</v>
      </c>
      <c r="L10" s="14">
        <f t="shared" ca="1" si="1"/>
        <v>0</v>
      </c>
      <c r="M10" s="14">
        <f t="shared" ca="1" si="1"/>
        <v>0</v>
      </c>
      <c r="N10" s="14">
        <f t="shared" ca="1" si="1"/>
        <v>0</v>
      </c>
      <c r="O10" s="14">
        <f t="shared" ca="1" si="1"/>
        <v>0</v>
      </c>
      <c r="P10" s="14">
        <f t="shared" ca="1" si="1"/>
        <v>0</v>
      </c>
      <c r="Q10" s="14">
        <f t="shared" ca="1" si="1"/>
        <v>0</v>
      </c>
      <c r="R10" s="14">
        <f ca="1">SUM(R169:R172)</f>
        <v>0</v>
      </c>
      <c r="S10" s="14">
        <f t="shared" ca="1" si="1"/>
        <v>0</v>
      </c>
      <c r="T10" s="14">
        <f t="shared" ca="1" si="1"/>
        <v>0</v>
      </c>
      <c r="U10" s="14">
        <f t="shared" ca="1" si="1"/>
        <v>0</v>
      </c>
      <c r="V10" s="14">
        <f t="shared" ca="1" si="1"/>
        <v>0</v>
      </c>
      <c r="W10" s="14">
        <f t="shared" ca="1" si="1"/>
        <v>0</v>
      </c>
    </row>
    <row r="11" spans="1:23" ht="15" customHeight="1" x14ac:dyDescent="0.35">
      <c r="A11" s="8" t="s">
        <v>244</v>
      </c>
      <c r="B11" s="1"/>
      <c r="D11" s="102">
        <f ca="1">D181</f>
        <v>0</v>
      </c>
      <c r="E11" s="102">
        <f t="shared" ref="E11:W11" ca="1" si="2">E181</f>
        <v>0</v>
      </c>
      <c r="F11" s="102">
        <f t="shared" ca="1" si="2"/>
        <v>0</v>
      </c>
      <c r="G11" s="102">
        <f t="shared" ca="1" si="2"/>
        <v>0</v>
      </c>
      <c r="H11" s="102">
        <f t="shared" ca="1" si="2"/>
        <v>0</v>
      </c>
      <c r="I11" s="102">
        <f t="shared" ca="1" si="2"/>
        <v>0</v>
      </c>
      <c r="J11" s="102">
        <f t="shared" ca="1" si="2"/>
        <v>0</v>
      </c>
      <c r="K11" s="102">
        <f t="shared" ca="1" si="2"/>
        <v>0</v>
      </c>
      <c r="L11" s="102">
        <f t="shared" ca="1" si="2"/>
        <v>0</v>
      </c>
      <c r="M11" s="102">
        <f t="shared" ca="1" si="2"/>
        <v>0</v>
      </c>
      <c r="N11" s="102">
        <f t="shared" ca="1" si="2"/>
        <v>0</v>
      </c>
      <c r="O11" s="102">
        <f t="shared" ca="1" si="2"/>
        <v>0</v>
      </c>
      <c r="P11" s="102">
        <f t="shared" ca="1" si="2"/>
        <v>0</v>
      </c>
      <c r="Q11" s="102">
        <f t="shared" ca="1" si="2"/>
        <v>0</v>
      </c>
      <c r="R11" s="102">
        <f t="shared" ca="1" si="2"/>
        <v>0</v>
      </c>
      <c r="S11" s="102">
        <f t="shared" ca="1" si="2"/>
        <v>0</v>
      </c>
      <c r="T11" s="102">
        <f t="shared" ca="1" si="2"/>
        <v>0</v>
      </c>
      <c r="U11" s="102">
        <f t="shared" ca="1" si="2"/>
        <v>0</v>
      </c>
      <c r="V11" s="102">
        <f t="shared" ca="1" si="2"/>
        <v>0</v>
      </c>
      <c r="W11" s="102">
        <f t="shared" ca="1" si="2"/>
        <v>0</v>
      </c>
    </row>
    <row r="12" spans="1:23" x14ac:dyDescent="0.35">
      <c r="B12" s="1"/>
      <c r="D12" s="1"/>
    </row>
    <row r="13" spans="1:23" ht="22.5" customHeight="1" x14ac:dyDescent="0.5">
      <c r="A13" s="93" t="s">
        <v>245</v>
      </c>
      <c r="B13" s="1"/>
      <c r="D13" s="27">
        <f t="shared" ref="D13:W13" si="3">YearOne+D$7-1</f>
        <v>2026</v>
      </c>
      <c r="E13" s="27">
        <f t="shared" si="3"/>
        <v>2027</v>
      </c>
      <c r="F13" s="27">
        <f t="shared" si="3"/>
        <v>2028</v>
      </c>
      <c r="G13" s="27">
        <f t="shared" si="3"/>
        <v>2029</v>
      </c>
      <c r="H13" s="27">
        <f t="shared" si="3"/>
        <v>2030</v>
      </c>
      <c r="I13" s="27">
        <f t="shared" si="3"/>
        <v>2031</v>
      </c>
      <c r="J13" s="27">
        <f t="shared" si="3"/>
        <v>2032</v>
      </c>
      <c r="K13" s="27">
        <f t="shared" si="3"/>
        <v>2033</v>
      </c>
      <c r="L13" s="27">
        <f t="shared" si="3"/>
        <v>2034</v>
      </c>
      <c r="M13" s="27">
        <f t="shared" si="3"/>
        <v>2035</v>
      </c>
      <c r="N13" s="27">
        <f t="shared" si="3"/>
        <v>2036</v>
      </c>
      <c r="O13" s="27">
        <f t="shared" si="3"/>
        <v>2037</v>
      </c>
      <c r="P13" s="27">
        <f t="shared" si="3"/>
        <v>2038</v>
      </c>
      <c r="Q13" s="27">
        <f t="shared" si="3"/>
        <v>2039</v>
      </c>
      <c r="R13" s="27">
        <f t="shared" si="3"/>
        <v>2040</v>
      </c>
      <c r="S13" s="27">
        <f t="shared" si="3"/>
        <v>2041</v>
      </c>
      <c r="T13" s="27">
        <f t="shared" si="3"/>
        <v>2042</v>
      </c>
      <c r="U13" s="27">
        <f t="shared" si="3"/>
        <v>2043</v>
      </c>
      <c r="V13" s="27">
        <f t="shared" si="3"/>
        <v>2044</v>
      </c>
      <c r="W13" s="27">
        <f t="shared" si="3"/>
        <v>2045</v>
      </c>
    </row>
    <row r="14" spans="1:23" ht="22.5" customHeight="1" x14ac:dyDescent="0.35">
      <c r="A14" s="83" t="s">
        <v>246</v>
      </c>
      <c r="B14" s="1"/>
      <c r="D14" s="202">
        <f t="shared" ref="D14:W14" ca="1" si="4">D146+D161+D164</f>
        <v>0</v>
      </c>
      <c r="E14" s="202">
        <f t="shared" ca="1" si="4"/>
        <v>0</v>
      </c>
      <c r="F14" s="202">
        <f t="shared" ca="1" si="4"/>
        <v>0</v>
      </c>
      <c r="G14" s="202">
        <f t="shared" ca="1" si="4"/>
        <v>0</v>
      </c>
      <c r="H14" s="202">
        <f t="shared" ca="1" si="4"/>
        <v>0</v>
      </c>
      <c r="I14" s="202">
        <f t="shared" ca="1" si="4"/>
        <v>0</v>
      </c>
      <c r="J14" s="202">
        <f t="shared" ca="1" si="4"/>
        <v>0</v>
      </c>
      <c r="K14" s="202">
        <f t="shared" ca="1" si="4"/>
        <v>0</v>
      </c>
      <c r="L14" s="202">
        <f t="shared" ca="1" si="4"/>
        <v>0</v>
      </c>
      <c r="M14" s="202">
        <f t="shared" ca="1" si="4"/>
        <v>0</v>
      </c>
      <c r="N14" s="202">
        <f t="shared" ca="1" si="4"/>
        <v>0</v>
      </c>
      <c r="O14" s="202">
        <f t="shared" ca="1" si="4"/>
        <v>0</v>
      </c>
      <c r="P14" s="202">
        <f t="shared" ca="1" si="4"/>
        <v>0</v>
      </c>
      <c r="Q14" s="202">
        <f t="shared" ca="1" si="4"/>
        <v>0</v>
      </c>
      <c r="R14" s="202">
        <f t="shared" ca="1" si="4"/>
        <v>0</v>
      </c>
      <c r="S14" s="202">
        <f t="shared" ca="1" si="4"/>
        <v>0</v>
      </c>
      <c r="T14" s="202">
        <f t="shared" ca="1" si="4"/>
        <v>0</v>
      </c>
      <c r="U14" s="202">
        <f t="shared" ca="1" si="4"/>
        <v>0</v>
      </c>
      <c r="V14" s="202">
        <f t="shared" ca="1" si="4"/>
        <v>0</v>
      </c>
      <c r="W14" s="202">
        <f t="shared" ca="1" si="4"/>
        <v>0</v>
      </c>
    </row>
    <row r="15" spans="1:23" ht="22.5" customHeight="1" x14ac:dyDescent="0.35">
      <c r="A15" s="83" t="s">
        <v>206</v>
      </c>
      <c r="B15" s="1"/>
      <c r="D15" s="202">
        <f>D238+D240</f>
        <v>0</v>
      </c>
      <c r="E15" s="202">
        <f t="shared" ref="E15:W15" si="5">E238+E240</f>
        <v>0</v>
      </c>
      <c r="F15" s="202">
        <f t="shared" si="5"/>
        <v>0</v>
      </c>
      <c r="G15" s="202">
        <f t="shared" si="5"/>
        <v>0</v>
      </c>
      <c r="H15" s="202">
        <f t="shared" si="5"/>
        <v>0</v>
      </c>
      <c r="I15" s="202">
        <f t="shared" si="5"/>
        <v>0</v>
      </c>
      <c r="J15" s="202">
        <f t="shared" si="5"/>
        <v>0</v>
      </c>
      <c r="K15" s="202">
        <f t="shared" si="5"/>
        <v>0</v>
      </c>
      <c r="L15" s="202">
        <f t="shared" si="5"/>
        <v>0</v>
      </c>
      <c r="M15" s="202">
        <f t="shared" si="5"/>
        <v>0</v>
      </c>
      <c r="N15" s="202">
        <f t="shared" si="5"/>
        <v>0</v>
      </c>
      <c r="O15" s="202">
        <f t="shared" si="5"/>
        <v>0</v>
      </c>
      <c r="P15" s="202">
        <f t="shared" si="5"/>
        <v>0</v>
      </c>
      <c r="Q15" s="202">
        <f t="shared" si="5"/>
        <v>0</v>
      </c>
      <c r="R15" s="202">
        <f t="shared" si="5"/>
        <v>0</v>
      </c>
      <c r="S15" s="202">
        <f t="shared" si="5"/>
        <v>0</v>
      </c>
      <c r="T15" s="202">
        <f t="shared" si="5"/>
        <v>0</v>
      </c>
      <c r="U15" s="202">
        <f t="shared" si="5"/>
        <v>0</v>
      </c>
      <c r="V15" s="202">
        <f t="shared" si="5"/>
        <v>0</v>
      </c>
      <c r="W15" s="202">
        <f t="shared" si="5"/>
        <v>0</v>
      </c>
    </row>
    <row r="16" spans="1:23" ht="15" customHeight="1" x14ac:dyDescent="0.35">
      <c r="A16" s="83" t="s">
        <v>207</v>
      </c>
      <c r="B16" s="1"/>
      <c r="D16" s="14">
        <f ca="1">D191</f>
        <v>0</v>
      </c>
      <c r="E16" s="14">
        <f t="shared" ref="E16:W16" ca="1" si="6">E191</f>
        <v>0</v>
      </c>
      <c r="F16" s="14">
        <f t="shared" ca="1" si="6"/>
        <v>0</v>
      </c>
      <c r="G16" s="14">
        <f t="shared" ca="1" si="6"/>
        <v>0</v>
      </c>
      <c r="H16" s="14">
        <f t="shared" ca="1" si="6"/>
        <v>0</v>
      </c>
      <c r="I16" s="14">
        <f t="shared" ca="1" si="6"/>
        <v>0</v>
      </c>
      <c r="J16" s="14">
        <f t="shared" ca="1" si="6"/>
        <v>0</v>
      </c>
      <c r="K16" s="14">
        <f t="shared" ca="1" si="6"/>
        <v>0</v>
      </c>
      <c r="L16" s="14">
        <f t="shared" ca="1" si="6"/>
        <v>0</v>
      </c>
      <c r="M16" s="14">
        <f t="shared" ca="1" si="6"/>
        <v>0</v>
      </c>
      <c r="N16" s="14">
        <f t="shared" ca="1" si="6"/>
        <v>0</v>
      </c>
      <c r="O16" s="14">
        <f t="shared" ca="1" si="6"/>
        <v>0</v>
      </c>
      <c r="P16" s="14">
        <f t="shared" ca="1" si="6"/>
        <v>0</v>
      </c>
      <c r="Q16" s="14">
        <f t="shared" ca="1" si="6"/>
        <v>0</v>
      </c>
      <c r="R16" s="14">
        <f t="shared" ca="1" si="6"/>
        <v>0</v>
      </c>
      <c r="S16" s="14">
        <f t="shared" ca="1" si="6"/>
        <v>0</v>
      </c>
      <c r="T16" s="14">
        <f t="shared" ca="1" si="6"/>
        <v>0</v>
      </c>
      <c r="U16" s="14">
        <f t="shared" ca="1" si="6"/>
        <v>0</v>
      </c>
      <c r="V16" s="14">
        <f t="shared" ca="1" si="6"/>
        <v>0</v>
      </c>
      <c r="W16" s="14">
        <f t="shared" ca="1" si="6"/>
        <v>0</v>
      </c>
    </row>
    <row r="17" spans="1:23" ht="15" customHeight="1" x14ac:dyDescent="0.35">
      <c r="A17" s="83" t="s">
        <v>208</v>
      </c>
      <c r="B17" s="1"/>
      <c r="D17" s="14">
        <f ca="1">D213</f>
        <v>-39503.876579999924</v>
      </c>
      <c r="E17" s="14">
        <f t="shared" ref="E17:W17" ca="1" si="7">E213</f>
        <v>-20388.954339999938</v>
      </c>
      <c r="F17" s="14">
        <f t="shared" ca="1" si="7"/>
        <v>-1274.0320999999531</v>
      </c>
      <c r="G17" s="14">
        <f t="shared" ca="1" si="7"/>
        <v>-80281.785259999975</v>
      </c>
      <c r="H17" s="14">
        <f t="shared" ca="1" si="7"/>
        <v>-159289.53841999994</v>
      </c>
      <c r="I17" s="14">
        <f t="shared" ca="1" si="7"/>
        <v>-238297.29157999996</v>
      </c>
      <c r="J17" s="14">
        <f t="shared" ca="1" si="7"/>
        <v>-317305.04473999992</v>
      </c>
      <c r="K17" s="14">
        <f t="shared" ca="1" si="7"/>
        <v>-396312.79790000001</v>
      </c>
      <c r="L17" s="14">
        <f t="shared" ca="1" si="7"/>
        <v>-475320.55106000003</v>
      </c>
      <c r="M17" s="14">
        <f t="shared" ca="1" si="7"/>
        <v>-554328.30422000005</v>
      </c>
      <c r="N17" s="14">
        <f t="shared" ca="1" si="7"/>
        <v>-633336.05738000013</v>
      </c>
      <c r="O17" s="14">
        <f t="shared" ca="1" si="7"/>
        <v>-712343.81054000021</v>
      </c>
      <c r="P17" s="14">
        <f t="shared" ca="1" si="7"/>
        <v>-791351.56370000017</v>
      </c>
      <c r="Q17" s="14">
        <f t="shared" ca="1" si="7"/>
        <v>-870359.31686000025</v>
      </c>
      <c r="R17" s="14">
        <f t="shared" ca="1" si="7"/>
        <v>-949367.0700200001</v>
      </c>
      <c r="S17" s="14">
        <f t="shared" ca="1" si="7"/>
        <v>-1028374.8231800003</v>
      </c>
      <c r="T17" s="14">
        <f t="shared" ca="1" si="7"/>
        <v>-1107382.5763400001</v>
      </c>
      <c r="U17" s="14">
        <f t="shared" ca="1" si="7"/>
        <v>-1186390.3295000005</v>
      </c>
      <c r="V17" s="14">
        <f t="shared" ca="1" si="7"/>
        <v>-1265398.0826600003</v>
      </c>
      <c r="W17" s="14">
        <f t="shared" ca="1" si="7"/>
        <v>-1344405.8358200006</v>
      </c>
    </row>
    <row r="18" spans="1:23" ht="15" customHeight="1" x14ac:dyDescent="0.35">
      <c r="A18" s="83" t="s">
        <v>209</v>
      </c>
      <c r="B18" s="1"/>
      <c r="D18" s="14">
        <f ca="1">D223+D226+D229</f>
        <v>-180188.60063781077</v>
      </c>
      <c r="E18" s="14">
        <f t="shared" ref="E18:W18" ca="1" si="8">E223+E226+E229</f>
        <v>55791.143117204098</v>
      </c>
      <c r="F18" s="14">
        <f t="shared" ca="1" si="8"/>
        <v>291770.88687221904</v>
      </c>
      <c r="G18" s="14">
        <f t="shared" ca="1" si="8"/>
        <v>-68606.314403402241</v>
      </c>
      <c r="H18" s="14">
        <f t="shared" ca="1" si="8"/>
        <v>-428983.51567902335</v>
      </c>
      <c r="I18" s="14">
        <f t="shared" ca="1" si="8"/>
        <v>-789360.71695464454</v>
      </c>
      <c r="J18" s="14">
        <f t="shared" ca="1" si="8"/>
        <v>-1149737.9182302656</v>
      </c>
      <c r="K18" s="14">
        <f t="shared" ca="1" si="8"/>
        <v>-1510115.1195058869</v>
      </c>
      <c r="L18" s="14">
        <f t="shared" ca="1" si="8"/>
        <v>-1870492.3207815085</v>
      </c>
      <c r="M18" s="14">
        <f t="shared" ca="1" si="8"/>
        <v>-2230869.52205713</v>
      </c>
      <c r="N18" s="14">
        <f t="shared" ca="1" si="8"/>
        <v>-2591246.7233327515</v>
      </c>
      <c r="O18" s="14">
        <f ca="1">O223+O226+O229</f>
        <v>-2951623.9246083731</v>
      </c>
      <c r="P18" s="14">
        <f t="shared" ca="1" si="8"/>
        <v>-3312001.1258839937</v>
      </c>
      <c r="Q18" s="14">
        <f t="shared" ca="1" si="8"/>
        <v>-3672378.3271596152</v>
      </c>
      <c r="R18" s="14">
        <f t="shared" ca="1" si="8"/>
        <v>-4032755.5284352368</v>
      </c>
      <c r="S18" s="14">
        <f t="shared" ca="1" si="8"/>
        <v>-4393132.7297108583</v>
      </c>
      <c r="T18" s="14">
        <f t="shared" ca="1" si="8"/>
        <v>-4753509.9309864799</v>
      </c>
      <c r="U18" s="14">
        <f t="shared" ca="1" si="8"/>
        <v>-5113887.1322621014</v>
      </c>
      <c r="V18" s="14">
        <f t="shared" ca="1" si="8"/>
        <v>-5474264.333537722</v>
      </c>
      <c r="W18" s="14">
        <f t="shared" ca="1" si="8"/>
        <v>-5834641.5348133445</v>
      </c>
    </row>
    <row r="19" spans="1:23" ht="15" customHeight="1" x14ac:dyDescent="0.35">
      <c r="A19" s="83" t="s">
        <v>247</v>
      </c>
      <c r="B19" s="1"/>
      <c r="D19" s="117">
        <f ca="1">SUM(D14:D18)</f>
        <v>-219692.47721781069</v>
      </c>
      <c r="E19" s="117">
        <f t="shared" ref="E19:W19" ca="1" si="9">SUM(E14:E18)</f>
        <v>35402.188777204159</v>
      </c>
      <c r="F19" s="117">
        <f t="shared" ca="1" si="9"/>
        <v>290496.85477221909</v>
      </c>
      <c r="G19" s="117">
        <f t="shared" ca="1" si="9"/>
        <v>-148888.09966340222</v>
      </c>
      <c r="H19" s="117">
        <f t="shared" ca="1" si="9"/>
        <v>-588273.05409902334</v>
      </c>
      <c r="I19" s="117">
        <f t="shared" ca="1" si="9"/>
        <v>-1027658.0085346445</v>
      </c>
      <c r="J19" s="117">
        <f t="shared" ca="1" si="9"/>
        <v>-1467042.9629702657</v>
      </c>
      <c r="K19" s="117">
        <f t="shared" ca="1" si="9"/>
        <v>-1906427.917405887</v>
      </c>
      <c r="L19" s="117">
        <f t="shared" ca="1" si="9"/>
        <v>-2345812.8718415084</v>
      </c>
      <c r="M19" s="117">
        <f t="shared" ca="1" si="9"/>
        <v>-2785197.8262771303</v>
      </c>
      <c r="N19" s="117">
        <f t="shared" ca="1" si="9"/>
        <v>-3224582.7807127517</v>
      </c>
      <c r="O19" s="117">
        <f t="shared" ca="1" si="9"/>
        <v>-3663967.7351483731</v>
      </c>
      <c r="P19" s="117">
        <f t="shared" ca="1" si="9"/>
        <v>-4103352.689583994</v>
      </c>
      <c r="Q19" s="117">
        <f t="shared" ca="1" si="9"/>
        <v>-4542737.6440196158</v>
      </c>
      <c r="R19" s="117">
        <f t="shared" ca="1" si="9"/>
        <v>-4982122.5984552372</v>
      </c>
      <c r="S19" s="117">
        <f t="shared" ca="1" si="9"/>
        <v>-5421507.5528908586</v>
      </c>
      <c r="T19" s="117">
        <f t="shared" ca="1" si="9"/>
        <v>-5860892.50732648</v>
      </c>
      <c r="U19" s="117">
        <f t="shared" ca="1" si="9"/>
        <v>-6300277.4617621023</v>
      </c>
      <c r="V19" s="117">
        <f t="shared" ca="1" si="9"/>
        <v>-6739662.4161977228</v>
      </c>
      <c r="W19" s="117">
        <f t="shared" ca="1" si="9"/>
        <v>-7179047.3706333451</v>
      </c>
    </row>
    <row r="20" spans="1:23" ht="15" customHeight="1" x14ac:dyDescent="0.35">
      <c r="A20" s="83"/>
      <c r="B20" s="1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5" customHeight="1" x14ac:dyDescent="0.35">
      <c r="A21" s="83" t="s">
        <v>248</v>
      </c>
      <c r="B21" s="1"/>
      <c r="D21" s="14" t="e">
        <f>D268</f>
        <v>#DIV/0!</v>
      </c>
      <c r="E21" s="14" t="e">
        <f t="shared" ref="E21:W21" si="10">E268</f>
        <v>#DIV/0!</v>
      </c>
      <c r="F21" s="14" t="e">
        <f t="shared" si="10"/>
        <v>#DIV/0!</v>
      </c>
      <c r="G21" s="14" t="e">
        <f t="shared" si="10"/>
        <v>#DIV/0!</v>
      </c>
      <c r="H21" s="14" t="e">
        <f t="shared" si="10"/>
        <v>#DIV/0!</v>
      </c>
      <c r="I21" s="14" t="e">
        <f t="shared" si="10"/>
        <v>#DIV/0!</v>
      </c>
      <c r="J21" s="14" t="e">
        <f t="shared" si="10"/>
        <v>#DIV/0!</v>
      </c>
      <c r="K21" s="14" t="e">
        <f t="shared" si="10"/>
        <v>#DIV/0!</v>
      </c>
      <c r="L21" s="14" t="e">
        <f t="shared" si="10"/>
        <v>#DIV/0!</v>
      </c>
      <c r="M21" s="14" t="e">
        <f t="shared" si="10"/>
        <v>#DIV/0!</v>
      </c>
      <c r="N21" s="14" t="e">
        <f t="shared" si="10"/>
        <v>#DIV/0!</v>
      </c>
      <c r="O21" s="14" t="e">
        <f t="shared" si="10"/>
        <v>#DIV/0!</v>
      </c>
      <c r="P21" s="14" t="e">
        <f t="shared" si="10"/>
        <v>#DIV/0!</v>
      </c>
      <c r="Q21" s="14" t="e">
        <f t="shared" si="10"/>
        <v>#DIV/0!</v>
      </c>
      <c r="R21" s="14" t="e">
        <f t="shared" si="10"/>
        <v>#DIV/0!</v>
      </c>
      <c r="S21" s="14" t="e">
        <f t="shared" si="10"/>
        <v>#DIV/0!</v>
      </c>
      <c r="T21" s="14" t="e">
        <f t="shared" si="10"/>
        <v>#DIV/0!</v>
      </c>
      <c r="U21" s="14" t="e">
        <f t="shared" si="10"/>
        <v>#DIV/0!</v>
      </c>
      <c r="V21" s="14" t="e">
        <f t="shared" si="10"/>
        <v>#DIV/0!</v>
      </c>
      <c r="W21" s="14" t="e">
        <f t="shared" si="10"/>
        <v>#DIV/0!</v>
      </c>
    </row>
    <row r="22" spans="1:23" ht="15" customHeight="1" x14ac:dyDescent="0.35">
      <c r="A22" s="83" t="s">
        <v>249</v>
      </c>
      <c r="B22" s="1"/>
      <c r="D22" s="14" t="e">
        <f>D289</f>
        <v>#DIV/0!</v>
      </c>
      <c r="E22" s="14" t="e">
        <f t="shared" ref="E22:W22" si="11">E289</f>
        <v>#DIV/0!</v>
      </c>
      <c r="F22" s="14" t="e">
        <f t="shared" si="11"/>
        <v>#DIV/0!</v>
      </c>
      <c r="G22" s="14" t="e">
        <f t="shared" si="11"/>
        <v>#DIV/0!</v>
      </c>
      <c r="H22" s="14" t="e">
        <f t="shared" si="11"/>
        <v>#DIV/0!</v>
      </c>
      <c r="I22" s="14" t="e">
        <f t="shared" si="11"/>
        <v>#DIV/0!</v>
      </c>
      <c r="J22" s="14" t="e">
        <f t="shared" si="11"/>
        <v>#DIV/0!</v>
      </c>
      <c r="K22" s="14" t="e">
        <f t="shared" si="11"/>
        <v>#DIV/0!</v>
      </c>
      <c r="L22" s="14" t="e">
        <f t="shared" si="11"/>
        <v>#DIV/0!</v>
      </c>
      <c r="M22" s="14" t="e">
        <f t="shared" si="11"/>
        <v>#DIV/0!</v>
      </c>
      <c r="N22" s="14" t="e">
        <f t="shared" si="11"/>
        <v>#DIV/0!</v>
      </c>
      <c r="O22" s="14" t="e">
        <f t="shared" si="11"/>
        <v>#DIV/0!</v>
      </c>
      <c r="P22" s="14" t="e">
        <f t="shared" si="11"/>
        <v>#DIV/0!</v>
      </c>
      <c r="Q22" s="14" t="e">
        <f t="shared" si="11"/>
        <v>#DIV/0!</v>
      </c>
      <c r="R22" s="14" t="e">
        <f t="shared" si="11"/>
        <v>#DIV/0!</v>
      </c>
      <c r="S22" s="14" t="e">
        <f t="shared" si="11"/>
        <v>#DIV/0!</v>
      </c>
      <c r="T22" s="14" t="e">
        <f t="shared" si="11"/>
        <v>#DIV/0!</v>
      </c>
      <c r="U22" s="14" t="e">
        <f t="shared" si="11"/>
        <v>#DIV/0!</v>
      </c>
      <c r="V22" s="14" t="e">
        <f t="shared" si="11"/>
        <v>#DIV/0!</v>
      </c>
      <c r="W22" s="14" t="e">
        <f t="shared" si="11"/>
        <v>#DIV/0!</v>
      </c>
    </row>
    <row r="23" spans="1:23" ht="15" customHeight="1" x14ac:dyDescent="0.35">
      <c r="A23" s="83" t="s">
        <v>250</v>
      </c>
      <c r="B23" s="1"/>
      <c r="D23" s="14">
        <f ca="1">D311</f>
        <v>-5816.1642186077679</v>
      </c>
      <c r="E23" s="14">
        <f t="shared" ref="E23:W23" ca="1" si="12">E311</f>
        <v>-18028.676062385643</v>
      </c>
      <c r="F23" s="14">
        <f t="shared" ca="1" si="12"/>
        <v>-29997.065284435139</v>
      </c>
      <c r="G23" s="14">
        <f t="shared" ca="1" si="12"/>
        <v>-39988.619165224503</v>
      </c>
      <c r="H23" s="14">
        <f t="shared" ca="1" si="12"/>
        <v>-45223.407067737789</v>
      </c>
      <c r="I23" s="14">
        <f t="shared" ca="1" si="12"/>
        <v>-48699.716315519363</v>
      </c>
      <c r="J23" s="14">
        <f t="shared" ca="1" si="12"/>
        <v>-54027.830698951919</v>
      </c>
      <c r="K23" s="14">
        <f t="shared" ca="1" si="12"/>
        <v>-63248.204412413645</v>
      </c>
      <c r="L23" s="14">
        <f t="shared" ca="1" si="12"/>
        <v>-82031.27719894523</v>
      </c>
      <c r="M23" s="14">
        <f t="shared" ca="1" si="12"/>
        <v>-100751.64298300316</v>
      </c>
      <c r="N23" s="14">
        <f t="shared" ca="1" si="12"/>
        <v>-172224.14843211172</v>
      </c>
      <c r="O23" s="14">
        <f t="shared" ca="1" si="12"/>
        <v>-239080.16125101421</v>
      </c>
      <c r="P23" s="14">
        <f t="shared" ca="1" si="12"/>
        <v>-242064.79719533119</v>
      </c>
      <c r="Q23" s="14">
        <f t="shared" ca="1" si="12"/>
        <v>-245196.57366568345</v>
      </c>
      <c r="R23" s="14">
        <f t="shared" ca="1" si="12"/>
        <v>-248256.83921005385</v>
      </c>
      <c r="S23" s="14">
        <f t="shared" ca="1" si="12"/>
        <v>-251327.85161703674</v>
      </c>
      <c r="T23" s="14">
        <f t="shared" ca="1" si="12"/>
        <v>-254644.87125797936</v>
      </c>
      <c r="U23" s="14">
        <f t="shared" ca="1" si="12"/>
        <v>-257658.30177434487</v>
      </c>
      <c r="V23" s="14">
        <f t="shared" ca="1" si="12"/>
        <v>-261432.5027707761</v>
      </c>
      <c r="W23" s="14">
        <f t="shared" ca="1" si="12"/>
        <v>-264924.20001104428</v>
      </c>
    </row>
    <row r="24" spans="1:23" ht="15" customHeight="1" x14ac:dyDescent="0.35">
      <c r="A24" s="83" t="s">
        <v>251</v>
      </c>
      <c r="B24" s="1"/>
      <c r="D24" s="74" t="e">
        <f t="shared" ref="D24:W24" si="13">SUM(D21:D23)</f>
        <v>#DIV/0!</v>
      </c>
      <c r="E24" s="74" t="e">
        <f t="shared" si="13"/>
        <v>#DIV/0!</v>
      </c>
      <c r="F24" s="74" t="e">
        <f t="shared" si="13"/>
        <v>#DIV/0!</v>
      </c>
      <c r="G24" s="74" t="e">
        <f t="shared" si="13"/>
        <v>#DIV/0!</v>
      </c>
      <c r="H24" s="74" t="e">
        <f t="shared" si="13"/>
        <v>#DIV/0!</v>
      </c>
      <c r="I24" s="74" t="e">
        <f t="shared" si="13"/>
        <v>#DIV/0!</v>
      </c>
      <c r="J24" s="74" t="e">
        <f t="shared" si="13"/>
        <v>#DIV/0!</v>
      </c>
      <c r="K24" s="74" t="e">
        <f t="shared" si="13"/>
        <v>#DIV/0!</v>
      </c>
      <c r="L24" s="74" t="e">
        <f t="shared" si="13"/>
        <v>#DIV/0!</v>
      </c>
      <c r="M24" s="74" t="e">
        <f t="shared" si="13"/>
        <v>#DIV/0!</v>
      </c>
      <c r="N24" s="74" t="e">
        <f t="shared" si="13"/>
        <v>#DIV/0!</v>
      </c>
      <c r="O24" s="74" t="e">
        <f t="shared" si="13"/>
        <v>#DIV/0!</v>
      </c>
      <c r="P24" s="74" t="e">
        <f t="shared" si="13"/>
        <v>#DIV/0!</v>
      </c>
      <c r="Q24" s="74" t="e">
        <f t="shared" si="13"/>
        <v>#DIV/0!</v>
      </c>
      <c r="R24" s="74" t="e">
        <f t="shared" si="13"/>
        <v>#DIV/0!</v>
      </c>
      <c r="S24" s="74" t="e">
        <f t="shared" si="13"/>
        <v>#DIV/0!</v>
      </c>
      <c r="T24" s="74" t="e">
        <f t="shared" si="13"/>
        <v>#DIV/0!</v>
      </c>
      <c r="U24" s="74" t="e">
        <f t="shared" si="13"/>
        <v>#DIV/0!</v>
      </c>
      <c r="V24" s="74" t="e">
        <f t="shared" si="13"/>
        <v>#DIV/0!</v>
      </c>
      <c r="W24" s="74" t="e">
        <f t="shared" si="13"/>
        <v>#DIV/0!</v>
      </c>
    </row>
    <row r="25" spans="1:23" ht="15" customHeight="1" x14ac:dyDescent="0.35">
      <c r="A25" s="83"/>
      <c r="B25" s="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5" customHeight="1" x14ac:dyDescent="0.35">
      <c r="A26" s="83" t="s">
        <v>252</v>
      </c>
      <c r="B26" s="52" t="s">
        <v>253</v>
      </c>
      <c r="D26" s="14" t="e">
        <f ca="1">D19+D24</f>
        <v>#DIV/0!</v>
      </c>
      <c r="E26" s="14" t="e">
        <f t="shared" ref="E26:W26" ca="1" si="14">E19+E24</f>
        <v>#DIV/0!</v>
      </c>
      <c r="F26" s="14" t="e">
        <f t="shared" ca="1" si="14"/>
        <v>#DIV/0!</v>
      </c>
      <c r="G26" s="14" t="e">
        <f t="shared" ca="1" si="14"/>
        <v>#DIV/0!</v>
      </c>
      <c r="H26" s="14" t="e">
        <f t="shared" ca="1" si="14"/>
        <v>#DIV/0!</v>
      </c>
      <c r="I26" s="14" t="e">
        <f t="shared" ca="1" si="14"/>
        <v>#DIV/0!</v>
      </c>
      <c r="J26" s="14" t="e">
        <f t="shared" ca="1" si="14"/>
        <v>#DIV/0!</v>
      </c>
      <c r="K26" s="14" t="e">
        <f t="shared" ca="1" si="14"/>
        <v>#DIV/0!</v>
      </c>
      <c r="L26" s="14" t="e">
        <f t="shared" ca="1" si="14"/>
        <v>#DIV/0!</v>
      </c>
      <c r="M26" s="14" t="e">
        <f t="shared" ca="1" si="14"/>
        <v>#DIV/0!</v>
      </c>
      <c r="N26" s="14" t="e">
        <f t="shared" ca="1" si="14"/>
        <v>#DIV/0!</v>
      </c>
      <c r="O26" s="14" t="e">
        <f t="shared" ca="1" si="14"/>
        <v>#DIV/0!</v>
      </c>
      <c r="P26" s="14" t="e">
        <f t="shared" ca="1" si="14"/>
        <v>#DIV/0!</v>
      </c>
      <c r="Q26" s="14" t="e">
        <f t="shared" ca="1" si="14"/>
        <v>#DIV/0!</v>
      </c>
      <c r="R26" s="14" t="e">
        <f t="shared" ca="1" si="14"/>
        <v>#DIV/0!</v>
      </c>
      <c r="S26" s="14" t="e">
        <f t="shared" ca="1" si="14"/>
        <v>#DIV/0!</v>
      </c>
      <c r="T26" s="14" t="e">
        <f t="shared" ca="1" si="14"/>
        <v>#DIV/0!</v>
      </c>
      <c r="U26" s="14" t="e">
        <f t="shared" ca="1" si="14"/>
        <v>#DIV/0!</v>
      </c>
      <c r="V26" s="14" t="e">
        <f t="shared" ca="1" si="14"/>
        <v>#DIV/0!</v>
      </c>
      <c r="W26" s="14" t="e">
        <f t="shared" ca="1" si="14"/>
        <v>#DIV/0!</v>
      </c>
    </row>
    <row r="27" spans="1:23" ht="15" customHeight="1" x14ac:dyDescent="0.35">
      <c r="A27" s="8" t="s">
        <v>131</v>
      </c>
      <c r="B27" s="1">
        <f>'0-Inputs'!B173</f>
        <v>6.2199999999999998E-3</v>
      </c>
      <c r="D27" s="77" t="e">
        <f ca="1">D26*$B$27</f>
        <v>#DIV/0!</v>
      </c>
      <c r="E27" s="77" t="e">
        <f t="shared" ref="E27:W27" ca="1" si="15">E26*$B$27</f>
        <v>#DIV/0!</v>
      </c>
      <c r="F27" s="77" t="e">
        <f t="shared" ca="1" si="15"/>
        <v>#DIV/0!</v>
      </c>
      <c r="G27" s="77" t="e">
        <f t="shared" ca="1" si="15"/>
        <v>#DIV/0!</v>
      </c>
      <c r="H27" s="77" t="e">
        <f t="shared" ca="1" si="15"/>
        <v>#DIV/0!</v>
      </c>
      <c r="I27" s="77" t="e">
        <f t="shared" ca="1" si="15"/>
        <v>#DIV/0!</v>
      </c>
      <c r="J27" s="77" t="e">
        <f t="shared" ca="1" si="15"/>
        <v>#DIV/0!</v>
      </c>
      <c r="K27" s="77" t="e">
        <f t="shared" ca="1" si="15"/>
        <v>#DIV/0!</v>
      </c>
      <c r="L27" s="77" t="e">
        <f t="shared" ca="1" si="15"/>
        <v>#DIV/0!</v>
      </c>
      <c r="M27" s="77" t="e">
        <f t="shared" ca="1" si="15"/>
        <v>#DIV/0!</v>
      </c>
      <c r="N27" s="77" t="e">
        <f t="shared" ca="1" si="15"/>
        <v>#DIV/0!</v>
      </c>
      <c r="O27" s="77" t="e">
        <f t="shared" ca="1" si="15"/>
        <v>#DIV/0!</v>
      </c>
      <c r="P27" s="77" t="e">
        <f t="shared" ca="1" si="15"/>
        <v>#DIV/0!</v>
      </c>
      <c r="Q27" s="77" t="e">
        <f t="shared" ca="1" si="15"/>
        <v>#DIV/0!</v>
      </c>
      <c r="R27" s="77" t="e">
        <f t="shared" ca="1" si="15"/>
        <v>#DIV/0!</v>
      </c>
      <c r="S27" s="77" t="e">
        <f t="shared" ca="1" si="15"/>
        <v>#DIV/0!</v>
      </c>
      <c r="T27" s="77" t="e">
        <f t="shared" ca="1" si="15"/>
        <v>#DIV/0!</v>
      </c>
      <c r="U27" s="77" t="e">
        <f t="shared" ca="1" si="15"/>
        <v>#DIV/0!</v>
      </c>
      <c r="V27" s="77" t="e">
        <f t="shared" ca="1" si="15"/>
        <v>#DIV/0!</v>
      </c>
      <c r="W27" s="77" t="e">
        <f t="shared" ca="1" si="15"/>
        <v>#DIV/0!</v>
      </c>
    </row>
    <row r="28" spans="1:23" ht="15" customHeight="1" x14ac:dyDescent="0.35">
      <c r="A28" s="83" t="s">
        <v>254</v>
      </c>
      <c r="B28" s="1"/>
      <c r="D28" s="14" t="e">
        <f ca="1">SUM(D26:D27)</f>
        <v>#DIV/0!</v>
      </c>
      <c r="E28" s="14" t="e">
        <f t="shared" ref="E28:W28" ca="1" si="16">SUM(E26:E27)</f>
        <v>#DIV/0!</v>
      </c>
      <c r="F28" s="14" t="e">
        <f t="shared" ca="1" si="16"/>
        <v>#DIV/0!</v>
      </c>
      <c r="G28" s="14" t="e">
        <f t="shared" ca="1" si="16"/>
        <v>#DIV/0!</v>
      </c>
      <c r="H28" s="14" t="e">
        <f t="shared" ca="1" si="16"/>
        <v>#DIV/0!</v>
      </c>
      <c r="I28" s="14" t="e">
        <f t="shared" ca="1" si="16"/>
        <v>#DIV/0!</v>
      </c>
      <c r="J28" s="14" t="e">
        <f t="shared" ca="1" si="16"/>
        <v>#DIV/0!</v>
      </c>
      <c r="K28" s="14" t="e">
        <f t="shared" ca="1" si="16"/>
        <v>#DIV/0!</v>
      </c>
      <c r="L28" s="14" t="e">
        <f t="shared" ca="1" si="16"/>
        <v>#DIV/0!</v>
      </c>
      <c r="M28" s="14" t="e">
        <f t="shared" ca="1" si="16"/>
        <v>#DIV/0!</v>
      </c>
      <c r="N28" s="14" t="e">
        <f t="shared" ca="1" si="16"/>
        <v>#DIV/0!</v>
      </c>
      <c r="O28" s="14" t="e">
        <f t="shared" ca="1" si="16"/>
        <v>#DIV/0!</v>
      </c>
      <c r="P28" s="14" t="e">
        <f t="shared" ca="1" si="16"/>
        <v>#DIV/0!</v>
      </c>
      <c r="Q28" s="14" t="e">
        <f t="shared" ca="1" si="16"/>
        <v>#DIV/0!</v>
      </c>
      <c r="R28" s="14" t="e">
        <f t="shared" ca="1" si="16"/>
        <v>#DIV/0!</v>
      </c>
      <c r="S28" s="14" t="e">
        <f t="shared" ca="1" si="16"/>
        <v>#DIV/0!</v>
      </c>
      <c r="T28" s="14" t="e">
        <f t="shared" ca="1" si="16"/>
        <v>#DIV/0!</v>
      </c>
      <c r="U28" s="14" t="e">
        <f t="shared" ca="1" si="16"/>
        <v>#DIV/0!</v>
      </c>
      <c r="V28" s="14" t="e">
        <f t="shared" ca="1" si="16"/>
        <v>#DIV/0!</v>
      </c>
      <c r="W28" s="14" t="e">
        <f t="shared" ca="1" si="16"/>
        <v>#DIV/0!</v>
      </c>
    </row>
    <row r="29" spans="1:23" ht="15" customHeight="1" x14ac:dyDescent="0.35">
      <c r="A29" s="83"/>
      <c r="B29" s="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5" customHeight="1" x14ac:dyDescent="0.35">
      <c r="A30" s="124"/>
      <c r="B30" s="1"/>
      <c r="C30" s="1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 ht="15" customHeight="1" x14ac:dyDescent="0.35">
      <c r="A31" s="116"/>
      <c r="B31" s="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21.75" customHeight="1" x14ac:dyDescent="0.5">
      <c r="A32" s="95" t="s">
        <v>255</v>
      </c>
      <c r="B32" s="1"/>
      <c r="D32" s="217">
        <f t="shared" ref="D32:W32" si="17">D8</f>
        <v>2026</v>
      </c>
      <c r="E32" s="217">
        <f t="shared" si="17"/>
        <v>2027</v>
      </c>
      <c r="F32" s="217">
        <f t="shared" si="17"/>
        <v>2028</v>
      </c>
      <c r="G32" s="217">
        <f t="shared" si="17"/>
        <v>2029</v>
      </c>
      <c r="H32" s="217">
        <f t="shared" si="17"/>
        <v>2030</v>
      </c>
      <c r="I32" s="217">
        <f t="shared" si="17"/>
        <v>2031</v>
      </c>
      <c r="J32" s="217">
        <f t="shared" si="17"/>
        <v>2032</v>
      </c>
      <c r="K32" s="217">
        <f t="shared" si="17"/>
        <v>2033</v>
      </c>
      <c r="L32" s="217">
        <f t="shared" si="17"/>
        <v>2034</v>
      </c>
      <c r="M32" s="217">
        <f t="shared" si="17"/>
        <v>2035</v>
      </c>
      <c r="N32" s="217">
        <f t="shared" si="17"/>
        <v>2036</v>
      </c>
      <c r="O32" s="217">
        <f t="shared" si="17"/>
        <v>2037</v>
      </c>
      <c r="P32" s="217">
        <f t="shared" si="17"/>
        <v>2038</v>
      </c>
      <c r="Q32" s="217">
        <f t="shared" si="17"/>
        <v>2039</v>
      </c>
      <c r="R32" s="217">
        <f t="shared" si="17"/>
        <v>2040</v>
      </c>
      <c r="S32" s="217">
        <f t="shared" si="17"/>
        <v>2041</v>
      </c>
      <c r="T32" s="217">
        <f t="shared" si="17"/>
        <v>2042</v>
      </c>
      <c r="U32" s="217">
        <f t="shared" si="17"/>
        <v>2043</v>
      </c>
      <c r="V32" s="217">
        <f t="shared" si="17"/>
        <v>2044</v>
      </c>
      <c r="W32" s="217">
        <f t="shared" si="17"/>
        <v>2045</v>
      </c>
    </row>
    <row r="33" spans="1:23" ht="15" customHeight="1" x14ac:dyDescent="0.35">
      <c r="A33" s="445"/>
      <c r="B33" s="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5" customHeight="1" x14ac:dyDescent="0.45">
      <c r="A34" s="199" t="s">
        <v>256</v>
      </c>
      <c r="B34" s="1"/>
    </row>
    <row r="35" spans="1:23" ht="15" customHeight="1" x14ac:dyDescent="0.45">
      <c r="A35" s="191"/>
      <c r="B35" s="1"/>
    </row>
    <row r="36" spans="1:23" x14ac:dyDescent="0.35">
      <c r="A36" s="16" t="s">
        <v>257</v>
      </c>
      <c r="D36" s="16" t="s">
        <v>258</v>
      </c>
    </row>
    <row r="37" spans="1:23" x14ac:dyDescent="0.35">
      <c r="A37" s="16" t="s">
        <v>259</v>
      </c>
      <c r="B37" s="16" t="s">
        <v>260</v>
      </c>
      <c r="C37" s="16" t="s">
        <v>261</v>
      </c>
      <c r="D37">
        <v>2025</v>
      </c>
      <c r="E37">
        <v>2026</v>
      </c>
      <c r="F37">
        <v>2027</v>
      </c>
      <c r="G37">
        <v>2028</v>
      </c>
      <c r="H37">
        <v>2029</v>
      </c>
      <c r="I37">
        <v>2030</v>
      </c>
      <c r="J37">
        <v>2031</v>
      </c>
      <c r="K37">
        <v>2032</v>
      </c>
      <c r="L37">
        <v>2033</v>
      </c>
      <c r="M37">
        <v>2034</v>
      </c>
      <c r="N37" t="s">
        <v>262</v>
      </c>
    </row>
    <row r="38" spans="1:23" x14ac:dyDescent="0.35">
      <c r="A38" t="s">
        <v>184</v>
      </c>
      <c r="B38" t="s">
        <v>263</v>
      </c>
      <c r="C38" t="s">
        <v>264</v>
      </c>
      <c r="D38" s="18">
        <v>0</v>
      </c>
      <c r="E38" s="18"/>
      <c r="F38" s="18"/>
      <c r="G38" s="18"/>
      <c r="H38" s="18"/>
      <c r="I38" s="18"/>
      <c r="J38" s="18"/>
      <c r="K38" s="18"/>
      <c r="L38" s="18"/>
      <c r="M38" s="18"/>
      <c r="N38" s="18">
        <v>0</v>
      </c>
    </row>
    <row r="39" spans="1:23" x14ac:dyDescent="0.35">
      <c r="C39" t="s">
        <v>265</v>
      </c>
      <c r="D39" s="18">
        <v>0</v>
      </c>
      <c r="E39" s="18"/>
      <c r="F39" s="18"/>
      <c r="G39" s="18"/>
      <c r="H39" s="18"/>
      <c r="I39" s="18"/>
      <c r="J39" s="18"/>
      <c r="K39" s="18"/>
      <c r="L39" s="18"/>
      <c r="M39" s="18"/>
      <c r="N39" s="18">
        <v>0</v>
      </c>
    </row>
    <row r="40" spans="1:23" x14ac:dyDescent="0.35">
      <c r="B40" t="s">
        <v>266</v>
      </c>
      <c r="C40" t="s">
        <v>264</v>
      </c>
      <c r="D40" s="18">
        <v>0</v>
      </c>
      <c r="E40" s="18">
        <v>3</v>
      </c>
      <c r="F40" s="18">
        <v>1</v>
      </c>
      <c r="G40" s="18">
        <v>3</v>
      </c>
      <c r="H40" s="18"/>
      <c r="I40" s="18">
        <v>1</v>
      </c>
      <c r="J40" s="18"/>
      <c r="K40" s="18">
        <v>4</v>
      </c>
      <c r="L40" s="18">
        <v>7</v>
      </c>
      <c r="M40" s="18">
        <v>6</v>
      </c>
      <c r="N40" s="18">
        <v>25</v>
      </c>
    </row>
    <row r="41" spans="1:23" x14ac:dyDescent="0.35">
      <c r="C41" t="s">
        <v>265</v>
      </c>
      <c r="D41" s="18">
        <v>14</v>
      </c>
      <c r="E41" s="18">
        <v>15</v>
      </c>
      <c r="F41" s="18">
        <v>73</v>
      </c>
      <c r="G41" s="18">
        <v>42</v>
      </c>
      <c r="H41" s="18">
        <v>2</v>
      </c>
      <c r="I41" s="18">
        <v>7</v>
      </c>
      <c r="J41" s="18">
        <v>11</v>
      </c>
      <c r="K41" s="18">
        <v>15</v>
      </c>
      <c r="L41" s="18">
        <v>35</v>
      </c>
      <c r="M41" s="18">
        <v>18</v>
      </c>
      <c r="N41" s="18">
        <v>232</v>
      </c>
    </row>
    <row r="42" spans="1:23" x14ac:dyDescent="0.35">
      <c r="A42" t="s">
        <v>229</v>
      </c>
      <c r="B42" t="s">
        <v>263</v>
      </c>
      <c r="C42" t="s">
        <v>264</v>
      </c>
      <c r="D42" s="18">
        <v>0</v>
      </c>
      <c r="E42" s="18"/>
      <c r="F42" s="18"/>
      <c r="G42" s="18"/>
      <c r="H42" s="18"/>
      <c r="I42" s="18"/>
      <c r="J42" s="18"/>
      <c r="K42" s="18"/>
      <c r="L42" s="18"/>
      <c r="M42" s="18"/>
      <c r="N42" s="18">
        <v>0</v>
      </c>
    </row>
    <row r="43" spans="1:23" x14ac:dyDescent="0.35">
      <c r="C43" t="s">
        <v>265</v>
      </c>
      <c r="D43" s="18">
        <v>0</v>
      </c>
      <c r="E43" s="18"/>
      <c r="F43" s="18"/>
      <c r="G43" s="18"/>
      <c r="H43" s="18"/>
      <c r="I43" s="18"/>
      <c r="J43" s="18"/>
      <c r="K43" s="18"/>
      <c r="L43" s="18"/>
      <c r="M43" s="18"/>
      <c r="N43" s="18">
        <v>0</v>
      </c>
    </row>
    <row r="44" spans="1:23" x14ac:dyDescent="0.35">
      <c r="B44" t="s">
        <v>266</v>
      </c>
      <c r="C44" t="s">
        <v>264</v>
      </c>
      <c r="D44" s="18">
        <v>369</v>
      </c>
      <c r="E44" s="18">
        <v>33</v>
      </c>
      <c r="F44" s="18">
        <v>64</v>
      </c>
      <c r="G44" s="18">
        <v>111</v>
      </c>
      <c r="H44" s="18">
        <v>150</v>
      </c>
      <c r="I44" s="18">
        <v>11</v>
      </c>
      <c r="J44" s="18">
        <v>81</v>
      </c>
      <c r="K44" s="18">
        <v>126</v>
      </c>
      <c r="L44" s="18">
        <v>111</v>
      </c>
      <c r="M44" s="18">
        <v>266</v>
      </c>
      <c r="N44" s="18">
        <v>1322</v>
      </c>
    </row>
    <row r="45" spans="1:23" x14ac:dyDescent="0.35">
      <c r="C45" t="s">
        <v>265</v>
      </c>
      <c r="D45" s="18">
        <v>39240</v>
      </c>
      <c r="E45" s="18">
        <v>4193</v>
      </c>
      <c r="F45" s="18">
        <v>7798</v>
      </c>
      <c r="G45" s="18">
        <v>15657</v>
      </c>
      <c r="H45" s="18">
        <v>11900</v>
      </c>
      <c r="I45" s="18">
        <v>1556</v>
      </c>
      <c r="J45" s="18">
        <v>6807</v>
      </c>
      <c r="K45" s="18">
        <v>6174</v>
      </c>
      <c r="L45" s="18">
        <v>17193</v>
      </c>
      <c r="M45" s="18">
        <v>31361</v>
      </c>
      <c r="N45" s="18">
        <v>141879</v>
      </c>
    </row>
    <row r="46" spans="1:23" x14ac:dyDescent="0.35">
      <c r="A46" t="s">
        <v>267</v>
      </c>
      <c r="B46" t="s">
        <v>263</v>
      </c>
      <c r="C46" t="s">
        <v>264</v>
      </c>
      <c r="D46" s="18">
        <v>0</v>
      </c>
      <c r="E46" s="18"/>
      <c r="F46" s="18"/>
      <c r="G46" s="18"/>
      <c r="H46" s="18"/>
      <c r="I46" s="18"/>
      <c r="J46" s="18"/>
      <c r="K46" s="18"/>
      <c r="L46" s="18"/>
      <c r="M46" s="18"/>
      <c r="N46" s="18">
        <v>0</v>
      </c>
    </row>
    <row r="47" spans="1:23" x14ac:dyDescent="0.35">
      <c r="C47" t="s">
        <v>265</v>
      </c>
      <c r="D47" s="18">
        <v>0</v>
      </c>
      <c r="E47" s="18"/>
      <c r="F47" s="18"/>
      <c r="G47" s="18"/>
      <c r="H47" s="18"/>
      <c r="I47" s="18"/>
      <c r="J47" s="18"/>
      <c r="K47" s="18"/>
      <c r="L47" s="18"/>
      <c r="M47" s="18"/>
      <c r="N47" s="18">
        <v>0</v>
      </c>
    </row>
    <row r="48" spans="1:23" x14ac:dyDescent="0.35">
      <c r="B48" t="s">
        <v>266</v>
      </c>
      <c r="C48" t="s">
        <v>264</v>
      </c>
      <c r="D48" s="18">
        <v>1</v>
      </c>
      <c r="E48" s="18"/>
      <c r="F48" s="18"/>
      <c r="G48" s="18">
        <v>2</v>
      </c>
      <c r="H48" s="18"/>
      <c r="I48" s="18"/>
      <c r="J48" s="18"/>
      <c r="K48" s="18">
        <v>1</v>
      </c>
      <c r="L48" s="18"/>
      <c r="M48" s="18"/>
      <c r="N48" s="18">
        <v>4</v>
      </c>
    </row>
    <row r="49" spans="1:23" x14ac:dyDescent="0.35">
      <c r="C49" t="s">
        <v>265</v>
      </c>
      <c r="D49" s="18">
        <v>1</v>
      </c>
      <c r="E49" s="18">
        <v>2</v>
      </c>
      <c r="F49" s="18">
        <v>2</v>
      </c>
      <c r="G49" s="18">
        <v>10</v>
      </c>
      <c r="H49" s="18">
        <v>5</v>
      </c>
      <c r="I49" s="18">
        <v>3</v>
      </c>
      <c r="J49" s="18">
        <v>4</v>
      </c>
      <c r="K49" s="18">
        <v>6</v>
      </c>
      <c r="L49" s="18">
        <v>1</v>
      </c>
      <c r="M49" s="18">
        <v>4</v>
      </c>
      <c r="N49" s="18">
        <v>38</v>
      </c>
    </row>
    <row r="50" spans="1:23" x14ac:dyDescent="0.35">
      <c r="A50" t="s">
        <v>262</v>
      </c>
      <c r="D50" s="18">
        <v>39625</v>
      </c>
      <c r="E50" s="18">
        <v>4246</v>
      </c>
      <c r="F50" s="18">
        <v>7938</v>
      </c>
      <c r="G50" s="18">
        <v>15825</v>
      </c>
      <c r="H50" s="18">
        <v>12057</v>
      </c>
      <c r="I50" s="18">
        <v>1578</v>
      </c>
      <c r="J50" s="18">
        <v>6903</v>
      </c>
      <c r="K50" s="18">
        <v>6326</v>
      </c>
      <c r="L50" s="18">
        <v>17347</v>
      </c>
      <c r="M50" s="18">
        <v>31655</v>
      </c>
      <c r="N50" s="18">
        <v>143500</v>
      </c>
    </row>
    <row r="54" spans="1:23" outlineLevel="1" x14ac:dyDescent="0.35"/>
    <row r="55" spans="1:23" outlineLevel="1" x14ac:dyDescent="0.35"/>
    <row r="58" spans="1:23" ht="18.5" x14ac:dyDescent="0.45">
      <c r="A58" s="199" t="s">
        <v>269</v>
      </c>
      <c r="B58" s="94"/>
      <c r="C58" s="94"/>
      <c r="D58" s="94"/>
    </row>
    <row r="59" spans="1:23" outlineLevel="1" x14ac:dyDescent="0.35">
      <c r="A59" s="273" t="s">
        <v>257</v>
      </c>
      <c r="B59" s="273"/>
      <c r="C59" s="273"/>
      <c r="D59" s="273" t="s">
        <v>258</v>
      </c>
      <c r="E59" s="273"/>
      <c r="F59" s="273"/>
      <c r="G59" s="273"/>
      <c r="H59" s="273"/>
      <c r="I59" s="273"/>
      <c r="J59" s="273"/>
      <c r="K59" s="273"/>
      <c r="L59" s="273"/>
      <c r="R59" s="19"/>
    </row>
    <row r="60" spans="1:23" outlineLevel="1" x14ac:dyDescent="0.35">
      <c r="A60" s="276" t="s">
        <v>259</v>
      </c>
      <c r="B60" s="276" t="s">
        <v>260</v>
      </c>
      <c r="C60" s="276" t="s">
        <v>261</v>
      </c>
      <c r="D60" s="276">
        <v>2026</v>
      </c>
      <c r="E60" s="276">
        <v>2027</v>
      </c>
      <c r="F60" s="276">
        <v>2028</v>
      </c>
      <c r="G60" s="276">
        <v>2029</v>
      </c>
      <c r="H60" s="276">
        <v>2030</v>
      </c>
      <c r="I60" s="276">
        <v>2031</v>
      </c>
      <c r="J60" s="276">
        <v>2032</v>
      </c>
      <c r="K60" s="276">
        <v>2033</v>
      </c>
      <c r="L60" s="276">
        <v>2034</v>
      </c>
      <c r="R60" s="19"/>
    </row>
    <row r="61" spans="1:23" outlineLevel="1" x14ac:dyDescent="0.35">
      <c r="A61" s="19" t="s">
        <v>184</v>
      </c>
      <c r="B61" s="19" t="s">
        <v>263</v>
      </c>
      <c r="C61" t="s">
        <v>264</v>
      </c>
      <c r="D61" s="18"/>
      <c r="E61" s="18"/>
      <c r="F61" s="18"/>
      <c r="G61" s="18"/>
      <c r="H61" s="18"/>
      <c r="I61" s="18"/>
      <c r="J61" s="18"/>
      <c r="K61" s="18"/>
      <c r="L61" s="18"/>
      <c r="N61" s="18"/>
      <c r="O61" s="18"/>
      <c r="P61" s="18"/>
      <c r="Q61" s="18"/>
      <c r="R61" s="18"/>
      <c r="S61" s="18"/>
      <c r="W61" s="18"/>
    </row>
    <row r="62" spans="1:23" outlineLevel="1" x14ac:dyDescent="0.35">
      <c r="A62" s="19"/>
      <c r="B62" s="19"/>
      <c r="C62" t="s">
        <v>265</v>
      </c>
      <c r="D62" s="18"/>
      <c r="E62" s="18"/>
      <c r="F62" s="18"/>
      <c r="G62" s="18"/>
      <c r="H62" s="18"/>
      <c r="I62" s="18"/>
      <c r="J62" s="18"/>
      <c r="K62" s="18"/>
      <c r="L62" s="18"/>
      <c r="N62" s="18"/>
      <c r="O62" s="18"/>
      <c r="P62" s="18"/>
      <c r="Q62" s="18"/>
      <c r="R62" s="18"/>
      <c r="S62" s="18"/>
      <c r="W62" s="18"/>
    </row>
    <row r="63" spans="1:23" outlineLevel="1" x14ac:dyDescent="0.35">
      <c r="A63" s="19"/>
      <c r="B63" s="19" t="s">
        <v>266</v>
      </c>
      <c r="C63" t="s">
        <v>264</v>
      </c>
      <c r="D63" s="18">
        <v>3</v>
      </c>
      <c r="E63" s="18">
        <v>1</v>
      </c>
      <c r="F63" s="18">
        <v>3</v>
      </c>
      <c r="G63" s="18"/>
      <c r="H63" s="18">
        <v>1</v>
      </c>
      <c r="I63" s="18"/>
      <c r="J63" s="18">
        <v>4</v>
      </c>
      <c r="K63" s="18">
        <v>7</v>
      </c>
      <c r="L63" s="18">
        <v>6</v>
      </c>
      <c r="N63" s="18"/>
      <c r="O63" s="18"/>
      <c r="P63" s="18"/>
      <c r="Q63" s="18"/>
      <c r="R63" s="18"/>
      <c r="S63" s="18"/>
      <c r="W63" s="18"/>
    </row>
    <row r="64" spans="1:23" outlineLevel="1" x14ac:dyDescent="0.35">
      <c r="A64" s="274"/>
      <c r="B64" s="19"/>
      <c r="C64" t="s">
        <v>265</v>
      </c>
      <c r="D64" s="18">
        <v>15</v>
      </c>
      <c r="E64" s="18">
        <v>73</v>
      </c>
      <c r="F64" s="18">
        <v>42</v>
      </c>
      <c r="G64" s="18">
        <v>2</v>
      </c>
      <c r="H64" s="18">
        <v>7</v>
      </c>
      <c r="I64" s="18">
        <v>11</v>
      </c>
      <c r="J64" s="18">
        <v>15</v>
      </c>
      <c r="K64" s="18">
        <v>35</v>
      </c>
      <c r="L64" s="18">
        <v>18</v>
      </c>
      <c r="N64" s="18"/>
      <c r="O64" s="18"/>
      <c r="P64" s="18"/>
      <c r="Q64" s="18"/>
      <c r="R64" s="18"/>
      <c r="S64" s="18"/>
      <c r="W64" s="18"/>
    </row>
    <row r="65" spans="1:23" outlineLevel="1" x14ac:dyDescent="0.35">
      <c r="A65" s="19" t="s">
        <v>229</v>
      </c>
      <c r="B65" s="19" t="s">
        <v>263</v>
      </c>
      <c r="C65" t="s">
        <v>264</v>
      </c>
      <c r="D65" s="18"/>
      <c r="E65" s="18"/>
      <c r="F65" s="18"/>
      <c r="G65" s="18"/>
      <c r="H65" s="18"/>
      <c r="I65" s="18"/>
      <c r="J65" s="18"/>
      <c r="K65" s="18"/>
      <c r="L65" s="18"/>
      <c r="N65" s="18"/>
      <c r="O65" s="18"/>
      <c r="P65" s="18"/>
      <c r="Q65" s="18"/>
      <c r="R65" s="18"/>
      <c r="S65" s="18"/>
      <c r="W65" s="18"/>
    </row>
    <row r="66" spans="1:23" outlineLevel="1" x14ac:dyDescent="0.35">
      <c r="A66" s="19"/>
      <c r="B66" s="19"/>
      <c r="C66" t="s">
        <v>265</v>
      </c>
      <c r="D66" s="18"/>
      <c r="E66" s="18"/>
      <c r="F66" s="18"/>
      <c r="G66" s="18"/>
      <c r="H66" s="18"/>
      <c r="I66" s="18"/>
      <c r="J66" s="18"/>
      <c r="K66" s="18"/>
      <c r="L66" s="18"/>
      <c r="N66" s="18"/>
      <c r="O66" s="18"/>
      <c r="P66" s="18"/>
      <c r="Q66" s="18"/>
      <c r="R66" s="18"/>
      <c r="S66" s="18"/>
      <c r="W66" s="18"/>
    </row>
    <row r="67" spans="1:23" outlineLevel="1" x14ac:dyDescent="0.35">
      <c r="A67" s="19"/>
      <c r="B67" s="19" t="s">
        <v>266</v>
      </c>
      <c r="C67" t="s">
        <v>264</v>
      </c>
      <c r="D67" s="18">
        <v>33</v>
      </c>
      <c r="E67" s="18">
        <v>64</v>
      </c>
      <c r="F67" s="18">
        <v>111</v>
      </c>
      <c r="G67" s="18">
        <v>150</v>
      </c>
      <c r="H67" s="18">
        <v>11</v>
      </c>
      <c r="I67" s="18">
        <v>81</v>
      </c>
      <c r="J67" s="18">
        <v>126</v>
      </c>
      <c r="K67" s="18">
        <v>111</v>
      </c>
      <c r="L67" s="18">
        <v>266</v>
      </c>
      <c r="N67" s="18"/>
      <c r="O67" s="18"/>
      <c r="P67" s="18"/>
      <c r="Q67" s="18"/>
      <c r="R67" s="18"/>
      <c r="S67" s="18"/>
      <c r="W67" s="18"/>
    </row>
    <row r="68" spans="1:23" outlineLevel="1" x14ac:dyDescent="0.35">
      <c r="A68" s="274"/>
      <c r="B68" s="19"/>
      <c r="C68" t="s">
        <v>265</v>
      </c>
      <c r="D68" s="18">
        <v>4193</v>
      </c>
      <c r="E68" s="18">
        <v>7798</v>
      </c>
      <c r="F68" s="18">
        <v>15657</v>
      </c>
      <c r="G68" s="18">
        <v>11900</v>
      </c>
      <c r="H68" s="18">
        <v>1556</v>
      </c>
      <c r="I68" s="18">
        <v>6807</v>
      </c>
      <c r="J68" s="18">
        <v>6174</v>
      </c>
      <c r="K68" s="18">
        <v>17193</v>
      </c>
      <c r="L68" s="18">
        <v>31361</v>
      </c>
      <c r="N68" s="18"/>
      <c r="O68" s="18"/>
      <c r="P68" s="18"/>
      <c r="Q68" s="18"/>
      <c r="R68" s="18"/>
      <c r="S68" s="18"/>
      <c r="W68" s="18"/>
    </row>
    <row r="69" spans="1:23" outlineLevel="1" x14ac:dyDescent="0.35">
      <c r="A69" s="19" t="s">
        <v>267</v>
      </c>
      <c r="B69" s="19" t="s">
        <v>263</v>
      </c>
      <c r="C69" t="s">
        <v>264</v>
      </c>
      <c r="D69" s="18"/>
      <c r="E69" s="18"/>
      <c r="F69" s="18"/>
      <c r="G69" s="18"/>
      <c r="H69" s="18"/>
      <c r="I69" s="18"/>
      <c r="J69" s="18"/>
      <c r="K69" s="18"/>
      <c r="L69" s="18"/>
      <c r="N69" s="18"/>
      <c r="O69" s="18"/>
      <c r="P69" s="18"/>
      <c r="Q69" s="18"/>
      <c r="R69" s="18"/>
      <c r="S69" s="18"/>
      <c r="W69" s="18"/>
    </row>
    <row r="70" spans="1:23" outlineLevel="1" x14ac:dyDescent="0.35">
      <c r="A70" s="19"/>
      <c r="B70" s="19"/>
      <c r="C70" t="s">
        <v>265</v>
      </c>
      <c r="D70" s="18"/>
      <c r="E70" s="18"/>
      <c r="F70" s="18"/>
      <c r="G70" s="18"/>
      <c r="H70" s="18"/>
      <c r="I70" s="18"/>
      <c r="J70" s="18"/>
      <c r="K70" s="18"/>
      <c r="L70" s="18"/>
      <c r="N70" s="18"/>
      <c r="O70" s="18"/>
      <c r="P70" s="18"/>
      <c r="Q70" s="18"/>
      <c r="R70" s="18"/>
      <c r="S70" s="18"/>
      <c r="W70" s="18"/>
    </row>
    <row r="71" spans="1:23" outlineLevel="1" x14ac:dyDescent="0.35">
      <c r="A71" s="19"/>
      <c r="B71" s="19" t="s">
        <v>266</v>
      </c>
      <c r="C71" t="s">
        <v>264</v>
      </c>
      <c r="D71" s="18"/>
      <c r="E71" s="18"/>
      <c r="F71" s="18">
        <v>2</v>
      </c>
      <c r="G71" s="18"/>
      <c r="H71" s="18"/>
      <c r="I71" s="18"/>
      <c r="J71" s="18">
        <v>1</v>
      </c>
      <c r="K71" s="18"/>
      <c r="L71" s="18"/>
      <c r="N71" s="18"/>
      <c r="O71" s="18"/>
      <c r="P71" s="18"/>
      <c r="Q71" s="18"/>
      <c r="R71" s="18"/>
      <c r="S71" s="18"/>
      <c r="W71" s="18"/>
    </row>
    <row r="72" spans="1:23" outlineLevel="1" x14ac:dyDescent="0.35">
      <c r="A72" s="274"/>
      <c r="B72" s="19"/>
      <c r="C72" t="s">
        <v>265</v>
      </c>
      <c r="D72" s="18">
        <v>2</v>
      </c>
      <c r="E72" s="18">
        <v>2</v>
      </c>
      <c r="F72" s="18">
        <v>10</v>
      </c>
      <c r="G72" s="18">
        <v>5</v>
      </c>
      <c r="H72" s="18">
        <v>3</v>
      </c>
      <c r="I72" s="18">
        <v>4</v>
      </c>
      <c r="J72" s="18">
        <v>6</v>
      </c>
      <c r="K72" s="18">
        <v>1</v>
      </c>
      <c r="L72" s="18">
        <v>4</v>
      </c>
      <c r="N72" s="18"/>
      <c r="O72" s="18"/>
      <c r="P72" s="18"/>
      <c r="Q72" s="18"/>
      <c r="R72" s="18"/>
      <c r="S72" s="18"/>
      <c r="W72" s="18"/>
    </row>
    <row r="73" spans="1:23" outlineLevel="1" x14ac:dyDescent="0.35">
      <c r="A73" s="275" t="s">
        <v>262</v>
      </c>
      <c r="B73" s="275"/>
      <c r="C73" s="275"/>
      <c r="D73" s="278">
        <v>4246</v>
      </c>
      <c r="E73" s="278">
        <v>7938</v>
      </c>
      <c r="F73" s="278">
        <v>15825</v>
      </c>
      <c r="G73" s="278">
        <v>12057</v>
      </c>
      <c r="H73" s="278">
        <v>1578</v>
      </c>
      <c r="I73" s="278">
        <v>6903</v>
      </c>
      <c r="J73" s="278">
        <v>6326</v>
      </c>
      <c r="K73" s="278">
        <v>17347</v>
      </c>
      <c r="L73" s="278">
        <v>31655</v>
      </c>
      <c r="N73" s="18"/>
      <c r="O73" s="18"/>
      <c r="P73" s="18"/>
      <c r="Q73" s="18"/>
      <c r="R73" s="366"/>
      <c r="S73" s="18"/>
      <c r="W73" s="18"/>
    </row>
    <row r="74" spans="1:23" ht="18.5" x14ac:dyDescent="0.45">
      <c r="A74" s="199"/>
      <c r="C74" s="219"/>
    </row>
    <row r="75" spans="1:23" x14ac:dyDescent="0.35">
      <c r="C75" t="s">
        <v>270</v>
      </c>
      <c r="D75" s="53" t="s">
        <v>271</v>
      </c>
      <c r="E75" s="53" t="s">
        <v>271</v>
      </c>
      <c r="F75" s="53" t="s">
        <v>271</v>
      </c>
      <c r="G75" s="53" t="s">
        <v>271</v>
      </c>
      <c r="H75" s="53" t="s">
        <v>271</v>
      </c>
      <c r="I75" s="53" t="s">
        <v>271</v>
      </c>
      <c r="J75" s="53" t="s">
        <v>271</v>
      </c>
      <c r="K75" s="53" t="s">
        <v>271</v>
      </c>
      <c r="L75" s="53" t="s">
        <v>271</v>
      </c>
      <c r="M75" s="53" t="s">
        <v>271</v>
      </c>
      <c r="N75" s="53" t="s">
        <v>271</v>
      </c>
      <c r="O75" s="53" t="s">
        <v>271</v>
      </c>
      <c r="P75" s="53" t="s">
        <v>271</v>
      </c>
      <c r="Q75" s="53" t="s">
        <v>271</v>
      </c>
      <c r="R75" s="53" t="s">
        <v>271</v>
      </c>
      <c r="W75" s="122"/>
    </row>
    <row r="76" spans="1:23" x14ac:dyDescent="0.35">
      <c r="A76" t="s">
        <v>272</v>
      </c>
      <c r="B76" t="s">
        <v>273</v>
      </c>
      <c r="C76" s="63">
        <f>MeterEnds!$I$9</f>
        <v>9.727626459143969E-2</v>
      </c>
      <c r="D76" s="68">
        <f>IF(MeterAndOrEndpoint="Endpoint",'0-Inputs'!$B$58*$C$76,0)</f>
        <v>0</v>
      </c>
      <c r="E76" s="68">
        <f>IF(MeterAndOrEndpoint="Endpoint",'0-Inputs'!$B$62*$C76,0)</f>
        <v>0</v>
      </c>
      <c r="F76" s="68">
        <f>IF(MeterAndOrEndpoint="Endpoint",'0-Inputs'!$B$66*$C76,0)</f>
        <v>0</v>
      </c>
      <c r="G76" s="68">
        <f>IF(MeterAndOrEndpoint="Endpoint",'0-Inputs'!$B$70*$C76,0)</f>
        <v>0</v>
      </c>
      <c r="H76" s="68">
        <f>IF(MeterAndOrEndpoint="Endpoint",'0-Inputs'!$B$74*$C76,0)</f>
        <v>0</v>
      </c>
      <c r="I76" s="68">
        <f>IF(MeterAndOrEndpoint="Endpoint",'0-Inputs'!$B$78*$C76,0)</f>
        <v>0</v>
      </c>
      <c r="J76" s="68">
        <f>IF(MeterAndOrEndpoint="Endpoint",'0-Inputs'!$B$82*$C76,0)</f>
        <v>0</v>
      </c>
      <c r="K76" s="68">
        <f>IF(MeterAndOrEndpoint="Endpoint",'0-Inputs'!$B$86*$C76,0)</f>
        <v>0</v>
      </c>
      <c r="L76" s="68">
        <f>IF(MeterAndOrEndpoint="Endpoint",'0-Inputs'!$B$90*$C76,0)</f>
        <v>0</v>
      </c>
      <c r="M76" s="68">
        <f>IF(MeterAndOrEndpoint="Endpoint",'0-Inputs'!$B$94*$C76,0)</f>
        <v>0</v>
      </c>
      <c r="N76" s="68">
        <f>IF(MeterAndOrEndpoint="Endpoint",'0-Inputs'!$B$98*$C76,0)</f>
        <v>0</v>
      </c>
      <c r="O76" s="68">
        <f>IF(MeterAndOrEndpoint="Endpoint",'0-Inputs'!$B$102*$C76,0)</f>
        <v>0</v>
      </c>
      <c r="P76" s="68">
        <f>IF(MeterAndOrEndpoint="Endpoint",'0-Inputs'!$B$106*$C76,0)</f>
        <v>0</v>
      </c>
      <c r="Q76" s="68">
        <f>IF(MeterAndOrEndpoint="Endpoint",'0-Inputs'!$B$110*$C76,0)</f>
        <v>0</v>
      </c>
      <c r="R76" s="68">
        <f>IF(MeterAndOrEndpoint="Endpoint",'0-Inputs'!$B$114*$C76,0)</f>
        <v>0</v>
      </c>
      <c r="S76" s="21"/>
      <c r="T76" s="21"/>
      <c r="U76" s="21"/>
      <c r="V76" s="21"/>
      <c r="W76" s="346"/>
    </row>
    <row r="77" spans="1:23" x14ac:dyDescent="0.35">
      <c r="B77" t="s">
        <v>274</v>
      </c>
      <c r="C77" s="63">
        <f>1-C76</f>
        <v>0.90272373540856032</v>
      </c>
      <c r="D77" s="68">
        <f>IF(MeterAndOrEndpoint="Endpoint",'0-Inputs'!$B$58*$C$77,0)</f>
        <v>0</v>
      </c>
      <c r="E77" s="68">
        <f>IF(MeterAndOrEndpoint="Endpoint",'0-Inputs'!$B$62*$C77,0)</f>
        <v>0</v>
      </c>
      <c r="F77" s="68">
        <f>IF(MeterAndOrEndpoint="Endpoint",'0-Inputs'!$B$66*$C77,0)</f>
        <v>0</v>
      </c>
      <c r="G77" s="68">
        <f>IF(MeterAndOrEndpoint="Endpoint",'0-Inputs'!$B$70*$C77,0)</f>
        <v>0</v>
      </c>
      <c r="H77" s="68">
        <f>IF(MeterAndOrEndpoint="Endpoint",'0-Inputs'!$B$74*$C77,0)</f>
        <v>0</v>
      </c>
      <c r="I77" s="68">
        <f>IF(MeterAndOrEndpoint="Endpoint",'0-Inputs'!$B$78*$C77,0)</f>
        <v>0</v>
      </c>
      <c r="J77" s="68">
        <f>IF(MeterAndOrEndpoint="Endpoint",'0-Inputs'!$B$82*$C77,0)</f>
        <v>0</v>
      </c>
      <c r="K77" s="68">
        <f>IF(MeterAndOrEndpoint="Endpoint",'0-Inputs'!$B$86*$C77,0)</f>
        <v>0</v>
      </c>
      <c r="L77" s="68">
        <f>IF(MeterAndOrEndpoint="Endpoint",'0-Inputs'!$B$90*$C77,0)</f>
        <v>0</v>
      </c>
      <c r="M77" s="68">
        <f>IF(MeterAndOrEndpoint="Endpoint",'0-Inputs'!$B$94*$C77,0)</f>
        <v>0</v>
      </c>
      <c r="N77" s="68">
        <f>IF(MeterAndOrEndpoint="Endpoint",'0-Inputs'!$B$98*$C77,0)</f>
        <v>0</v>
      </c>
      <c r="O77" s="68">
        <f>IF(MeterAndOrEndpoint="Endpoint",'0-Inputs'!$B$102*$C77,0)</f>
        <v>0</v>
      </c>
      <c r="P77" s="68">
        <f>IF(MeterAndOrEndpoint="Endpoint",'0-Inputs'!$B$106*$C77,0)</f>
        <v>0</v>
      </c>
      <c r="Q77" s="68">
        <f>IF(MeterAndOrEndpoint="Endpoint",'0-Inputs'!$B$110*$C77,0)</f>
        <v>0</v>
      </c>
      <c r="R77" s="68">
        <f>IF(MeterAndOrEndpoint="Endpoint",'0-Inputs'!$B$114*$C77,0)</f>
        <v>0</v>
      </c>
      <c r="S77" s="21"/>
      <c r="T77" s="21"/>
      <c r="U77" s="21"/>
      <c r="V77" s="21"/>
      <c r="W77" s="346"/>
    </row>
    <row r="78" spans="1:23" x14ac:dyDescent="0.35">
      <c r="B78" t="s">
        <v>275</v>
      </c>
      <c r="C78" s="63">
        <f>MeterEnds!$I$9</f>
        <v>9.727626459143969E-2</v>
      </c>
      <c r="D78" s="68">
        <f>IF(MeterAndOrEndpoint="Meter and Endpoint",'0-Inputs'!$B$58*$C$78,0)</f>
        <v>0</v>
      </c>
      <c r="E78" s="68">
        <f>IF(MeterAndOrEndpoint="Meter and Endpoint",'0-Inputs'!$B$62*$C78,0)</f>
        <v>0</v>
      </c>
      <c r="F78" s="68">
        <f>IF(MeterAndOrEndpoint="Meter and Endpoint",'0-Inputs'!$B$66*$C78,0)</f>
        <v>0</v>
      </c>
      <c r="G78" s="68">
        <f>IF(MeterAndOrEndpoint="Meter and Endpoint",'0-Inputs'!$B$70*$C78,0)</f>
        <v>0</v>
      </c>
      <c r="H78" s="68">
        <f>IF(MeterAndOrEndpoint="Meter and Endpoint",'0-Inputs'!$B$74*$C78,0)</f>
        <v>0</v>
      </c>
      <c r="I78" s="68">
        <f>IF(MeterAndOrEndpoint="Meter and Endpoint",'0-Inputs'!$B$78*$C78,0)</f>
        <v>0</v>
      </c>
      <c r="J78" s="68">
        <f>IF(MeterAndOrEndpoint="Meter and Endpoint",'0-Inputs'!$B$82*$C78,0)</f>
        <v>0</v>
      </c>
      <c r="K78" s="68">
        <f>IF(MeterAndOrEndpoint="Meter and Endpoint",'0-Inputs'!$B$86*$C78,0)</f>
        <v>0</v>
      </c>
      <c r="L78" s="68">
        <f>IF(MeterAndOrEndpoint="Meter and Endpoint",'0-Inputs'!$B$90*$C78,0)</f>
        <v>0</v>
      </c>
      <c r="M78" s="68">
        <f>IF(MeterAndOrEndpoint="Meter and Endpoint",'0-Inputs'!$B$94*$C78,0)</f>
        <v>0</v>
      </c>
      <c r="N78" s="68">
        <f>IF(MeterAndOrEndpoint="Meter and Endpoint",'0-Inputs'!$B$98*$C78,0)</f>
        <v>0</v>
      </c>
      <c r="O78" s="68">
        <f>IF(MeterAndOrEndpoint="Meter and Endpoint",'0-Inputs'!$B$102*$C78,0)</f>
        <v>0</v>
      </c>
      <c r="P78" s="68">
        <f>IF(MeterAndOrEndpoint="Meter and Endpoint",'0-Inputs'!$B$106*$C78,0)</f>
        <v>0</v>
      </c>
      <c r="Q78" s="68">
        <f>IF(MeterAndOrEndpoint="Meter and Endpoint",'0-Inputs'!$B$110*$C78,0)</f>
        <v>0</v>
      </c>
      <c r="R78" s="68">
        <f>IF(MeterAndOrEndpoint="Meter and Endpoint",'0-Inputs'!$B$114*$C78,0)</f>
        <v>0</v>
      </c>
      <c r="S78" s="21"/>
      <c r="T78" s="21"/>
      <c r="U78" s="21"/>
      <c r="V78" s="21"/>
      <c r="W78" s="346"/>
    </row>
    <row r="79" spans="1:23" x14ac:dyDescent="0.35">
      <c r="B79" t="s">
        <v>276</v>
      </c>
      <c r="C79" s="63">
        <f>1-C78</f>
        <v>0.90272373540856032</v>
      </c>
      <c r="D79" s="68">
        <f>IF(MeterAndOrEndpoint="Meter and Endpoint",'0-Inputs'!$B$58*$C$79,0)</f>
        <v>0</v>
      </c>
      <c r="E79" s="68">
        <f>IF(MeterAndOrEndpoint="Meter and Endpoint",'0-Inputs'!$B$62*$C79,0)</f>
        <v>0</v>
      </c>
      <c r="F79" s="68">
        <f>IF(MeterAndOrEndpoint="Meter and Endpoint",'0-Inputs'!$B$66*$C79,0)</f>
        <v>0</v>
      </c>
      <c r="G79" s="68">
        <f>IF(MeterAndOrEndpoint="Meter and Endpoint",'0-Inputs'!$B$70*$C79,0)</f>
        <v>0</v>
      </c>
      <c r="H79" s="68">
        <f>IF(MeterAndOrEndpoint="Meter and Endpoint",'0-Inputs'!$B$74*$C79,0)</f>
        <v>0</v>
      </c>
      <c r="I79" s="68">
        <f>IF(MeterAndOrEndpoint="Meter and Endpoint",'0-Inputs'!$B$78*$C79,0)</f>
        <v>0</v>
      </c>
      <c r="J79" s="68">
        <f>IF(MeterAndOrEndpoint="Meter and Endpoint",'0-Inputs'!$B$82*$C79,0)</f>
        <v>0</v>
      </c>
      <c r="K79" s="68">
        <f>IF(MeterAndOrEndpoint="Meter and Endpoint",'0-Inputs'!$B$86*$C79,0)</f>
        <v>0</v>
      </c>
      <c r="L79" s="68">
        <f>IF(MeterAndOrEndpoint="Meter and Endpoint",'0-Inputs'!$B$90*$C79,0)</f>
        <v>0</v>
      </c>
      <c r="M79" s="68">
        <f>IF(MeterAndOrEndpoint="Meter and Endpoint",'0-Inputs'!$B$94*$C79,0)</f>
        <v>0</v>
      </c>
      <c r="N79" s="68">
        <f>IF(MeterAndOrEndpoint="Meter and Endpoint",'0-Inputs'!$B$98*$C79,0)</f>
        <v>0</v>
      </c>
      <c r="O79" s="68">
        <f>IF(MeterAndOrEndpoint="Meter and Endpoint",'0-Inputs'!$B$102*$C79,0)</f>
        <v>0</v>
      </c>
      <c r="P79" s="68">
        <f>IF(MeterAndOrEndpoint="Meter and Endpoint",'0-Inputs'!$B$106*$C79,0)</f>
        <v>0</v>
      </c>
      <c r="Q79" s="68">
        <f>IF(MeterAndOrEndpoint="Meter and Endpoint",'0-Inputs'!$B$110*$C79,0)</f>
        <v>0</v>
      </c>
      <c r="R79" s="68">
        <f>IF(MeterAndOrEndpoint="Meter and Endpoint",'0-Inputs'!$B$114*$C79,0)</f>
        <v>0</v>
      </c>
      <c r="S79" s="21"/>
      <c r="T79" s="21"/>
      <c r="U79" s="21"/>
      <c r="V79" s="21"/>
      <c r="W79" s="346"/>
    </row>
    <row r="80" spans="1:23" x14ac:dyDescent="0.35">
      <c r="A80" t="s">
        <v>277</v>
      </c>
      <c r="B80" t="s">
        <v>273</v>
      </c>
      <c r="C80" s="63">
        <f>MeterEnds!$I$8</f>
        <v>9.2317791076877952E-3</v>
      </c>
      <c r="D80" s="68">
        <f>IF(MeterAndOrEndpoint="Endpoint",'0-Inputs'!$B$59*$C80,0)</f>
        <v>0</v>
      </c>
      <c r="E80" s="68">
        <f>IF(MeterAndOrEndpoint="Endpoint",'0-Inputs'!$B$63*$C80,0)</f>
        <v>0</v>
      </c>
      <c r="F80" s="68">
        <f>IF(MeterAndOrEndpoint="Endpoint",'0-Inputs'!$B$67*$C80,0)</f>
        <v>0</v>
      </c>
      <c r="G80" s="68">
        <f>IF(MeterAndOrEndpoint="Endpoint",'0-Inputs'!$B$71*$C80,0)</f>
        <v>0</v>
      </c>
      <c r="H80" s="68">
        <f>IF(MeterAndOrEndpoint="Endpoint",'0-Inputs'!$B$75*$C80,0)</f>
        <v>0</v>
      </c>
      <c r="I80" s="68">
        <f>IF(MeterAndOrEndpoint="Endpoint",'0-Inputs'!$B$79*$C80,0)</f>
        <v>0</v>
      </c>
      <c r="J80" s="68">
        <f>IF(MeterAndOrEndpoint="Endpoint",'0-Inputs'!$B$83*$C80,0)</f>
        <v>0</v>
      </c>
      <c r="K80" s="68">
        <f>IF(MeterAndOrEndpoint="Endpoint",'0-Inputs'!$B$87*$C80,0)</f>
        <v>0</v>
      </c>
      <c r="L80" s="68">
        <f>IF(MeterAndOrEndpoint="Endpoint",'0-Inputs'!$B$91*$C80,0)</f>
        <v>0</v>
      </c>
      <c r="M80" s="68">
        <f>IF(MeterAndOrEndpoint="Endpoint",'0-Inputs'!$B$95*$C80,0)</f>
        <v>0</v>
      </c>
      <c r="N80" s="68">
        <f>IF(MeterAndOrEndpoint="Endpoint",'0-Inputs'!$B$99*$C80,0)</f>
        <v>0</v>
      </c>
      <c r="O80" s="68">
        <f>IF(MeterAndOrEndpoint="Endpoint",'0-Inputs'!$B$103*$C80,0)</f>
        <v>0</v>
      </c>
      <c r="P80" s="68">
        <f>IF(MeterAndOrEndpoint="Endpoint",'0-Inputs'!$B$107*$C80,0)</f>
        <v>0</v>
      </c>
      <c r="Q80" s="68">
        <f>IF(MeterAndOrEndpoint="Endpoint",'0-Inputs'!$B$111*$C80,0)</f>
        <v>0</v>
      </c>
      <c r="R80" s="68">
        <f>IF(MeterAndOrEndpoint="Endpoint",'0-Inputs'!$B$115*$C80,0)</f>
        <v>0</v>
      </c>
      <c r="S80" s="21"/>
      <c r="T80" s="21"/>
      <c r="U80" s="21"/>
      <c r="V80" s="21"/>
      <c r="W80" s="346"/>
    </row>
    <row r="81" spans="1:23" x14ac:dyDescent="0.35">
      <c r="B81" t="s">
        <v>274</v>
      </c>
      <c r="C81" s="63">
        <f>1-C80</f>
        <v>0.9907682208923122</v>
      </c>
      <c r="D81" s="68">
        <f>IF(MeterAndOrEndpoint="Endpoint",'0-Inputs'!$B$59*$C81,0)</f>
        <v>0</v>
      </c>
      <c r="E81" s="68">
        <f>IF(MeterAndOrEndpoint="Endpoint",'0-Inputs'!$B$63*$C81,0)</f>
        <v>0</v>
      </c>
      <c r="F81" s="68">
        <f>IF(MeterAndOrEndpoint="Endpoint",'0-Inputs'!$B$67*$C81,0)</f>
        <v>0</v>
      </c>
      <c r="G81" s="68">
        <f>IF(MeterAndOrEndpoint="Endpoint",'0-Inputs'!$B$71*$C81,0)</f>
        <v>0</v>
      </c>
      <c r="H81" s="92">
        <f>IF(MeterAndOrEndpoint="Endpoint",'0-Inputs'!$B$75*$C81,0)</f>
        <v>0</v>
      </c>
      <c r="I81" s="68">
        <f>IF(MeterAndOrEndpoint="Endpoint",'0-Inputs'!$B$79*$C81,0)</f>
        <v>0</v>
      </c>
      <c r="J81" s="68">
        <f>IF(MeterAndOrEndpoint="Endpoint",'0-Inputs'!$B$83*$C81,0)</f>
        <v>0</v>
      </c>
      <c r="K81" s="68">
        <f>IF(MeterAndOrEndpoint="Endpoint",'0-Inputs'!$B$87*$C81,0)</f>
        <v>0</v>
      </c>
      <c r="L81" s="68">
        <f>IF(MeterAndOrEndpoint="Endpoint",'0-Inputs'!$B$91*$C81,0)</f>
        <v>0</v>
      </c>
      <c r="M81" s="68">
        <f>IF(MeterAndOrEndpoint="Endpoint",'0-Inputs'!$B$95*$C81,0)</f>
        <v>0</v>
      </c>
      <c r="N81" s="68">
        <f>IF(MeterAndOrEndpoint="Endpoint",'0-Inputs'!$B$99*$C81,0)</f>
        <v>0</v>
      </c>
      <c r="O81" s="68">
        <f>IF(MeterAndOrEndpoint="Endpoint",'0-Inputs'!$B$103*$C81,0)</f>
        <v>0</v>
      </c>
      <c r="P81" s="68">
        <f>IF(MeterAndOrEndpoint="Endpoint",'0-Inputs'!$B$107*$C81,0)</f>
        <v>0</v>
      </c>
      <c r="Q81" s="68">
        <f>IF(MeterAndOrEndpoint="Endpoint",'0-Inputs'!$B$111*$C81,0)</f>
        <v>0</v>
      </c>
      <c r="R81" s="68">
        <f>IF(MeterAndOrEndpoint="Endpoint",'0-Inputs'!$B$115*$C81,0)</f>
        <v>0</v>
      </c>
      <c r="S81" s="21"/>
      <c r="T81" s="21"/>
      <c r="U81" s="21"/>
      <c r="V81" s="21"/>
      <c r="W81" s="346"/>
    </row>
    <row r="82" spans="1:23" x14ac:dyDescent="0.35">
      <c r="B82" t="s">
        <v>275</v>
      </c>
      <c r="C82" s="63">
        <f>MeterEnds!$I$8</f>
        <v>9.2317791076877952E-3</v>
      </c>
      <c r="D82" s="68">
        <f>IF(MeterAndOrEndpoint="Meter and Endpoint",'0-Inputs'!$B$59*$C82,0)</f>
        <v>120.01312839994134</v>
      </c>
      <c r="E82" s="68">
        <f>IF(MeterAndOrEndpoint="Meter and Endpoint",'0-Inputs'!$B$63*$C82,0)</f>
        <v>98.087653019182824</v>
      </c>
      <c r="F82" s="68">
        <f>IF(MeterAndOrEndpoint="Meter and Endpoint",'0-Inputs'!$B$67*$C82,0)</f>
        <v>0</v>
      </c>
      <c r="G82" s="68">
        <f>IF(MeterAndOrEndpoint="Meter and Endpoint",'0-Inputs'!$B$71*$C82,0)</f>
        <v>0</v>
      </c>
      <c r="H82" s="68">
        <f>IF(MeterAndOrEndpoint="Meter and Endpoint",'0-Inputs'!$B$71*$C82,0)</f>
        <v>0</v>
      </c>
      <c r="I82" s="68">
        <f>IF(MeterAndOrEndpoint="Meter and Endpoint",'0-Inputs'!$B$79*$C82,0)</f>
        <v>0</v>
      </c>
      <c r="J82" s="68">
        <f>IF(MeterAndOrEndpoint="Meter and Endpoint",'0-Inputs'!$B$83*$C82,0)</f>
        <v>0</v>
      </c>
      <c r="K82" s="68">
        <f>IF(MeterAndOrEndpoint="Meter and Endpoint",'0-Inputs'!$B$87*$C82,0)</f>
        <v>0</v>
      </c>
      <c r="L82" s="68">
        <f>IF(MeterAndOrEndpoint="Meter and Endpoint",'0-Inputs'!$B$91*$C82,0)</f>
        <v>0</v>
      </c>
      <c r="M82" s="68">
        <f>IF(MeterAndOrEndpoint="Meter and Endpoint",'0-Inputs'!$B$95*$C82,0)</f>
        <v>147.70846572300474</v>
      </c>
      <c r="N82" s="68">
        <f>IF(MeterAndOrEndpoint="Meter and Endpoint",'0-Inputs'!$B$99*$C82,0)</f>
        <v>0</v>
      </c>
      <c r="O82" s="68">
        <f>IF(MeterAndOrEndpoint="Meter and Endpoint",'0-Inputs'!$B$103*$C82,0)</f>
        <v>0</v>
      </c>
      <c r="P82" s="68">
        <f>IF(MeterAndOrEndpoint="Meter and Endpoint",'0-Inputs'!$B$107*$C82,0)</f>
        <v>0</v>
      </c>
      <c r="Q82" s="68">
        <f>IF(MeterAndOrEndpoint="Meter and Endpoint",'0-Inputs'!$B$111*$C82,0)</f>
        <v>0</v>
      </c>
      <c r="R82" s="68">
        <f>IF(MeterAndOrEndpoint="Meter and Endpoint",'0-Inputs'!$B$115*$C82,0)</f>
        <v>0</v>
      </c>
      <c r="S82" s="21"/>
      <c r="T82" s="21"/>
      <c r="U82" s="21"/>
      <c r="V82" s="21"/>
      <c r="W82" s="346"/>
    </row>
    <row r="83" spans="1:23" x14ac:dyDescent="0.35">
      <c r="B83" t="s">
        <v>276</v>
      </c>
      <c r="C83" s="63">
        <f>1-C82</f>
        <v>0.9907682208923122</v>
      </c>
      <c r="D83" s="68">
        <f>IF(MeterAndOrEndpoint="Meter and Endpoint",'0-Inputs'!$B$59*$C83,0)</f>
        <v>12879.986871600058</v>
      </c>
      <c r="E83" s="68">
        <f>IF(MeterAndOrEndpoint="Meter and Endpoint",'0-Inputs'!$B$63*$C83,0)</f>
        <v>10526.912346980816</v>
      </c>
      <c r="F83" s="68">
        <f>IF(MeterAndOrEndpoint="Meter and Endpoint",'0-Inputs'!$B$67*$C83,0)</f>
        <v>0</v>
      </c>
      <c r="G83" s="68">
        <f>IF(MeterAndOrEndpoint="Meter and Endpoint",'0-Inputs'!$B$71*$C83,0)</f>
        <v>0</v>
      </c>
      <c r="H83" s="68">
        <f>IF(MeterAndOrEndpoint="Meter and Endpoint",'0-Inputs'!$B$75*$C83,0)</f>
        <v>0</v>
      </c>
      <c r="I83" s="68">
        <f>IF(MeterAndOrEndpoint="Meter and Endpoint",'0-Inputs'!$B$79*$C83,0)</f>
        <v>0</v>
      </c>
      <c r="J83" s="68">
        <f>IF(MeterAndOrEndpoint="Meter and Endpoint",'0-Inputs'!$B$83*$C83,0)</f>
        <v>0</v>
      </c>
      <c r="K83" s="68">
        <f>IF(MeterAndOrEndpoint="Meter and Endpoint",'0-Inputs'!$B$87*$C83,0)</f>
        <v>0</v>
      </c>
      <c r="L83" s="68">
        <f>IF(MeterAndOrEndpoint="Meter and Endpoint",'0-Inputs'!$B$91*$C83,0)</f>
        <v>0</v>
      </c>
      <c r="M83" s="68">
        <f>IF(MeterAndOrEndpoint="Meter and Endpoint",'0-Inputs'!$B$95*$C83,0)</f>
        <v>15852.291534276996</v>
      </c>
      <c r="N83" s="68">
        <f>IF(MeterAndOrEndpoint="Meter and Endpoint",'0-Inputs'!$B$99*$C83,0)</f>
        <v>0</v>
      </c>
      <c r="O83" s="68">
        <f>IF(MeterAndOrEndpoint="Meter and Endpoint",'0-Inputs'!$B$103*$C83,0)</f>
        <v>0</v>
      </c>
      <c r="P83" s="68">
        <f>IF(MeterAndOrEndpoint="Meter and Endpoint",'0-Inputs'!$B$107*$C83,0)</f>
        <v>0</v>
      </c>
      <c r="Q83" s="68">
        <f>IF(MeterAndOrEndpoint="Meter and Endpoint",'0-Inputs'!$B$111*$C83,0)</f>
        <v>0</v>
      </c>
      <c r="R83" s="68">
        <f>IF(MeterAndOrEndpoint="Meter and Endpoint",'0-Inputs'!$B$115*$C83,0)</f>
        <v>0</v>
      </c>
      <c r="S83" s="21"/>
      <c r="T83" s="21"/>
      <c r="U83" s="21"/>
      <c r="V83" s="21"/>
      <c r="W83" s="346"/>
    </row>
    <row r="84" spans="1:23" x14ac:dyDescent="0.35">
      <c r="A84" t="s">
        <v>278</v>
      </c>
      <c r="B84" t="s">
        <v>273</v>
      </c>
      <c r="C84" s="63">
        <f>MeterEnds!$I$7</f>
        <v>0</v>
      </c>
      <c r="D84" s="68">
        <f>IF(MeterAndOrEndpoint="Endpoint",'0-Inputs'!$B$60*$C84,0)</f>
        <v>0</v>
      </c>
      <c r="E84" s="68">
        <f>IF(MeterAndOrEndpoint="Endpoint",'0-Inputs'!$B$64*$C84,0)</f>
        <v>0</v>
      </c>
      <c r="F84" s="68">
        <f>IF(MeterAndOrEndpoint="Endpoint",'0-Inputs'!$B$68*$C84,0)</f>
        <v>0</v>
      </c>
      <c r="G84" s="68">
        <f>IF(MeterAndOrEndpoint="Endpoint",'0-Inputs'!$B$72*$C84,0)</f>
        <v>0</v>
      </c>
      <c r="H84" s="68">
        <f>IF(MeterAndOrEndpoint="Endpoint",'0-Inputs'!$B$76*$C84,0)</f>
        <v>0</v>
      </c>
      <c r="I84" s="68">
        <f>IF(MeterAndOrEndpoint="Endpoint",'0-Inputs'!$B$80*$C84,0)</f>
        <v>0</v>
      </c>
      <c r="J84" s="68">
        <f>IF(MeterAndOrEndpoint="Endpoint",'0-Inputs'!$B$84*$C84,0)</f>
        <v>0</v>
      </c>
      <c r="K84" s="68">
        <f>IF(MeterAndOrEndpoint="Endpoint",'0-Inputs'!$B$88*$C84,0)</f>
        <v>0</v>
      </c>
      <c r="L84" s="68">
        <f>IF(MeterAndOrEndpoint="Endpoint",'0-Inputs'!$B$92*$C84,0)</f>
        <v>0</v>
      </c>
      <c r="M84" s="68">
        <f>IF(MeterAndOrEndpoint="Endpoint",'0-Inputs'!$B$96*$C84,0)</f>
        <v>0</v>
      </c>
      <c r="N84" s="68">
        <f>IF(MeterAndOrEndpoint="Endpoint",'0-Inputs'!$B$100*$C84,0)</f>
        <v>0</v>
      </c>
      <c r="O84" s="68">
        <f>IF(MeterAndOrEndpoint="Endpoint",'0-Inputs'!$B$104*$C84,0)</f>
        <v>0</v>
      </c>
      <c r="P84" s="68">
        <f>IF(MeterAndOrEndpoint="Endpoint",'0-Inputs'!$B$108*$C84,0)</f>
        <v>0</v>
      </c>
      <c r="Q84" s="68">
        <f>IF(MeterAndOrEndpoint="Endpoint",'0-Inputs'!$B$112*$C84,0)</f>
        <v>0</v>
      </c>
      <c r="R84" s="68">
        <f>IF(MeterAndOrEndpoint="Endpoint",'0-Inputs'!$B$116*$C84,0)</f>
        <v>0</v>
      </c>
      <c r="S84" s="21"/>
      <c r="T84" s="21"/>
      <c r="U84" s="21"/>
      <c r="V84" s="21"/>
      <c r="W84" s="346"/>
    </row>
    <row r="85" spans="1:23" x14ac:dyDescent="0.35">
      <c r="B85" t="s">
        <v>274</v>
      </c>
      <c r="C85" s="63">
        <f>1-C84</f>
        <v>1</v>
      </c>
      <c r="D85" s="68">
        <f>IF(MeterAndOrEndpoint="Endpoint",'0-Inputs'!$B$60*$C85,0)</f>
        <v>0</v>
      </c>
      <c r="E85" s="68">
        <f>IF(MeterAndOrEndpoint="Endpoint",'0-Inputs'!$B$64*$C85,0)</f>
        <v>0</v>
      </c>
      <c r="F85" s="68">
        <f>IF(MeterAndOrEndpoint="Endpoint",'0-Inputs'!$B$68*$C85,0)</f>
        <v>0</v>
      </c>
      <c r="G85" s="68">
        <f>IF(MeterAndOrEndpoint="Endpoint",'0-Inputs'!$B$72*$C85,0)</f>
        <v>0</v>
      </c>
      <c r="H85" s="68">
        <f>IF(MeterAndOrEndpoint="Endpoint",'0-Inputs'!$B$76*$C85,0)</f>
        <v>0</v>
      </c>
      <c r="I85" s="68">
        <f>IF(MeterAndOrEndpoint="Endpoint",'0-Inputs'!$B$80*$C85,0)</f>
        <v>0</v>
      </c>
      <c r="J85" s="68">
        <f>IF(MeterAndOrEndpoint="Endpoint",'0-Inputs'!$B$84*$C85,0)</f>
        <v>0</v>
      </c>
      <c r="K85" s="68">
        <f>IF(MeterAndOrEndpoint="Endpoint",'0-Inputs'!$B$88*$C85,0)</f>
        <v>0</v>
      </c>
      <c r="L85" s="68">
        <f>IF(MeterAndOrEndpoint="Endpoint",'0-Inputs'!$B$92*$C85,0)</f>
        <v>0</v>
      </c>
      <c r="M85" s="68">
        <f>IF(MeterAndOrEndpoint="Endpoint",'0-Inputs'!$B$96*$C85,0)</f>
        <v>0</v>
      </c>
      <c r="N85" s="68">
        <f>IF(MeterAndOrEndpoint="Endpoint",'0-Inputs'!$B$100*$C85,0)</f>
        <v>0</v>
      </c>
      <c r="O85" s="68">
        <f>IF(MeterAndOrEndpoint="Endpoint",'0-Inputs'!$B$104*$C85,0)</f>
        <v>0</v>
      </c>
      <c r="P85" s="68">
        <f>IF(MeterAndOrEndpoint="Endpoint",'0-Inputs'!$B$108*$C85,0)</f>
        <v>0</v>
      </c>
      <c r="Q85" s="68">
        <f>IF(MeterAndOrEndpoint="Endpoint",'0-Inputs'!$B$112*$C85,0)</f>
        <v>0</v>
      </c>
      <c r="R85" s="68">
        <f>IF(MeterAndOrEndpoint="Endpoint",'0-Inputs'!$B$116*$C85,0)</f>
        <v>0</v>
      </c>
      <c r="S85" s="21"/>
      <c r="T85" s="21"/>
      <c r="U85" s="21"/>
      <c r="V85" s="21"/>
      <c r="W85" s="346"/>
    </row>
    <row r="86" spans="1:23" x14ac:dyDescent="0.35">
      <c r="B86" t="s">
        <v>275</v>
      </c>
      <c r="C86" s="63">
        <f>MeterEnds!$I$7</f>
        <v>0</v>
      </c>
      <c r="D86" s="68">
        <f>IF(MeterAndOrEndpoint="Meter and Endpoint",'0-Inputs'!$B$60*$C86,0)</f>
        <v>0</v>
      </c>
      <c r="E86" s="68">
        <f>IF(MeterAndOrEndpoint="Meter and Endpoint",'0-Inputs'!$B$64*$C86,0)</f>
        <v>0</v>
      </c>
      <c r="F86" s="68">
        <f>IF(MeterAndOrEndpoint="Meter and Endpoint",'0-Inputs'!$B$68*$C86,0)</f>
        <v>0</v>
      </c>
      <c r="G86" s="68">
        <f>IF(MeterAndOrEndpoint="Meter and Endpoint",'0-Inputs'!$B$72*$C86,0)</f>
        <v>0</v>
      </c>
      <c r="H86" s="68">
        <f>IF(MeterAndOrEndpoint="Meter and Endpoint",'0-Inputs'!$B$76*$C86,0)</f>
        <v>0</v>
      </c>
      <c r="I86" s="68">
        <f>IF(MeterAndOrEndpoint="Meter and Endpoint",'0-Inputs'!$B$80*$C86,0)</f>
        <v>0</v>
      </c>
      <c r="J86" s="68">
        <f>IF(MeterAndOrEndpoint="Meter and Endpoint",'0-Inputs'!$B$84*$C86,0)</f>
        <v>0</v>
      </c>
      <c r="K86" s="68">
        <f>IF(MeterAndOrEndpoint="Meter and Endpoint",'0-Inputs'!$B$88*$C86,0)</f>
        <v>0</v>
      </c>
      <c r="L86" s="68">
        <f>IF(MeterAndOrEndpoint="Meter and Endpoint",'0-Inputs'!$B$92*$C86,0)</f>
        <v>0</v>
      </c>
      <c r="M86" s="68">
        <f>IF(MeterAndOrEndpoint="Meter and Endpoint",'0-Inputs'!$B$96*$C86,0)</f>
        <v>0</v>
      </c>
      <c r="N86" s="68">
        <f>IF(MeterAndOrEndpoint="Meter and Endpoint",'0-Inputs'!$B$100*$C86,0)</f>
        <v>0</v>
      </c>
      <c r="O86" s="68">
        <f>IF(MeterAndOrEndpoint="Meter and Endpoint",'0-Inputs'!$B$104*$C86,0)</f>
        <v>0</v>
      </c>
      <c r="P86" s="68">
        <f>IF(MeterAndOrEndpoint="Meter and Endpoint",'0-Inputs'!$B$108*$C86,0)</f>
        <v>0</v>
      </c>
      <c r="Q86" s="68">
        <f>IF(MeterAndOrEndpoint="Meter and Endpoint",'0-Inputs'!$B$112*$C86,0)</f>
        <v>0</v>
      </c>
      <c r="R86" s="68">
        <f>IF(MeterAndOrEndpoint="Meter and Endpoint",'0-Inputs'!$B$116*$C86,0)</f>
        <v>0</v>
      </c>
      <c r="S86" s="21"/>
      <c r="T86" s="21"/>
      <c r="U86" s="21"/>
      <c r="V86" s="21"/>
      <c r="W86" s="346"/>
    </row>
    <row r="87" spans="1:23" x14ac:dyDescent="0.35">
      <c r="B87" t="s">
        <v>276</v>
      </c>
      <c r="C87" s="63">
        <f>1-C86</f>
        <v>1</v>
      </c>
      <c r="D87" s="68">
        <f>IF(MeterAndOrEndpoint="Meter and Endpoint",'0-Inputs'!$B$60*$C87,0)</f>
        <v>0</v>
      </c>
      <c r="E87" s="68">
        <f>IF(MeterAndOrEndpoint="Meter and Endpoint",'0-Inputs'!$B$64*$C87,0)</f>
        <v>0</v>
      </c>
      <c r="F87" s="68">
        <f>IF(MeterAndOrEndpoint="Meter and Endpoint",'0-Inputs'!$B$68*$C87,0)</f>
        <v>0</v>
      </c>
      <c r="G87" s="68">
        <f>IF(MeterAndOrEndpoint="Meter and Endpoint",'0-Inputs'!$B$72*$C87,0)</f>
        <v>0</v>
      </c>
      <c r="H87" s="68">
        <f>IF(MeterAndOrEndpoint="Meter and Endpoint",'0-Inputs'!$B$76*$C87,0)</f>
        <v>0</v>
      </c>
      <c r="I87" s="68">
        <f>IF(MeterAndOrEndpoint="Meter and Endpoint",'0-Inputs'!$B$80*$C87,0)</f>
        <v>0</v>
      </c>
      <c r="J87" s="68">
        <f>IF(MeterAndOrEndpoint="Meter and Endpoint",'0-Inputs'!$B$84*$C87,0)</f>
        <v>0</v>
      </c>
      <c r="K87" s="68">
        <f>IF(MeterAndOrEndpoint="Meter and Endpoint",'0-Inputs'!$B$88*$C87,0)</f>
        <v>0</v>
      </c>
      <c r="L87" s="68">
        <f>IF(MeterAndOrEndpoint="Meter and Endpoint",'0-Inputs'!$B$92*$C87,0)</f>
        <v>0</v>
      </c>
      <c r="M87" s="68">
        <f>IF(MeterAndOrEndpoint="Meter and Endpoint",'0-Inputs'!$B$96*$C87,0)</f>
        <v>0</v>
      </c>
      <c r="N87" s="68">
        <f>IF(MeterAndOrEndpoint="Meter and Endpoint",'0-Inputs'!$B$100*$C87,0)</f>
        <v>0</v>
      </c>
      <c r="O87" s="68">
        <f>IF(MeterAndOrEndpoint="Meter and Endpoint",'0-Inputs'!$B$104*$C87,0)</f>
        <v>0</v>
      </c>
      <c r="P87" s="68">
        <f>IF(MeterAndOrEndpoint="Meter and Endpoint",'0-Inputs'!$B$108*$C87,0)</f>
        <v>0</v>
      </c>
      <c r="Q87" s="68">
        <f>IF(MeterAndOrEndpoint="Meter and Endpoint",'0-Inputs'!$B$112*$C87,0)</f>
        <v>0</v>
      </c>
      <c r="R87" s="68">
        <f>IF(MeterAndOrEndpoint="Meter and Endpoint",'0-Inputs'!$B$116*$C87,0)</f>
        <v>0</v>
      </c>
      <c r="S87" s="21"/>
      <c r="T87" s="21"/>
      <c r="U87" s="21"/>
      <c r="V87" s="21"/>
      <c r="W87" s="346"/>
    </row>
    <row r="88" spans="1:23" x14ac:dyDescent="0.35">
      <c r="C88" s="63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1"/>
      <c r="T88" s="21"/>
      <c r="U88" s="21"/>
      <c r="V88" s="21"/>
      <c r="W88" s="346"/>
    </row>
    <row r="90" spans="1:23" x14ac:dyDescent="0.35">
      <c r="A90" s="83"/>
      <c r="B90" s="25" t="s">
        <v>279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334"/>
    </row>
    <row r="91" spans="1:23" x14ac:dyDescent="0.35">
      <c r="A91" s="83" t="s">
        <v>280</v>
      </c>
      <c r="B91" t="str">
        <f>B2</f>
        <v>AMI</v>
      </c>
      <c r="D91" s="58">
        <f t="shared" ref="D91:W91" si="18">IF($B$2="Like",0,SUM(D69:D72))+IF(D$7&lt;=3,SUM(D84:D87),0)</f>
        <v>2</v>
      </c>
      <c r="E91" s="58">
        <f t="shared" si="18"/>
        <v>2</v>
      </c>
      <c r="F91" s="58">
        <f t="shared" si="18"/>
        <v>12</v>
      </c>
      <c r="G91" s="58">
        <f t="shared" si="18"/>
        <v>5</v>
      </c>
      <c r="H91" s="58">
        <f t="shared" si="18"/>
        <v>3</v>
      </c>
      <c r="I91" s="58">
        <f t="shared" si="18"/>
        <v>4</v>
      </c>
      <c r="J91" s="58">
        <f t="shared" si="18"/>
        <v>7</v>
      </c>
      <c r="K91" s="58">
        <f t="shared" si="18"/>
        <v>1</v>
      </c>
      <c r="L91" s="58">
        <f t="shared" si="18"/>
        <v>4</v>
      </c>
      <c r="M91" s="58">
        <f t="shared" si="18"/>
        <v>0</v>
      </c>
      <c r="N91" s="58">
        <f t="shared" si="18"/>
        <v>0</v>
      </c>
      <c r="O91" s="58">
        <f t="shared" si="18"/>
        <v>0</v>
      </c>
      <c r="P91" s="58">
        <f t="shared" si="18"/>
        <v>0</v>
      </c>
      <c r="Q91" s="58">
        <f t="shared" si="18"/>
        <v>0</v>
      </c>
      <c r="R91" s="58">
        <f t="shared" si="18"/>
        <v>0</v>
      </c>
      <c r="S91" s="58">
        <f t="shared" si="18"/>
        <v>0</v>
      </c>
      <c r="T91" s="58">
        <f t="shared" si="18"/>
        <v>0</v>
      </c>
      <c r="U91" s="58">
        <f t="shared" si="18"/>
        <v>0</v>
      </c>
      <c r="V91" s="58">
        <f t="shared" si="18"/>
        <v>0</v>
      </c>
      <c r="W91" s="335">
        <f t="shared" si="18"/>
        <v>0</v>
      </c>
    </row>
    <row r="92" spans="1:23" x14ac:dyDescent="0.35">
      <c r="A92" s="83" t="s">
        <v>281</v>
      </c>
      <c r="B92" t="str">
        <f>B2</f>
        <v>AMI</v>
      </c>
      <c r="D92" s="58">
        <f t="shared" ref="D92:W92" si="19">IF($B2="AMI",SUM(D65:D68)+SUM(D80:D83),0)</f>
        <v>17226</v>
      </c>
      <c r="E92" s="58">
        <f t="shared" si="19"/>
        <v>18487</v>
      </c>
      <c r="F92" s="58">
        <f t="shared" si="19"/>
        <v>15768</v>
      </c>
      <c r="G92" s="58">
        <f t="shared" si="19"/>
        <v>12050</v>
      </c>
      <c r="H92" s="58">
        <f t="shared" si="19"/>
        <v>1567</v>
      </c>
      <c r="I92" s="58">
        <f t="shared" si="19"/>
        <v>6888</v>
      </c>
      <c r="J92" s="58">
        <f t="shared" si="19"/>
        <v>6300</v>
      </c>
      <c r="K92" s="58">
        <f t="shared" si="19"/>
        <v>17304</v>
      </c>
      <c r="L92" s="58">
        <f t="shared" si="19"/>
        <v>31627</v>
      </c>
      <c r="M92" s="58">
        <f t="shared" si="19"/>
        <v>16000</v>
      </c>
      <c r="N92" s="58">
        <f t="shared" si="19"/>
        <v>0</v>
      </c>
      <c r="O92" s="58">
        <f t="shared" si="19"/>
        <v>0</v>
      </c>
      <c r="P92" s="58">
        <f t="shared" si="19"/>
        <v>0</v>
      </c>
      <c r="Q92" s="58">
        <f t="shared" si="19"/>
        <v>0</v>
      </c>
      <c r="R92" s="58">
        <f t="shared" si="19"/>
        <v>0</v>
      </c>
      <c r="S92" s="58">
        <f t="shared" si="19"/>
        <v>0</v>
      </c>
      <c r="T92" s="58">
        <f t="shared" si="19"/>
        <v>0</v>
      </c>
      <c r="U92" s="58">
        <f t="shared" si="19"/>
        <v>0</v>
      </c>
      <c r="V92" s="58">
        <f t="shared" si="19"/>
        <v>0</v>
      </c>
      <c r="W92" s="335">
        <f t="shared" si="19"/>
        <v>0</v>
      </c>
    </row>
    <row r="93" spans="1:23" x14ac:dyDescent="0.35"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334"/>
    </row>
    <row r="94" spans="1:23" x14ac:dyDescent="0.35">
      <c r="A94" s="100" t="s">
        <v>282</v>
      </c>
      <c r="B94" s="153" t="str">
        <f>'0-Inputs'!B21</f>
        <v>yes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334"/>
    </row>
    <row r="95" spans="1:23" x14ac:dyDescent="0.35">
      <c r="A95" s="100" t="s">
        <v>283</v>
      </c>
      <c r="B95" s="153">
        <f>'0-Inputs'!B22</f>
        <v>10</v>
      </c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334"/>
    </row>
    <row r="96" spans="1:23" x14ac:dyDescent="0.35">
      <c r="A96" s="100"/>
      <c r="B96" s="1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336"/>
    </row>
    <row r="97" spans="1:23" x14ac:dyDescent="0.35">
      <c r="A97" s="83" t="s">
        <v>184</v>
      </c>
      <c r="B97" t="s">
        <v>263</v>
      </c>
      <c r="C97" t="s">
        <v>264</v>
      </c>
      <c r="D97" s="21" cm="1">
        <f t="array" ref="D97">IF($B$94="no",0,IF(D$7&lt;=ROUND($B$95,0),0,INDEX($D61:D61,D$7-$B$95)+INDEX($D76:D76,D$7-$B$95)))</f>
        <v>0</v>
      </c>
      <c r="E97" s="21" cm="1">
        <f t="array" ref="E97">IF($B$94="no",0,IF(E$7&lt;=ROUND($B$95,0),0,INDEX($D61:E61,E$7-$B$95)+INDEX($D76:E76,E$7-$B$95)))</f>
        <v>0</v>
      </c>
      <c r="F97" s="21" cm="1">
        <f t="array" ref="F97">IF($B$94="no",0,IF(F$7&lt;=ROUND($B$95,0),0,INDEX($D61:F61,F$7-$B$95)+INDEX($D76:F76,F$7-$B$95)))</f>
        <v>0</v>
      </c>
      <c r="G97" s="21" cm="1">
        <f t="array" ref="G97">IF($B$94="no",0,IF(G$7&lt;=ROUND($B$95,0),0,INDEX($D61:G61,G$7-$B$95)+INDEX($D76:G76,G$7-$B$95)))</f>
        <v>0</v>
      </c>
      <c r="H97" s="21" cm="1">
        <f t="array" ref="H97">IF($B$94="no",0,IF(H$7&lt;=ROUND($B$95,0),0,INDEX($D61:H61,H$7-$B$95)+INDEX($D76:H76,H$7-$B$95)))</f>
        <v>0</v>
      </c>
      <c r="I97" s="21" cm="1">
        <f t="array" ref="I97">IF($B$94="no",0,IF(I$7&lt;=ROUND($B$95,0),0,INDEX($D61:I61,I$7-$B$95)+INDEX($D76:I76,I$7-$B$95)))</f>
        <v>0</v>
      </c>
      <c r="J97" s="21" cm="1">
        <f t="array" ref="J97">IF($B$94="no",0,IF(J$7&lt;=ROUND($B$95,0),0,INDEX($D61:J61,J$7-$B$95)+INDEX($D76:J76,J$7-$B$95)))</f>
        <v>0</v>
      </c>
      <c r="K97" s="21" cm="1">
        <f t="array" ref="K97">IF($B$94="no",0,IF(K$7&lt;=ROUND($B$95,0),0,INDEX($D61:K61,K$7-$B$95)+INDEX($D76:K76,K$7-$B$95)))</f>
        <v>0</v>
      </c>
      <c r="L97" s="21" cm="1">
        <f t="array" ref="L97">IF($B$94="no",0,IF(L$7&lt;=ROUND($B$95,0),0,INDEX($D61:L61,L$7-$B$95)+INDEX($D76:L76,L$7-$B$95)))</f>
        <v>0</v>
      </c>
      <c r="M97" s="21" cm="1">
        <f t="array" ref="M97">IF($B$94="no",0,IF(M$7&lt;=ROUND($B$95,0),0,INDEX($D61:M61,M$7-$B$95)+INDEX($D76:M76,M$7-$B$95)))</f>
        <v>0</v>
      </c>
      <c r="N97" s="21" cm="1">
        <f t="array" ref="N97">IF($B$94="no",0,IF(N$7&lt;=ROUND($B$95,0),0,INDEX($D61:N61,N$7-$B$95)+INDEX($D76:N76,N$7-$B$95)))</f>
        <v>0</v>
      </c>
      <c r="O97" s="21" cm="1">
        <f t="array" ref="O97">IF($B$94="no",0,IF(O$7&lt;=ROUND($B$95,0),0,INDEX($D61:O61,O$7-$B$95)+INDEX($D76:O76,O$7-$B$95)))</f>
        <v>0</v>
      </c>
      <c r="P97" s="21" cm="1">
        <f t="array" ref="P97">IF($B$94="no",0,IF(P$7&lt;=ROUND($B$95,0),0,INDEX($D61:P61,P$7-$B$95)+INDEX($D76:P76,P$7-$B$95)))</f>
        <v>0</v>
      </c>
      <c r="Q97" s="21" cm="1">
        <f t="array" ref="Q97">IF($B$94="no",0,IF(Q$7&lt;=ROUND($B$95,0),0,INDEX($D61:Q61,Q$7-$B$95)+INDEX($D76:Q76,Q$7-$B$95)))</f>
        <v>0</v>
      </c>
      <c r="R97" s="21" cm="1">
        <f t="array" ref="R97">IF($B$94="no",0,IF(R$7&lt;=ROUND($B$95,0),0,INDEX($D61:R61,R$7-$B$95)+INDEX($D76:R76,R$7-$B$95)))</f>
        <v>0</v>
      </c>
      <c r="S97" s="21" cm="1">
        <f t="array" ref="S97">IF($B$94="no",0,IF(S$7&lt;=ROUND($B$95,0),0,INDEX($D61:S61,S$7-$B$95)+INDEX($D76:S76,S$7-$B$95)))</f>
        <v>0</v>
      </c>
      <c r="T97" s="21" cm="1">
        <f t="array" ref="T97">IF($B$94="no",0,IF(T$7&lt;=ROUND($B$95,0),0,INDEX($D61:T61,T$7-$B$95)+INDEX($D76:T76,T$7-$B$95)))</f>
        <v>0</v>
      </c>
      <c r="U97" s="21" cm="1">
        <f t="array" ref="U97">IF($B$94="no",0,IF(U$7&lt;=ROUND($B$95,0),0,INDEX($D61:U61,U$7-$B$95)+INDEX($D76:U76,U$7-$B$95)))</f>
        <v>0</v>
      </c>
      <c r="V97" s="21" cm="1">
        <f t="array" ref="V97">IF($B$94="no",0,IF(V$7&lt;=ROUND($B$95,0),0,INDEX($D61:V61,V$7-$B$95)+INDEX($D76:V76,V$7-$B$95)))</f>
        <v>0</v>
      </c>
      <c r="W97" s="334" cm="1">
        <f t="array" ref="W97">IF($B$94="no",0,IF(W$7&lt;=ROUND($B$95,0),0,INDEX($D61:W61,W$7-$B$95)+INDEX($D76:W76,W$7-$B$95)))</f>
        <v>0</v>
      </c>
    </row>
    <row r="98" spans="1:23" x14ac:dyDescent="0.35">
      <c r="A98" s="83"/>
      <c r="C98" t="s">
        <v>265</v>
      </c>
      <c r="D98" s="21" cm="1">
        <f t="array" ref="D98">IF($B$94="no",0,IF(D$7&lt;=ROUND($B$95,0),0,INDEX($D62:D62,D$7-$B$95)+INDEX($D77:D77,D$7-$B$95)))</f>
        <v>0</v>
      </c>
      <c r="E98" s="21" cm="1">
        <f t="array" ref="E98">IF($B$94="no",0,IF(E$7&lt;=ROUND($B$95,0),0,INDEX($D62:E62,E$7-$B$95)+INDEX($D77:E77,E$7-$B$95)))</f>
        <v>0</v>
      </c>
      <c r="F98" s="21" cm="1">
        <f t="array" ref="F98">IF($B$94="no",0,IF(F$7&lt;=ROUND($B$95,0),0,INDEX($D62:F62,F$7-$B$95)+INDEX($D77:F77,F$7-$B$95)))</f>
        <v>0</v>
      </c>
      <c r="G98" s="21" cm="1">
        <f t="array" ref="G98">IF($B$94="no",0,IF(G$7&lt;=ROUND($B$95,0),0,INDEX($D62:G62,G$7-$B$95)+INDEX($D77:G77,G$7-$B$95)))</f>
        <v>0</v>
      </c>
      <c r="H98" s="21" cm="1">
        <f t="array" ref="H98">IF($B$94="no",0,IF(H$7&lt;=ROUND($B$95,0),0,INDEX($D62:H62,H$7-$B$95)+INDEX($D77:H77,H$7-$B$95)))</f>
        <v>0</v>
      </c>
      <c r="I98" s="21" cm="1">
        <f t="array" ref="I98">IF($B$94="no",0,IF(I$7&lt;=ROUND($B$95,0),0,INDEX($D62:I62,I$7-$B$95)+INDEX($D77:I77,I$7-$B$95)))</f>
        <v>0</v>
      </c>
      <c r="J98" s="21" cm="1">
        <f t="array" ref="J98">IF($B$94="no",0,IF(J$7&lt;=ROUND($B$95,0),0,INDEX($D62:J62,J$7-$B$95)+INDEX($D77:J77,J$7-$B$95)))</f>
        <v>0</v>
      </c>
      <c r="K98" s="21" cm="1">
        <f t="array" ref="K98">IF($B$94="no",0,IF(K$7&lt;=ROUND($B$95,0),0,INDEX($D62:K62,K$7-$B$95)+INDEX($D77:K77,K$7-$B$95)))</f>
        <v>0</v>
      </c>
      <c r="L98" s="21" cm="1">
        <f t="array" ref="L98">IF($B$94="no",0,IF(L$7&lt;=ROUND($B$95,0),0,INDEX($D62:L62,L$7-$B$95)+INDEX($D77:L77,L$7-$B$95)))</f>
        <v>0</v>
      </c>
      <c r="M98" s="21" cm="1">
        <f t="array" ref="M98">IF($B$94="no",0,IF(M$7&lt;=ROUND($B$95,0),0,INDEX($D62:M62,M$7-$B$95)+INDEX($D77:M77,M$7-$B$95)))</f>
        <v>0</v>
      </c>
      <c r="N98" s="21" cm="1">
        <f t="array" ref="N98">IF($B$94="no",0,IF(N$7&lt;=ROUND($B$95,0),0,INDEX($D62:N62,N$7-$B$95)+INDEX($D77:N77,N$7-$B$95)))</f>
        <v>0</v>
      </c>
      <c r="O98" s="21" cm="1">
        <f t="array" ref="O98">IF($B$94="no",0,IF(O$7&lt;=ROUND($B$95,0),0,INDEX($D62:O62,O$7-$B$95)+INDEX($D77:O77,O$7-$B$95)))</f>
        <v>0</v>
      </c>
      <c r="P98" s="21" cm="1">
        <f t="array" ref="P98">IF($B$94="no",0,IF(P$7&lt;=ROUND($B$95,0),0,INDEX($D62:P62,P$7-$B$95)+INDEX($D77:P77,P$7-$B$95)))</f>
        <v>0</v>
      </c>
      <c r="Q98" s="21" cm="1">
        <f t="array" ref="Q98">IF($B$94="no",0,IF(Q$7&lt;=ROUND($B$95,0),0,INDEX($D62:Q62,Q$7-$B$95)+INDEX($D77:Q77,Q$7-$B$95)))</f>
        <v>0</v>
      </c>
      <c r="R98" s="21" cm="1">
        <f t="array" ref="R98">IF($B$94="no",0,IF(R$7&lt;=ROUND($B$95,0),0,INDEX($D62:R62,R$7-$B$95)+INDEX($D77:R77,R$7-$B$95)))</f>
        <v>0</v>
      </c>
      <c r="S98" s="21" cm="1">
        <f t="array" ref="S98">IF($B$94="no",0,IF(S$7&lt;=ROUND($B$95,0),0,INDEX($D62:S62,S$7-$B$95)+INDEX($D77:S77,S$7-$B$95)))</f>
        <v>0</v>
      </c>
      <c r="T98" s="21" cm="1">
        <f t="array" ref="T98">IF($B$94="no",0,IF(T$7&lt;=ROUND($B$95,0),0,INDEX($D62:T62,T$7-$B$95)+INDEX($D77:T77,T$7-$B$95)))</f>
        <v>0</v>
      </c>
      <c r="U98" s="21" cm="1">
        <f t="array" ref="U98">IF($B$94="no",0,IF(U$7&lt;=ROUND($B$95,0),0,INDEX($D62:U62,U$7-$B$95)+INDEX($D77:U77,U$7-$B$95)))</f>
        <v>0</v>
      </c>
      <c r="V98" s="21" cm="1">
        <f t="array" ref="V98">IF($B$94="no",0,IF(V$7&lt;=ROUND($B$95,0),0,INDEX($D62:V62,V$7-$B$95)+INDEX($D77:V77,V$7-$B$95)))</f>
        <v>0</v>
      </c>
      <c r="W98" s="334" cm="1">
        <f t="array" ref="W98">IF($B$94="no",0,IF(W$7&lt;=ROUND($B$95,0),0,INDEX($D62:W62,W$7-$B$95)+INDEX($D77:W77,W$7-$B$95)))</f>
        <v>0</v>
      </c>
    </row>
    <row r="99" spans="1:23" x14ac:dyDescent="0.35">
      <c r="A99" s="83"/>
      <c r="B99" t="s">
        <v>266</v>
      </c>
      <c r="C99" t="s">
        <v>264</v>
      </c>
      <c r="D99" s="21" cm="1">
        <f t="array" ref="D99">IF($B$94="no",0,IF(D$7&lt;=ROUND($B$95,0),0,INDEX($D63:D63,D$7-$B$95)+INDEX($D78:D78,D$7-$B$95)))</f>
        <v>0</v>
      </c>
      <c r="E99" s="21" cm="1">
        <f t="array" ref="E99">IF($B$94="no",0,IF(E$7&lt;=ROUND($B$95,0),0,INDEX($D63:E63,E$7-$B$95)+INDEX($D78:E78,E$7-$B$95)))</f>
        <v>0</v>
      </c>
      <c r="F99" s="21" cm="1">
        <f t="array" ref="F99">IF($B$94="no",0,IF(F$7&lt;=ROUND($B$95,0),0,INDEX($D63:F63,F$7-$B$95)+INDEX($D78:F78,F$7-$B$95)))</f>
        <v>0</v>
      </c>
      <c r="G99" s="21" cm="1">
        <f t="array" ref="G99">IF($B$94="no",0,IF(G$7&lt;=ROUND($B$95,0),0,INDEX($D63:G63,G$7-$B$95)+INDEX($D78:G78,G$7-$B$95)))</f>
        <v>0</v>
      </c>
      <c r="H99" s="21" cm="1">
        <f t="array" ref="H99">IF($B$94="no",0,IF(H$7&lt;=ROUND($B$95,0),0,INDEX($D63:H63,H$7-$B$95)+INDEX($D78:H78,H$7-$B$95)))</f>
        <v>0</v>
      </c>
      <c r="I99" s="21" cm="1">
        <f t="array" ref="I99">IF($B$94="no",0,IF(I$7&lt;=ROUND($B$95,0),0,INDEX($D63:I63,I$7-$B$95)+INDEX($D78:I78,I$7-$B$95)))</f>
        <v>0</v>
      </c>
      <c r="J99" s="21" cm="1">
        <f t="array" ref="J99">IF($B$94="no",0,IF(J$7&lt;=ROUND($B$95,0),0,INDEX($D63:J63,J$7-$B$95)+INDEX($D78:J78,J$7-$B$95)))</f>
        <v>0</v>
      </c>
      <c r="K99" s="21" cm="1">
        <f t="array" ref="K99">IF($B$94="no",0,IF(K$7&lt;=ROUND($B$95,0),0,INDEX($D63:K63,K$7-$B$95)+INDEX($D78:K78,K$7-$B$95)))</f>
        <v>0</v>
      </c>
      <c r="L99" s="21" cm="1">
        <f t="array" ref="L99">IF($B$94="no",0,IF(L$7&lt;=ROUND($B$95,0),0,INDEX($D63:L63,L$7-$B$95)+INDEX($D78:L78,L$7-$B$95)))</f>
        <v>0</v>
      </c>
      <c r="M99" s="21" cm="1">
        <f t="array" ref="M99">IF($B$94="no",0,IF(M$7&lt;=ROUND($B$95,0),0,INDEX($D63:M63,M$7-$B$95)+INDEX($D78:M78,M$7-$B$95)))</f>
        <v>0</v>
      </c>
      <c r="N99" s="21" cm="1">
        <f t="array" ref="N99">IF($B$94="no",0,IF(N$7&lt;=ROUND($B$95,0),0,INDEX($D63:N63,N$7-$B$95)+INDEX($D78:N78,N$7-$B$95)))</f>
        <v>3</v>
      </c>
      <c r="O99" s="21" cm="1">
        <f t="array" ref="O99">IF($B$94="no",0,IF(O$7&lt;=ROUND($B$95,0),0,INDEX($D63:O63,O$7-$B$95)+INDEX($D78:O78,O$7-$B$95)))</f>
        <v>1</v>
      </c>
      <c r="P99" s="21" cm="1">
        <f t="array" ref="P99">IF($B$94="no",0,IF(P$7&lt;=ROUND($B$95,0),0,INDEX($D63:P63,P$7-$B$95)+INDEX($D78:P78,P$7-$B$95)))</f>
        <v>3</v>
      </c>
      <c r="Q99" s="21" cm="1">
        <f t="array" ref="Q99">IF($B$94="no",0,IF(Q$7&lt;=ROUND($B$95,0),0,INDEX($D63:Q63,Q$7-$B$95)+INDEX($D78:Q78,Q$7-$B$95)))</f>
        <v>0</v>
      </c>
      <c r="R99" s="21" cm="1">
        <f t="array" ref="R99">IF($B$94="no",0,IF(R$7&lt;=ROUND($B$95,0),0,INDEX($D63:R63,R$7-$B$95)+INDEX($D78:R78,R$7-$B$95)))</f>
        <v>1</v>
      </c>
      <c r="S99" s="21" cm="1">
        <f t="array" ref="S99">IF($B$94="no",0,IF(S$7&lt;=ROUND($B$95,0),0,INDEX($D63:S63,S$7-$B$95)+INDEX($D78:S78,S$7-$B$95)))</f>
        <v>0</v>
      </c>
      <c r="T99" s="21" cm="1">
        <f t="array" ref="T99">IF($B$94="no",0,IF(T$7&lt;=ROUND($B$95,0),0,INDEX($D63:T63,T$7-$B$95)+INDEX($D78:T78,T$7-$B$95)))</f>
        <v>4</v>
      </c>
      <c r="U99" s="21" cm="1">
        <f t="array" ref="U99">IF($B$94="no",0,IF(U$7&lt;=ROUND($B$95,0),0,INDEX($D63:U63,U$7-$B$95)+INDEX($D78:U78,U$7-$B$95)))</f>
        <v>7</v>
      </c>
      <c r="V99" s="21" cm="1">
        <f t="array" ref="V99">IF($B$94="no",0,IF(V$7&lt;=ROUND($B$95,0),0,INDEX($D63:V63,V$7-$B$95)+INDEX($D78:V78,V$7-$B$95)))</f>
        <v>6</v>
      </c>
      <c r="W99" s="334" cm="1">
        <f t="array" ref="W99">IF($B$94="no",0,IF(W$7&lt;=ROUND($B$95,0),0,INDEX($D63:W63,W$7-$B$95)+INDEX($D78:W78,W$7-$B$95)))</f>
        <v>0</v>
      </c>
    </row>
    <row r="100" spans="1:23" x14ac:dyDescent="0.35">
      <c r="A100" s="83"/>
      <c r="C100" t="s">
        <v>265</v>
      </c>
      <c r="D100" s="21" cm="1">
        <f t="array" ref="D100">IF($B$94="no",0,IF(D$7&lt;=ROUND($B$95,0),0,INDEX($D64:D64,D$7-$B$95)+INDEX($D79:D79,D$7-$B$95)))</f>
        <v>0</v>
      </c>
      <c r="E100" s="21" cm="1">
        <f t="array" ref="E100">IF($B$94="no",0,IF(E$7&lt;=ROUND($B$95,0),0,INDEX($D64:E64,E$7-$B$95)+INDEX($D79:E79,E$7-$B$95)))</f>
        <v>0</v>
      </c>
      <c r="F100" s="21" cm="1">
        <f t="array" ref="F100">IF($B$94="no",0,IF(F$7&lt;=ROUND($B$95,0),0,INDEX($D64:F64,F$7-$B$95)+INDEX($D79:F79,F$7-$B$95)))</f>
        <v>0</v>
      </c>
      <c r="G100" s="21" cm="1">
        <f t="array" ref="G100">IF($B$94="no",0,IF(G$7&lt;=ROUND($B$95,0),0,INDEX($D64:G64,G$7-$B$95)+INDEX($D79:G79,G$7-$B$95)))</f>
        <v>0</v>
      </c>
      <c r="H100" s="21" cm="1">
        <f t="array" ref="H100">IF($B$94="no",0,IF(H$7&lt;=ROUND($B$95,0),0,INDEX($D64:H64,H$7-$B$95)+INDEX($D79:H79,H$7-$B$95)))</f>
        <v>0</v>
      </c>
      <c r="I100" s="21" cm="1">
        <f t="array" ref="I100">IF($B$94="no",0,IF(I$7&lt;=ROUND($B$95,0),0,INDEX($D64:I64,I$7-$B$95)+INDEX($D79:I79,I$7-$B$95)))</f>
        <v>0</v>
      </c>
      <c r="J100" s="21" cm="1">
        <f t="array" ref="J100">IF($B$94="no",0,IF(J$7&lt;=ROUND($B$95,0),0,INDEX($D64:J64,J$7-$B$95)+INDEX($D79:J79,J$7-$B$95)))</f>
        <v>0</v>
      </c>
      <c r="K100" s="21" cm="1">
        <f t="array" ref="K100">IF($B$94="no",0,IF(K$7&lt;=ROUND($B$95,0),0,INDEX($D64:K64,K$7-$B$95)+INDEX($D79:K79,K$7-$B$95)))</f>
        <v>0</v>
      </c>
      <c r="L100" s="21" cm="1">
        <f t="array" ref="L100">IF($B$94="no",0,IF(L$7&lt;=ROUND($B$95,0),0,INDEX($D64:L64,L$7-$B$95)+INDEX($D79:L79,L$7-$B$95)))</f>
        <v>0</v>
      </c>
      <c r="M100" s="21" cm="1">
        <f t="array" ref="M100">IF($B$94="no",0,IF(M$7&lt;=ROUND($B$95,0),0,INDEX($D64:M64,M$7-$B$95)+INDEX($D79:M79,M$7-$B$95)))</f>
        <v>0</v>
      </c>
      <c r="N100" s="21" cm="1">
        <f t="array" ref="N100">IF($B$94="no",0,IF(N$7&lt;=ROUND($B$95,0),0,INDEX($D64:N64,N$7-$B$95)+INDEX($D79:N79,N$7-$B$95)))</f>
        <v>15</v>
      </c>
      <c r="O100" s="21" cm="1">
        <f t="array" ref="O100">IF($B$94="no",0,IF(O$7&lt;=ROUND($B$95,0),0,INDEX($D64:O64,O$7-$B$95)+INDEX($D79:O79,O$7-$B$95)))</f>
        <v>73</v>
      </c>
      <c r="P100" s="21" cm="1">
        <f t="array" ref="P100">IF($B$94="no",0,IF(P$7&lt;=ROUND($B$95,0),0,INDEX($D64:P64,P$7-$B$95)+INDEX($D79:P79,P$7-$B$95)))</f>
        <v>42</v>
      </c>
      <c r="Q100" s="21" cm="1">
        <f t="array" ref="Q100">IF($B$94="no",0,IF(Q$7&lt;=ROUND($B$95,0),0,INDEX($D64:Q64,Q$7-$B$95)+INDEX($D79:Q79,Q$7-$B$95)))</f>
        <v>2</v>
      </c>
      <c r="R100" s="21" cm="1">
        <f t="array" ref="R100">IF($B$94="no",0,IF(R$7&lt;=ROUND($B$95,0),0,INDEX($D64:R64,R$7-$B$95)+INDEX($D79:R79,R$7-$B$95)))</f>
        <v>7</v>
      </c>
      <c r="S100" s="21" cm="1">
        <f t="array" ref="S100">IF($B$94="no",0,IF(S$7&lt;=ROUND($B$95,0),0,INDEX($D64:S64,S$7-$B$95)+INDEX($D79:S79,S$7-$B$95)))</f>
        <v>11</v>
      </c>
      <c r="T100" s="21" cm="1">
        <f t="array" ref="T100">IF($B$94="no",0,IF(T$7&lt;=ROUND($B$95,0),0,INDEX($D64:T64,T$7-$B$95)+INDEX($D79:T79,T$7-$B$95)))</f>
        <v>15</v>
      </c>
      <c r="U100" s="21" cm="1">
        <f t="array" ref="U100">IF($B$94="no",0,IF(U$7&lt;=ROUND($B$95,0),0,INDEX($D64:U64,U$7-$B$95)+INDEX($D79:U79,U$7-$B$95)))</f>
        <v>35</v>
      </c>
      <c r="V100" s="21" cm="1">
        <f t="array" ref="V100">IF($B$94="no",0,IF(V$7&lt;=ROUND($B$95,0),0,INDEX($D64:V64,V$7-$B$95)+INDEX($D79:V79,V$7-$B$95)))</f>
        <v>18</v>
      </c>
      <c r="W100" s="334" cm="1">
        <f t="array" ref="W100">IF($B$94="no",0,IF(W$7&lt;=ROUND($B$95,0),0,INDEX($D64:W64,W$7-$B$95)+INDEX($D79:W79,W$7-$B$95)))</f>
        <v>0</v>
      </c>
    </row>
    <row r="101" spans="1:23" x14ac:dyDescent="0.35">
      <c r="A101" s="83" t="s">
        <v>229</v>
      </c>
      <c r="B101" t="s">
        <v>263</v>
      </c>
      <c r="C101" t="s">
        <v>264</v>
      </c>
      <c r="D101" s="21" cm="1">
        <f t="array" ref="D101">IF($B$94="no",0,IF(D$7&lt;=ROUND($B$95,0),0,INDEX($D65:D65,D$7-$B$95)+INDEX($D80:D80,D$7-$B$95)))</f>
        <v>0</v>
      </c>
      <c r="E101" s="21" cm="1">
        <f t="array" ref="E101">IF($B$94="no",0,IF(E$7&lt;=ROUND($B$95,0),0,INDEX($D65:E65,E$7-$B$95)+INDEX($D80:E80,E$7-$B$95)))</f>
        <v>0</v>
      </c>
      <c r="F101" s="21" cm="1">
        <f t="array" ref="F101">IF($B$94="no",0,IF(F$7&lt;=ROUND($B$95,0),0,INDEX($D65:F65,F$7-$B$95)+INDEX($D80:F80,F$7-$B$95)))</f>
        <v>0</v>
      </c>
      <c r="G101" s="21" cm="1">
        <f t="array" ref="G101">IF($B$94="no",0,IF(G$7&lt;=ROUND($B$95,0),0,INDEX($D65:G65,G$7-$B$95)+INDEX($D80:G80,G$7-$B$95)))</f>
        <v>0</v>
      </c>
      <c r="H101" s="21" cm="1">
        <f t="array" ref="H101">IF($B$94="no",0,IF(H$7&lt;=ROUND($B$95,0),0,INDEX($D65:H65,H$7-$B$95)+INDEX($D80:H80,H$7-$B$95)))</f>
        <v>0</v>
      </c>
      <c r="I101" s="21" cm="1">
        <f t="array" ref="I101">IF($B$94="no",0,IF(I$7&lt;=ROUND($B$95,0),0,INDEX($D65:I65,I$7-$B$95)+INDEX($D80:I80,I$7-$B$95)))</f>
        <v>0</v>
      </c>
      <c r="J101" s="21" cm="1">
        <f t="array" ref="J101">IF($B$94="no",0,IF(J$7&lt;=ROUND($B$95,0),0,INDEX($D65:J65,J$7-$B$95)+INDEX($D80:J80,J$7-$B$95)))</f>
        <v>0</v>
      </c>
      <c r="K101" s="21" cm="1">
        <f t="array" ref="K101">IF($B$94="no",0,IF(K$7&lt;=ROUND($B$95,0),0,INDEX($D65:K65,K$7-$B$95)+INDEX($D80:K80,K$7-$B$95)))</f>
        <v>0</v>
      </c>
      <c r="L101" s="21" cm="1">
        <f t="array" ref="L101">IF($B$94="no",0,IF(L$7&lt;=ROUND($B$95,0),0,INDEX($D65:L65,L$7-$B$95)+INDEX($D80:L80,L$7-$B$95)))</f>
        <v>0</v>
      </c>
      <c r="M101" s="21" cm="1">
        <f t="array" ref="M101">IF($B$94="no",0,IF(M$7&lt;=ROUND($B$95,0),0,INDEX($D65:M65,M$7-$B$95)+INDEX($D80:M80,M$7-$B$95)))</f>
        <v>0</v>
      </c>
      <c r="N101" s="21" cm="1">
        <f t="array" ref="N101">IF($B$94="no",0,IF(N$7&lt;=ROUND($B$95,0),0,INDEX($D65:N65,N$7-$B$95)+INDEX($D80:N80,N$7-$B$95)))</f>
        <v>0</v>
      </c>
      <c r="O101" s="21" cm="1">
        <f t="array" ref="O101">IF($B$94="no",0,IF(O$7&lt;=ROUND($B$95,0),0,INDEX($D65:O65,O$7-$B$95)+INDEX($D80:O80,O$7-$B$95)))</f>
        <v>0</v>
      </c>
      <c r="P101" s="21" cm="1">
        <f t="array" ref="P101">IF($B$94="no",0,IF(P$7&lt;=ROUND($B$95,0),0,INDEX($D65:P65,P$7-$B$95)+INDEX($D80:P80,P$7-$B$95)))</f>
        <v>0</v>
      </c>
      <c r="Q101" s="21" cm="1">
        <f t="array" ref="Q101">IF($B$94="no",0,IF(Q$7&lt;=ROUND($B$95,0),0,INDEX($D65:Q65,Q$7-$B$95)+INDEX($D80:Q80,Q$7-$B$95)))</f>
        <v>0</v>
      </c>
      <c r="R101" s="21" cm="1">
        <f t="array" ref="R101">IF($B$94="no",0,IF(R$7&lt;=ROUND($B$95,0),0,INDEX($D65:R65,R$7-$B$95)+INDEX($D80:R80,R$7-$B$95)))</f>
        <v>0</v>
      </c>
      <c r="S101" s="21" cm="1">
        <f t="array" ref="S101">IF($B$94="no",0,IF(S$7&lt;=ROUND($B$95,0),0,INDEX($D65:S65,S$7-$B$95)+INDEX($D80:S80,S$7-$B$95)))</f>
        <v>0</v>
      </c>
      <c r="T101" s="21" cm="1">
        <f t="array" ref="T101">IF($B$94="no",0,IF(T$7&lt;=ROUND($B$95,0),0,INDEX($D65:T65,T$7-$B$95)+INDEX($D80:T80,T$7-$B$95)))</f>
        <v>0</v>
      </c>
      <c r="U101" s="21" cm="1">
        <f t="array" ref="U101">IF($B$94="no",0,IF(U$7&lt;=ROUND($B$95,0),0,INDEX($D65:U65,U$7-$B$95)+INDEX($D80:U80,U$7-$B$95)))</f>
        <v>0</v>
      </c>
      <c r="V101" s="21" cm="1">
        <f t="array" ref="V101">IF($B$94="no",0,IF(V$7&lt;=ROUND($B$95,0),0,INDEX($D65:V65,V$7-$B$95)+INDEX($D80:V80,V$7-$B$95)))</f>
        <v>0</v>
      </c>
      <c r="W101" s="334" cm="1">
        <f t="array" ref="W101">IF($B$94="no",0,IF(W$7&lt;=ROUND($B$95,0),0,INDEX($D65:W65,W$7-$B$95)+INDEX($D80:W80,W$7-$B$95)))</f>
        <v>0</v>
      </c>
    </row>
    <row r="102" spans="1:23" x14ac:dyDescent="0.35">
      <c r="A102" s="83"/>
      <c r="C102" t="s">
        <v>265</v>
      </c>
      <c r="D102" s="21" cm="1">
        <f t="array" ref="D102">IF($B$94="no",0,IF(D$7&lt;=ROUND($B$95,0),0,INDEX($D66:D66,D$7-$B$95)+INDEX($D81:D81,D$7-$B$95)))</f>
        <v>0</v>
      </c>
      <c r="E102" s="21" cm="1">
        <f t="array" ref="E102">IF($B$94="no",0,IF(E$7&lt;=ROUND($B$95,0),0,INDEX($D66:E66,E$7-$B$95)+INDEX($D81:E81,E$7-$B$95)))</f>
        <v>0</v>
      </c>
      <c r="F102" s="21" cm="1">
        <f t="array" ref="F102">IF($B$94="no",0,IF(F$7&lt;=ROUND($B$95,0),0,INDEX($D66:F66,F$7-$B$95)+INDEX($D81:F81,F$7-$B$95)))</f>
        <v>0</v>
      </c>
      <c r="G102" s="21" cm="1">
        <f t="array" ref="G102">IF($B$94="no",0,IF(G$7&lt;=ROUND($B$95,0),0,INDEX($D66:G66,G$7-$B$95)+INDEX($D81:G81,G$7-$B$95)))</f>
        <v>0</v>
      </c>
      <c r="H102" s="21" cm="1">
        <f t="array" ref="H102">IF($B$94="no",0,IF(H$7&lt;=ROUND($B$95,0),0,INDEX($D66:H66,H$7-$B$95)+INDEX($D81:H81,H$7-$B$95)))</f>
        <v>0</v>
      </c>
      <c r="I102" s="21" cm="1">
        <f t="array" ref="I102">IF($B$94="no",0,IF(I$7&lt;=ROUND($B$95,0),0,INDEX($D66:I66,I$7-$B$95)+INDEX($D81:I81,I$7-$B$95)))</f>
        <v>0</v>
      </c>
      <c r="J102" s="21" cm="1">
        <f t="array" ref="J102">IF($B$94="no",0,IF(J$7&lt;=ROUND($B$95,0),0,INDEX($D66:J66,J$7-$B$95)+INDEX($D81:J81,J$7-$B$95)))</f>
        <v>0</v>
      </c>
      <c r="K102" s="21" cm="1">
        <f t="array" ref="K102">IF($B$94="no",0,IF(K$7&lt;=ROUND($B$95,0),0,INDEX($D66:K66,K$7-$B$95)+INDEX($D81:K81,K$7-$B$95)))</f>
        <v>0</v>
      </c>
      <c r="L102" s="21" cm="1">
        <f t="array" ref="L102">IF($B$94="no",0,IF(L$7&lt;=ROUND($B$95,0),0,INDEX($D66:L66,L$7-$B$95)+INDEX($D81:L81,L$7-$B$95)))</f>
        <v>0</v>
      </c>
      <c r="M102" s="21" cm="1">
        <f t="array" ref="M102">IF($B$94="no",0,IF(M$7&lt;=ROUND($B$95,0),0,INDEX($D66:M66,M$7-$B$95)+INDEX($D81:M81,M$7-$B$95)))</f>
        <v>0</v>
      </c>
      <c r="N102" s="21" cm="1">
        <f t="array" ref="N102">IF($B$94="no",0,IF(N$7&lt;=ROUND($B$95,0),0,INDEX($D66:N66,N$7-$B$95)+INDEX($D81:N81,N$7-$B$95)))</f>
        <v>0</v>
      </c>
      <c r="O102" s="21" cm="1">
        <f t="array" ref="O102">IF($B$94="no",0,IF(O$7&lt;=ROUND($B$95,0),0,INDEX($D66:O66,O$7-$B$95)+INDEX($D81:O81,O$7-$B$95)))</f>
        <v>0</v>
      </c>
      <c r="P102" s="21" cm="1">
        <f t="array" ref="P102">IF($B$94="no",0,IF(P$7&lt;=ROUND($B$95,0),0,INDEX($D66:P66,P$7-$B$95)+INDEX($D81:P81,P$7-$B$95)))</f>
        <v>0</v>
      </c>
      <c r="Q102" s="21" cm="1">
        <f t="array" ref="Q102">IF($B$94="no",0,IF(Q$7&lt;=ROUND($B$95,0),0,INDEX($D66:Q66,Q$7-$B$95)+INDEX($D81:Q81,Q$7-$B$95)))</f>
        <v>0</v>
      </c>
      <c r="R102" s="21" cm="1">
        <f t="array" ref="R102">IF($B$94="no",0,IF(R$7&lt;=ROUND($B$95,0),0,INDEX($D66:R66,R$7-$B$95)+INDEX($D81:R81,R$7-$B$95)))</f>
        <v>0</v>
      </c>
      <c r="S102" s="21" cm="1">
        <f t="array" ref="S102">IF($B$94="no",0,IF(S$7&lt;=ROUND($B$95,0),0,INDEX($D66:S66,S$7-$B$95)+INDEX($D81:S81,S$7-$B$95)))</f>
        <v>0</v>
      </c>
      <c r="T102" s="21" cm="1">
        <f t="array" ref="T102">IF($B$94="no",0,IF(T$7&lt;=ROUND($B$95,0),0,INDEX($D66:T66,T$7-$B$95)+INDEX($D81:T81,T$7-$B$95)))</f>
        <v>0</v>
      </c>
      <c r="U102" s="21" cm="1">
        <f t="array" ref="U102">IF($B$94="no",0,IF(U$7&lt;=ROUND($B$95,0),0,INDEX($D66:U66,U$7-$B$95)+INDEX($D81:U81,U$7-$B$95)))</f>
        <v>0</v>
      </c>
      <c r="V102" s="21" cm="1">
        <f t="array" ref="V102">IF($B$94="no",0,IF(V$7&lt;=ROUND($B$95,0),0,INDEX($D66:V66,V$7-$B$95)+INDEX($D81:V81,V$7-$B$95)))</f>
        <v>0</v>
      </c>
      <c r="W102" s="334" cm="1">
        <f t="array" ref="W102">IF($B$94="no",0,IF(W$7&lt;=ROUND($B$95,0),0,INDEX($D66:W66,W$7-$B$95)+INDEX($D81:W81,W$7-$B$95)))</f>
        <v>0</v>
      </c>
    </row>
    <row r="103" spans="1:23" x14ac:dyDescent="0.35">
      <c r="A103" s="83"/>
      <c r="B103" t="s">
        <v>266</v>
      </c>
      <c r="C103" t="s">
        <v>264</v>
      </c>
      <c r="D103" s="21" cm="1">
        <f t="array" ref="D103">IF($B$94="no",0,IF(D$7&lt;=ROUND($B$95,0),0,INDEX($D67:D67,D$7-$B$95)+INDEX($D82:D82,D$7-$B$95)))</f>
        <v>0</v>
      </c>
      <c r="E103" s="21" cm="1">
        <f t="array" ref="E103">IF($B$94="no",0,IF(E$7&lt;=ROUND($B$95,0),0,INDEX($D67:E67,E$7-$B$95)+INDEX($D82:E82,E$7-$B$95)))</f>
        <v>0</v>
      </c>
      <c r="F103" s="21" cm="1">
        <f t="array" ref="F103">IF($B$94="no",0,IF(F$7&lt;=ROUND($B$95,0),0,INDEX($D67:F67,F$7-$B$95)+INDEX($D82:F82,F$7-$B$95)))</f>
        <v>0</v>
      </c>
      <c r="G103" s="21" cm="1">
        <f t="array" ref="G103">IF($B$94="no",0,IF(G$7&lt;=ROUND($B$95,0),0,INDEX($D67:G67,G$7-$B$95)+INDEX($D82:G82,G$7-$B$95)))</f>
        <v>0</v>
      </c>
      <c r="H103" s="21" cm="1">
        <f t="array" ref="H103">IF($B$94="no",0,IF(H$7&lt;=ROUND($B$95,0),0,INDEX($D67:H67,H$7-$B$95)+INDEX($D82:H82,H$7-$B$95)))</f>
        <v>0</v>
      </c>
      <c r="I103" s="21" cm="1">
        <f t="array" ref="I103">IF($B$94="no",0,IF(I$7&lt;=ROUND($B$95,0),0,INDEX($D67:I67,I$7-$B$95)+INDEX($D82:I82,I$7-$B$95)))</f>
        <v>0</v>
      </c>
      <c r="J103" s="21" cm="1">
        <f t="array" ref="J103">IF($B$94="no",0,IF(J$7&lt;=ROUND($B$95,0),0,INDEX($D67:J67,J$7-$B$95)+INDEX($D82:J82,J$7-$B$95)))</f>
        <v>0</v>
      </c>
      <c r="K103" s="21" cm="1">
        <f t="array" ref="K103">IF($B$94="no",0,IF(K$7&lt;=ROUND($B$95,0),0,INDEX($D67:K67,K$7-$B$95)+INDEX($D82:K82,K$7-$B$95)))</f>
        <v>0</v>
      </c>
      <c r="L103" s="21" cm="1">
        <f t="array" ref="L103">IF($B$94="no",0,IF(L$7&lt;=ROUND($B$95,0),0,INDEX($D67:L67,L$7-$B$95)+INDEX($D82:L82,L$7-$B$95)))</f>
        <v>0</v>
      </c>
      <c r="M103" s="21" cm="1">
        <f t="array" ref="M103">IF($B$94="no",0,IF(M$7&lt;=ROUND($B$95,0),0,INDEX($D67:M67,M$7-$B$95)+INDEX($D82:M82,M$7-$B$95)))</f>
        <v>0</v>
      </c>
      <c r="N103" s="21" cm="1">
        <f t="array" ref="N103">IF($B$94="no",0,IF(N$7&lt;=ROUND($B$95,0),0,INDEX($D67:N67,N$7-$B$95)+INDEX($D82:N82,N$7-$B$95)))</f>
        <v>153.01312839994134</v>
      </c>
      <c r="O103" s="21" cm="1">
        <f t="array" ref="O103">IF($B$94="no",0,IF(O$7&lt;=ROUND($B$95,0),0,INDEX($D67:O67,O$7-$B$95)+INDEX($D82:O82,O$7-$B$95)))</f>
        <v>162.08765301918282</v>
      </c>
      <c r="P103" s="21" cm="1">
        <f t="array" ref="P103">IF($B$94="no",0,IF(P$7&lt;=ROUND($B$95,0),0,INDEX($D67:P67,P$7-$B$95)+INDEX($D82:P82,P$7-$B$95)))</f>
        <v>111</v>
      </c>
      <c r="Q103" s="21" cm="1">
        <f t="array" ref="Q103">IF($B$94="no",0,IF(Q$7&lt;=ROUND($B$95,0),0,INDEX($D67:Q67,Q$7-$B$95)+INDEX($D82:Q82,Q$7-$B$95)))</f>
        <v>150</v>
      </c>
      <c r="R103" s="21" cm="1">
        <f t="array" ref="R103">IF($B$94="no",0,IF(R$7&lt;=ROUND($B$95,0),0,INDEX($D67:R67,R$7-$B$95)+INDEX($D82:R82,R$7-$B$95)))</f>
        <v>11</v>
      </c>
      <c r="S103" s="21" cm="1">
        <f t="array" ref="S103">IF($B$94="no",0,IF(S$7&lt;=ROUND($B$95,0),0,INDEX($D67:S67,S$7-$B$95)+INDEX($D82:S82,S$7-$B$95)))</f>
        <v>81</v>
      </c>
      <c r="T103" s="21" cm="1">
        <f t="array" ref="T103">IF($B$94="no",0,IF(T$7&lt;=ROUND($B$95,0),0,INDEX($D67:T67,T$7-$B$95)+INDEX($D82:T82,T$7-$B$95)))</f>
        <v>126</v>
      </c>
      <c r="U103" s="21" cm="1">
        <f t="array" ref="U103">IF($B$94="no",0,IF(U$7&lt;=ROUND($B$95,0),0,INDEX($D67:U67,U$7-$B$95)+INDEX($D82:U82,U$7-$B$95)))</f>
        <v>111</v>
      </c>
      <c r="V103" s="21" cm="1">
        <f t="array" ref="V103">IF($B$94="no",0,IF(V$7&lt;=ROUND($B$95,0),0,INDEX($D67:V67,V$7-$B$95)+INDEX($D82:V82,V$7-$B$95)))</f>
        <v>266</v>
      </c>
      <c r="W103" s="334" cm="1">
        <f t="array" ref="W103">IF($B$94="no",0,IF(W$7&lt;=ROUND($B$95,0),0,INDEX($D67:W67,W$7-$B$95)+INDEX($D82:W82,W$7-$B$95)))</f>
        <v>147.70846572300474</v>
      </c>
    </row>
    <row r="104" spans="1:23" x14ac:dyDescent="0.35">
      <c r="A104" s="83"/>
      <c r="C104" t="s">
        <v>265</v>
      </c>
      <c r="D104" s="21" cm="1">
        <f t="array" ref="D104">IF($B$94="no",0,IF(D$7&lt;=ROUND($B$95,0),0,INDEX($D68:D68,D$7-$B$95)+INDEX($D83:D83,D$7-$B$95)))</f>
        <v>0</v>
      </c>
      <c r="E104" s="21" cm="1">
        <f t="array" ref="E104">IF($B$94="no",0,IF(E$7&lt;=ROUND($B$95,0),0,INDEX($D68:E68,E$7-$B$95)+INDEX($D83:E83,E$7-$B$95)))</f>
        <v>0</v>
      </c>
      <c r="F104" s="21" cm="1">
        <f t="array" ref="F104">IF($B$94="no",0,IF(F$7&lt;=ROUND($B$95,0),0,INDEX($D68:F68,F$7-$B$95)+INDEX($D83:F83,F$7-$B$95)))</f>
        <v>0</v>
      </c>
      <c r="G104" s="21" cm="1">
        <f t="array" ref="G104">IF($B$94="no",0,IF(G$7&lt;=ROUND($B$95,0),0,INDEX($D68:G68,G$7-$B$95)+INDEX($D83:G83,G$7-$B$95)))</f>
        <v>0</v>
      </c>
      <c r="H104" s="21" cm="1">
        <f t="array" ref="H104">IF($B$94="no",0,IF(H$7&lt;=ROUND($B$95,0),0,INDEX($D68:H68,H$7-$B$95)+INDEX($D83:H83,H$7-$B$95)))</f>
        <v>0</v>
      </c>
      <c r="I104" s="21" cm="1">
        <f t="array" ref="I104">IF($B$94="no",0,IF(I$7&lt;=ROUND($B$95,0),0,INDEX($D68:I68,I$7-$B$95)+INDEX($D83:I83,I$7-$B$95)))</f>
        <v>0</v>
      </c>
      <c r="J104" s="21" cm="1">
        <f t="array" ref="J104">IF($B$94="no",0,IF(J$7&lt;=ROUND($B$95,0),0,INDEX($D68:J68,J$7-$B$95)+INDEX($D83:J83,J$7-$B$95)))</f>
        <v>0</v>
      </c>
      <c r="K104" s="21" cm="1">
        <f t="array" ref="K104">IF($B$94="no",0,IF(K$7&lt;=ROUND($B$95,0),0,INDEX($D68:K68,K$7-$B$95)+INDEX($D83:K83,K$7-$B$95)))</f>
        <v>0</v>
      </c>
      <c r="L104" s="21" cm="1">
        <f t="array" ref="L104">IF($B$94="no",0,IF(L$7&lt;=ROUND($B$95,0),0,INDEX($D68:L68,L$7-$B$95)+INDEX($D83:L83,L$7-$B$95)))</f>
        <v>0</v>
      </c>
      <c r="M104" s="21" cm="1">
        <f t="array" ref="M104">IF($B$94="no",0,IF(M$7&lt;=ROUND($B$95,0),0,INDEX($D68:M68,M$7-$B$95)+INDEX($D83:M83,M$7-$B$95)))</f>
        <v>0</v>
      </c>
      <c r="N104" s="21" cm="1">
        <f t="array" ref="N104">IF($B$94="no",0,IF(N$7&lt;=ROUND($B$95,0),0,INDEX($D68:N68,N$7-$B$95)+INDEX($D83:N83,N$7-$B$95)))</f>
        <v>17072.986871600056</v>
      </c>
      <c r="O104" s="21" cm="1">
        <f t="array" ref="O104">IF($B$94="no",0,IF(O$7&lt;=ROUND($B$95,0),0,INDEX($D68:O68,O$7-$B$95)+INDEX($D83:O83,O$7-$B$95)))</f>
        <v>18324.912346980818</v>
      </c>
      <c r="P104" s="21" cm="1">
        <f t="array" ref="P104">IF($B$94="no",0,IF(P$7&lt;=ROUND($B$95,0),0,INDEX($D68:P68,P$7-$B$95)+INDEX($D83:P83,P$7-$B$95)))</f>
        <v>15657</v>
      </c>
      <c r="Q104" s="21" cm="1">
        <f t="array" ref="Q104">IF($B$94="no",0,IF(Q$7&lt;=ROUND($B$95,0),0,INDEX($D68:Q68,Q$7-$B$95)+INDEX($D83:Q83,Q$7-$B$95)))</f>
        <v>11900</v>
      </c>
      <c r="R104" s="21" cm="1">
        <f t="array" ref="R104">IF($B$94="no",0,IF(R$7&lt;=ROUND($B$95,0),0,INDEX($D68:R68,R$7-$B$95)+INDEX($D83:R83,R$7-$B$95)))</f>
        <v>1556</v>
      </c>
      <c r="S104" s="21" cm="1">
        <f t="array" ref="S104">IF($B$94="no",0,IF(S$7&lt;=ROUND($B$95,0),0,INDEX($D68:S68,S$7-$B$95)+INDEX($D83:S83,S$7-$B$95)))</f>
        <v>6807</v>
      </c>
      <c r="T104" s="21" cm="1">
        <f t="array" ref="T104">IF($B$94="no",0,IF(T$7&lt;=ROUND($B$95,0),0,INDEX($D68:T68,T$7-$B$95)+INDEX($D83:T83,T$7-$B$95)))</f>
        <v>6174</v>
      </c>
      <c r="U104" s="21" cm="1">
        <f t="array" ref="U104">IF($B$94="no",0,IF(U$7&lt;=ROUND($B$95,0),0,INDEX($D68:U68,U$7-$B$95)+INDEX($D83:U83,U$7-$B$95)))</f>
        <v>17193</v>
      </c>
      <c r="V104" s="21" cm="1">
        <f t="array" ref="V104">IF($B$94="no",0,IF(V$7&lt;=ROUND($B$95,0),0,INDEX($D68:V68,V$7-$B$95)+INDEX($D83:V83,V$7-$B$95)))</f>
        <v>31361</v>
      </c>
      <c r="W104" s="334" cm="1">
        <f t="array" ref="W104">IF($B$94="no",0,IF(W$7&lt;=ROUND($B$95,0),0,INDEX($D68:W68,W$7-$B$95)+INDEX($D83:W83,W$7-$B$95)))</f>
        <v>15852.291534276996</v>
      </c>
    </row>
    <row r="105" spans="1:23" x14ac:dyDescent="0.35">
      <c r="A105" s="83" t="s">
        <v>267</v>
      </c>
      <c r="B105" t="s">
        <v>263</v>
      </c>
      <c r="C105" t="s">
        <v>264</v>
      </c>
      <c r="D105" s="21" cm="1">
        <f t="array" ref="D105">IF($B$94="no",0,IF(D$7&lt;=ROUND($B$95,0),0,INDEX($D69:D69,D$7-$B$95)+INDEX($D84:D84,D$7-$B$95)))</f>
        <v>0</v>
      </c>
      <c r="E105" s="21" cm="1">
        <f t="array" ref="E105">IF($B$94="no",0,IF(E$7&lt;=ROUND($B$95,0),0,INDEX($D69:E69,E$7-$B$95)+INDEX($D84:E84,E$7-$B$95)))</f>
        <v>0</v>
      </c>
      <c r="F105" s="21" cm="1">
        <f t="array" ref="F105">IF($B$94="no",0,IF(F$7&lt;=ROUND($B$95,0),0,INDEX($D69:F69,F$7-$B$95)+INDEX($D84:F84,F$7-$B$95)))</f>
        <v>0</v>
      </c>
      <c r="G105" s="21" cm="1">
        <f t="array" ref="G105">IF($B$94="no",0,IF(G$7&lt;=ROUND($B$95,0),0,INDEX($D69:G69,G$7-$B$95)+INDEX($D84:G84,G$7-$B$95)))</f>
        <v>0</v>
      </c>
      <c r="H105" s="21" cm="1">
        <f t="array" ref="H105">IF($B$94="no",0,IF(H$7&lt;=ROUND($B$95,0),0,INDEX($D69:H69,H$7-$B$95)+INDEX($D84:H84,H$7-$B$95)))</f>
        <v>0</v>
      </c>
      <c r="I105" s="21" cm="1">
        <f t="array" ref="I105">IF($B$94="no",0,IF(I$7&lt;=ROUND($B$95,0),0,INDEX($D69:I69,I$7-$B$95)+INDEX($D84:I84,I$7-$B$95)))</f>
        <v>0</v>
      </c>
      <c r="J105" s="21" cm="1">
        <f t="array" ref="J105">IF($B$94="no",0,IF(J$7&lt;=ROUND($B$95,0),0,INDEX($D69:J69,J$7-$B$95)+INDEX($D84:J84,J$7-$B$95)))</f>
        <v>0</v>
      </c>
      <c r="K105" s="21" cm="1">
        <f t="array" ref="K105">IF($B$94="no",0,IF(K$7&lt;=ROUND($B$95,0),0,INDEX($D69:K69,K$7-$B$95)+INDEX($D84:K84,K$7-$B$95)))</f>
        <v>0</v>
      </c>
      <c r="L105" s="21" cm="1">
        <f t="array" ref="L105">IF($B$94="no",0,IF(L$7&lt;=ROUND($B$95,0),0,INDEX($D69:L69,L$7-$B$95)+INDEX($D84:L84,L$7-$B$95)))</f>
        <v>0</v>
      </c>
      <c r="M105" s="21" cm="1">
        <f t="array" ref="M105">IF($B$94="no",0,IF(M$7&lt;=ROUND($B$95,0),0,INDEX($D69:M69,M$7-$B$95)+INDEX($D84:M84,M$7-$B$95)))</f>
        <v>0</v>
      </c>
      <c r="N105" s="21" cm="1">
        <f t="array" ref="N105">IF($B$94="no",0,IF(N$7&lt;=ROUND($B$95,0),0,INDEX($D69:N69,N$7-$B$95)+INDEX($D84:N84,N$7-$B$95)))</f>
        <v>0</v>
      </c>
      <c r="O105" s="21" cm="1">
        <f t="array" ref="O105">IF($B$94="no",0,IF(O$7&lt;=ROUND($B$95,0),0,INDEX($D69:O69,O$7-$B$95)+INDEX($D84:O84,O$7-$B$95)))</f>
        <v>0</v>
      </c>
      <c r="P105" s="21" cm="1">
        <f t="array" ref="P105">IF($B$94="no",0,IF(P$7&lt;=ROUND($B$95,0),0,INDEX($D69:P69,P$7-$B$95)+INDEX($D84:P84,P$7-$B$95)))</f>
        <v>0</v>
      </c>
      <c r="Q105" s="21" cm="1">
        <f t="array" ref="Q105">IF($B$94="no",0,IF(Q$7&lt;=ROUND($B$95,0),0,INDEX($D69:Q69,Q$7-$B$95)+INDEX($D84:Q84,Q$7-$B$95)))</f>
        <v>0</v>
      </c>
      <c r="R105" s="21" cm="1">
        <f t="array" ref="R105">IF($B$94="no",0,IF(R$7&lt;=ROUND($B$95,0),0,INDEX($D69:R69,R$7-$B$95)+INDEX($D84:R84,R$7-$B$95)))</f>
        <v>0</v>
      </c>
      <c r="S105" s="21" cm="1">
        <f t="array" ref="S105">IF($B$94="no",0,IF(S$7&lt;=ROUND($B$95,0),0,INDEX($D69:S69,S$7-$B$95)+INDEX($D84:S84,S$7-$B$95)))</f>
        <v>0</v>
      </c>
      <c r="T105" s="21" cm="1">
        <f t="array" ref="T105">IF($B$94="no",0,IF(T$7&lt;=ROUND($B$95,0),0,INDEX($D69:T69,T$7-$B$95)+INDEX($D84:T84,T$7-$B$95)))</f>
        <v>0</v>
      </c>
      <c r="U105" s="21" cm="1">
        <f t="array" ref="U105">IF($B$94="no",0,IF(U$7&lt;=ROUND($B$95,0),0,INDEX($D69:U69,U$7-$B$95)+INDEX($D84:U84,U$7-$B$95)))</f>
        <v>0</v>
      </c>
      <c r="V105" s="21" cm="1">
        <f t="array" ref="V105">IF($B$94="no",0,IF(V$7&lt;=ROUND($B$95,0),0,INDEX($D69:V69,V$7-$B$95)+INDEX($D84:V84,V$7-$B$95)))</f>
        <v>0</v>
      </c>
      <c r="W105" s="334" cm="1">
        <f t="array" ref="W105">IF($B$94="no",0,IF(W$7&lt;=ROUND($B$95,0),0,INDEX($D69:W69,W$7-$B$95)+INDEX($D84:W84,W$7-$B$95)))</f>
        <v>0</v>
      </c>
    </row>
    <row r="106" spans="1:23" x14ac:dyDescent="0.35">
      <c r="A106" s="83"/>
      <c r="C106" t="s">
        <v>265</v>
      </c>
      <c r="D106" s="21" cm="1">
        <f t="array" ref="D106">IF($B$94="no",0,IF(D$7&lt;=ROUND($B$95,0),0,INDEX($D70:D70,D$7-$B$95)+INDEX($D85:D85,D$7-$B$95)))</f>
        <v>0</v>
      </c>
      <c r="E106" s="21" cm="1">
        <f t="array" ref="E106">IF($B$94="no",0,IF(E$7&lt;=ROUND($B$95,0),0,INDEX($D70:E70,E$7-$B$95)+INDEX($D85:E85,E$7-$B$95)))</f>
        <v>0</v>
      </c>
      <c r="F106" s="21" cm="1">
        <f t="array" ref="F106">IF($B$94="no",0,IF(F$7&lt;=ROUND($B$95,0),0,INDEX($D70:F70,F$7-$B$95)+INDEX($D85:F85,F$7-$B$95)))</f>
        <v>0</v>
      </c>
      <c r="G106" s="21" cm="1">
        <f t="array" ref="G106">IF($B$94="no",0,IF(G$7&lt;=ROUND($B$95,0),0,INDEX($D70:G70,G$7-$B$95)+INDEX($D85:G85,G$7-$B$95)))</f>
        <v>0</v>
      </c>
      <c r="H106" s="21" cm="1">
        <f t="array" ref="H106">IF($B$94="no",0,IF(H$7&lt;=ROUND($B$95,0),0,INDEX($D70:H70,H$7-$B$95)+INDEX($D85:H85,H$7-$B$95)))</f>
        <v>0</v>
      </c>
      <c r="I106" s="21" cm="1">
        <f t="array" ref="I106">IF($B$94="no",0,IF(I$7&lt;=ROUND($B$95,0),0,INDEX($D70:I70,I$7-$B$95)+INDEX($D85:I85,I$7-$B$95)))</f>
        <v>0</v>
      </c>
      <c r="J106" s="21" cm="1">
        <f t="array" ref="J106">IF($B$94="no",0,IF(J$7&lt;=ROUND($B$95,0),0,INDEX($D70:J70,J$7-$B$95)+INDEX($D85:J85,J$7-$B$95)))</f>
        <v>0</v>
      </c>
      <c r="K106" s="21" cm="1">
        <f t="array" ref="K106">IF($B$94="no",0,IF(K$7&lt;=ROUND($B$95,0),0,INDEX($D70:K70,K$7-$B$95)+INDEX($D85:K85,K$7-$B$95)))</f>
        <v>0</v>
      </c>
      <c r="L106" s="21" cm="1">
        <f t="array" ref="L106">IF($B$94="no",0,IF(L$7&lt;=ROUND($B$95,0),0,INDEX($D70:L70,L$7-$B$95)+INDEX($D85:L85,L$7-$B$95)))</f>
        <v>0</v>
      </c>
      <c r="M106" s="21" cm="1">
        <f t="array" ref="M106">IF($B$94="no",0,IF(M$7&lt;=ROUND($B$95,0),0,INDEX($D70:M70,M$7-$B$95)+INDEX($D85:M85,M$7-$B$95)))</f>
        <v>0</v>
      </c>
      <c r="N106" s="21" cm="1">
        <f t="array" ref="N106">IF($B$94="no",0,IF(N$7&lt;=ROUND($B$95,0),0,INDEX($D70:N70,N$7-$B$95)+INDEX($D85:N85,N$7-$B$95)))</f>
        <v>0</v>
      </c>
      <c r="O106" s="21" cm="1">
        <f t="array" ref="O106">IF($B$94="no",0,IF(O$7&lt;=ROUND($B$95,0),0,INDEX($D70:O70,O$7-$B$95)+INDEX($D85:O85,O$7-$B$95)))</f>
        <v>0</v>
      </c>
      <c r="P106" s="21" cm="1">
        <f t="array" ref="P106">IF($B$94="no",0,IF(P$7&lt;=ROUND($B$95,0),0,INDEX($D70:P70,P$7-$B$95)+INDEX($D85:P85,P$7-$B$95)))</f>
        <v>0</v>
      </c>
      <c r="Q106" s="21" cm="1">
        <f t="array" ref="Q106">IF($B$94="no",0,IF(Q$7&lt;=ROUND($B$95,0),0,INDEX($D70:Q70,Q$7-$B$95)+INDEX($D85:Q85,Q$7-$B$95)))</f>
        <v>0</v>
      </c>
      <c r="R106" s="21" cm="1">
        <f t="array" ref="R106">IF($B$94="no",0,IF(R$7&lt;=ROUND($B$95,0),0,INDEX($D70:R70,R$7-$B$95)+INDEX($D85:R85,R$7-$B$95)))</f>
        <v>0</v>
      </c>
      <c r="S106" s="21" cm="1">
        <f t="array" ref="S106">IF($B$94="no",0,IF(S$7&lt;=ROUND($B$95,0),0,INDEX($D70:S70,S$7-$B$95)+INDEX($D85:S85,S$7-$B$95)))</f>
        <v>0</v>
      </c>
      <c r="T106" s="21" cm="1">
        <f t="array" ref="T106">IF($B$94="no",0,IF(T$7&lt;=ROUND($B$95,0),0,INDEX($D70:T70,T$7-$B$95)+INDEX($D85:T85,T$7-$B$95)))</f>
        <v>0</v>
      </c>
      <c r="U106" s="21" cm="1">
        <f t="array" ref="U106">IF($B$94="no",0,IF(U$7&lt;=ROUND($B$95,0),0,INDEX($D70:U70,U$7-$B$95)+INDEX($D85:U85,U$7-$B$95)))</f>
        <v>0</v>
      </c>
      <c r="V106" s="21" cm="1">
        <f t="array" ref="V106">IF($B$94="no",0,IF(V$7&lt;=ROUND($B$95,0),0,INDEX($D70:V70,V$7-$B$95)+INDEX($D85:V85,V$7-$B$95)))</f>
        <v>0</v>
      </c>
      <c r="W106" s="334" cm="1">
        <f t="array" ref="W106">IF($B$94="no",0,IF(W$7&lt;=ROUND($B$95,0),0,INDEX($D70:W70,W$7-$B$95)+INDEX($D85:W85,W$7-$B$95)))</f>
        <v>0</v>
      </c>
    </row>
    <row r="107" spans="1:23" x14ac:dyDescent="0.35">
      <c r="A107" s="83"/>
      <c r="B107" t="s">
        <v>266</v>
      </c>
      <c r="C107" t="s">
        <v>264</v>
      </c>
      <c r="D107" s="21" cm="1">
        <f t="array" ref="D107">IF($B$94="no",0,IF(D$7&lt;=ROUND($B$95,0),0,INDEX($D71:D71,D$7-$B$95)+INDEX($D86:D86,D$7-$B$95)))</f>
        <v>0</v>
      </c>
      <c r="E107" s="21" cm="1">
        <f t="array" ref="E107">IF($B$94="no",0,IF(E$7&lt;=ROUND($B$95,0),0,INDEX($D71:E71,E$7-$B$95)+INDEX($D86:E86,E$7-$B$95)))</f>
        <v>0</v>
      </c>
      <c r="F107" s="21" cm="1">
        <f t="array" ref="F107">IF($B$94="no",0,IF(F$7&lt;=ROUND($B$95,0),0,INDEX($D71:F71,F$7-$B$95)+INDEX($D86:F86,F$7-$B$95)))</f>
        <v>0</v>
      </c>
      <c r="G107" s="21" cm="1">
        <f t="array" ref="G107">IF($B$94="no",0,IF(G$7&lt;=ROUND($B$95,0),0,INDEX($D71:G71,G$7-$B$95)+INDEX($D86:G86,G$7-$B$95)))</f>
        <v>0</v>
      </c>
      <c r="H107" s="21" cm="1">
        <f t="array" ref="H107">IF($B$94="no",0,IF(H$7&lt;=ROUND($B$95,0),0,INDEX($D71:H71,H$7-$B$95)+INDEX($D86:H86,H$7-$B$95)))</f>
        <v>0</v>
      </c>
      <c r="I107" s="21" cm="1">
        <f t="array" ref="I107">IF($B$94="no",0,IF(I$7&lt;=ROUND($B$95,0),0,INDEX($D71:I71,I$7-$B$95)+INDEX($D86:I86,I$7-$B$95)))</f>
        <v>0</v>
      </c>
      <c r="J107" s="21" cm="1">
        <f t="array" ref="J107">IF($B$94="no",0,IF(J$7&lt;=ROUND($B$95,0),0,INDEX($D71:J71,J$7-$B$95)+INDEX($D86:J86,J$7-$B$95)))</f>
        <v>0</v>
      </c>
      <c r="K107" s="21" cm="1">
        <f t="array" ref="K107">IF($B$94="no",0,IF(K$7&lt;=ROUND($B$95,0),0,INDEX($D71:K71,K$7-$B$95)+INDEX($D86:K86,K$7-$B$95)))</f>
        <v>0</v>
      </c>
      <c r="L107" s="21" cm="1">
        <f t="array" ref="L107">IF($B$94="no",0,IF(L$7&lt;=ROUND($B$95,0),0,INDEX($D71:L71,L$7-$B$95)+INDEX($D86:L86,L$7-$B$95)))</f>
        <v>0</v>
      </c>
      <c r="M107" s="21" cm="1">
        <f t="array" ref="M107">IF($B$94="no",0,IF(M$7&lt;=ROUND($B$95,0),0,INDEX($D71:M71,M$7-$B$95)+INDEX($D86:M86,M$7-$B$95)))</f>
        <v>0</v>
      </c>
      <c r="N107" s="21" cm="1">
        <f t="array" ref="N107">IF($B$94="no",0,IF(N$7&lt;=ROUND($B$95,0),0,INDEX($D71:N71,N$7-$B$95)+INDEX($D86:N86,N$7-$B$95)))</f>
        <v>0</v>
      </c>
      <c r="O107" s="21" cm="1">
        <f t="array" ref="O107">IF($B$94="no",0,IF(O$7&lt;=ROUND($B$95,0),0,INDEX($D71:O71,O$7-$B$95)+INDEX($D86:O86,O$7-$B$95)))</f>
        <v>0</v>
      </c>
      <c r="P107" s="21" cm="1">
        <f t="array" ref="P107">IF($B$94="no",0,IF(P$7&lt;=ROUND($B$95,0),0,INDEX($D71:P71,P$7-$B$95)+INDEX($D86:P86,P$7-$B$95)))</f>
        <v>2</v>
      </c>
      <c r="Q107" s="21" cm="1">
        <f t="array" ref="Q107">IF($B$94="no",0,IF(Q$7&lt;=ROUND($B$95,0),0,INDEX($D71:Q71,Q$7-$B$95)+INDEX($D86:Q86,Q$7-$B$95)))</f>
        <v>0</v>
      </c>
      <c r="R107" s="21" cm="1">
        <f t="array" ref="R107">IF($B$94="no",0,IF(R$7&lt;=ROUND($B$95,0),0,INDEX($D71:R71,R$7-$B$95)+INDEX($D86:R86,R$7-$B$95)))</f>
        <v>0</v>
      </c>
      <c r="S107" s="21" cm="1">
        <f t="array" ref="S107">IF($B$94="no",0,IF(S$7&lt;=ROUND($B$95,0),0,INDEX($D71:S71,S$7-$B$95)+INDEX($D86:S86,S$7-$B$95)))</f>
        <v>0</v>
      </c>
      <c r="T107" s="21" cm="1">
        <f t="array" ref="T107">IF($B$94="no",0,IF(T$7&lt;=ROUND($B$95,0),0,INDEX($D71:T71,T$7-$B$95)+INDEX($D86:T86,T$7-$B$95)))</f>
        <v>1</v>
      </c>
      <c r="U107" s="21" cm="1">
        <f t="array" ref="U107">IF($B$94="no",0,IF(U$7&lt;=ROUND($B$95,0),0,INDEX($D71:U71,U$7-$B$95)+INDEX($D86:U86,U$7-$B$95)))</f>
        <v>0</v>
      </c>
      <c r="V107" s="21" cm="1">
        <f t="array" ref="V107">IF($B$94="no",0,IF(V$7&lt;=ROUND($B$95,0),0,INDEX($D71:V71,V$7-$B$95)+INDEX($D86:V86,V$7-$B$95)))</f>
        <v>0</v>
      </c>
      <c r="W107" s="334" cm="1">
        <f t="array" ref="W107">IF($B$94="no",0,IF(W$7&lt;=ROUND($B$95,0),0,INDEX($D71:W71,W$7-$B$95)+INDEX($D86:W86,W$7-$B$95)))</f>
        <v>0</v>
      </c>
    </row>
    <row r="108" spans="1:23" x14ac:dyDescent="0.35">
      <c r="A108" s="83"/>
      <c r="C108" t="s">
        <v>265</v>
      </c>
      <c r="D108" s="21" cm="1">
        <f t="array" ref="D108">IF($B$94="no",0,IF(D$7&lt;=ROUND($B$95,0),0,INDEX($D72:D72,D$7-$B$95)+INDEX($D87:D87,D$7-$B$95)))</f>
        <v>0</v>
      </c>
      <c r="E108" s="21" cm="1">
        <f t="array" ref="E108">IF($B$94="no",0,IF(E$7&lt;=ROUND($B$95,0),0,INDEX($D72:E72,E$7-$B$95)+INDEX($D87:E87,E$7-$B$95)))</f>
        <v>0</v>
      </c>
      <c r="F108" s="21" cm="1">
        <f t="array" ref="F108">IF($B$94="no",0,IF(F$7&lt;=ROUND($B$95,0),0,INDEX($D72:F72,F$7-$B$95)+INDEX($D87:F87,F$7-$B$95)))</f>
        <v>0</v>
      </c>
      <c r="G108" s="21" cm="1">
        <f t="array" ref="G108">IF($B$94="no",0,IF(G$7&lt;=ROUND($B$95,0),0,INDEX($D72:G72,G$7-$B$95)+INDEX($D87:G87,G$7-$B$95)))</f>
        <v>0</v>
      </c>
      <c r="H108" s="21" cm="1">
        <f t="array" ref="H108">IF($B$94="no",0,IF(H$7&lt;=ROUND($B$95,0),0,INDEX($D72:H72,H$7-$B$95)+INDEX($D87:H87,H$7-$B$95)))</f>
        <v>0</v>
      </c>
      <c r="I108" s="21" cm="1">
        <f t="array" ref="I108">IF($B$94="no",0,IF(I$7&lt;=ROUND($B$95,0),0,INDEX($D72:I72,I$7-$B$95)+INDEX($D87:I87,I$7-$B$95)))</f>
        <v>0</v>
      </c>
      <c r="J108" s="21" cm="1">
        <f t="array" ref="J108">IF($B$94="no",0,IF(J$7&lt;=ROUND($B$95,0),0,INDEX($D72:J72,J$7-$B$95)+INDEX($D87:J87,J$7-$B$95)))</f>
        <v>0</v>
      </c>
      <c r="K108" s="21" cm="1">
        <f t="array" ref="K108">IF($B$94="no",0,IF(K$7&lt;=ROUND($B$95,0),0,INDEX($D72:K72,K$7-$B$95)+INDEX($D87:K87,K$7-$B$95)))</f>
        <v>0</v>
      </c>
      <c r="L108" s="21" cm="1">
        <f t="array" ref="L108">IF($B$94="no",0,IF(L$7&lt;=ROUND($B$95,0),0,INDEX($D72:L72,L$7-$B$95)+INDEX($D87:L87,L$7-$B$95)))</f>
        <v>0</v>
      </c>
      <c r="M108" s="21" cm="1">
        <f t="array" ref="M108">IF($B$94="no",0,IF(M$7&lt;=ROUND($B$95,0),0,INDEX($D72:M72,M$7-$B$95)+INDEX($D87:M87,M$7-$B$95)))</f>
        <v>0</v>
      </c>
      <c r="N108" s="21" cm="1">
        <f t="array" ref="N108">IF($B$94="no",0,IF(N$7&lt;=ROUND($B$95,0),0,INDEX($D72:N72,N$7-$B$95)+INDEX($D87:N87,N$7-$B$95)))</f>
        <v>2</v>
      </c>
      <c r="O108" s="21" cm="1">
        <f t="array" ref="O108">IF($B$94="no",0,IF(O$7&lt;=ROUND($B$95,0),0,INDEX($D72:O72,O$7-$B$95)+INDEX($D87:O87,O$7-$B$95)))</f>
        <v>2</v>
      </c>
      <c r="P108" s="21" cm="1">
        <f t="array" ref="P108">IF($B$94="no",0,IF(P$7&lt;=ROUND($B$95,0),0,INDEX($D72:P72,P$7-$B$95)+INDEX($D87:P87,P$7-$B$95)))</f>
        <v>10</v>
      </c>
      <c r="Q108" s="21" cm="1">
        <f t="array" ref="Q108">IF($B$94="no",0,IF(Q$7&lt;=ROUND($B$95,0),0,INDEX($D72:Q72,Q$7-$B$95)+INDEX($D87:Q87,Q$7-$B$95)))</f>
        <v>5</v>
      </c>
      <c r="R108" s="21" cm="1">
        <f t="array" ref="R108">IF($B$94="no",0,IF(R$7&lt;=ROUND($B$95,0),0,INDEX($D72:R72,R$7-$B$95)+INDEX($D87:R87,R$7-$B$95)))</f>
        <v>3</v>
      </c>
      <c r="S108" s="21" cm="1">
        <f t="array" ref="S108">IF($B$94="no",0,IF(S$7&lt;=ROUND($B$95,0),0,INDEX($D72:S72,S$7-$B$95)+INDEX($D87:S87,S$7-$B$95)))</f>
        <v>4</v>
      </c>
      <c r="T108" s="21" cm="1">
        <f t="array" ref="T108">IF($B$94="no",0,IF(T$7&lt;=ROUND($B$95,0),0,INDEX($D72:T72,T$7-$B$95)+INDEX($D87:T87,T$7-$B$95)))</f>
        <v>6</v>
      </c>
      <c r="U108" s="21" cm="1">
        <f t="array" ref="U108">IF($B$94="no",0,IF(U$7&lt;=ROUND($B$95,0),0,INDEX($D72:U72,U$7-$B$95)+INDEX($D87:U87,U$7-$B$95)))</f>
        <v>1</v>
      </c>
      <c r="V108" s="21" cm="1">
        <f t="array" ref="V108">IF($B$94="no",0,IF(V$7&lt;=ROUND($B$95,0),0,INDEX($D72:V72,V$7-$B$95)+INDEX($D87:V87,V$7-$B$95)))</f>
        <v>4</v>
      </c>
      <c r="W108" s="334" cm="1">
        <f t="array" ref="W108">IF($B$94="no",0,IF(W$7&lt;=ROUND($B$95,0),0,INDEX($D72:W72,W$7-$B$95)+INDEX($D87:W87,W$7-$B$95)))</f>
        <v>0</v>
      </c>
    </row>
    <row r="109" spans="1:23" x14ac:dyDescent="0.35"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334"/>
    </row>
    <row r="110" spans="1:23" x14ac:dyDescent="0.35">
      <c r="B110" t="s">
        <v>284</v>
      </c>
      <c r="C110" s="63"/>
      <c r="D110" s="68">
        <f>SUM(D73,D76:D87,D97:D108)</f>
        <v>17246</v>
      </c>
      <c r="E110" s="68">
        <f t="shared" ref="E110:W110" si="20">SUM(E73,E76:E87,E97:E108)</f>
        <v>18563</v>
      </c>
      <c r="F110" s="68">
        <f t="shared" si="20"/>
        <v>15825</v>
      </c>
      <c r="G110" s="68">
        <f t="shared" si="20"/>
        <v>12057</v>
      </c>
      <c r="H110" s="68">
        <f t="shared" si="20"/>
        <v>1578</v>
      </c>
      <c r="I110" s="68">
        <f t="shared" si="20"/>
        <v>6903</v>
      </c>
      <c r="J110" s="68">
        <f t="shared" si="20"/>
        <v>6326</v>
      </c>
      <c r="K110" s="68">
        <f t="shared" si="20"/>
        <v>17347</v>
      </c>
      <c r="L110" s="68">
        <f t="shared" si="20"/>
        <v>31655</v>
      </c>
      <c r="M110" s="68">
        <f t="shared" si="20"/>
        <v>16000</v>
      </c>
      <c r="N110" s="68">
        <f t="shared" si="20"/>
        <v>17245.999999999996</v>
      </c>
      <c r="O110" s="68">
        <f t="shared" si="20"/>
        <v>18563</v>
      </c>
      <c r="P110" s="68">
        <f t="shared" si="20"/>
        <v>15825</v>
      </c>
      <c r="Q110" s="68">
        <f t="shared" si="20"/>
        <v>12057</v>
      </c>
      <c r="R110" s="68">
        <f t="shared" si="20"/>
        <v>1578</v>
      </c>
      <c r="S110" s="68">
        <f t="shared" si="20"/>
        <v>6903</v>
      </c>
      <c r="T110" s="68">
        <f t="shared" si="20"/>
        <v>6326</v>
      </c>
      <c r="U110" s="68">
        <f t="shared" si="20"/>
        <v>17347</v>
      </c>
      <c r="V110" s="68">
        <f t="shared" si="20"/>
        <v>31655</v>
      </c>
      <c r="W110" s="68">
        <f t="shared" si="20"/>
        <v>16000</v>
      </c>
    </row>
    <row r="111" spans="1:23" x14ac:dyDescent="0.35">
      <c r="C111" s="63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1"/>
      <c r="T111" s="21"/>
      <c r="U111" s="21"/>
      <c r="V111" s="21"/>
      <c r="W111" s="346"/>
    </row>
    <row r="112" spans="1:23" x14ac:dyDescent="0.35">
      <c r="C112">
        <v>0</v>
      </c>
      <c r="D112">
        <v>1</v>
      </c>
      <c r="E112">
        <v>2</v>
      </c>
      <c r="F112">
        <v>3</v>
      </c>
      <c r="G112">
        <v>4</v>
      </c>
      <c r="H112">
        <v>5</v>
      </c>
      <c r="I112">
        <v>6</v>
      </c>
      <c r="J112">
        <v>7</v>
      </c>
      <c r="K112">
        <v>8</v>
      </c>
      <c r="L112">
        <v>9</v>
      </c>
      <c r="M112">
        <v>10</v>
      </c>
      <c r="N112">
        <v>11</v>
      </c>
      <c r="O112">
        <v>12</v>
      </c>
      <c r="P112">
        <v>13</v>
      </c>
      <c r="Q112">
        <v>14</v>
      </c>
      <c r="R112">
        <v>15</v>
      </c>
      <c r="S112">
        <v>16</v>
      </c>
      <c r="T112">
        <v>17</v>
      </c>
      <c r="U112">
        <v>18</v>
      </c>
      <c r="V112">
        <v>19</v>
      </c>
      <c r="W112">
        <v>20</v>
      </c>
    </row>
    <row r="113" spans="1:23" ht="30.5" x14ac:dyDescent="0.5">
      <c r="A113" s="93" t="s">
        <v>285</v>
      </c>
      <c r="B113" s="27" t="s">
        <v>286</v>
      </c>
      <c r="C113" s="30" t="s">
        <v>287</v>
      </c>
      <c r="D113" s="114">
        <f t="shared" ref="D113:W113" si="21">YearOne+D$7-1</f>
        <v>2026</v>
      </c>
      <c r="E113" s="114">
        <f t="shared" si="21"/>
        <v>2027</v>
      </c>
      <c r="F113" s="114">
        <f t="shared" si="21"/>
        <v>2028</v>
      </c>
      <c r="G113" s="114">
        <f t="shared" si="21"/>
        <v>2029</v>
      </c>
      <c r="H113" s="114">
        <f t="shared" si="21"/>
        <v>2030</v>
      </c>
      <c r="I113" s="114">
        <f t="shared" si="21"/>
        <v>2031</v>
      </c>
      <c r="J113" s="114">
        <f t="shared" si="21"/>
        <v>2032</v>
      </c>
      <c r="K113" s="114">
        <f t="shared" si="21"/>
        <v>2033</v>
      </c>
      <c r="L113" s="114">
        <f t="shared" si="21"/>
        <v>2034</v>
      </c>
      <c r="M113" s="114">
        <f t="shared" si="21"/>
        <v>2035</v>
      </c>
      <c r="N113" s="114">
        <f t="shared" si="21"/>
        <v>2036</v>
      </c>
      <c r="O113" s="114">
        <f t="shared" si="21"/>
        <v>2037</v>
      </c>
      <c r="P113" s="114">
        <f t="shared" si="21"/>
        <v>2038</v>
      </c>
      <c r="Q113" s="114">
        <f t="shared" si="21"/>
        <v>2039</v>
      </c>
      <c r="R113" s="114">
        <f t="shared" si="21"/>
        <v>2040</v>
      </c>
      <c r="S113" s="114">
        <f t="shared" si="21"/>
        <v>2041</v>
      </c>
      <c r="T113" s="114">
        <f t="shared" si="21"/>
        <v>2042</v>
      </c>
      <c r="U113" s="114">
        <f t="shared" si="21"/>
        <v>2043</v>
      </c>
      <c r="V113" s="114">
        <f t="shared" si="21"/>
        <v>2044</v>
      </c>
      <c r="W113" s="217">
        <f t="shared" si="21"/>
        <v>2045</v>
      </c>
    </row>
    <row r="114" spans="1:23" x14ac:dyDescent="0.35">
      <c r="A114" s="27" t="s">
        <v>184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3" x14ac:dyDescent="0.35">
      <c r="A115" s="8"/>
      <c r="B115" s="41" t="s">
        <v>288</v>
      </c>
      <c r="C115" s="73" t="str">
        <f>'0-Inputs'!$B$32</f>
        <v>0.5-0.5</v>
      </c>
      <c r="D115" s="151">
        <f>'CONF-MeterPrice'!E68</f>
        <v>0</v>
      </c>
      <c r="E115" s="6" cm="1">
        <f t="array" aca="1" ref="E115" ca="1">INDEX(INDIRECT($B115),,MATCH(E$113,'CONF-MeterPrice'!$E$52:$Y$52,0))</f>
        <v>0</v>
      </c>
      <c r="F115" s="6" cm="1">
        <f t="array" aca="1" ref="F115" ca="1">INDEX(INDIRECT($B115),,MATCH(F$113,'CONF-MeterPrice'!$E$52:$Y$52,0))</f>
        <v>0</v>
      </c>
      <c r="G115" s="6" cm="1">
        <f t="array" aca="1" ref="G115" ca="1">INDEX(INDIRECT($B115),,MATCH(G$113,'CONF-MeterPrice'!$E$52:$Y$52,0))</f>
        <v>0</v>
      </c>
      <c r="H115" s="6" cm="1">
        <f t="array" aca="1" ref="H115" ca="1">INDEX(INDIRECT($B115),,MATCH(H$113,'CONF-MeterPrice'!$E$52:$Y$52,0))</f>
        <v>0</v>
      </c>
      <c r="I115" s="6" cm="1">
        <f t="array" aca="1" ref="I115" ca="1">INDEX(INDIRECT($B115),,MATCH(I$113,'CONF-MeterPrice'!$E$52:$Y$52,0))</f>
        <v>0</v>
      </c>
      <c r="J115" s="6" cm="1">
        <f t="array" aca="1" ref="J115" ca="1">INDEX(INDIRECT($B115),,MATCH(J$113,'CONF-MeterPrice'!$E$52:$Y$52,0))</f>
        <v>0</v>
      </c>
      <c r="K115" s="6" cm="1">
        <f t="array" aca="1" ref="K115" ca="1">INDEX(INDIRECT($B115),,MATCH(K$113,'CONF-MeterPrice'!$E$52:$Y$52,0))</f>
        <v>0</v>
      </c>
      <c r="L115" s="6" cm="1">
        <f t="array" aca="1" ref="L115" ca="1">INDEX(INDIRECT($B115),,MATCH(L$113,'CONF-MeterPrice'!$E$52:$Y$52,0))</f>
        <v>0</v>
      </c>
      <c r="M115" s="6" cm="1">
        <f t="array" aca="1" ref="M115" ca="1">INDEX(INDIRECT($B115),,MATCH(M$113,'CONF-MeterPrice'!$E$52:$Y$52,0))</f>
        <v>0</v>
      </c>
      <c r="N115" s="6" cm="1">
        <f t="array" aca="1" ref="N115" ca="1">INDEX(INDIRECT($B115),,MATCH(N$113,'CONF-MeterPrice'!$E$52:$Y$52,0))</f>
        <v>0</v>
      </c>
      <c r="O115" s="6" cm="1">
        <f t="array" aca="1" ref="O115" ca="1">INDEX(INDIRECT($B115),,MATCH(O$113,'CONF-MeterPrice'!$E$52:$Y$52,0))</f>
        <v>0</v>
      </c>
      <c r="P115" s="6" cm="1">
        <f t="array" aca="1" ref="P115" ca="1">INDEX(INDIRECT($B115),,MATCH(P$113,'CONF-MeterPrice'!$E$52:$Y$52,0))</f>
        <v>0</v>
      </c>
      <c r="Q115" s="6" cm="1">
        <f t="array" aca="1" ref="Q115" ca="1">INDEX(INDIRECT($B115),,MATCH(Q$113,'CONF-MeterPrice'!$E$52:$Y$52,0))</f>
        <v>0</v>
      </c>
      <c r="R115" s="6" cm="1">
        <f t="array" aca="1" ref="R115" ca="1">INDEX(INDIRECT($B115),,MATCH(R$113,'CONF-MeterPrice'!$E$52:$Y$52,0))</f>
        <v>0</v>
      </c>
      <c r="S115" s="6" cm="1">
        <f t="array" aca="1" ref="S115" ca="1">INDEX(INDIRECT($B115),,MATCH(S$113,'CONF-MeterPrice'!$E$52:$Y$52,0))</f>
        <v>0</v>
      </c>
      <c r="T115" s="6" cm="1">
        <f t="array" aca="1" ref="T115" ca="1">INDEX(INDIRECT($B115),,MATCH(T$113,'CONF-MeterPrice'!$E$52:$Y$52,0))</f>
        <v>0</v>
      </c>
      <c r="U115" s="6" cm="1">
        <f t="array" aca="1" ref="U115" ca="1">INDEX(INDIRECT($B115),,MATCH(U$113,'CONF-MeterPrice'!$E$52:$Y$52,0))</f>
        <v>0</v>
      </c>
      <c r="V115" s="6" cm="1">
        <f t="array" aca="1" ref="V115" ca="1">INDEX(INDIRECT($B115),,MATCH(V$113,'CONF-MeterPrice'!$E$52:$Y$52,0))</f>
        <v>0</v>
      </c>
      <c r="W115" s="337" cm="1">
        <f t="array" aca="1" ref="W115" ca="1">INDEX(INDIRECT($B115),,MATCH(W$113,'CONF-MeterPrice'!$E$52:$Y$52,0))</f>
        <v>0</v>
      </c>
    </row>
    <row r="116" spans="1:23" x14ac:dyDescent="0.35">
      <c r="A116" s="8"/>
      <c r="B116" s="41" t="s">
        <v>289</v>
      </c>
      <c r="C116" s="73" t="str">
        <f>'0-Inputs'!$B$32</f>
        <v>0.5-0.5</v>
      </c>
      <c r="D116" s="151">
        <f>'CONF-MeterPrice'!E64</f>
        <v>0</v>
      </c>
      <c r="E116" s="6">
        <f ca="1">INDEX(INDIRECT($B116),MATCH(E$113,'CONF-MeterPrice'!$E$52:$Y$52,0))</f>
        <v>0</v>
      </c>
      <c r="F116" s="6">
        <f ca="1">INDEX(INDIRECT($B116),MATCH(F$113,'CONF-MeterPrice'!$E$52:$Y$52,0))</f>
        <v>0</v>
      </c>
      <c r="G116" s="6">
        <f ca="1">INDEX(INDIRECT($B116),MATCH(G$113,'CONF-MeterPrice'!$E$52:$Y$52,0))</f>
        <v>0</v>
      </c>
      <c r="H116" s="6">
        <f ca="1">INDEX(INDIRECT($B116),MATCH(H$113,'CONF-MeterPrice'!$E$52:$Y$52,0))</f>
        <v>0</v>
      </c>
      <c r="I116" s="6">
        <f ca="1">INDEX(INDIRECT($B116),MATCH(I$113,'CONF-MeterPrice'!$E$52:$Y$52,0))</f>
        <v>0</v>
      </c>
      <c r="J116" s="6">
        <f ca="1">INDEX(INDIRECT($B116),MATCH(J$113,'CONF-MeterPrice'!$E$52:$Y$52,0))</f>
        <v>0</v>
      </c>
      <c r="K116" s="6">
        <f ca="1">INDEX(INDIRECT($B116),MATCH(K$113,'CONF-MeterPrice'!$E$52:$Y$52,0))</f>
        <v>0</v>
      </c>
      <c r="L116" s="6">
        <f ca="1">INDEX(INDIRECT($B116),MATCH(L$113,'CONF-MeterPrice'!$E$52:$Y$52,0))</f>
        <v>0</v>
      </c>
      <c r="M116" s="6">
        <f ca="1">INDEX(INDIRECT($B116),MATCH(M$113,'CONF-MeterPrice'!$E$52:$Y$52,0))</f>
        <v>0</v>
      </c>
      <c r="N116" s="6">
        <f ca="1">INDEX(INDIRECT($B116),MATCH(N$113,'CONF-MeterPrice'!$E$52:$Y$52,0))</f>
        <v>0</v>
      </c>
      <c r="O116" s="6">
        <f ca="1">INDEX(INDIRECT($B116),MATCH(O$113,'CONF-MeterPrice'!$E$52:$Y$52,0))</f>
        <v>0</v>
      </c>
      <c r="P116" s="6">
        <f ca="1">INDEX(INDIRECT($B116),MATCH(P$113,'CONF-MeterPrice'!$E$52:$Y$52,0))</f>
        <v>0</v>
      </c>
      <c r="Q116" s="6">
        <f ca="1">INDEX(INDIRECT($B116),MATCH(Q$113,'CONF-MeterPrice'!$E$52:$Y$52,0))</f>
        <v>0</v>
      </c>
      <c r="R116" s="6">
        <f ca="1">INDEX(INDIRECT($B116),MATCH(R$113,'CONF-MeterPrice'!$E$52:$Y$52,0))</f>
        <v>0</v>
      </c>
      <c r="S116" s="6">
        <f ca="1">INDEX(INDIRECT($B116),MATCH(S$113,'CONF-MeterPrice'!$E$52:$Y$52,0))</f>
        <v>0</v>
      </c>
      <c r="T116" s="6">
        <f ca="1">INDEX(INDIRECT($B116),MATCH(T$113,'CONF-MeterPrice'!$E$52:$Y$52,0))</f>
        <v>0</v>
      </c>
      <c r="U116" s="6">
        <f ca="1">INDEX(INDIRECT($B116),MATCH(U$113,'CONF-MeterPrice'!$E$52:$Y$52,0))</f>
        <v>0</v>
      </c>
      <c r="V116" s="6">
        <f ca="1">INDEX(INDIRECT($B116),MATCH(V$113,'CONF-MeterPrice'!$E$52:$Y$52,0))</f>
        <v>0</v>
      </c>
      <c r="W116" s="337">
        <f ca="1">INDEX(INDIRECT($B116),MATCH(W$113,'CONF-MeterPrice'!$E$52:$Y$52,0))</f>
        <v>0</v>
      </c>
    </row>
    <row r="117" spans="1:23" x14ac:dyDescent="0.35">
      <c r="A117" s="8"/>
      <c r="B117" s="41" t="s">
        <v>290</v>
      </c>
      <c r="C117" s="73" t="str">
        <f>'0-Inputs'!$B$32</f>
        <v>0.5-0.5</v>
      </c>
      <c r="D117" s="79">
        <f>'CONF-MeterPrice'!E57</f>
        <v>0</v>
      </c>
      <c r="E117" s="6" cm="1">
        <f t="array" aca="1" ref="E117" ca="1">INDEX(INDIRECT($B117),,MATCH(E$113,'CONF-MeterPrice'!$E$52:$Y$52,0))</f>
        <v>0</v>
      </c>
      <c r="F117" s="6" cm="1">
        <f t="array" aca="1" ref="F117" ca="1">INDEX(INDIRECT($B117),,MATCH(F$113,'CONF-MeterPrice'!$E$52:$Y$52,0))</f>
        <v>0</v>
      </c>
      <c r="G117" s="6" cm="1">
        <f t="array" aca="1" ref="G117" ca="1">INDEX(INDIRECT($B117),,MATCH(G$113,'CONF-MeterPrice'!$E$52:$Y$52,0))</f>
        <v>0</v>
      </c>
      <c r="H117" s="6" cm="1">
        <f t="array" aca="1" ref="H117" ca="1">INDEX(INDIRECT($B117),,MATCH(H$113,'CONF-MeterPrice'!$E$52:$Y$52,0))</f>
        <v>0</v>
      </c>
      <c r="I117" s="6" cm="1">
        <f t="array" aca="1" ref="I117" ca="1">INDEX(INDIRECT($B117),,MATCH(I$113,'CONF-MeterPrice'!$E$52:$Y$52,0))</f>
        <v>0</v>
      </c>
      <c r="J117" s="6" cm="1">
        <f t="array" aca="1" ref="J117" ca="1">INDEX(INDIRECT($B117),,MATCH(J$113,'CONF-MeterPrice'!$E$52:$Y$52,0))</f>
        <v>0</v>
      </c>
      <c r="K117" s="6" cm="1">
        <f t="array" aca="1" ref="K117" ca="1">INDEX(INDIRECT($B117),,MATCH(K$113,'CONF-MeterPrice'!$E$52:$Y$52,0))</f>
        <v>0</v>
      </c>
      <c r="L117" s="6" cm="1">
        <f t="array" aca="1" ref="L117" ca="1">INDEX(INDIRECT($B117),,MATCH(L$113,'CONF-MeterPrice'!$E$52:$Y$52,0))</f>
        <v>0</v>
      </c>
      <c r="M117" s="6" cm="1">
        <f t="array" aca="1" ref="M117" ca="1">INDEX(INDIRECT($B117),,MATCH(M$113,'CONF-MeterPrice'!$E$52:$Y$52,0))</f>
        <v>0</v>
      </c>
      <c r="N117" s="6" cm="1">
        <f t="array" aca="1" ref="N117" ca="1">INDEX(INDIRECT($B117),,MATCH(N$113,'CONF-MeterPrice'!$E$52:$Y$52,0))</f>
        <v>0</v>
      </c>
      <c r="O117" s="6" cm="1">
        <f t="array" aca="1" ref="O117" ca="1">INDEX(INDIRECT($B117),,MATCH(O$113,'CONF-MeterPrice'!$E$52:$Y$52,0))</f>
        <v>0</v>
      </c>
      <c r="P117" s="6" cm="1">
        <f t="array" aca="1" ref="P117" ca="1">INDEX(INDIRECT($B117),,MATCH(P$113,'CONF-MeterPrice'!$E$52:$Y$52,0))</f>
        <v>0</v>
      </c>
      <c r="Q117" s="6" cm="1">
        <f t="array" aca="1" ref="Q117" ca="1">INDEX(INDIRECT($B117),,MATCH(Q$113,'CONF-MeterPrice'!$E$52:$Y$52,0))</f>
        <v>0</v>
      </c>
      <c r="R117" s="6" cm="1">
        <f t="array" aca="1" ref="R117" ca="1">INDEX(INDIRECT($B117),,MATCH(R$113,'CONF-MeterPrice'!$E$52:$Y$52,0))</f>
        <v>0</v>
      </c>
      <c r="S117" s="6" cm="1">
        <f t="array" aca="1" ref="S117" ca="1">INDEX(INDIRECT($B117),,MATCH(S$113,'CONF-MeterPrice'!$E$52:$Y$52,0))</f>
        <v>0</v>
      </c>
      <c r="T117" s="6" cm="1">
        <f t="array" aca="1" ref="T117" ca="1">INDEX(INDIRECT($B117),,MATCH(T$113,'CONF-MeterPrice'!$E$52:$Y$52,0))</f>
        <v>0</v>
      </c>
      <c r="U117" s="6" cm="1">
        <f t="array" aca="1" ref="U117" ca="1">INDEX(INDIRECT($B117),,MATCH(U$113,'CONF-MeterPrice'!$E$52:$Y$52,0))</f>
        <v>0</v>
      </c>
      <c r="V117" s="6" cm="1">
        <f t="array" aca="1" ref="V117" ca="1">INDEX(INDIRECT($B117),,MATCH(V$113,'CONF-MeterPrice'!$E$52:$Y$52,0))</f>
        <v>0</v>
      </c>
      <c r="W117" s="337" cm="1">
        <f t="array" aca="1" ref="W117" ca="1">INDEX(INDIRECT($B117),,MATCH(W$113,'CONF-MeterPrice'!$E$52:$Y$52,0))</f>
        <v>0</v>
      </c>
    </row>
    <row r="118" spans="1:23" x14ac:dyDescent="0.35">
      <c r="A118" s="8"/>
      <c r="B118" s="41" t="s">
        <v>291</v>
      </c>
      <c r="C118" s="73" t="str">
        <f>'0-Inputs'!$B$32</f>
        <v>0.5-0.5</v>
      </c>
      <c r="D118" s="79">
        <f>'CONF-MeterPrice'!E53</f>
        <v>0</v>
      </c>
      <c r="E118" s="6" cm="1">
        <f t="array" aca="1" ref="E118" ca="1">INDEX(INDIRECT($B118),,MATCH(E$113,'CONF-MeterPrice'!$E$52:$Y$52,0))</f>
        <v>0</v>
      </c>
      <c r="F118" s="6" cm="1">
        <f t="array" aca="1" ref="F118" ca="1">INDEX(INDIRECT($B118),,MATCH(F$113,'CONF-MeterPrice'!$E$52:$Y$52,0))</f>
        <v>0</v>
      </c>
      <c r="G118" s="6" cm="1">
        <f t="array" aca="1" ref="G118" ca="1">INDEX(INDIRECT($B118),,MATCH(G$113,'CONF-MeterPrice'!$E$52:$Y$52,0))</f>
        <v>0</v>
      </c>
      <c r="H118" s="6" cm="1">
        <f t="array" aca="1" ref="H118" ca="1">INDEX(INDIRECT($B118),,MATCH(H$113,'CONF-MeterPrice'!$E$52:$Y$52,0))</f>
        <v>0</v>
      </c>
      <c r="I118" s="6" cm="1">
        <f t="array" aca="1" ref="I118" ca="1">INDEX(INDIRECT($B118),,MATCH(I$113,'CONF-MeterPrice'!$E$52:$Y$52,0))</f>
        <v>0</v>
      </c>
      <c r="J118" s="6" cm="1">
        <f t="array" aca="1" ref="J118" ca="1">INDEX(INDIRECT($B118),,MATCH(J$113,'CONF-MeterPrice'!$E$52:$Y$52,0))</f>
        <v>0</v>
      </c>
      <c r="K118" s="6" cm="1">
        <f t="array" aca="1" ref="K118" ca="1">INDEX(INDIRECT($B118),,MATCH(K$113,'CONF-MeterPrice'!$E$52:$Y$52,0))</f>
        <v>0</v>
      </c>
      <c r="L118" s="6" cm="1">
        <f t="array" aca="1" ref="L118" ca="1">INDEX(INDIRECT($B118),,MATCH(L$113,'CONF-MeterPrice'!$E$52:$Y$52,0))</f>
        <v>0</v>
      </c>
      <c r="M118" s="6" cm="1">
        <f t="array" aca="1" ref="M118" ca="1">INDEX(INDIRECT($B118),,MATCH(M$113,'CONF-MeterPrice'!$E$52:$Y$52,0))</f>
        <v>0</v>
      </c>
      <c r="N118" s="6" cm="1">
        <f t="array" aca="1" ref="N118" ca="1">INDEX(INDIRECT($B118),,MATCH(N$113,'CONF-MeterPrice'!$E$52:$Y$52,0))</f>
        <v>0</v>
      </c>
      <c r="O118" s="6" cm="1">
        <f t="array" aca="1" ref="O118" ca="1">INDEX(INDIRECT($B118),,MATCH(O$113,'CONF-MeterPrice'!$E$52:$Y$52,0))</f>
        <v>0</v>
      </c>
      <c r="P118" s="6" cm="1">
        <f t="array" aca="1" ref="P118" ca="1">INDEX(INDIRECT($B118),,MATCH(P$113,'CONF-MeterPrice'!$E$52:$Y$52,0))</f>
        <v>0</v>
      </c>
      <c r="Q118" s="6" cm="1">
        <f t="array" aca="1" ref="Q118" ca="1">INDEX(INDIRECT($B118),,MATCH(Q$113,'CONF-MeterPrice'!$E$52:$Y$52,0))</f>
        <v>0</v>
      </c>
      <c r="R118" s="6" cm="1">
        <f t="array" aca="1" ref="R118" ca="1">INDEX(INDIRECT($B118),,MATCH(R$113,'CONF-MeterPrice'!$E$52:$Y$52,0))</f>
        <v>0</v>
      </c>
      <c r="S118" s="6" cm="1">
        <f t="array" aca="1" ref="S118" ca="1">INDEX(INDIRECT($B118),,MATCH(S$113,'CONF-MeterPrice'!$E$52:$Y$52,0))</f>
        <v>0</v>
      </c>
      <c r="T118" s="6" cm="1">
        <f t="array" aca="1" ref="T118" ca="1">INDEX(INDIRECT($B118),,MATCH(T$113,'CONF-MeterPrice'!$E$52:$Y$52,0))</f>
        <v>0</v>
      </c>
      <c r="U118" s="6" cm="1">
        <f t="array" aca="1" ref="U118" ca="1">INDEX(INDIRECT($B118),,MATCH(U$113,'CONF-MeterPrice'!$E$52:$Y$52,0))</f>
        <v>0</v>
      </c>
      <c r="V118" s="6" cm="1">
        <f t="array" aca="1" ref="V118" ca="1">INDEX(INDIRECT($B118),,MATCH(V$113,'CONF-MeterPrice'!$E$52:$Y$52,0))</f>
        <v>0</v>
      </c>
      <c r="W118" s="337" cm="1">
        <f t="array" aca="1" ref="W118" ca="1">INDEX(INDIRECT($B118),,MATCH(W$113,'CONF-MeterPrice'!$E$52:$Y$52,0))</f>
        <v>0</v>
      </c>
    </row>
    <row r="119" spans="1:23" x14ac:dyDescent="0.35">
      <c r="A119" s="114" t="s">
        <v>229</v>
      </c>
      <c r="C119" s="20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338"/>
    </row>
    <row r="120" spans="1:23" x14ac:dyDescent="0.35">
      <c r="A120" s="83"/>
      <c r="B120" s="41" t="s">
        <v>292</v>
      </c>
      <c r="C120" s="73" t="str">
        <f>'0-Inputs'!$B$32</f>
        <v>0.5-0.5</v>
      </c>
      <c r="D120" s="79">
        <f>'CONF-MeterPrice'!E69</f>
        <v>0</v>
      </c>
      <c r="E120" s="6" cm="1">
        <f t="array" aca="1" ref="E120" ca="1">INDEX(INDIRECT($B120),,MATCH(E$113,'CONF-MeterPrice'!$E$52:$Y$52,0))</f>
        <v>0</v>
      </c>
      <c r="F120" s="6" cm="1">
        <f t="array" aca="1" ref="F120" ca="1">INDEX(INDIRECT($B120),,MATCH(F$113,'CONF-MeterPrice'!$E$52:$Y$52,0))</f>
        <v>0</v>
      </c>
      <c r="G120" s="6" cm="1">
        <f t="array" aca="1" ref="G120" ca="1">INDEX(INDIRECT($B120),,MATCH(G$113,'CONF-MeterPrice'!$E$52:$Y$52,0))</f>
        <v>0</v>
      </c>
      <c r="H120" s="6" cm="1">
        <f t="array" aca="1" ref="H120" ca="1">INDEX(INDIRECT($B120),,MATCH(H$113,'CONF-MeterPrice'!$E$52:$Y$52,0))</f>
        <v>0</v>
      </c>
      <c r="I120" s="6" cm="1">
        <f t="array" aca="1" ref="I120" ca="1">INDEX(INDIRECT($B120),,MATCH(I$113,'CONF-MeterPrice'!$E$52:$Y$52,0))</f>
        <v>0</v>
      </c>
      <c r="J120" s="6" cm="1">
        <f t="array" aca="1" ref="J120" ca="1">INDEX(INDIRECT($B120),,MATCH(J$113,'CONF-MeterPrice'!$E$52:$Y$52,0))</f>
        <v>0</v>
      </c>
      <c r="K120" s="6" cm="1">
        <f t="array" aca="1" ref="K120" ca="1">INDEX(INDIRECT($B120),,MATCH(K$113,'CONF-MeterPrice'!$E$52:$Y$52,0))</f>
        <v>0</v>
      </c>
      <c r="L120" s="6" cm="1">
        <f t="array" aca="1" ref="L120" ca="1">INDEX(INDIRECT($B120),,MATCH(L$113,'CONF-MeterPrice'!$E$52:$Y$52,0))</f>
        <v>0</v>
      </c>
      <c r="M120" s="6" cm="1">
        <f t="array" aca="1" ref="M120" ca="1">INDEX(INDIRECT($B120),,MATCH(M$113,'CONF-MeterPrice'!$E$52:$Y$52,0))</f>
        <v>0</v>
      </c>
      <c r="N120" s="6" cm="1">
        <f t="array" aca="1" ref="N120" ca="1">INDEX(INDIRECT($B120),,MATCH(N$113,'CONF-MeterPrice'!$E$52:$Y$52,0))</f>
        <v>0</v>
      </c>
      <c r="O120" s="6" cm="1">
        <f t="array" aca="1" ref="O120" ca="1">INDEX(INDIRECT($B120),,MATCH(O$113,'CONF-MeterPrice'!$E$52:$Y$52,0))</f>
        <v>0</v>
      </c>
      <c r="P120" s="6" cm="1">
        <f t="array" aca="1" ref="P120" ca="1">INDEX(INDIRECT($B120),,MATCH(P$113,'CONF-MeterPrice'!$E$52:$Y$52,0))</f>
        <v>0</v>
      </c>
      <c r="Q120" s="6" cm="1">
        <f t="array" aca="1" ref="Q120" ca="1">INDEX(INDIRECT($B120),,MATCH(Q$113,'CONF-MeterPrice'!$E$52:$Y$52,0))</f>
        <v>0</v>
      </c>
      <c r="R120" s="6" cm="1">
        <f t="array" aca="1" ref="R120" ca="1">INDEX(INDIRECT($B120),,MATCH(R$113,'CONF-MeterPrice'!$E$52:$Y$52,0))</f>
        <v>0</v>
      </c>
      <c r="S120" s="6" cm="1">
        <f t="array" aca="1" ref="S120" ca="1">INDEX(INDIRECT($B120),,MATCH(S$113,'CONF-MeterPrice'!$E$52:$Y$52,0))</f>
        <v>0</v>
      </c>
      <c r="T120" s="6" cm="1">
        <f t="array" aca="1" ref="T120" ca="1">INDEX(INDIRECT($B120),,MATCH(T$113,'CONF-MeterPrice'!$E$52:$Y$52,0))</f>
        <v>0</v>
      </c>
      <c r="U120" s="6" cm="1">
        <f t="array" aca="1" ref="U120" ca="1">INDEX(INDIRECT($B120),,MATCH(U$113,'CONF-MeterPrice'!$E$52:$Y$52,0))</f>
        <v>0</v>
      </c>
      <c r="V120" s="6" cm="1">
        <f t="array" aca="1" ref="V120" ca="1">INDEX(INDIRECT($B120),,MATCH(V$113,'CONF-MeterPrice'!$E$52:$Y$52,0))</f>
        <v>0</v>
      </c>
      <c r="W120" s="337" cm="1">
        <f t="array" aca="1" ref="W120" ca="1">INDEX(INDIRECT($B120),,MATCH(W$113,'CONF-MeterPrice'!$E$52:$Y$52,0))</f>
        <v>0</v>
      </c>
    </row>
    <row r="121" spans="1:23" x14ac:dyDescent="0.35">
      <c r="A121" s="83"/>
      <c r="B121" s="41" t="s">
        <v>293</v>
      </c>
      <c r="C121" s="73" t="str">
        <f>'0-Inputs'!$B$32</f>
        <v>0.5-0.5</v>
      </c>
      <c r="D121" s="151">
        <f>'CONF-MeterPrice'!E65</f>
        <v>0</v>
      </c>
      <c r="E121" s="6" cm="1">
        <f t="array" aca="1" ref="E121" ca="1">INDEX(INDIRECT($B121),,MATCH(E$113,'CONF-MeterPrice'!$E$52:$Y$52,0))</f>
        <v>0</v>
      </c>
      <c r="F121" s="6" cm="1">
        <f t="array" aca="1" ref="F121" ca="1">INDEX(INDIRECT($B121),,MATCH(F$113,'CONF-MeterPrice'!$E$52:$Y$52,0))</f>
        <v>0</v>
      </c>
      <c r="G121" s="6" cm="1">
        <f t="array" aca="1" ref="G121" ca="1">INDEX(INDIRECT($B121),,MATCH(G$113,'CONF-MeterPrice'!$E$52:$Y$52,0))</f>
        <v>0</v>
      </c>
      <c r="H121" s="6" cm="1">
        <f t="array" aca="1" ref="H121" ca="1">INDEX(INDIRECT($B121),,MATCH(H$113,'CONF-MeterPrice'!$E$52:$Y$52,0))</f>
        <v>0</v>
      </c>
      <c r="I121" s="6" cm="1">
        <f t="array" aca="1" ref="I121" ca="1">INDEX(INDIRECT($B121),,MATCH(I$113,'CONF-MeterPrice'!$E$52:$Y$52,0))</f>
        <v>0</v>
      </c>
      <c r="J121" s="6" cm="1">
        <f t="array" aca="1" ref="J121" ca="1">INDEX(INDIRECT($B121),,MATCH(J$113,'CONF-MeterPrice'!$E$52:$Y$52,0))</f>
        <v>0</v>
      </c>
      <c r="K121" s="6" cm="1">
        <f t="array" aca="1" ref="K121" ca="1">INDEX(INDIRECT($B121),,MATCH(K$113,'CONF-MeterPrice'!$E$52:$Y$52,0))</f>
        <v>0</v>
      </c>
      <c r="L121" s="6" cm="1">
        <f t="array" aca="1" ref="L121" ca="1">INDEX(INDIRECT($B121),,MATCH(L$113,'CONF-MeterPrice'!$E$52:$Y$52,0))</f>
        <v>0</v>
      </c>
      <c r="M121" s="6" cm="1">
        <f t="array" aca="1" ref="M121" ca="1">INDEX(INDIRECT($B121),,MATCH(M$113,'CONF-MeterPrice'!$E$52:$Y$52,0))</f>
        <v>0</v>
      </c>
      <c r="N121" s="6" cm="1">
        <f t="array" aca="1" ref="N121" ca="1">INDEX(INDIRECT($B121),,MATCH(N$113,'CONF-MeterPrice'!$E$52:$Y$52,0))</f>
        <v>0</v>
      </c>
      <c r="O121" s="6" cm="1">
        <f t="array" aca="1" ref="O121" ca="1">INDEX(INDIRECT($B121),,MATCH(O$113,'CONF-MeterPrice'!$E$52:$Y$52,0))</f>
        <v>0</v>
      </c>
      <c r="P121" s="6" cm="1">
        <f t="array" aca="1" ref="P121" ca="1">INDEX(INDIRECT($B121),,MATCH(P$113,'CONF-MeterPrice'!$E$52:$Y$52,0))</f>
        <v>0</v>
      </c>
      <c r="Q121" s="6" cm="1">
        <f t="array" aca="1" ref="Q121" ca="1">INDEX(INDIRECT($B121),,MATCH(Q$113,'CONF-MeterPrice'!$E$52:$Y$52,0))</f>
        <v>0</v>
      </c>
      <c r="R121" s="6" cm="1">
        <f t="array" aca="1" ref="R121" ca="1">INDEX(INDIRECT($B121),,MATCH(R$113,'CONF-MeterPrice'!$E$52:$Y$52,0))</f>
        <v>0</v>
      </c>
      <c r="S121" s="6" cm="1">
        <f t="array" aca="1" ref="S121" ca="1">INDEX(INDIRECT($B121),,MATCH(S$113,'CONF-MeterPrice'!$E$52:$Y$52,0))</f>
        <v>0</v>
      </c>
      <c r="T121" s="6" cm="1">
        <f t="array" aca="1" ref="T121" ca="1">INDEX(INDIRECT($B121),,MATCH(T$113,'CONF-MeterPrice'!$E$52:$Y$52,0))</f>
        <v>0</v>
      </c>
      <c r="U121" s="6" cm="1">
        <f t="array" aca="1" ref="U121" ca="1">INDEX(INDIRECT($B121),,MATCH(U$113,'CONF-MeterPrice'!$E$52:$Y$52,0))</f>
        <v>0</v>
      </c>
      <c r="V121" s="6" cm="1">
        <f t="array" aca="1" ref="V121" ca="1">INDEX(INDIRECT($B121),,MATCH(V$113,'CONF-MeterPrice'!$E$52:$Y$52,0))</f>
        <v>0</v>
      </c>
      <c r="W121" s="337" cm="1">
        <f t="array" aca="1" ref="W121" ca="1">INDEX(INDIRECT($B121),,MATCH(W$113,'CONF-MeterPrice'!$E$52:$Y$52,0))</f>
        <v>0</v>
      </c>
    </row>
    <row r="122" spans="1:23" x14ac:dyDescent="0.35">
      <c r="A122" s="83"/>
      <c r="B122" s="41" t="s">
        <v>294</v>
      </c>
      <c r="C122" s="73" t="str">
        <f>'0-Inputs'!$B$32</f>
        <v>0.5-0.5</v>
      </c>
      <c r="D122" s="79">
        <f>'CONF-MeterPrice'!E58</f>
        <v>0</v>
      </c>
      <c r="E122" s="6" cm="1">
        <f t="array" aca="1" ref="E122" ca="1">INDEX(INDIRECT($B122),,MATCH(E$113,'CONF-MeterPrice'!$E$52:$Y$52,0))</f>
        <v>0</v>
      </c>
      <c r="F122" s="6" cm="1">
        <f t="array" aca="1" ref="F122" ca="1">INDEX(INDIRECT($B122),,MATCH(F$113,'CONF-MeterPrice'!$E$52:$Y$52,0))</f>
        <v>0</v>
      </c>
      <c r="G122" s="6" cm="1">
        <f t="array" aca="1" ref="G122" ca="1">INDEX(INDIRECT($B122),,MATCH(G$113,'CONF-MeterPrice'!$E$52:$Y$52,0))</f>
        <v>0</v>
      </c>
      <c r="H122" s="6" cm="1">
        <f t="array" aca="1" ref="H122" ca="1">INDEX(INDIRECT($B122),,MATCH(H$113,'CONF-MeterPrice'!$E$52:$Y$52,0))</f>
        <v>0</v>
      </c>
      <c r="I122" s="6" cm="1">
        <f t="array" aca="1" ref="I122" ca="1">INDEX(INDIRECT($B122),,MATCH(I$113,'CONF-MeterPrice'!$E$52:$Y$52,0))</f>
        <v>0</v>
      </c>
      <c r="J122" s="6" cm="1">
        <f t="array" aca="1" ref="J122" ca="1">INDEX(INDIRECT($B122),,MATCH(J$113,'CONF-MeterPrice'!$E$52:$Y$52,0))</f>
        <v>0</v>
      </c>
      <c r="K122" s="6" cm="1">
        <f t="array" aca="1" ref="K122" ca="1">INDEX(INDIRECT($B122),,MATCH(K$113,'CONF-MeterPrice'!$E$52:$Y$52,0))</f>
        <v>0</v>
      </c>
      <c r="L122" s="6" cm="1">
        <f t="array" aca="1" ref="L122" ca="1">INDEX(INDIRECT($B122),,MATCH(L$113,'CONF-MeterPrice'!$E$52:$Y$52,0))</f>
        <v>0</v>
      </c>
      <c r="M122" s="6" cm="1">
        <f t="array" aca="1" ref="M122" ca="1">INDEX(INDIRECT($B122),,MATCH(M$113,'CONF-MeterPrice'!$E$52:$Y$52,0))</f>
        <v>0</v>
      </c>
      <c r="N122" s="6" cm="1">
        <f t="array" aca="1" ref="N122" ca="1">INDEX(INDIRECT($B122),,MATCH(N$113,'CONF-MeterPrice'!$E$52:$Y$52,0))</f>
        <v>0</v>
      </c>
      <c r="O122" s="6" cm="1">
        <f t="array" aca="1" ref="O122" ca="1">INDEX(INDIRECT($B122),,MATCH(O$113,'CONF-MeterPrice'!$E$52:$Y$52,0))</f>
        <v>0</v>
      </c>
      <c r="P122" s="6" cm="1">
        <f t="array" aca="1" ref="P122" ca="1">INDEX(INDIRECT($B122),,MATCH(P$113,'CONF-MeterPrice'!$E$52:$Y$52,0))</f>
        <v>0</v>
      </c>
      <c r="Q122" s="6" cm="1">
        <f t="array" aca="1" ref="Q122" ca="1">INDEX(INDIRECT($B122),,MATCH(Q$113,'CONF-MeterPrice'!$E$52:$Y$52,0))</f>
        <v>0</v>
      </c>
      <c r="R122" s="6" cm="1">
        <f t="array" aca="1" ref="R122" ca="1">INDEX(INDIRECT($B122),,MATCH(R$113,'CONF-MeterPrice'!$E$52:$Y$52,0))</f>
        <v>0</v>
      </c>
      <c r="S122" s="6" cm="1">
        <f t="array" aca="1" ref="S122" ca="1">INDEX(INDIRECT($B122),,MATCH(S$113,'CONF-MeterPrice'!$E$52:$Y$52,0))</f>
        <v>0</v>
      </c>
      <c r="T122" s="6" cm="1">
        <f t="array" aca="1" ref="T122" ca="1">INDEX(INDIRECT($B122),,MATCH(T$113,'CONF-MeterPrice'!$E$52:$Y$52,0))</f>
        <v>0</v>
      </c>
      <c r="U122" s="6" cm="1">
        <f t="array" aca="1" ref="U122" ca="1">INDEX(INDIRECT($B122),,MATCH(U$113,'CONF-MeterPrice'!$E$52:$Y$52,0))</f>
        <v>0</v>
      </c>
      <c r="V122" s="6" cm="1">
        <f t="array" aca="1" ref="V122" ca="1">INDEX(INDIRECT($B122),,MATCH(V$113,'CONF-MeterPrice'!$E$52:$Y$52,0))</f>
        <v>0</v>
      </c>
      <c r="W122" s="337" cm="1">
        <f t="array" aca="1" ref="W122" ca="1">INDEX(INDIRECT($B122),,MATCH(W$113,'CONF-MeterPrice'!$E$52:$Y$52,0))</f>
        <v>0</v>
      </c>
    </row>
    <row r="123" spans="1:23" x14ac:dyDescent="0.35">
      <c r="A123" s="83"/>
      <c r="B123" s="41" t="s">
        <v>295</v>
      </c>
      <c r="C123" s="73" t="str">
        <f>'0-Inputs'!$B$32</f>
        <v>0.5-0.5</v>
      </c>
      <c r="D123" s="79">
        <f>'CONF-MeterPrice'!E54</f>
        <v>0</v>
      </c>
      <c r="E123" s="6" cm="1">
        <f t="array" aca="1" ref="E123" ca="1">INDEX(INDIRECT($B123),,MATCH(E$113,'CONF-MeterPrice'!$E$52:$Y$52,0))</f>
        <v>0</v>
      </c>
      <c r="F123" s="6" cm="1">
        <f t="array" aca="1" ref="F123" ca="1">INDEX(INDIRECT($B123),,MATCH(F$113,'CONF-MeterPrice'!$E$52:$Y$52,0))</f>
        <v>0</v>
      </c>
      <c r="G123" s="6" cm="1">
        <f t="array" aca="1" ref="G123" ca="1">INDEX(INDIRECT($B123),,MATCH(G$113,'CONF-MeterPrice'!$E$52:$Y$52,0))</f>
        <v>0</v>
      </c>
      <c r="H123" s="6" cm="1">
        <f t="array" aca="1" ref="H123" ca="1">INDEX(INDIRECT($B123),,MATCH(H$113,'CONF-MeterPrice'!$E$52:$Y$52,0))</f>
        <v>0</v>
      </c>
      <c r="I123" s="6" cm="1">
        <f t="array" aca="1" ref="I123" ca="1">INDEX(INDIRECT($B123),,MATCH(I$113,'CONF-MeterPrice'!$E$52:$Y$52,0))</f>
        <v>0</v>
      </c>
      <c r="J123" s="6" cm="1">
        <f t="array" aca="1" ref="J123" ca="1">INDEX(INDIRECT($B123),,MATCH(J$113,'CONF-MeterPrice'!$E$52:$Y$52,0))</f>
        <v>0</v>
      </c>
      <c r="K123" s="6" cm="1">
        <f t="array" aca="1" ref="K123" ca="1">INDEX(INDIRECT($B123),,MATCH(K$113,'CONF-MeterPrice'!$E$52:$Y$52,0))</f>
        <v>0</v>
      </c>
      <c r="L123" s="6" cm="1">
        <f t="array" aca="1" ref="L123" ca="1">INDEX(INDIRECT($B123),,MATCH(L$113,'CONF-MeterPrice'!$E$52:$Y$52,0))</f>
        <v>0</v>
      </c>
      <c r="M123" s="6" cm="1">
        <f t="array" aca="1" ref="M123" ca="1">INDEX(INDIRECT($B123),,MATCH(M$113,'CONF-MeterPrice'!$E$52:$Y$52,0))</f>
        <v>0</v>
      </c>
      <c r="N123" s="6" cm="1">
        <f t="array" aca="1" ref="N123" ca="1">INDEX(INDIRECT($B123),,MATCH(N$113,'CONF-MeterPrice'!$E$52:$Y$52,0))</f>
        <v>0</v>
      </c>
      <c r="O123" s="6" cm="1">
        <f t="array" aca="1" ref="O123" ca="1">INDEX(INDIRECT($B123),,MATCH(O$113,'CONF-MeterPrice'!$E$52:$Y$52,0))</f>
        <v>0</v>
      </c>
      <c r="P123" s="6" cm="1">
        <f t="array" aca="1" ref="P123" ca="1">INDEX(INDIRECT($B123),,MATCH(P$113,'CONF-MeterPrice'!$E$52:$Y$52,0))</f>
        <v>0</v>
      </c>
      <c r="Q123" s="6" cm="1">
        <f t="array" aca="1" ref="Q123" ca="1">INDEX(INDIRECT($B123),,MATCH(Q$113,'CONF-MeterPrice'!$E$52:$Y$52,0))</f>
        <v>0</v>
      </c>
      <c r="R123" s="6" cm="1">
        <f t="array" aca="1" ref="R123" ca="1">INDEX(INDIRECT($B123),,MATCH(R$113,'CONF-MeterPrice'!$E$52:$Y$52,0))</f>
        <v>0</v>
      </c>
      <c r="S123" s="6" cm="1">
        <f t="array" aca="1" ref="S123" ca="1">INDEX(INDIRECT($B123),,MATCH(S$113,'CONF-MeterPrice'!$E$52:$Y$52,0))</f>
        <v>0</v>
      </c>
      <c r="T123" s="6" cm="1">
        <f t="array" aca="1" ref="T123" ca="1">INDEX(INDIRECT($B123),,MATCH(T$113,'CONF-MeterPrice'!$E$52:$Y$52,0))</f>
        <v>0</v>
      </c>
      <c r="U123" s="6" cm="1">
        <f t="array" aca="1" ref="U123" ca="1">INDEX(INDIRECT($B123),,MATCH(U$113,'CONF-MeterPrice'!$E$52:$Y$52,0))</f>
        <v>0</v>
      </c>
      <c r="V123" s="6" cm="1">
        <f t="array" aca="1" ref="V123" ca="1">INDEX(INDIRECT($B123),,MATCH(V$113,'CONF-MeterPrice'!$E$52:$Y$52,0))</f>
        <v>0</v>
      </c>
      <c r="W123" s="337" cm="1">
        <f t="array" aca="1" ref="W123" ca="1">INDEX(INDIRECT($B123),,MATCH(W$113,'CONF-MeterPrice'!$E$52:$Y$52,0))</f>
        <v>0</v>
      </c>
    </row>
    <row r="124" spans="1:23" x14ac:dyDescent="0.35">
      <c r="A124" s="114" t="s">
        <v>267</v>
      </c>
      <c r="C124" s="20"/>
      <c r="D124" s="79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337"/>
    </row>
    <row r="125" spans="1:23" x14ac:dyDescent="0.35">
      <c r="A125" s="8"/>
      <c r="B125" s="41" t="s">
        <v>296</v>
      </c>
      <c r="C125" s="73" t="str">
        <f>'0-Inputs'!$B$32</f>
        <v>0.5-0.5</v>
      </c>
      <c r="D125" s="79">
        <f>'CONF-MeterPrice'!E61</f>
        <v>0</v>
      </c>
      <c r="E125" s="6" cm="1">
        <f t="array" aca="1" ref="E125" ca="1">INDEX(INDIRECT($B125),,MATCH(E$113,'CONF-MeterPrice'!$E$52:$Y$52,0))</f>
        <v>0</v>
      </c>
      <c r="F125" s="6" cm="1">
        <f t="array" aca="1" ref="F125" ca="1">INDEX(INDIRECT($B125),,MATCH(F$113,'CONF-MeterPrice'!$E$52:$Y$52,0))</f>
        <v>0</v>
      </c>
      <c r="G125" s="6" cm="1">
        <f t="array" aca="1" ref="G125" ca="1">INDEX(INDIRECT($B125),,MATCH(G$113,'CONF-MeterPrice'!$E$52:$Y$52,0))</f>
        <v>0</v>
      </c>
      <c r="H125" s="6" cm="1">
        <f t="array" aca="1" ref="H125" ca="1">INDEX(INDIRECT($B125),,MATCH(H$113,'CONF-MeterPrice'!$E$52:$Y$52,0))</f>
        <v>0</v>
      </c>
      <c r="I125" s="6" cm="1">
        <f t="array" aca="1" ref="I125" ca="1">INDEX(INDIRECT($B125),,MATCH(I$113,'CONF-MeterPrice'!$E$52:$Y$52,0))</f>
        <v>0</v>
      </c>
      <c r="J125" s="6" cm="1">
        <f t="array" aca="1" ref="J125" ca="1">INDEX(INDIRECT($B125),,MATCH(J$113,'CONF-MeterPrice'!$E$52:$Y$52,0))</f>
        <v>0</v>
      </c>
      <c r="K125" s="6" cm="1">
        <f t="array" aca="1" ref="K125" ca="1">INDEX(INDIRECT($B125),,MATCH(K$113,'CONF-MeterPrice'!$E$52:$Y$52,0))</f>
        <v>0</v>
      </c>
      <c r="L125" s="6" cm="1">
        <f t="array" aca="1" ref="L125" ca="1">INDEX(INDIRECT($B125),,MATCH(L$113,'CONF-MeterPrice'!$E$52:$Y$52,0))</f>
        <v>0</v>
      </c>
      <c r="M125" s="6" cm="1">
        <f t="array" aca="1" ref="M125" ca="1">INDEX(INDIRECT($B125),,MATCH(M$113,'CONF-MeterPrice'!$E$52:$Y$52,0))</f>
        <v>0</v>
      </c>
      <c r="N125" s="6" cm="1">
        <f t="array" aca="1" ref="N125" ca="1">INDEX(INDIRECT($B125),,MATCH(N$113,'CONF-MeterPrice'!$E$52:$Y$52,0))</f>
        <v>0</v>
      </c>
      <c r="O125" s="6" cm="1">
        <f t="array" aca="1" ref="O125" ca="1">INDEX(INDIRECT($B125),,MATCH(O$113,'CONF-MeterPrice'!$E$52:$Y$52,0))</f>
        <v>0</v>
      </c>
      <c r="P125" s="6" cm="1">
        <f t="array" aca="1" ref="P125" ca="1">INDEX(INDIRECT($B125),,MATCH(P$113,'CONF-MeterPrice'!$E$52:$Y$52,0))</f>
        <v>0</v>
      </c>
      <c r="Q125" s="6" cm="1">
        <f t="array" aca="1" ref="Q125" ca="1">INDEX(INDIRECT($B125),,MATCH(Q$113,'CONF-MeterPrice'!$E$52:$Y$52,0))</f>
        <v>0</v>
      </c>
      <c r="R125" s="6" cm="1">
        <f t="array" aca="1" ref="R125" ca="1">INDEX(INDIRECT($B125),,MATCH(R$113,'CONF-MeterPrice'!$E$52:$Y$52,0))</f>
        <v>0</v>
      </c>
      <c r="S125" s="6" cm="1">
        <f t="array" aca="1" ref="S125" ca="1">INDEX(INDIRECT($B125),,MATCH(S$113,'CONF-MeterPrice'!$E$52:$Y$52,0))</f>
        <v>0</v>
      </c>
      <c r="T125" s="6" cm="1">
        <f t="array" aca="1" ref="T125" ca="1">INDEX(INDIRECT($B125),,MATCH(T$113,'CONF-MeterPrice'!$E$52:$Y$52,0))</f>
        <v>0</v>
      </c>
      <c r="U125" s="6" cm="1">
        <f t="array" aca="1" ref="U125" ca="1">INDEX(INDIRECT($B125),,MATCH(U$113,'CONF-MeterPrice'!$E$52:$Y$52,0))</f>
        <v>0</v>
      </c>
      <c r="V125" s="6" cm="1">
        <f t="array" aca="1" ref="V125" ca="1">INDEX(INDIRECT($B125),,MATCH(V$113,'CONF-MeterPrice'!$E$52:$Y$52,0))</f>
        <v>0</v>
      </c>
      <c r="W125" s="337" cm="1">
        <f t="array" aca="1" ref="W125" ca="1">INDEX(INDIRECT($B125),,MATCH(W$113,'CONF-MeterPrice'!$E$52:$Y$52,0))</f>
        <v>0</v>
      </c>
    </row>
    <row r="126" spans="1:23" x14ac:dyDescent="0.35">
      <c r="A126" s="8"/>
      <c r="B126" s="41" t="s">
        <v>297</v>
      </c>
      <c r="C126" s="73" t="str">
        <f>'0-Inputs'!$B$32</f>
        <v>0.5-0.5</v>
      </c>
      <c r="D126" s="79">
        <f>'CONF-MeterPrice'!E60</f>
        <v>0</v>
      </c>
      <c r="E126" s="6" cm="1">
        <f t="array" aca="1" ref="E126" ca="1">INDEX(INDIRECT($B126),,MATCH(E$113,'CONF-MeterPrice'!$E$52:$Y$52,0))</f>
        <v>0</v>
      </c>
      <c r="F126" s="6" cm="1">
        <f t="array" aca="1" ref="F126" ca="1">INDEX(INDIRECT($B126),,MATCH(F$113,'CONF-MeterPrice'!$E$52:$Y$52,0))</f>
        <v>0</v>
      </c>
      <c r="G126" s="6" cm="1">
        <f t="array" aca="1" ref="G126" ca="1">INDEX(INDIRECT($B126),,MATCH(G$113,'CONF-MeterPrice'!$E$52:$Y$52,0))</f>
        <v>0</v>
      </c>
      <c r="H126" s="6" cm="1">
        <f t="array" aca="1" ref="H126" ca="1">INDEX(INDIRECT($B126),,MATCH(H$113,'CONF-MeterPrice'!$E$52:$Y$52,0))</f>
        <v>0</v>
      </c>
      <c r="I126" s="6" cm="1">
        <f t="array" aca="1" ref="I126" ca="1">INDEX(INDIRECT($B126),,MATCH(I$113,'CONF-MeterPrice'!$E$52:$Y$52,0))</f>
        <v>0</v>
      </c>
      <c r="J126" s="6" cm="1">
        <f t="array" aca="1" ref="J126" ca="1">INDEX(INDIRECT($B126),,MATCH(J$113,'CONF-MeterPrice'!$E$52:$Y$52,0))</f>
        <v>0</v>
      </c>
      <c r="K126" s="6" cm="1">
        <f t="array" aca="1" ref="K126" ca="1">INDEX(INDIRECT($B126),,MATCH(K$113,'CONF-MeterPrice'!$E$52:$Y$52,0))</f>
        <v>0</v>
      </c>
      <c r="L126" s="6" cm="1">
        <f t="array" aca="1" ref="L126" ca="1">INDEX(INDIRECT($B126),,MATCH(L$113,'CONF-MeterPrice'!$E$52:$Y$52,0))</f>
        <v>0</v>
      </c>
      <c r="M126" s="6" cm="1">
        <f t="array" aca="1" ref="M126" ca="1">INDEX(INDIRECT($B126),,MATCH(M$113,'CONF-MeterPrice'!$E$52:$Y$52,0))</f>
        <v>0</v>
      </c>
      <c r="N126" s="6" cm="1">
        <f t="array" aca="1" ref="N126" ca="1">INDEX(INDIRECT($B126),,MATCH(N$113,'CONF-MeterPrice'!$E$52:$Y$52,0))</f>
        <v>0</v>
      </c>
      <c r="O126" s="6" cm="1">
        <f t="array" aca="1" ref="O126" ca="1">INDEX(INDIRECT($B126),,MATCH(O$113,'CONF-MeterPrice'!$E$52:$Y$52,0))</f>
        <v>0</v>
      </c>
      <c r="P126" s="6" cm="1">
        <f t="array" aca="1" ref="P126" ca="1">INDEX(INDIRECT($B126),,MATCH(P$113,'CONF-MeterPrice'!$E$52:$Y$52,0))</f>
        <v>0</v>
      </c>
      <c r="Q126" s="6" cm="1">
        <f t="array" aca="1" ref="Q126" ca="1">INDEX(INDIRECT($B126),,MATCH(Q$113,'CONF-MeterPrice'!$E$52:$Y$52,0))</f>
        <v>0</v>
      </c>
      <c r="R126" s="6" cm="1">
        <f t="array" aca="1" ref="R126" ca="1">INDEX(INDIRECT($B126),,MATCH(R$113,'CONF-MeterPrice'!$E$52:$Y$52,0))</f>
        <v>0</v>
      </c>
      <c r="S126" s="6" cm="1">
        <f t="array" aca="1" ref="S126" ca="1">INDEX(INDIRECT($B126),,MATCH(S$113,'CONF-MeterPrice'!$E$52:$Y$52,0))</f>
        <v>0</v>
      </c>
      <c r="T126" s="6" cm="1">
        <f t="array" aca="1" ref="T126" ca="1">INDEX(INDIRECT($B126),,MATCH(T$113,'CONF-MeterPrice'!$E$52:$Y$52,0))</f>
        <v>0</v>
      </c>
      <c r="U126" s="6" cm="1">
        <f t="array" aca="1" ref="U126" ca="1">INDEX(INDIRECT($B126),,MATCH(U$113,'CONF-MeterPrice'!$E$52:$Y$52,0))</f>
        <v>0</v>
      </c>
      <c r="V126" s="6" cm="1">
        <f t="array" aca="1" ref="V126" ca="1">INDEX(INDIRECT($B126),,MATCH(V$113,'CONF-MeterPrice'!$E$52:$Y$52,0))</f>
        <v>0</v>
      </c>
      <c r="W126" s="337" cm="1">
        <f t="array" aca="1" ref="W126" ca="1">INDEX(INDIRECT($B126),,MATCH(W$113,'CONF-MeterPrice'!$E$52:$Y$52,0))</f>
        <v>0</v>
      </c>
    </row>
    <row r="127" spans="1:23" x14ac:dyDescent="0.35">
      <c r="A127" s="8"/>
      <c r="C127" s="20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339"/>
    </row>
    <row r="128" spans="1:23" x14ac:dyDescent="0.35">
      <c r="A128" s="8"/>
      <c r="C128" s="20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338"/>
    </row>
    <row r="129" spans="1:23" x14ac:dyDescent="0.35">
      <c r="A129" s="266"/>
      <c r="C129" s="20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40"/>
    </row>
    <row r="130" spans="1:23" x14ac:dyDescent="0.35">
      <c r="D130" s="269">
        <f>YearOne</f>
        <v>2026</v>
      </c>
      <c r="E130" s="269">
        <f>D130+1</f>
        <v>2027</v>
      </c>
      <c r="F130" s="269">
        <f t="shared" ref="F130:W130" si="22">E130+1</f>
        <v>2028</v>
      </c>
      <c r="G130" s="269">
        <f t="shared" si="22"/>
        <v>2029</v>
      </c>
      <c r="H130" s="269">
        <f t="shared" si="22"/>
        <v>2030</v>
      </c>
      <c r="I130" s="269">
        <f t="shared" si="22"/>
        <v>2031</v>
      </c>
      <c r="J130" s="269">
        <f t="shared" si="22"/>
        <v>2032</v>
      </c>
      <c r="K130" s="269">
        <f t="shared" si="22"/>
        <v>2033</v>
      </c>
      <c r="L130" s="269">
        <f t="shared" si="22"/>
        <v>2034</v>
      </c>
      <c r="M130" s="269">
        <f t="shared" si="22"/>
        <v>2035</v>
      </c>
      <c r="N130" s="269">
        <f t="shared" si="22"/>
        <v>2036</v>
      </c>
      <c r="O130" s="269">
        <f t="shared" si="22"/>
        <v>2037</v>
      </c>
      <c r="P130" s="269">
        <f t="shared" si="22"/>
        <v>2038</v>
      </c>
      <c r="Q130" s="269">
        <f t="shared" si="22"/>
        <v>2039</v>
      </c>
      <c r="R130" s="269">
        <f t="shared" si="22"/>
        <v>2040</v>
      </c>
      <c r="S130" s="269">
        <f t="shared" si="22"/>
        <v>2041</v>
      </c>
      <c r="T130" s="269">
        <f t="shared" si="22"/>
        <v>2042</v>
      </c>
      <c r="U130" s="269">
        <f t="shared" si="22"/>
        <v>2043</v>
      </c>
      <c r="V130" s="269">
        <f t="shared" si="22"/>
        <v>2044</v>
      </c>
      <c r="W130" s="341">
        <f t="shared" si="22"/>
        <v>2045</v>
      </c>
    </row>
    <row r="131" spans="1:23" ht="21" x14ac:dyDescent="0.5">
      <c r="A131" s="93" t="s">
        <v>298</v>
      </c>
      <c r="B131" s="1" t="s">
        <v>299</v>
      </c>
      <c r="C131" s="52">
        <f>YearOne-1</f>
        <v>2025</v>
      </c>
      <c r="D131" s="6"/>
    </row>
    <row r="132" spans="1:23" x14ac:dyDescent="0.35">
      <c r="A132" s="33" t="s">
        <v>300</v>
      </c>
      <c r="B132" s="186">
        <f>'0-Inputs'!$B$126</f>
        <v>0</v>
      </c>
      <c r="C132" s="167">
        <f>'0-Inputs'!B121</f>
        <v>0</v>
      </c>
      <c r="D132" s="14">
        <f t="shared" ref="D132:W132" si="23">IF($B132="yes",C132*(1+InflationGeneral),C132)</f>
        <v>0</v>
      </c>
      <c r="E132" s="14">
        <f t="shared" si="23"/>
        <v>0</v>
      </c>
      <c r="F132" s="14">
        <f t="shared" si="23"/>
        <v>0</v>
      </c>
      <c r="G132" s="14">
        <f t="shared" si="23"/>
        <v>0</v>
      </c>
      <c r="H132" s="14">
        <f t="shared" si="23"/>
        <v>0</v>
      </c>
      <c r="I132" s="14">
        <f t="shared" si="23"/>
        <v>0</v>
      </c>
      <c r="J132" s="14">
        <f t="shared" si="23"/>
        <v>0</v>
      </c>
      <c r="K132" s="14">
        <f t="shared" si="23"/>
        <v>0</v>
      </c>
      <c r="L132" s="14">
        <f t="shared" si="23"/>
        <v>0</v>
      </c>
      <c r="M132" s="14">
        <f t="shared" si="23"/>
        <v>0</v>
      </c>
      <c r="N132" s="14">
        <f t="shared" si="23"/>
        <v>0</v>
      </c>
      <c r="O132" s="14">
        <f t="shared" si="23"/>
        <v>0</v>
      </c>
      <c r="P132" s="14">
        <f t="shared" si="23"/>
        <v>0</v>
      </c>
      <c r="Q132" s="14">
        <f t="shared" si="23"/>
        <v>0</v>
      </c>
      <c r="R132" s="14">
        <f t="shared" si="23"/>
        <v>0</v>
      </c>
      <c r="S132" s="14">
        <f t="shared" si="23"/>
        <v>0</v>
      </c>
      <c r="T132" s="14">
        <f t="shared" si="23"/>
        <v>0</v>
      </c>
      <c r="U132" s="14">
        <f t="shared" si="23"/>
        <v>0</v>
      </c>
      <c r="V132" s="14">
        <f t="shared" si="23"/>
        <v>0</v>
      </c>
      <c r="W132" s="14">
        <f t="shared" si="23"/>
        <v>0</v>
      </c>
    </row>
    <row r="133" spans="1:23" x14ac:dyDescent="0.35">
      <c r="A133" s="33" t="s">
        <v>301</v>
      </c>
      <c r="C133" s="6"/>
      <c r="D133" s="166">
        <f ca="1">IF(AND($B$2="AMI",$B$3="Hybrid"),IF(D7&lt;=10,OFFSET('0-Inputs'!$B$132,D7-1,0),0),0)</f>
        <v>0</v>
      </c>
      <c r="E133" s="166">
        <f ca="1">IF(AND($B$2="AMI",$B$3="Hybrid"),IF(E7&lt;=10,OFFSET('0-Inputs'!$B$132,E7-1,0),0),0)</f>
        <v>0</v>
      </c>
      <c r="F133" s="166">
        <f ca="1">IF(AND($B$2="AMI",$B$3="Hybrid"),IF(F7&lt;=10,OFFSET('0-Inputs'!$B$132,F7-1,0),0),0)</f>
        <v>0</v>
      </c>
      <c r="G133" s="166">
        <f ca="1">IF(AND($B$2="AMI",$B$3="Hybrid"),IF(G7&lt;=10,OFFSET('0-Inputs'!$B$132,G7-1,0),0),0)</f>
        <v>0</v>
      </c>
      <c r="H133" s="166">
        <f ca="1">IF(AND($B$2="AMI",$B$3="Hybrid"),IF(H7&lt;=10,OFFSET('0-Inputs'!$B$132,H7-1,0),0),0)</f>
        <v>0</v>
      </c>
      <c r="I133" s="166">
        <f ca="1">IF(AND($B$2="AMI",$B$3="Hybrid"),IF(I7&lt;=10,OFFSET('0-Inputs'!$B$132,I7-1,0),0),0)</f>
        <v>0</v>
      </c>
      <c r="J133" s="166">
        <f ca="1">IF(AND($B$2="AMI",$B$3="Hybrid"),IF(J7&lt;=10,OFFSET('0-Inputs'!$B$132,J7-1,0),0),0)</f>
        <v>0</v>
      </c>
      <c r="K133" s="166">
        <f ca="1">IF(AND($B$2="AMI",$B$3="Hybrid"),IF(K7&lt;=10,OFFSET('0-Inputs'!$B$132,K7-1,0),0),0)</f>
        <v>0</v>
      </c>
      <c r="L133" s="166">
        <f ca="1">IF(AND($B$2="AMI",$B$3="Hybrid"),IF(L7&lt;=10,OFFSET('0-Inputs'!$B$132,L7-1,0),0),0)</f>
        <v>0</v>
      </c>
      <c r="M133" s="166">
        <f ca="1">IF(AND($B$2="AMI",$B$3="Hybrid"),IF(M7&lt;=10,OFFSET('0-Inputs'!$B$132,M7-1,0),0),0)</f>
        <v>0</v>
      </c>
      <c r="N133" s="166">
        <f ca="1">IF(AND($B$2="AMI",$B$3="Hybrid"),IF(N7&lt;=10,OFFSET('0-Inputs'!$B$132,N7-1,0),0),0)</f>
        <v>0</v>
      </c>
      <c r="O133" s="166">
        <f ca="1">IF(AND($B$2="AMI",$B$3="Hybrid"),IF(O7&lt;=10,OFFSET('0-Inputs'!$B$132,O7-1,0),0),0)</f>
        <v>0</v>
      </c>
      <c r="P133" s="166">
        <f ca="1">IF(AND($B$2="AMI",$B$3="Hybrid"),IF(P7&lt;=10,OFFSET('0-Inputs'!$B$132,P7-1,0),0),0)</f>
        <v>0</v>
      </c>
      <c r="Q133" s="166">
        <f ca="1">IF(AND($B$2="AMI",$B$3="Hybrid"),IF(Q7&lt;=10,OFFSET('0-Inputs'!$B$132,Q7-1,0),0),0)</f>
        <v>0</v>
      </c>
      <c r="R133" s="166">
        <f ca="1">IF(AND($B$2="AMI",$B$3="Hybrid"),IF(R7&lt;=10,OFFSET('0-Inputs'!$B$132,R7-1,0),0),0)</f>
        <v>0</v>
      </c>
      <c r="S133" s="166">
        <f ca="1">IF(AND($B$2="AMI",$B$3="Hybrid"),IF(S7&lt;=10,OFFSET('0-Inputs'!$B$132,S7-1,0),0),0)</f>
        <v>0</v>
      </c>
      <c r="T133" s="166">
        <f ca="1">IF(AND($B$2="AMI",$B$3="Hybrid"),IF(T7&lt;=10,OFFSET('0-Inputs'!$B$132,T7-1,0),0),0)</f>
        <v>0</v>
      </c>
      <c r="U133" s="166">
        <f ca="1">IF(AND($B$2="AMI",$B$3="Hybrid"),IF(U7&lt;=10,OFFSET('0-Inputs'!$B$132,U7-1,0),0),0)</f>
        <v>0</v>
      </c>
      <c r="V133" s="166">
        <f ca="1">IF(AND($B$2="AMI",$B$3="Hybrid"),IF(V7&lt;=10,OFFSET('0-Inputs'!$B$132,V7-1,0),0),0)</f>
        <v>0</v>
      </c>
      <c r="W133" s="166">
        <f ca="1">IF(AND($B$2="AMI",$B$3="Hybrid"),IF(W7&lt;=10,OFFSET('0-Inputs'!$B$132,W7-1,0),0),0)</f>
        <v>0</v>
      </c>
    </row>
    <row r="134" spans="1:23" s="19" customFormat="1" x14ac:dyDescent="0.35">
      <c r="A134" s="181" t="s">
        <v>302</v>
      </c>
      <c r="C134" s="78"/>
      <c r="D134" s="185">
        <f ca="1">D132*D133</f>
        <v>0</v>
      </c>
      <c r="E134" s="185">
        <f t="shared" ref="E134:W134" ca="1" si="24">E132*E133</f>
        <v>0</v>
      </c>
      <c r="F134" s="185">
        <f t="shared" ca="1" si="24"/>
        <v>0</v>
      </c>
      <c r="G134" s="185">
        <f t="shared" ca="1" si="24"/>
        <v>0</v>
      </c>
      <c r="H134" s="185">
        <f t="shared" ca="1" si="24"/>
        <v>0</v>
      </c>
      <c r="I134" s="185">
        <f t="shared" ca="1" si="24"/>
        <v>0</v>
      </c>
      <c r="J134" s="185">
        <f t="shared" ca="1" si="24"/>
        <v>0</v>
      </c>
      <c r="K134" s="185">
        <f t="shared" ca="1" si="24"/>
        <v>0</v>
      </c>
      <c r="L134" s="185">
        <f t="shared" ca="1" si="24"/>
        <v>0</v>
      </c>
      <c r="M134" s="185">
        <f t="shared" ca="1" si="24"/>
        <v>0</v>
      </c>
      <c r="N134" s="185">
        <f t="shared" ca="1" si="24"/>
        <v>0</v>
      </c>
      <c r="O134" s="185">
        <f t="shared" ca="1" si="24"/>
        <v>0</v>
      </c>
      <c r="P134" s="185">
        <f t="shared" ca="1" si="24"/>
        <v>0</v>
      </c>
      <c r="Q134" s="185">
        <f t="shared" ca="1" si="24"/>
        <v>0</v>
      </c>
      <c r="R134" s="185">
        <f t="shared" ca="1" si="24"/>
        <v>0</v>
      </c>
      <c r="S134" s="185">
        <f t="shared" ca="1" si="24"/>
        <v>0</v>
      </c>
      <c r="T134" s="185">
        <f t="shared" ca="1" si="24"/>
        <v>0</v>
      </c>
      <c r="U134" s="185">
        <f t="shared" ca="1" si="24"/>
        <v>0</v>
      </c>
      <c r="V134" s="185">
        <f t="shared" ca="1" si="24"/>
        <v>0</v>
      </c>
      <c r="W134" s="342">
        <f t="shared" ca="1" si="24"/>
        <v>0</v>
      </c>
    </row>
    <row r="135" spans="1:23" x14ac:dyDescent="0.35">
      <c r="A135" s="33" t="s">
        <v>303</v>
      </c>
      <c r="C135" s="168">
        <v>0</v>
      </c>
      <c r="D135" s="21">
        <f ca="1">SUM($D133:D133)</f>
        <v>0</v>
      </c>
      <c r="E135" s="21">
        <f ca="1">SUM($D133:E133)</f>
        <v>0</v>
      </c>
      <c r="F135" s="21">
        <f ca="1">SUM($D133:F133)</f>
        <v>0</v>
      </c>
      <c r="G135" s="21">
        <f ca="1">SUM($D133:G133)</f>
        <v>0</v>
      </c>
      <c r="H135" s="21">
        <f ca="1">SUM($D133:H133)</f>
        <v>0</v>
      </c>
      <c r="I135" s="21">
        <f ca="1">SUM($D133:I133)</f>
        <v>0</v>
      </c>
      <c r="J135" s="21">
        <f ca="1">SUM($D133:J133)</f>
        <v>0</v>
      </c>
      <c r="K135" s="21">
        <f ca="1">SUM($D133:K133)</f>
        <v>0</v>
      </c>
      <c r="L135" s="21">
        <f ca="1">SUM($D133:L133)</f>
        <v>0</v>
      </c>
      <c r="M135" s="21">
        <f ca="1">SUM($D133:M133)</f>
        <v>0</v>
      </c>
      <c r="N135" s="21">
        <f ca="1">SUM($D133:N133)</f>
        <v>0</v>
      </c>
      <c r="O135" s="21">
        <f ca="1">SUM($D133:O133)</f>
        <v>0</v>
      </c>
      <c r="P135" s="21">
        <f ca="1">SUM($D133:P133)</f>
        <v>0</v>
      </c>
      <c r="Q135" s="21">
        <f ca="1">SUM($D133:Q133)</f>
        <v>0</v>
      </c>
      <c r="R135" s="21">
        <f ca="1">SUM($D133:R133)</f>
        <v>0</v>
      </c>
      <c r="S135" s="21">
        <f ca="1">SUM($D133:S133)</f>
        <v>0</v>
      </c>
      <c r="T135" s="21">
        <f ca="1">SUM($D133:T133)</f>
        <v>0</v>
      </c>
      <c r="U135" s="21">
        <f ca="1">SUM($D133:U133)</f>
        <v>0</v>
      </c>
      <c r="V135" s="21">
        <f ca="1">SUM($D133:V133)</f>
        <v>0</v>
      </c>
      <c r="W135" s="334">
        <f ca="1">SUM($D133:W133)</f>
        <v>0</v>
      </c>
    </row>
    <row r="136" spans="1:23" x14ac:dyDescent="0.35">
      <c r="A136" s="33"/>
      <c r="B136" s="1" t="s">
        <v>299</v>
      </c>
      <c r="C136" s="52">
        <f>YearOne-1</f>
        <v>2025</v>
      </c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34"/>
    </row>
    <row r="137" spans="1:23" x14ac:dyDescent="0.35">
      <c r="A137" s="33" t="s">
        <v>304</v>
      </c>
      <c r="B137" s="186">
        <f>'0-Inputs'!$B$126</f>
        <v>0</v>
      </c>
      <c r="C137" s="167">
        <f>'0-Inputs'!B122</f>
        <v>0</v>
      </c>
      <c r="D137" s="14">
        <f t="shared" ref="D137:W137" si="25">IF($B137="yes",C137*(1+InflationGeneral),C137)</f>
        <v>0</v>
      </c>
      <c r="E137" s="14">
        <f t="shared" si="25"/>
        <v>0</v>
      </c>
      <c r="F137" s="14">
        <f t="shared" si="25"/>
        <v>0</v>
      </c>
      <c r="G137" s="14">
        <f t="shared" si="25"/>
        <v>0</v>
      </c>
      <c r="H137" s="14">
        <f t="shared" si="25"/>
        <v>0</v>
      </c>
      <c r="I137" s="14">
        <f t="shared" si="25"/>
        <v>0</v>
      </c>
      <c r="J137" s="14">
        <f t="shared" si="25"/>
        <v>0</v>
      </c>
      <c r="K137" s="14">
        <f t="shared" si="25"/>
        <v>0</v>
      </c>
      <c r="L137" s="14">
        <f t="shared" si="25"/>
        <v>0</v>
      </c>
      <c r="M137" s="14">
        <f t="shared" si="25"/>
        <v>0</v>
      </c>
      <c r="N137" s="14">
        <f t="shared" si="25"/>
        <v>0</v>
      </c>
      <c r="O137" s="14">
        <f t="shared" si="25"/>
        <v>0</v>
      </c>
      <c r="P137" s="14">
        <f t="shared" si="25"/>
        <v>0</v>
      </c>
      <c r="Q137" s="14">
        <f t="shared" si="25"/>
        <v>0</v>
      </c>
      <c r="R137" s="14">
        <f t="shared" si="25"/>
        <v>0</v>
      </c>
      <c r="S137" s="14">
        <f t="shared" si="25"/>
        <v>0</v>
      </c>
      <c r="T137" s="14">
        <f t="shared" si="25"/>
        <v>0</v>
      </c>
      <c r="U137" s="14">
        <f t="shared" si="25"/>
        <v>0</v>
      </c>
      <c r="V137" s="14">
        <f t="shared" si="25"/>
        <v>0</v>
      </c>
      <c r="W137" s="14">
        <f t="shared" si="25"/>
        <v>0</v>
      </c>
    </row>
    <row r="138" spans="1:23" s="19" customFormat="1" x14ac:dyDescent="0.35">
      <c r="A138" s="181" t="s">
        <v>304</v>
      </c>
      <c r="C138" s="188"/>
      <c r="D138" s="189">
        <f ca="1">-D137*(D153-C153)</f>
        <v>0</v>
      </c>
      <c r="E138" s="189">
        <f t="shared" ref="E138:W138" ca="1" si="26">-E137*(E153-D153)</f>
        <v>0</v>
      </c>
      <c r="F138" s="189">
        <f t="shared" ca="1" si="26"/>
        <v>0</v>
      </c>
      <c r="G138" s="189">
        <f t="shared" ca="1" si="26"/>
        <v>0</v>
      </c>
      <c r="H138" s="189">
        <f t="shared" ca="1" si="26"/>
        <v>0</v>
      </c>
      <c r="I138" s="189">
        <f t="shared" ca="1" si="26"/>
        <v>0</v>
      </c>
      <c r="J138" s="189">
        <f ca="1">-J137*(J153-I153)</f>
        <v>0</v>
      </c>
      <c r="K138" s="189">
        <f ca="1">-K137*(K153-J153)</f>
        <v>0</v>
      </c>
      <c r="L138" s="189">
        <f t="shared" ca="1" si="26"/>
        <v>0</v>
      </c>
      <c r="M138" s="189">
        <f t="shared" ca="1" si="26"/>
        <v>0</v>
      </c>
      <c r="N138" s="189">
        <f t="shared" ca="1" si="26"/>
        <v>0</v>
      </c>
      <c r="O138" s="189">
        <f t="shared" ca="1" si="26"/>
        <v>0</v>
      </c>
      <c r="P138" s="189">
        <f t="shared" ca="1" si="26"/>
        <v>0</v>
      </c>
      <c r="Q138" s="189">
        <f t="shared" ca="1" si="26"/>
        <v>0</v>
      </c>
      <c r="R138" s="189">
        <f t="shared" ca="1" si="26"/>
        <v>0</v>
      </c>
      <c r="S138" s="189">
        <f t="shared" ca="1" si="26"/>
        <v>0</v>
      </c>
      <c r="T138" s="189">
        <f t="shared" ca="1" si="26"/>
        <v>0</v>
      </c>
      <c r="U138" s="189">
        <f t="shared" ca="1" si="26"/>
        <v>0</v>
      </c>
      <c r="V138" s="189">
        <f t="shared" ca="1" si="26"/>
        <v>0</v>
      </c>
      <c r="W138" s="343">
        <f t="shared" ca="1" si="26"/>
        <v>0</v>
      </c>
    </row>
    <row r="139" spans="1:23" x14ac:dyDescent="0.35">
      <c r="A139" s="33"/>
      <c r="C139" s="149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336"/>
    </row>
    <row r="140" spans="1:23" x14ac:dyDescent="0.35">
      <c r="A140" s="177" t="s">
        <v>305</v>
      </c>
      <c r="C140" s="71"/>
    </row>
    <row r="141" spans="1:23" x14ac:dyDescent="0.35">
      <c r="A141" s="33" t="s">
        <v>306</v>
      </c>
      <c r="C141" s="71"/>
      <c r="D141" s="12">
        <f ca="1">IF(AND($B$2="AMI",$B$3="Hybrid"),IF(D7&lt;=10,OFFSET('0-Inputs'!$B$143,D7-1,0),C141),0)</f>
        <v>0</v>
      </c>
      <c r="E141" s="12">
        <f ca="1">IF(AND($B$2="AMI",$B$3="Hybrid"),IF(E7&lt;=10,OFFSET('0-Inputs'!$B$143,E7-1,0),D141),0)</f>
        <v>0</v>
      </c>
      <c r="F141" s="12">
        <f ca="1">IF(AND($B$2="AMI",$B$3="Hybrid"),IF(F7&lt;=10,OFFSET('0-Inputs'!$B$143,F7-1,0),E141),0)</f>
        <v>0</v>
      </c>
      <c r="G141" s="12">
        <f ca="1">IF(AND($B$2="AMI",$B$3="Hybrid"),IF(G7&lt;=10,OFFSET('0-Inputs'!$B$143,G7-1,0),F141),0)</f>
        <v>0</v>
      </c>
      <c r="H141" s="12">
        <f ca="1">IF(AND($B$2="AMI",$B$3="Hybrid"),IF(H7&lt;=10,OFFSET('0-Inputs'!$B$143,H7-1,0),G141),0)</f>
        <v>0</v>
      </c>
      <c r="I141" s="12">
        <f ca="1">IF(AND($B$2="AMI",$B$3="Hybrid"),IF(I7&lt;=10,OFFSET('0-Inputs'!$B$143,I7-1,0),H141),0)</f>
        <v>0</v>
      </c>
      <c r="J141" s="12">
        <f ca="1">IF(AND($B$2="AMI",$B$3="Hybrid"),IF(J7&lt;=10,OFFSET('0-Inputs'!$B$143,J7-1,0),I141),0)</f>
        <v>0</v>
      </c>
      <c r="K141" s="12">
        <f ca="1">IF(AND($B$2="AMI",$B$3="Hybrid"),IF(K7&lt;=10,OFFSET('0-Inputs'!$B$143,K7-1,0),J141),0)</f>
        <v>0</v>
      </c>
      <c r="L141" s="12">
        <f ca="1">IF(AND($B$2="AMI",$B$3="Hybrid"),IF(L7&lt;=10,OFFSET('0-Inputs'!$B$143,L7-1,0),K141),0)</f>
        <v>0</v>
      </c>
      <c r="M141" s="12">
        <f ca="1">IF(AND($B$2="AMI",$B$3="Hybrid"),IF(M7&lt;=10,OFFSET('0-Inputs'!$B$143,M7-1,0),L141),0)</f>
        <v>0</v>
      </c>
      <c r="N141" s="12">
        <f ca="1">IF(AND($B$2="AMI",$B$3="Hybrid"),IF(N7&lt;=10,OFFSET('0-Inputs'!$B$143,N7-1,0),M141),0)</f>
        <v>0</v>
      </c>
      <c r="O141" s="12">
        <f ca="1">IF(AND($B$2="AMI",$B$3="Hybrid"),IF(O7&lt;=10,OFFSET('0-Inputs'!$B$143,O7-1,0),N141),0)</f>
        <v>0</v>
      </c>
      <c r="P141" s="12">
        <f ca="1">IF(AND($B$2="AMI",$B$3="Hybrid"),IF(P7&lt;=10,OFFSET('0-Inputs'!$B$143,P7-1,0),O141),0)</f>
        <v>0</v>
      </c>
      <c r="Q141" s="12">
        <f ca="1">IF(AND($B$2="AMI",$B$3="Hybrid"),IF(Q7&lt;=10,OFFSET('0-Inputs'!$B$143,Q7-1,0),P141),0)</f>
        <v>0</v>
      </c>
      <c r="R141" s="12">
        <f ca="1">IF(AND($B$2="AMI",$B$3="Hybrid"),IF(R7&lt;=10,OFFSET('0-Inputs'!$B$143,R7-1,0),Q141),0)</f>
        <v>0</v>
      </c>
      <c r="S141" s="12">
        <f ca="1">IF(AND($B$2="AMI",$B$3="Hybrid"),IF(S7&lt;=10,OFFSET('0-Inputs'!$B$143,S7-1,0),R141),0)</f>
        <v>0</v>
      </c>
      <c r="T141" s="12">
        <f ca="1">IF(AND($B$2="AMI",$B$3="Hybrid"),IF(T7&lt;=10,OFFSET('0-Inputs'!$B$143,T7-1,0),S141),0)</f>
        <v>0</v>
      </c>
      <c r="U141" s="12">
        <f ca="1">IF(AND($B$2="AMI",$B$3="Hybrid"),IF(U7&lt;=10,OFFSET('0-Inputs'!$B$143,U7-1,0),T141),0)</f>
        <v>0</v>
      </c>
      <c r="V141" s="12">
        <f ca="1">IF(AND($B$2="AMI",$B$3="Hybrid"),IF(V7&lt;=10,OFFSET('0-Inputs'!$B$143,V7-1,0),U141),0)</f>
        <v>0</v>
      </c>
      <c r="W141" s="344">
        <f ca="1">IF(AND($B$2="AMI",$B$3="Hybrid"),IF(W7&lt;=10,OFFSET('0-Inputs'!$B$143,W7-1,0),V141),0)</f>
        <v>0</v>
      </c>
    </row>
    <row r="142" spans="1:23" x14ac:dyDescent="0.35">
      <c r="A142" s="33" t="s">
        <v>307</v>
      </c>
      <c r="C142" s="168">
        <v>0</v>
      </c>
      <c r="D142" s="184">
        <f>$C244-SUM($D65:D68)</f>
        <v>138975</v>
      </c>
      <c r="E142" s="184">
        <f>$C244-SUM($D65:E68)</f>
        <v>131113</v>
      </c>
      <c r="F142" s="184">
        <f>$C244-SUM($D65:F68)</f>
        <v>115345</v>
      </c>
      <c r="G142" s="184">
        <f>$C244-SUM($D65:G68)</f>
        <v>103295</v>
      </c>
      <c r="H142" s="184">
        <f>$C244-SUM($D65:H68)</f>
        <v>101728</v>
      </c>
      <c r="I142" s="184">
        <f>$C244-SUM($D65:I68)</f>
        <v>94840</v>
      </c>
      <c r="J142" s="184">
        <f>$C244-SUM($D65:J68)</f>
        <v>88540</v>
      </c>
      <c r="K142" s="184">
        <f>$C244-SUM($D65:K68)</f>
        <v>71236</v>
      </c>
      <c r="L142" s="184">
        <f>$C244-SUM($D65:L68)</f>
        <v>39609</v>
      </c>
      <c r="M142" s="184">
        <f>$C244-SUM($D65:M68)</f>
        <v>39609</v>
      </c>
      <c r="N142" s="184">
        <f>$C244-SUM($D65:N68)</f>
        <v>39609</v>
      </c>
      <c r="O142" s="184">
        <f>$C244-SUM($D65:O68)</f>
        <v>39609</v>
      </c>
      <c r="P142" s="184">
        <f>$C244-SUM($D65:P68)</f>
        <v>39609</v>
      </c>
      <c r="Q142" s="184">
        <f>$C244-SUM($D65:Q68)</f>
        <v>39609</v>
      </c>
      <c r="R142" s="184">
        <f>$C244-SUM($D65:R68)</f>
        <v>39609</v>
      </c>
      <c r="S142" s="184">
        <f>$C244-SUM($D65:S68)</f>
        <v>39609</v>
      </c>
      <c r="T142" s="184">
        <f>$C244-SUM($D65:T68)</f>
        <v>39609</v>
      </c>
      <c r="U142" s="184">
        <f>$C244-SUM($D65:U68)</f>
        <v>39609</v>
      </c>
      <c r="V142" s="184">
        <f>$C244-SUM($D65:V68)</f>
        <v>39609</v>
      </c>
      <c r="W142" s="345">
        <f>$C244-SUM($D65:W68)</f>
        <v>39609</v>
      </c>
    </row>
    <row r="143" spans="1:23" x14ac:dyDescent="0.35">
      <c r="A143" s="33" t="s">
        <v>308</v>
      </c>
      <c r="D143" s="169">
        <f ca="1">D141*D142</f>
        <v>0</v>
      </c>
      <c r="E143" s="169">
        <f ca="1">E141*E142</f>
        <v>0</v>
      </c>
      <c r="F143" s="169">
        <f t="shared" ref="F143:W143" ca="1" si="27">F141*F142</f>
        <v>0</v>
      </c>
      <c r="G143" s="169">
        <f t="shared" ca="1" si="27"/>
        <v>0</v>
      </c>
      <c r="H143" s="169">
        <f t="shared" ca="1" si="27"/>
        <v>0</v>
      </c>
      <c r="I143" s="169">
        <f t="shared" ca="1" si="27"/>
        <v>0</v>
      </c>
      <c r="J143" s="169">
        <f t="shared" ca="1" si="27"/>
        <v>0</v>
      </c>
      <c r="K143" s="169">
        <f t="shared" ca="1" si="27"/>
        <v>0</v>
      </c>
      <c r="L143" s="169">
        <f t="shared" ca="1" si="27"/>
        <v>0</v>
      </c>
      <c r="M143" s="169">
        <f t="shared" ca="1" si="27"/>
        <v>0</v>
      </c>
      <c r="N143" s="169">
        <f t="shared" ca="1" si="27"/>
        <v>0</v>
      </c>
      <c r="O143" s="169">
        <f t="shared" ca="1" si="27"/>
        <v>0</v>
      </c>
      <c r="P143" s="169">
        <f t="shared" ca="1" si="27"/>
        <v>0</v>
      </c>
      <c r="Q143" s="169">
        <f t="shared" ca="1" si="27"/>
        <v>0</v>
      </c>
      <c r="R143" s="169">
        <f t="shared" ca="1" si="27"/>
        <v>0</v>
      </c>
      <c r="S143" s="169">
        <f t="shared" ca="1" si="27"/>
        <v>0</v>
      </c>
      <c r="T143" s="169">
        <f t="shared" ca="1" si="27"/>
        <v>0</v>
      </c>
      <c r="U143" s="169">
        <f t="shared" ca="1" si="27"/>
        <v>0</v>
      </c>
      <c r="V143" s="169">
        <f t="shared" ca="1" si="27"/>
        <v>0</v>
      </c>
      <c r="W143" s="343">
        <f t="shared" ca="1" si="27"/>
        <v>0</v>
      </c>
    </row>
    <row r="144" spans="1:23" x14ac:dyDescent="0.35">
      <c r="A144" s="33"/>
      <c r="B144" s="1" t="s">
        <v>299</v>
      </c>
      <c r="C144" s="52" t="str">
        <f>"Per Meter "&amp;YearOne-1</f>
        <v>Per Meter 2025</v>
      </c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346"/>
    </row>
    <row r="145" spans="1:23" x14ac:dyDescent="0.35">
      <c r="A145" s="8" t="s">
        <v>309</v>
      </c>
      <c r="B145" s="186">
        <f>'0-Inputs'!$B$126</f>
        <v>0</v>
      </c>
      <c r="C145" s="170">
        <f>'0-Inputs'!B124</f>
        <v>0</v>
      </c>
      <c r="D145" s="7">
        <f t="shared" ref="D145:W145" si="28">IF($B145="yes",C145*(1+InflationGeneral),C145)</f>
        <v>0</v>
      </c>
      <c r="E145" s="7">
        <f>IF($B145="yes",D145*(1+InflationGeneral),D145)</f>
        <v>0</v>
      </c>
      <c r="F145" s="7">
        <f t="shared" si="28"/>
        <v>0</v>
      </c>
      <c r="G145" s="7">
        <f t="shared" si="28"/>
        <v>0</v>
      </c>
      <c r="H145" s="7">
        <f t="shared" si="28"/>
        <v>0</v>
      </c>
      <c r="I145" s="7">
        <f t="shared" si="28"/>
        <v>0</v>
      </c>
      <c r="J145" s="7">
        <f t="shared" si="28"/>
        <v>0</v>
      </c>
      <c r="K145" s="7">
        <f t="shared" si="28"/>
        <v>0</v>
      </c>
      <c r="L145" s="7">
        <f t="shared" si="28"/>
        <v>0</v>
      </c>
      <c r="M145" s="7">
        <f t="shared" si="28"/>
        <v>0</v>
      </c>
      <c r="N145" s="7">
        <f t="shared" si="28"/>
        <v>0</v>
      </c>
      <c r="O145" s="7">
        <f t="shared" si="28"/>
        <v>0</v>
      </c>
      <c r="P145" s="7">
        <f t="shared" si="28"/>
        <v>0</v>
      </c>
      <c r="Q145" s="7">
        <f t="shared" si="28"/>
        <v>0</v>
      </c>
      <c r="R145" s="7">
        <f t="shared" si="28"/>
        <v>0</v>
      </c>
      <c r="S145" s="7">
        <f t="shared" si="28"/>
        <v>0</v>
      </c>
      <c r="T145" s="7">
        <f t="shared" si="28"/>
        <v>0</v>
      </c>
      <c r="U145" s="7">
        <f t="shared" si="28"/>
        <v>0</v>
      </c>
      <c r="V145" s="7">
        <f t="shared" si="28"/>
        <v>0</v>
      </c>
      <c r="W145" s="7">
        <f t="shared" si="28"/>
        <v>0</v>
      </c>
    </row>
    <row r="146" spans="1:23" s="19" customFormat="1" x14ac:dyDescent="0.35">
      <c r="A146" s="88" t="s">
        <v>310</v>
      </c>
      <c r="C146" s="182"/>
      <c r="D146" s="183">
        <f ca="1">AVERAGE(C143:D143)*D145</f>
        <v>0</v>
      </c>
      <c r="E146" s="183">
        <f ca="1">AVERAGE(D143:E143)*E145</f>
        <v>0</v>
      </c>
      <c r="F146" s="183">
        <f t="shared" ref="F146:W146" ca="1" si="29">AVERAGE(E143:F143)*F145</f>
        <v>0</v>
      </c>
      <c r="G146" s="183">
        <f t="shared" ca="1" si="29"/>
        <v>0</v>
      </c>
      <c r="H146" s="183">
        <f t="shared" ca="1" si="29"/>
        <v>0</v>
      </c>
      <c r="I146" s="183">
        <f t="shared" ca="1" si="29"/>
        <v>0</v>
      </c>
      <c r="J146" s="183">
        <f t="shared" ca="1" si="29"/>
        <v>0</v>
      </c>
      <c r="K146" s="183">
        <f t="shared" ca="1" si="29"/>
        <v>0</v>
      </c>
      <c r="L146" s="183">
        <f t="shared" ca="1" si="29"/>
        <v>0</v>
      </c>
      <c r="M146" s="183">
        <f t="shared" ca="1" si="29"/>
        <v>0</v>
      </c>
      <c r="N146" s="183">
        <f t="shared" ca="1" si="29"/>
        <v>0</v>
      </c>
      <c r="O146" s="183">
        <f t="shared" ca="1" si="29"/>
        <v>0</v>
      </c>
      <c r="P146" s="183">
        <f t="shared" ca="1" si="29"/>
        <v>0</v>
      </c>
      <c r="Q146" s="183">
        <f ca="1">AVERAGE(P143:Q143)*Q145</f>
        <v>0</v>
      </c>
      <c r="R146" s="183">
        <f t="shared" ca="1" si="29"/>
        <v>0</v>
      </c>
      <c r="S146" s="183">
        <f t="shared" ca="1" si="29"/>
        <v>0</v>
      </c>
      <c r="T146" s="183">
        <f t="shared" ca="1" si="29"/>
        <v>0</v>
      </c>
      <c r="U146" s="183">
        <f t="shared" ca="1" si="29"/>
        <v>0</v>
      </c>
      <c r="V146" s="183">
        <f t="shared" ca="1" si="29"/>
        <v>0</v>
      </c>
      <c r="W146" s="347">
        <f t="shared" ca="1" si="29"/>
        <v>0</v>
      </c>
    </row>
    <row r="147" spans="1:23" x14ac:dyDescent="0.35">
      <c r="A147" s="8"/>
      <c r="B147" s="172" t="s">
        <v>311</v>
      </c>
    </row>
    <row r="148" spans="1:23" x14ac:dyDescent="0.35">
      <c r="A148" s="8" t="s">
        <v>312</v>
      </c>
      <c r="B148" s="173"/>
      <c r="D148" s="470">
        <f>(SUM($D65:D68)+SUM($D69:D72)+SUM($D80:D87))/SUM('0-Inputs'!$B$10:$B$11)</f>
        <v>0.12027114763025069</v>
      </c>
      <c r="E148" s="31">
        <f>(SUM($D65:E68)+SUM($D69:E72)+SUM($D80:E87))/SUM('0-Inputs'!$B$10:$B$11)</f>
        <v>0.2493455177565396</v>
      </c>
      <c r="F148" s="31">
        <f>(SUM($D65:F68)+SUM($D69:F72)+SUM($D80:F87))/SUM('0-Inputs'!$B$10:$B$11)</f>
        <v>0.3595079689757964</v>
      </c>
      <c r="G148" s="31">
        <f>(SUM($D65:G68)+SUM($D69:G72)+SUM($D80:G87))/SUM('0-Inputs'!$B$10:$B$11)</f>
        <v>0.44366565905489275</v>
      </c>
      <c r="H148" s="31">
        <f>(SUM($D65:H68)+SUM($D69:H72)+SUM($D80:H87))/SUM('0-Inputs'!$B$10:$B$11)</f>
        <v>0.45462605502537645</v>
      </c>
      <c r="I148" s="31">
        <f>(SUM($D65:I68)+SUM($D69:I72)+SUM($D80:I87))/SUM('0-Inputs'!$B$10:$B$11)</f>
        <v>0.50274009899262095</v>
      </c>
      <c r="J148" s="31">
        <f>(SUM($D65:J68)+SUM($D69:J72)+SUM($D80:J87))/SUM('0-Inputs'!$B$10:$B$11)</f>
        <v>0.54677017376067238</v>
      </c>
      <c r="K148" s="31">
        <f>(SUM($D65:K68)+SUM($D69:K72)+SUM($D80:K87))/SUM('0-Inputs'!$B$10:$B$11)</f>
        <v>0.66757886947355194</v>
      </c>
      <c r="L148" s="31">
        <f>(SUM($D65:L68)+SUM($D69:L72)+SUM($D80:L87))/SUM('0-Inputs'!$B$10:$B$11)</f>
        <v>0.88839943313111291</v>
      </c>
      <c r="M148" s="31">
        <f>(SUM($D65:M68)+SUM($D69:M72)+SUM($D80:M87))/SUM('0-Inputs'!$B$10:$B$11)</f>
        <v>1.0000977360150234</v>
      </c>
      <c r="N148" s="31">
        <f>(SUM($D65:N68)+SUM($D69:N72)+SUM($D80:N87))/SUM('0-Inputs'!$B$10:$B$11)</f>
        <v>1.0000977360150234</v>
      </c>
      <c r="O148" s="31">
        <f>(SUM($D65:O68)+SUM($D69:O72)+SUM($D80:O87))/SUM('0-Inputs'!$B$10:$B$11)</f>
        <v>1.0000977360150234</v>
      </c>
      <c r="P148" s="31">
        <f>(SUM($D65:P68)+SUM($D69:P72)+SUM($D80:P87))/SUM('0-Inputs'!$B$10:$B$11)</f>
        <v>1.0000977360150234</v>
      </c>
      <c r="Q148" s="31">
        <f>(SUM($D65:Q68)+SUM($D69:Q72)+SUM($D80:Q87))/SUM('0-Inputs'!$B$10:$B$11)</f>
        <v>1.0000977360150234</v>
      </c>
      <c r="R148" s="31">
        <f>(SUM($D65:R68)+SUM($D69:R72)+SUM($D80:R87))/SUM('0-Inputs'!$B$10:$B$11)</f>
        <v>1.0000977360150234</v>
      </c>
      <c r="S148" s="31">
        <f>(SUM($D65:S68)+SUM($D69:S72)+SUM($D80:S87))/SUM('0-Inputs'!$B$10:$B$11)</f>
        <v>1.0000977360150234</v>
      </c>
      <c r="T148" s="31">
        <f>(SUM($D65:T68)+SUM($D69:T72)+SUM($D80:T87))/SUM('0-Inputs'!$B$10:$B$11)</f>
        <v>1.0000977360150234</v>
      </c>
      <c r="U148" s="31">
        <f>(SUM($D65:U68)+SUM($D69:U72)+SUM($D80:U87))/SUM('0-Inputs'!$B$10:$B$11)</f>
        <v>1.0000977360150234</v>
      </c>
      <c r="V148" s="31">
        <f>(SUM($D65:V68)+SUM($D69:V72)+SUM($D80:V87))/SUM('0-Inputs'!$B$10:$B$11)</f>
        <v>1.0000977360150234</v>
      </c>
      <c r="W148" s="340">
        <f>(SUM($D65:W68)+SUM($D69:W72)+SUM($D80:W87))/SUM('0-Inputs'!$B$10:$B$11)</f>
        <v>1.0000977360150234</v>
      </c>
    </row>
    <row r="149" spans="1:23" x14ac:dyDescent="0.35">
      <c r="A149" s="8" t="s">
        <v>313</v>
      </c>
      <c r="B149" s="173"/>
      <c r="D149" s="12">
        <f>IF(D148&lt;='0-Inputs'!$B$155,'0-Inputs'!$B$159,IF(D148&lt;='0-Inputs'!$B$156,'0-Inputs'!$B$160,IF(D148&lt;='0-Inputs'!$B$157,'0-Inputs'!$B$161,1)))</f>
        <v>1</v>
      </c>
      <c r="E149" s="12">
        <f>IF(E148&lt;='0-Inputs'!$B$155,'0-Inputs'!$B$159,IF(E148&lt;='0-Inputs'!$B$156,'0-Inputs'!$B$160,IF(E148&lt;='0-Inputs'!$B$157,'0-Inputs'!$B$161,1)))</f>
        <v>1</v>
      </c>
      <c r="F149" s="12">
        <f>IF(F148&lt;='0-Inputs'!$B$155,'0-Inputs'!$B$159,IF(F148&lt;='0-Inputs'!$B$156,'0-Inputs'!$B$160,IF(F148&lt;='0-Inputs'!$B$157,'0-Inputs'!$B$161,1)))</f>
        <v>1</v>
      </c>
      <c r="G149" s="12">
        <f>IF(G148&lt;='0-Inputs'!$B$155,'0-Inputs'!$B$159,IF(G148&lt;='0-Inputs'!$B$156,'0-Inputs'!$B$160,IF(G148&lt;='0-Inputs'!$B$157,'0-Inputs'!$B$161,1)))</f>
        <v>1</v>
      </c>
      <c r="H149" s="12">
        <f>IF(H148&lt;='0-Inputs'!$B$155,'0-Inputs'!$B$159,IF(H148&lt;='0-Inputs'!$B$156,'0-Inputs'!$B$160,IF(H148&lt;='0-Inputs'!$B$157,'0-Inputs'!$B$161,1)))</f>
        <v>1</v>
      </c>
      <c r="I149" s="12">
        <f>IF(I148&lt;='0-Inputs'!$B$155,'0-Inputs'!$B$159,IF(I148&lt;='0-Inputs'!$B$156,'0-Inputs'!$B$160,IF(I148&lt;='0-Inputs'!$B$157,'0-Inputs'!$B$161,1)))</f>
        <v>1</v>
      </c>
      <c r="J149" s="12">
        <f>IF(J148&lt;='0-Inputs'!$B$155,'0-Inputs'!$B$159,IF(J148&lt;='0-Inputs'!$B$156,'0-Inputs'!$B$160,IF(J148&lt;='0-Inputs'!$B$157,'0-Inputs'!$B$161,1)))</f>
        <v>1</v>
      </c>
      <c r="K149" s="12">
        <f>IF(K148&lt;='0-Inputs'!$B$155,'0-Inputs'!$B$159,IF(K148&lt;='0-Inputs'!$B$156,'0-Inputs'!$B$160,IF(K148&lt;='0-Inputs'!$B$157,'0-Inputs'!$B$161,1)))</f>
        <v>1</v>
      </c>
      <c r="L149" s="12">
        <f>IF(L148&lt;='0-Inputs'!$B$155,'0-Inputs'!$B$159,IF(L148&lt;='0-Inputs'!$B$156,'0-Inputs'!$B$160,IF(L148&lt;='0-Inputs'!$B$157,'0-Inputs'!$B$161,1)))</f>
        <v>1</v>
      </c>
      <c r="M149" s="12">
        <f>IF(M148&lt;='0-Inputs'!$B$155,'0-Inputs'!$B$159,IF(M148&lt;='0-Inputs'!$B$156,'0-Inputs'!$B$160,IF(M148&lt;='0-Inputs'!$B$157,'0-Inputs'!$B$161,1)))</f>
        <v>1</v>
      </c>
      <c r="N149" s="12">
        <f>IF(N148&lt;='0-Inputs'!$B$155,'0-Inputs'!$B$159,IF(N148&lt;='0-Inputs'!$B$156,'0-Inputs'!$B$160,IF(N148&lt;='0-Inputs'!$B$157,'0-Inputs'!$B$161,1)))</f>
        <v>1</v>
      </c>
      <c r="O149" s="12">
        <f>IF(O148&lt;='0-Inputs'!$B$155,'0-Inputs'!$B$159,IF(O148&lt;='0-Inputs'!$B$156,'0-Inputs'!$B$160,IF(O148&lt;='0-Inputs'!$B$157,'0-Inputs'!$B$161,1)))</f>
        <v>1</v>
      </c>
      <c r="P149" s="12">
        <f>IF(P148&lt;='0-Inputs'!$B$155,'0-Inputs'!$B$159,IF(P148&lt;='0-Inputs'!$B$156,'0-Inputs'!$B$160,IF(P148&lt;='0-Inputs'!$B$157,'0-Inputs'!$B$161,1)))</f>
        <v>1</v>
      </c>
      <c r="Q149" s="12">
        <f>IF(Q148&lt;='0-Inputs'!$B$155,'0-Inputs'!$B$159,IF(Q148&lt;='0-Inputs'!$B$156,'0-Inputs'!$B$160,IF(Q148&lt;='0-Inputs'!$B$157,'0-Inputs'!$B$161,1)))</f>
        <v>1</v>
      </c>
      <c r="R149" s="12">
        <f>IF(R148&lt;='0-Inputs'!$B$155,'0-Inputs'!$B$159,IF(R148&lt;='0-Inputs'!$B$156,'0-Inputs'!$B$160,IF(R148&lt;='0-Inputs'!$B$157,'0-Inputs'!$B$161,1)))</f>
        <v>1</v>
      </c>
      <c r="S149" s="12">
        <f>IF(S148&lt;='0-Inputs'!$B$155,'0-Inputs'!$B$159,IF(S148&lt;='0-Inputs'!$B$156,'0-Inputs'!$B$160,IF(S148&lt;='0-Inputs'!$B$157,'0-Inputs'!$B$161,1)))</f>
        <v>1</v>
      </c>
      <c r="T149" s="12">
        <f>IF(T148&lt;='0-Inputs'!$B$155,'0-Inputs'!$B$159,IF(T148&lt;='0-Inputs'!$B$156,'0-Inputs'!$B$160,IF(T148&lt;='0-Inputs'!$B$157,'0-Inputs'!$B$161,1)))</f>
        <v>1</v>
      </c>
      <c r="U149" s="12">
        <f>IF(U148&lt;='0-Inputs'!$B$155,'0-Inputs'!$B$159,IF(U148&lt;='0-Inputs'!$B$156,'0-Inputs'!$B$160,IF(U148&lt;='0-Inputs'!$B$157,'0-Inputs'!$B$161,1)))</f>
        <v>1</v>
      </c>
      <c r="V149" s="12">
        <f>IF(V148&lt;='0-Inputs'!$B$155,'0-Inputs'!$B$159,IF(V148&lt;='0-Inputs'!$B$156,'0-Inputs'!$B$160,IF(V148&lt;='0-Inputs'!$B$157,'0-Inputs'!$B$161,1)))</f>
        <v>1</v>
      </c>
      <c r="W149" s="344">
        <f>IF(W148&lt;='0-Inputs'!$B$155,'0-Inputs'!$B$159,IF(W148&lt;='0-Inputs'!$B$156,'0-Inputs'!$B$160,IF(W148&lt;='0-Inputs'!$B$157,'0-Inputs'!$B$161,1)))</f>
        <v>1</v>
      </c>
    </row>
    <row r="150" spans="1:23" x14ac:dyDescent="0.35">
      <c r="A150" s="8" t="s">
        <v>314</v>
      </c>
      <c r="B150" s="173"/>
      <c r="D150" s="175"/>
      <c r="E150" s="176">
        <f ca="1">-(E148)*E149*D135</f>
        <v>0</v>
      </c>
      <c r="F150" s="176">
        <f t="shared" ref="F150:W150" ca="1" si="30">-(F148)*F149*E135</f>
        <v>0</v>
      </c>
      <c r="G150" s="176">
        <f t="shared" ca="1" si="30"/>
        <v>0</v>
      </c>
      <c r="H150" s="176">
        <f t="shared" ca="1" si="30"/>
        <v>0</v>
      </c>
      <c r="I150" s="176">
        <f t="shared" ca="1" si="30"/>
        <v>0</v>
      </c>
      <c r="J150" s="176">
        <f ca="1">-(J148)*J149*I135</f>
        <v>0</v>
      </c>
      <c r="K150" s="176">
        <f t="shared" ca="1" si="30"/>
        <v>0</v>
      </c>
      <c r="L150" s="176">
        <f ca="1">-(L148)*L149*K135</f>
        <v>0</v>
      </c>
      <c r="M150" s="176">
        <f t="shared" ca="1" si="30"/>
        <v>0</v>
      </c>
      <c r="N150" s="176">
        <f t="shared" ca="1" si="30"/>
        <v>0</v>
      </c>
      <c r="O150" s="176">
        <f t="shared" ca="1" si="30"/>
        <v>0</v>
      </c>
      <c r="P150" s="176">
        <f t="shared" ca="1" si="30"/>
        <v>0</v>
      </c>
      <c r="Q150" s="176">
        <f ca="1">-(Q148)*Q149*P135</f>
        <v>0</v>
      </c>
      <c r="R150" s="176">
        <f t="shared" ca="1" si="30"/>
        <v>0</v>
      </c>
      <c r="S150" s="176">
        <f t="shared" ca="1" si="30"/>
        <v>0</v>
      </c>
      <c r="T150" s="176">
        <f t="shared" ca="1" si="30"/>
        <v>0</v>
      </c>
      <c r="U150" s="176">
        <f t="shared" ca="1" si="30"/>
        <v>0</v>
      </c>
      <c r="V150" s="176">
        <f t="shared" ca="1" si="30"/>
        <v>0</v>
      </c>
      <c r="W150" s="348">
        <f t="shared" ca="1" si="30"/>
        <v>0</v>
      </c>
    </row>
    <row r="151" spans="1:23" x14ac:dyDescent="0.35">
      <c r="A151" s="8"/>
      <c r="B151" s="173"/>
      <c r="C151" s="52" t="s">
        <v>315</v>
      </c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349"/>
    </row>
    <row r="152" spans="1:23" x14ac:dyDescent="0.35">
      <c r="A152" s="8" t="s">
        <v>316</v>
      </c>
      <c r="C152" s="41">
        <f>'0-Inputs'!B128</f>
        <v>0</v>
      </c>
      <c r="D152" s="21">
        <f t="shared" ref="D152:W152" ca="1" si="31">-IF(D112&lt;=$C152,0,OFFSET(D133,0,-$C152))</f>
        <v>0</v>
      </c>
      <c r="E152" s="21">
        <f t="shared" ca="1" si="31"/>
        <v>0</v>
      </c>
      <c r="F152" s="21">
        <f t="shared" ca="1" si="31"/>
        <v>0</v>
      </c>
      <c r="G152" s="21">
        <f t="shared" ca="1" si="31"/>
        <v>0</v>
      </c>
      <c r="H152" s="21">
        <f t="shared" ca="1" si="31"/>
        <v>0</v>
      </c>
      <c r="I152" s="21">
        <f t="shared" ca="1" si="31"/>
        <v>0</v>
      </c>
      <c r="J152" s="21">
        <f t="shared" ca="1" si="31"/>
        <v>0</v>
      </c>
      <c r="K152" s="21">
        <f t="shared" ca="1" si="31"/>
        <v>0</v>
      </c>
      <c r="L152" s="21">
        <f t="shared" ca="1" si="31"/>
        <v>0</v>
      </c>
      <c r="M152" s="21">
        <f t="shared" ca="1" si="31"/>
        <v>0</v>
      </c>
      <c r="N152" s="21">
        <f t="shared" ca="1" si="31"/>
        <v>0</v>
      </c>
      <c r="O152" s="21">
        <f t="shared" ca="1" si="31"/>
        <v>0</v>
      </c>
      <c r="P152" s="21">
        <f t="shared" ca="1" si="31"/>
        <v>0</v>
      </c>
      <c r="Q152" s="21">
        <f t="shared" ca="1" si="31"/>
        <v>0</v>
      </c>
      <c r="R152" s="21">
        <f t="shared" ca="1" si="31"/>
        <v>0</v>
      </c>
      <c r="S152" s="21">
        <f t="shared" ca="1" si="31"/>
        <v>0</v>
      </c>
      <c r="T152" s="21">
        <f t="shared" ca="1" si="31"/>
        <v>0</v>
      </c>
      <c r="U152" s="21">
        <f t="shared" ca="1" si="31"/>
        <v>0</v>
      </c>
      <c r="V152" s="21">
        <f t="shared" ca="1" si="31"/>
        <v>0</v>
      </c>
      <c r="W152" s="334">
        <f t="shared" ca="1" si="31"/>
        <v>0</v>
      </c>
    </row>
    <row r="153" spans="1:23" x14ac:dyDescent="0.35">
      <c r="A153" s="8" t="s">
        <v>317</v>
      </c>
      <c r="B153" s="173"/>
      <c r="D153" s="174">
        <f ca="1">MAX(D150+SUM($D152:D152),-D135)</f>
        <v>0</v>
      </c>
      <c r="E153" s="174">
        <f ca="1">MAX(E150+SUM($D152:E152),-E135)</f>
        <v>0</v>
      </c>
      <c r="F153" s="174">
        <f ca="1">MAX(F150+SUM($D152:F152),-F135)</f>
        <v>0</v>
      </c>
      <c r="G153" s="174">
        <f ca="1">MAX(G150+SUM($D152:G152),-G135)</f>
        <v>0</v>
      </c>
      <c r="H153" s="174">
        <f ca="1">MAX(H150+SUM($D152:H152),-H135)</f>
        <v>0</v>
      </c>
      <c r="I153" s="174">
        <f ca="1">MAX(I150+SUM($D152:I152),-I135)</f>
        <v>0</v>
      </c>
      <c r="J153" s="174">
        <f ca="1">MAX(J150+SUM($D152:J152),-J135)</f>
        <v>0</v>
      </c>
      <c r="K153" s="174">
        <f ca="1">MAX(K150+SUM($D152:K152),-K135)</f>
        <v>0</v>
      </c>
      <c r="L153" s="174">
        <f ca="1">MAX(L150+SUM($D152:L152),-L135)</f>
        <v>0</v>
      </c>
      <c r="M153" s="174">
        <f ca="1">MAX(M150+SUM($D152:M152),-M135)</f>
        <v>0</v>
      </c>
      <c r="N153" s="174">
        <f ca="1">MAX(N150+SUM($D152:N152),-N135)</f>
        <v>0</v>
      </c>
      <c r="O153" s="174">
        <f ca="1">MAX(O150+SUM($D152:O152),-O135)</f>
        <v>0</v>
      </c>
      <c r="P153" s="174">
        <f ca="1">MAX(P150+SUM($D152:P152),-P135)</f>
        <v>0</v>
      </c>
      <c r="Q153" s="174">
        <f ca="1">MAX(Q150+SUM($D152:Q152),-Q135)</f>
        <v>0</v>
      </c>
      <c r="R153" s="174">
        <f ca="1">MAX(R150+SUM($D152:R152),-R135)</f>
        <v>0</v>
      </c>
      <c r="S153" s="174">
        <f ca="1">MAX(S150+SUM($D152:S152),-S135)</f>
        <v>0</v>
      </c>
      <c r="T153" s="174">
        <f ca="1">MAX(T150+SUM($D152:T152),-T135)</f>
        <v>0</v>
      </c>
      <c r="U153" s="174">
        <f ca="1">MAX(U150+SUM($D152:U152),-U135)</f>
        <v>0</v>
      </c>
      <c r="V153" s="174">
        <f ca="1">MAX(V150+SUM($D152:V152),-V135)</f>
        <v>0</v>
      </c>
      <c r="W153" s="174">
        <f ca="1">MAX(W150+SUM($D152:W152),-W135)</f>
        <v>0</v>
      </c>
    </row>
    <row r="154" spans="1:23" x14ac:dyDescent="0.35">
      <c r="A154" s="8"/>
      <c r="B154" s="17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x14ac:dyDescent="0.35">
      <c r="A155" s="8" t="s">
        <v>318</v>
      </c>
      <c r="B155" s="173"/>
      <c r="D155" s="40">
        <f ca="1">IFERROR(SUMPRODUCT($D132:D132,$D133:D133)/D135,0)</f>
        <v>0</v>
      </c>
      <c r="E155" s="40">
        <f ca="1">IFERROR(SUMPRODUCT($D132:E132,$D133:E133)/E135,0)</f>
        <v>0</v>
      </c>
      <c r="F155" s="40">
        <f ca="1">IFERROR(SUMPRODUCT($D132:F132,$D133:F133)/F135,0)</f>
        <v>0</v>
      </c>
      <c r="G155" s="40">
        <f ca="1">IFERROR(SUMPRODUCT($D132:G132,$D133:G133)/G135,0)</f>
        <v>0</v>
      </c>
      <c r="H155" s="40">
        <f ca="1">IFERROR(SUMPRODUCT($D132:H132,$D133:H133)/H135,0)</f>
        <v>0</v>
      </c>
      <c r="I155" s="40">
        <f ca="1">IFERROR(SUMPRODUCT($D132:I132,$D133:I133)/I135,0)</f>
        <v>0</v>
      </c>
      <c r="J155" s="40">
        <f ca="1">IFERROR(SUMPRODUCT($D132:J132,$D133:J133)/J135,0)</f>
        <v>0</v>
      </c>
      <c r="K155" s="40">
        <f ca="1">IFERROR(SUMPRODUCT($D132:K132,$D133:K133)/K135,0)</f>
        <v>0</v>
      </c>
      <c r="L155" s="40">
        <f ca="1">IFERROR(SUMPRODUCT($D132:L132,$D133:L133)/L135,0)</f>
        <v>0</v>
      </c>
      <c r="M155" s="40">
        <f ca="1">IFERROR(SUMPRODUCT($D132:M132,$D133:M133)/M135,0)</f>
        <v>0</v>
      </c>
      <c r="N155" s="40">
        <f ca="1">IFERROR(SUMPRODUCT($D132:N132,$D133:N133)/N135,0)</f>
        <v>0</v>
      </c>
      <c r="O155" s="40">
        <f ca="1">IFERROR(SUMPRODUCT($D132:O132,$D133:O133)/O135,0)</f>
        <v>0</v>
      </c>
      <c r="P155" s="40">
        <f ca="1">IFERROR(SUMPRODUCT($D132:P132,$D133:P133)/P135,0)</f>
        <v>0</v>
      </c>
      <c r="Q155" s="40">
        <f ca="1">IFERROR(SUMPRODUCT($D132:Q132,$D133:Q133)/Q135,0)</f>
        <v>0</v>
      </c>
      <c r="R155" s="40">
        <f ca="1">IFERROR(SUMPRODUCT($D132:R132,$D133:R133)/R135,0)</f>
        <v>0</v>
      </c>
      <c r="S155" s="40">
        <f ca="1">IFERROR(SUMPRODUCT($D132:S132,$D133:S133)/S135,0)</f>
        <v>0</v>
      </c>
      <c r="T155" s="40">
        <f ca="1">IFERROR(SUMPRODUCT($D132:T132,$D133:T133)/T135,0)</f>
        <v>0</v>
      </c>
      <c r="U155" s="40">
        <f ca="1">IFERROR(SUMPRODUCT($D132:U132,$D133:U133)/U135,0)</f>
        <v>0</v>
      </c>
      <c r="V155" s="40">
        <f ca="1">IFERROR(SUMPRODUCT($D132:V132,$D133:V133)/V135,0)</f>
        <v>0</v>
      </c>
      <c r="W155" s="118">
        <f ca="1">IFERROR(SUMPRODUCT($D132:W132,$D133:W133)/W135,0)</f>
        <v>0</v>
      </c>
    </row>
    <row r="156" spans="1:23" x14ac:dyDescent="0.35">
      <c r="A156" s="8" t="s">
        <v>319</v>
      </c>
      <c r="B156" s="173"/>
      <c r="C156" s="41">
        <v>0</v>
      </c>
      <c r="D156" s="13">
        <f ca="1">D153*D155</f>
        <v>0</v>
      </c>
      <c r="E156" s="13">
        <f ca="1">D156+(E153-D153)*E155</f>
        <v>0</v>
      </c>
      <c r="F156" s="13">
        <f t="shared" ref="F156:W156" ca="1" si="32">E156+(F153-E153)*F155</f>
        <v>0</v>
      </c>
      <c r="G156" s="13">
        <f t="shared" ca="1" si="32"/>
        <v>0</v>
      </c>
      <c r="H156" s="13">
        <f t="shared" ca="1" si="32"/>
        <v>0</v>
      </c>
      <c r="I156" s="13">
        <f t="shared" ca="1" si="32"/>
        <v>0</v>
      </c>
      <c r="J156" s="13">
        <f t="shared" ca="1" si="32"/>
        <v>0</v>
      </c>
      <c r="K156" s="13">
        <f t="shared" ca="1" si="32"/>
        <v>0</v>
      </c>
      <c r="L156" s="13">
        <f t="shared" ca="1" si="32"/>
        <v>0</v>
      </c>
      <c r="M156" s="13">
        <f t="shared" ca="1" si="32"/>
        <v>0</v>
      </c>
      <c r="N156" s="13">
        <f t="shared" ca="1" si="32"/>
        <v>0</v>
      </c>
      <c r="O156" s="13">
        <f t="shared" ca="1" si="32"/>
        <v>0</v>
      </c>
      <c r="P156" s="13">
        <f t="shared" ca="1" si="32"/>
        <v>0</v>
      </c>
      <c r="Q156" s="13">
        <f t="shared" ca="1" si="32"/>
        <v>0</v>
      </c>
      <c r="R156" s="13">
        <f t="shared" ca="1" si="32"/>
        <v>0</v>
      </c>
      <c r="S156" s="13">
        <f t="shared" ca="1" si="32"/>
        <v>0</v>
      </c>
      <c r="T156" s="13">
        <f t="shared" ca="1" si="32"/>
        <v>0</v>
      </c>
      <c r="U156" s="13">
        <f t="shared" ca="1" si="32"/>
        <v>0</v>
      </c>
      <c r="V156" s="13">
        <f t="shared" ca="1" si="32"/>
        <v>0</v>
      </c>
      <c r="W156" s="13">
        <f t="shared" ca="1" si="32"/>
        <v>0</v>
      </c>
    </row>
    <row r="157" spans="1:23" x14ac:dyDescent="0.35">
      <c r="A157" s="8"/>
      <c r="B157" s="17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x14ac:dyDescent="0.35">
      <c r="A158" s="8" t="s">
        <v>320</v>
      </c>
      <c r="B158" s="173"/>
      <c r="C158" s="168">
        <v>0</v>
      </c>
      <c r="D158" s="13">
        <f ca="1">D135+D153</f>
        <v>0</v>
      </c>
      <c r="E158" s="13">
        <f t="shared" ref="E158:W158" ca="1" si="33">E135+E153</f>
        <v>0</v>
      </c>
      <c r="F158" s="13">
        <f t="shared" ca="1" si="33"/>
        <v>0</v>
      </c>
      <c r="G158" s="13">
        <f t="shared" ca="1" si="33"/>
        <v>0</v>
      </c>
      <c r="H158" s="13">
        <f t="shared" ca="1" si="33"/>
        <v>0</v>
      </c>
      <c r="I158" s="13">
        <f t="shared" ca="1" si="33"/>
        <v>0</v>
      </c>
      <c r="J158" s="13">
        <f t="shared" ca="1" si="33"/>
        <v>0</v>
      </c>
      <c r="K158" s="13">
        <f t="shared" ca="1" si="33"/>
        <v>0</v>
      </c>
      <c r="L158" s="13">
        <f t="shared" ca="1" si="33"/>
        <v>0</v>
      </c>
      <c r="M158" s="13">
        <f t="shared" ca="1" si="33"/>
        <v>0</v>
      </c>
      <c r="N158" s="13">
        <f t="shared" ca="1" si="33"/>
        <v>0</v>
      </c>
      <c r="O158" s="13">
        <f t="shared" ca="1" si="33"/>
        <v>0</v>
      </c>
      <c r="P158" s="13">
        <f t="shared" ca="1" si="33"/>
        <v>0</v>
      </c>
      <c r="Q158" s="13">
        <f t="shared" ca="1" si="33"/>
        <v>0</v>
      </c>
      <c r="R158" s="13">
        <f t="shared" ca="1" si="33"/>
        <v>0</v>
      </c>
      <c r="S158" s="13">
        <f t="shared" ca="1" si="33"/>
        <v>0</v>
      </c>
      <c r="T158" s="13">
        <f t="shared" ca="1" si="33"/>
        <v>0</v>
      </c>
      <c r="U158" s="13">
        <f t="shared" ca="1" si="33"/>
        <v>0</v>
      </c>
      <c r="V158" s="13">
        <f t="shared" ca="1" si="33"/>
        <v>0</v>
      </c>
      <c r="W158" s="13">
        <f t="shared" ca="1" si="33"/>
        <v>0</v>
      </c>
    </row>
    <row r="159" spans="1:23" ht="29" x14ac:dyDescent="0.35">
      <c r="A159" s="33"/>
      <c r="B159" s="1" t="s">
        <v>299</v>
      </c>
      <c r="C159" s="53" t="str">
        <f>"Per Collector "&amp;YearOne-1</f>
        <v>Per Collector 2025</v>
      </c>
      <c r="D159" s="6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R159" s="12"/>
      <c r="W159" s="344"/>
    </row>
    <row r="160" spans="1:23" x14ac:dyDescent="0.35">
      <c r="A160" s="33" t="s">
        <v>321</v>
      </c>
      <c r="B160" s="186">
        <f>'0-Inputs'!$B$126</f>
        <v>0</v>
      </c>
      <c r="C160" s="170">
        <f>'0-Inputs'!B123</f>
        <v>0</v>
      </c>
      <c r="D160" s="7">
        <f t="shared" ref="D160:W160" si="34">IF($B160="yes",C160*(1+InflationGeneral),C160)</f>
        <v>0</v>
      </c>
      <c r="E160" s="7">
        <f t="shared" si="34"/>
        <v>0</v>
      </c>
      <c r="F160" s="7">
        <f t="shared" si="34"/>
        <v>0</v>
      </c>
      <c r="G160" s="7">
        <f t="shared" si="34"/>
        <v>0</v>
      </c>
      <c r="H160" s="7">
        <f t="shared" si="34"/>
        <v>0</v>
      </c>
      <c r="I160" s="7">
        <f t="shared" si="34"/>
        <v>0</v>
      </c>
      <c r="J160" s="7">
        <f t="shared" si="34"/>
        <v>0</v>
      </c>
      <c r="K160" s="7">
        <f t="shared" si="34"/>
        <v>0</v>
      </c>
      <c r="L160" s="7">
        <f t="shared" si="34"/>
        <v>0</v>
      </c>
      <c r="M160" s="7">
        <f t="shared" si="34"/>
        <v>0</v>
      </c>
      <c r="N160" s="7">
        <f t="shared" si="34"/>
        <v>0</v>
      </c>
      <c r="O160" s="7">
        <f t="shared" si="34"/>
        <v>0</v>
      </c>
      <c r="P160" s="7">
        <f t="shared" si="34"/>
        <v>0</v>
      </c>
      <c r="Q160" s="7">
        <f t="shared" si="34"/>
        <v>0</v>
      </c>
      <c r="R160" s="7">
        <f t="shared" si="34"/>
        <v>0</v>
      </c>
      <c r="S160" s="7">
        <f t="shared" si="34"/>
        <v>0</v>
      </c>
      <c r="T160" s="7">
        <f t="shared" si="34"/>
        <v>0</v>
      </c>
      <c r="U160" s="7">
        <f t="shared" si="34"/>
        <v>0</v>
      </c>
      <c r="V160" s="7">
        <f t="shared" si="34"/>
        <v>0</v>
      </c>
      <c r="W160" s="7">
        <f t="shared" si="34"/>
        <v>0</v>
      </c>
    </row>
    <row r="161" spans="1:23" s="19" customFormat="1" x14ac:dyDescent="0.35">
      <c r="A161" s="181" t="s">
        <v>322</v>
      </c>
      <c r="C161" s="182"/>
      <c r="D161" s="183">
        <f ca="1">D160*AVERAGE(C158:D158)</f>
        <v>0</v>
      </c>
      <c r="E161" s="183">
        <f t="shared" ref="E161:W161" ca="1" si="35">E160*AVERAGE(D158:E158)</f>
        <v>0</v>
      </c>
      <c r="F161" s="183">
        <f t="shared" ca="1" si="35"/>
        <v>0</v>
      </c>
      <c r="G161" s="183">
        <f ca="1">G160*AVERAGE(F158:G158)</f>
        <v>0</v>
      </c>
      <c r="H161" s="183">
        <f t="shared" ca="1" si="35"/>
        <v>0</v>
      </c>
      <c r="I161" s="183">
        <f t="shared" ca="1" si="35"/>
        <v>0</v>
      </c>
      <c r="J161" s="183">
        <f t="shared" ca="1" si="35"/>
        <v>0</v>
      </c>
      <c r="K161" s="183">
        <f t="shared" ca="1" si="35"/>
        <v>0</v>
      </c>
      <c r="L161" s="183">
        <f t="shared" ca="1" si="35"/>
        <v>0</v>
      </c>
      <c r="M161" s="183">
        <f t="shared" ca="1" si="35"/>
        <v>0</v>
      </c>
      <c r="N161" s="183">
        <f t="shared" ca="1" si="35"/>
        <v>0</v>
      </c>
      <c r="O161" s="183">
        <f t="shared" ca="1" si="35"/>
        <v>0</v>
      </c>
      <c r="P161" s="183">
        <f t="shared" ca="1" si="35"/>
        <v>0</v>
      </c>
      <c r="Q161" s="183">
        <f t="shared" ca="1" si="35"/>
        <v>0</v>
      </c>
      <c r="R161" s="183">
        <f t="shared" ca="1" si="35"/>
        <v>0</v>
      </c>
      <c r="S161" s="183">
        <f t="shared" ca="1" si="35"/>
        <v>0</v>
      </c>
      <c r="T161" s="183">
        <f t="shared" ca="1" si="35"/>
        <v>0</v>
      </c>
      <c r="U161" s="183">
        <f t="shared" ca="1" si="35"/>
        <v>0</v>
      </c>
      <c r="V161" s="183">
        <f t="shared" ca="1" si="35"/>
        <v>0</v>
      </c>
      <c r="W161" s="347">
        <f t="shared" ca="1" si="35"/>
        <v>0</v>
      </c>
    </row>
    <row r="162" spans="1:23" x14ac:dyDescent="0.35">
      <c r="A162" s="33"/>
      <c r="B162" s="1" t="s">
        <v>299</v>
      </c>
      <c r="C162" s="71" t="s">
        <v>323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118"/>
    </row>
    <row r="163" spans="1:23" x14ac:dyDescent="0.35">
      <c r="A163" s="181" t="s">
        <v>324</v>
      </c>
      <c r="B163" s="186">
        <f>'0-Inputs'!$B$126</f>
        <v>0</v>
      </c>
      <c r="C163" s="71">
        <f>'0-Inputs'!B125</f>
        <v>0</v>
      </c>
      <c r="D163" s="7">
        <f t="shared" ref="D163:W163" si="36">IF($B163="yes",C163*(1+InflationGeneral),C163)</f>
        <v>0</v>
      </c>
      <c r="E163" s="7">
        <f t="shared" si="36"/>
        <v>0</v>
      </c>
      <c r="F163" s="7">
        <f t="shared" si="36"/>
        <v>0</v>
      </c>
      <c r="G163" s="7">
        <f t="shared" si="36"/>
        <v>0</v>
      </c>
      <c r="H163" s="7">
        <f t="shared" si="36"/>
        <v>0</v>
      </c>
      <c r="I163" s="7">
        <f t="shared" si="36"/>
        <v>0</v>
      </c>
      <c r="J163" s="7">
        <f t="shared" si="36"/>
        <v>0</v>
      </c>
      <c r="K163" s="7">
        <f t="shared" si="36"/>
        <v>0</v>
      </c>
      <c r="L163" s="7">
        <f t="shared" si="36"/>
        <v>0</v>
      </c>
      <c r="M163" s="7">
        <f t="shared" si="36"/>
        <v>0</v>
      </c>
      <c r="N163" s="7">
        <f t="shared" si="36"/>
        <v>0</v>
      </c>
      <c r="O163" s="7">
        <f t="shared" si="36"/>
        <v>0</v>
      </c>
      <c r="P163" s="7">
        <f t="shared" si="36"/>
        <v>0</v>
      </c>
      <c r="Q163" s="7">
        <f t="shared" si="36"/>
        <v>0</v>
      </c>
      <c r="R163" s="7">
        <f t="shared" si="36"/>
        <v>0</v>
      </c>
      <c r="S163" s="7">
        <f t="shared" si="36"/>
        <v>0</v>
      </c>
      <c r="T163" s="7">
        <f t="shared" si="36"/>
        <v>0</v>
      </c>
      <c r="U163" s="7">
        <f t="shared" si="36"/>
        <v>0</v>
      </c>
      <c r="V163" s="7">
        <f t="shared" si="36"/>
        <v>0</v>
      </c>
      <c r="W163" s="7">
        <f t="shared" si="36"/>
        <v>0</v>
      </c>
    </row>
    <row r="164" spans="1:23" s="19" customFormat="1" x14ac:dyDescent="0.35">
      <c r="A164" s="181" t="s">
        <v>325</v>
      </c>
      <c r="C164" s="182"/>
      <c r="D164" s="183">
        <f ca="1">D163*D158</f>
        <v>0</v>
      </c>
      <c r="E164" s="183">
        <f t="shared" ref="E164:W164" ca="1" si="37">E163*E158</f>
        <v>0</v>
      </c>
      <c r="F164" s="183">
        <f t="shared" ca="1" si="37"/>
        <v>0</v>
      </c>
      <c r="G164" s="183">
        <f t="shared" ca="1" si="37"/>
        <v>0</v>
      </c>
      <c r="H164" s="183">
        <f t="shared" ca="1" si="37"/>
        <v>0</v>
      </c>
      <c r="I164" s="183">
        <f t="shared" ca="1" si="37"/>
        <v>0</v>
      </c>
      <c r="J164" s="183">
        <f t="shared" ca="1" si="37"/>
        <v>0</v>
      </c>
      <c r="K164" s="183">
        <f t="shared" ca="1" si="37"/>
        <v>0</v>
      </c>
      <c r="L164" s="183">
        <f t="shared" ca="1" si="37"/>
        <v>0</v>
      </c>
      <c r="M164" s="183">
        <f t="shared" ca="1" si="37"/>
        <v>0</v>
      </c>
      <c r="N164" s="183">
        <f t="shared" ca="1" si="37"/>
        <v>0</v>
      </c>
      <c r="O164" s="183">
        <f t="shared" ca="1" si="37"/>
        <v>0</v>
      </c>
      <c r="P164" s="183">
        <f t="shared" ca="1" si="37"/>
        <v>0</v>
      </c>
      <c r="Q164" s="183">
        <f t="shared" ca="1" si="37"/>
        <v>0</v>
      </c>
      <c r="R164" s="183">
        <f t="shared" ca="1" si="37"/>
        <v>0</v>
      </c>
      <c r="S164" s="183">
        <f t="shared" ca="1" si="37"/>
        <v>0</v>
      </c>
      <c r="T164" s="183">
        <f t="shared" ca="1" si="37"/>
        <v>0</v>
      </c>
      <c r="U164" s="183">
        <f t="shared" ca="1" si="37"/>
        <v>0</v>
      </c>
      <c r="V164" s="183">
        <f t="shared" ca="1" si="37"/>
        <v>0</v>
      </c>
      <c r="W164" s="347">
        <f t="shared" ca="1" si="37"/>
        <v>0</v>
      </c>
    </row>
    <row r="165" spans="1:23" x14ac:dyDescent="0.35">
      <c r="A165" s="33"/>
      <c r="C165" s="71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350"/>
    </row>
    <row r="166" spans="1:23" x14ac:dyDescent="0.35">
      <c r="D166" s="6"/>
    </row>
    <row r="167" spans="1:23" x14ac:dyDescent="0.35">
      <c r="C167">
        <f>D167-1</f>
        <v>2025</v>
      </c>
      <c r="D167" s="269">
        <f>YearOne</f>
        <v>2026</v>
      </c>
      <c r="E167" s="269">
        <f>D167+1</f>
        <v>2027</v>
      </c>
      <c r="F167" s="269">
        <f t="shared" ref="F167:W167" si="38">E167+1</f>
        <v>2028</v>
      </c>
      <c r="G167" s="269">
        <f t="shared" si="38"/>
        <v>2029</v>
      </c>
      <c r="H167" s="269">
        <f t="shared" si="38"/>
        <v>2030</v>
      </c>
      <c r="I167" s="269">
        <f t="shared" si="38"/>
        <v>2031</v>
      </c>
      <c r="J167" s="269">
        <f t="shared" si="38"/>
        <v>2032</v>
      </c>
      <c r="K167" s="269">
        <f t="shared" si="38"/>
        <v>2033</v>
      </c>
      <c r="L167" s="269">
        <f t="shared" si="38"/>
        <v>2034</v>
      </c>
      <c r="M167" s="269">
        <f t="shared" si="38"/>
        <v>2035</v>
      </c>
      <c r="N167" s="269">
        <f t="shared" si="38"/>
        <v>2036</v>
      </c>
      <c r="O167" s="269">
        <f t="shared" si="38"/>
        <v>2037</v>
      </c>
      <c r="P167" s="269">
        <f t="shared" si="38"/>
        <v>2038</v>
      </c>
      <c r="Q167" s="269">
        <f t="shared" si="38"/>
        <v>2039</v>
      </c>
      <c r="R167" s="269">
        <f t="shared" si="38"/>
        <v>2040</v>
      </c>
      <c r="S167" s="269">
        <f t="shared" si="38"/>
        <v>2041</v>
      </c>
      <c r="T167" s="269">
        <f t="shared" si="38"/>
        <v>2042</v>
      </c>
      <c r="U167" s="269">
        <f t="shared" si="38"/>
        <v>2043</v>
      </c>
      <c r="V167" s="269">
        <f t="shared" si="38"/>
        <v>2044</v>
      </c>
      <c r="W167" s="341">
        <f t="shared" si="38"/>
        <v>2045</v>
      </c>
    </row>
    <row r="168" spans="1:23" ht="21" x14ac:dyDescent="0.5">
      <c r="A168" s="95" t="s">
        <v>326</v>
      </c>
    </row>
    <row r="169" spans="1:23" x14ac:dyDescent="0.35">
      <c r="A169" s="33" t="s">
        <v>327</v>
      </c>
      <c r="D169" s="34">
        <f t="shared" ref="D169:W169" si="39">IF($B$2="AMI",SUMPRODUCT(D$61:D$64,D$115:D$118)+SUMPRODUCT(D$65:D$68,D$115:D$118)+SUMPRODUCT(D$69:D$72,D$115:D$118),IF($B$2="AMR",SUMPRODUCT(D$61:D$64,D$115:D$118)+SUMPRODUCT(D$65:D$68,D$120:D$123)+SUMPRODUCT(D$69:D$72,D$120:D$123),SUMPRODUCT(D$61:D$64,D$115:D$118)+SUMPRODUCT(D$65:D$68,D$120:D$123)+SUMPRODUCT(D$71:D$72,D$125:D$126)))</f>
        <v>0</v>
      </c>
      <c r="E169" s="34">
        <f t="shared" ca="1" si="39"/>
        <v>0</v>
      </c>
      <c r="F169" s="34">
        <f t="shared" ca="1" si="39"/>
        <v>0</v>
      </c>
      <c r="G169" s="34">
        <f t="shared" ca="1" si="39"/>
        <v>0</v>
      </c>
      <c r="H169" s="34">
        <f t="shared" ca="1" si="39"/>
        <v>0</v>
      </c>
      <c r="I169" s="34">
        <f t="shared" ca="1" si="39"/>
        <v>0</v>
      </c>
      <c r="J169" s="34">
        <f t="shared" ca="1" si="39"/>
        <v>0</v>
      </c>
      <c r="K169" s="34">
        <f t="shared" ca="1" si="39"/>
        <v>0</v>
      </c>
      <c r="L169" s="34">
        <f t="shared" ca="1" si="39"/>
        <v>0</v>
      </c>
      <c r="M169" s="34">
        <f t="shared" ca="1" si="39"/>
        <v>0</v>
      </c>
      <c r="N169" s="34">
        <f t="shared" ca="1" si="39"/>
        <v>0</v>
      </c>
      <c r="O169" s="34">
        <f t="shared" ca="1" si="39"/>
        <v>0</v>
      </c>
      <c r="P169" s="34">
        <f t="shared" ca="1" si="39"/>
        <v>0</v>
      </c>
      <c r="Q169" s="34">
        <f t="shared" ca="1" si="39"/>
        <v>0</v>
      </c>
      <c r="R169" s="34">
        <f t="shared" ca="1" si="39"/>
        <v>0</v>
      </c>
      <c r="S169" s="34">
        <f t="shared" ca="1" si="39"/>
        <v>0</v>
      </c>
      <c r="T169" s="34">
        <f t="shared" ca="1" si="39"/>
        <v>0</v>
      </c>
      <c r="U169" s="34">
        <f t="shared" ca="1" si="39"/>
        <v>0</v>
      </c>
      <c r="V169" s="34">
        <f t="shared" ca="1" si="39"/>
        <v>0</v>
      </c>
      <c r="W169" s="332">
        <f t="shared" ca="1" si="39"/>
        <v>0</v>
      </c>
    </row>
    <row r="170" spans="1:23" x14ac:dyDescent="0.35">
      <c r="A170" s="33" t="s">
        <v>328</v>
      </c>
      <c r="D170" s="34">
        <f t="shared" ref="D170:W170" si="40">IF($B$2="AMI",SUMPRODUCT(D97:D100,D115:D118)+SUMPRODUCT(D101:D104,D115:D118)+SUMPRODUCT(D105:D108,D115:D118),IF($B$2="AMR",SUMPRODUCT(D97:D100,D115:D118)+SUMPRODUCT(D101:D104,D120:D123)+SUMPRODUCT(D105:D108,D120:D123),SUMPRODUCT(D97:D100,D115:D118)+SUMPRODUCT(D101:D104,D120:D123)+SUMPRODUCT(D107:D108,D125:D126)))</f>
        <v>0</v>
      </c>
      <c r="E170" s="34">
        <f t="shared" ca="1" si="40"/>
        <v>0</v>
      </c>
      <c r="F170" s="34">
        <f t="shared" ca="1" si="40"/>
        <v>0</v>
      </c>
      <c r="G170" s="34">
        <f t="shared" ca="1" si="40"/>
        <v>0</v>
      </c>
      <c r="H170" s="34">
        <f t="shared" ca="1" si="40"/>
        <v>0</v>
      </c>
      <c r="I170" s="34">
        <f t="shared" ca="1" si="40"/>
        <v>0</v>
      </c>
      <c r="J170" s="34">
        <f t="shared" ca="1" si="40"/>
        <v>0</v>
      </c>
      <c r="K170" s="34">
        <f t="shared" ca="1" si="40"/>
        <v>0</v>
      </c>
      <c r="L170" s="34">
        <f t="shared" ca="1" si="40"/>
        <v>0</v>
      </c>
      <c r="M170" s="34">
        <f t="shared" ca="1" si="40"/>
        <v>0</v>
      </c>
      <c r="N170" s="34">
        <f t="shared" ca="1" si="40"/>
        <v>0</v>
      </c>
      <c r="O170" s="34">
        <f t="shared" ca="1" si="40"/>
        <v>0</v>
      </c>
      <c r="P170" s="34">
        <f t="shared" ca="1" si="40"/>
        <v>0</v>
      </c>
      <c r="Q170" s="34">
        <f t="shared" ca="1" si="40"/>
        <v>0</v>
      </c>
      <c r="R170" s="34">
        <f t="shared" ca="1" si="40"/>
        <v>0</v>
      </c>
      <c r="S170" s="34">
        <f t="shared" ca="1" si="40"/>
        <v>0</v>
      </c>
      <c r="T170" s="34">
        <f t="shared" ca="1" si="40"/>
        <v>0</v>
      </c>
      <c r="U170" s="34">
        <f t="shared" ca="1" si="40"/>
        <v>0</v>
      </c>
      <c r="V170" s="34">
        <f t="shared" ca="1" si="40"/>
        <v>0</v>
      </c>
      <c r="W170" s="332">
        <f t="shared" ca="1" si="40"/>
        <v>0</v>
      </c>
    </row>
    <row r="171" spans="1:23" x14ac:dyDescent="0.35">
      <c r="A171" s="33" t="s">
        <v>329</v>
      </c>
      <c r="D171" s="34">
        <f t="shared" ref="D171:W171" ca="1" si="41">D134</f>
        <v>0</v>
      </c>
      <c r="E171" s="34">
        <f t="shared" ca="1" si="41"/>
        <v>0</v>
      </c>
      <c r="F171" s="34">
        <f t="shared" ca="1" si="41"/>
        <v>0</v>
      </c>
      <c r="G171" s="34">
        <f t="shared" ca="1" si="41"/>
        <v>0</v>
      </c>
      <c r="H171" s="34">
        <f t="shared" ca="1" si="41"/>
        <v>0</v>
      </c>
      <c r="I171" s="34">
        <f t="shared" ca="1" si="41"/>
        <v>0</v>
      </c>
      <c r="J171" s="34">
        <f t="shared" ca="1" si="41"/>
        <v>0</v>
      </c>
      <c r="K171" s="34">
        <f t="shared" ca="1" si="41"/>
        <v>0</v>
      </c>
      <c r="L171" s="34">
        <f t="shared" ca="1" si="41"/>
        <v>0</v>
      </c>
      <c r="M171" s="34">
        <f t="shared" ca="1" si="41"/>
        <v>0</v>
      </c>
      <c r="N171" s="34">
        <f t="shared" ca="1" si="41"/>
        <v>0</v>
      </c>
      <c r="O171" s="34">
        <f t="shared" ca="1" si="41"/>
        <v>0</v>
      </c>
      <c r="P171" s="34">
        <f t="shared" ca="1" si="41"/>
        <v>0</v>
      </c>
      <c r="Q171" s="34">
        <f t="shared" ca="1" si="41"/>
        <v>0</v>
      </c>
      <c r="R171" s="34">
        <f t="shared" ca="1" si="41"/>
        <v>0</v>
      </c>
      <c r="S171" s="34">
        <f t="shared" ca="1" si="41"/>
        <v>0</v>
      </c>
      <c r="T171" s="34">
        <f t="shared" ca="1" si="41"/>
        <v>0</v>
      </c>
      <c r="U171" s="34">
        <f t="shared" ca="1" si="41"/>
        <v>0</v>
      </c>
      <c r="V171" s="34">
        <f t="shared" ca="1" si="41"/>
        <v>0</v>
      </c>
      <c r="W171" s="332">
        <f t="shared" ca="1" si="41"/>
        <v>0</v>
      </c>
    </row>
    <row r="172" spans="1:23" x14ac:dyDescent="0.35">
      <c r="A172" s="33" t="s">
        <v>330</v>
      </c>
      <c r="D172" s="34">
        <f t="shared" ref="D172:W172" si="42">IF($B$2="AMI",SUMPRODUCT(D$76:D$79,D$115:D$118)+SUMPRODUCT(D$80:D$83,D$115:D$118)+SUMPRODUCT(D$84:D$87,D$115:D$118),IF($B$2="AMR",SUMPRODUCT(D$76:D$79,D$115:D$118)+SUMPRODUCT(D$80:D$83,D$120:D$123)+SUMPRODUCT(D$84:D$87,D$120:D$123),SUMPRODUCT(D$76:D$79,D$115:D$118)+SUMPRODUCT(D$80:D$83,D$120:D$123)+SUMPRODUCT(D$86:D$87,D$125:D$126)))</f>
        <v>0</v>
      </c>
      <c r="E172" s="34">
        <f t="shared" ca="1" si="42"/>
        <v>0</v>
      </c>
      <c r="F172" s="34">
        <f t="shared" ca="1" si="42"/>
        <v>0</v>
      </c>
      <c r="G172" s="34">
        <f t="shared" ca="1" si="42"/>
        <v>0</v>
      </c>
      <c r="H172" s="34">
        <f t="shared" ca="1" si="42"/>
        <v>0</v>
      </c>
      <c r="I172" s="34">
        <f t="shared" ca="1" si="42"/>
        <v>0</v>
      </c>
      <c r="J172" s="34">
        <f t="shared" ca="1" si="42"/>
        <v>0</v>
      </c>
      <c r="K172" s="34">
        <f t="shared" ca="1" si="42"/>
        <v>0</v>
      </c>
      <c r="L172" s="34">
        <f t="shared" ca="1" si="42"/>
        <v>0</v>
      </c>
      <c r="M172" s="34">
        <f t="shared" ca="1" si="42"/>
        <v>0</v>
      </c>
      <c r="N172" s="34">
        <f t="shared" ca="1" si="42"/>
        <v>0</v>
      </c>
      <c r="O172" s="34">
        <f t="shared" ca="1" si="42"/>
        <v>0</v>
      </c>
      <c r="P172" s="34">
        <f t="shared" ca="1" si="42"/>
        <v>0</v>
      </c>
      <c r="Q172" s="34">
        <f t="shared" ca="1" si="42"/>
        <v>0</v>
      </c>
      <c r="R172" s="34">
        <f t="shared" ca="1" si="42"/>
        <v>0</v>
      </c>
      <c r="S172" s="34">
        <f t="shared" ca="1" si="42"/>
        <v>0</v>
      </c>
      <c r="T172" s="34">
        <f t="shared" ca="1" si="42"/>
        <v>0</v>
      </c>
      <c r="U172" s="34">
        <f t="shared" ca="1" si="42"/>
        <v>0</v>
      </c>
      <c r="V172" s="34">
        <f t="shared" ca="1" si="42"/>
        <v>0</v>
      </c>
      <c r="W172" s="332">
        <f t="shared" ca="1" si="42"/>
        <v>0</v>
      </c>
    </row>
    <row r="173" spans="1:23" x14ac:dyDescent="0.35">
      <c r="A173" s="33" t="s">
        <v>331</v>
      </c>
      <c r="D173" s="35">
        <f ca="1">SUM(D169:D172)</f>
        <v>0</v>
      </c>
      <c r="E173" s="35">
        <f t="shared" ref="E173:W173" ca="1" si="43">SUM(E169:E172)</f>
        <v>0</v>
      </c>
      <c r="F173" s="35">
        <f t="shared" ca="1" si="43"/>
        <v>0</v>
      </c>
      <c r="G173" s="35">
        <f t="shared" ca="1" si="43"/>
        <v>0</v>
      </c>
      <c r="H173" s="35">
        <f t="shared" ca="1" si="43"/>
        <v>0</v>
      </c>
      <c r="I173" s="35">
        <f t="shared" ca="1" si="43"/>
        <v>0</v>
      </c>
      <c r="J173" s="35">
        <f t="shared" ca="1" si="43"/>
        <v>0</v>
      </c>
      <c r="K173" s="35">
        <f t="shared" ca="1" si="43"/>
        <v>0</v>
      </c>
      <c r="L173" s="35">
        <f t="shared" ca="1" si="43"/>
        <v>0</v>
      </c>
      <c r="M173" s="35">
        <f t="shared" ca="1" si="43"/>
        <v>0</v>
      </c>
      <c r="N173" s="35">
        <f t="shared" ca="1" si="43"/>
        <v>0</v>
      </c>
      <c r="O173" s="35">
        <f t="shared" ca="1" si="43"/>
        <v>0</v>
      </c>
      <c r="P173" s="35">
        <f t="shared" ca="1" si="43"/>
        <v>0</v>
      </c>
      <c r="Q173" s="35">
        <f t="shared" ca="1" si="43"/>
        <v>0</v>
      </c>
      <c r="R173" s="35">
        <f t="shared" ca="1" si="43"/>
        <v>0</v>
      </c>
      <c r="S173" s="35">
        <f t="shared" ca="1" si="43"/>
        <v>0</v>
      </c>
      <c r="T173" s="35">
        <f t="shared" ca="1" si="43"/>
        <v>0</v>
      </c>
      <c r="U173" s="35">
        <f t="shared" ca="1" si="43"/>
        <v>0</v>
      </c>
      <c r="V173" s="35">
        <f t="shared" ca="1" si="43"/>
        <v>0</v>
      </c>
      <c r="W173" s="351">
        <f t="shared" ca="1" si="43"/>
        <v>0</v>
      </c>
    </row>
    <row r="174" spans="1:23" x14ac:dyDescent="0.35">
      <c r="A174" s="33" t="s">
        <v>332</v>
      </c>
      <c r="B174">
        <v>0</v>
      </c>
      <c r="C174" s="301">
        <f>'0-Inputs'!B50</f>
        <v>53383617</v>
      </c>
      <c r="D174" s="35">
        <f ca="1">C174+SUM(D169:D172)</f>
        <v>53383617</v>
      </c>
      <c r="E174" s="35">
        <f ca="1">D174+SUM(E169:E172)</f>
        <v>53383617</v>
      </c>
      <c r="F174" s="35">
        <f ca="1">E174+SUM(F169:F172)</f>
        <v>53383617</v>
      </c>
      <c r="G174" s="35">
        <f t="shared" ref="G174:W174" ca="1" si="44">F174+SUM(G169:G172)</f>
        <v>53383617</v>
      </c>
      <c r="H174" s="35">
        <f t="shared" ca="1" si="44"/>
        <v>53383617</v>
      </c>
      <c r="I174" s="35">
        <f t="shared" ca="1" si="44"/>
        <v>53383617</v>
      </c>
      <c r="J174" s="35">
        <f t="shared" ca="1" si="44"/>
        <v>53383617</v>
      </c>
      <c r="K174" s="35">
        <f t="shared" ca="1" si="44"/>
        <v>53383617</v>
      </c>
      <c r="L174" s="35">
        <f t="shared" ca="1" si="44"/>
        <v>53383617</v>
      </c>
      <c r="M174" s="35">
        <f t="shared" ca="1" si="44"/>
        <v>53383617</v>
      </c>
      <c r="N174" s="35">
        <f t="shared" ca="1" si="44"/>
        <v>53383617</v>
      </c>
      <c r="O174" s="35">
        <f t="shared" ca="1" si="44"/>
        <v>53383617</v>
      </c>
      <c r="P174" s="35">
        <f t="shared" ca="1" si="44"/>
        <v>53383617</v>
      </c>
      <c r="Q174" s="35">
        <f t="shared" ca="1" si="44"/>
        <v>53383617</v>
      </c>
      <c r="R174" s="35">
        <f t="shared" ca="1" si="44"/>
        <v>53383617</v>
      </c>
      <c r="S174" s="35">
        <f t="shared" ca="1" si="44"/>
        <v>53383617</v>
      </c>
      <c r="T174" s="35">
        <f t="shared" ca="1" si="44"/>
        <v>53383617</v>
      </c>
      <c r="U174" s="35">
        <f t="shared" ca="1" si="44"/>
        <v>53383617</v>
      </c>
      <c r="V174" s="35">
        <f t="shared" ca="1" si="44"/>
        <v>53383617</v>
      </c>
      <c r="W174" s="351">
        <f t="shared" ca="1" si="44"/>
        <v>53383617</v>
      </c>
    </row>
    <row r="175" spans="1:23" x14ac:dyDescent="0.35">
      <c r="A175" s="33" t="s">
        <v>333</v>
      </c>
      <c r="B175" t="s">
        <v>334</v>
      </c>
      <c r="C175" s="39">
        <f>C174</f>
        <v>53383617</v>
      </c>
      <c r="D175" s="39">
        <f ca="1">AVERAGE(C174:D174)</f>
        <v>53383617</v>
      </c>
      <c r="E175" s="39">
        <f ca="1">AVERAGE(D174:E174)</f>
        <v>53383617</v>
      </c>
      <c r="F175" s="39">
        <f t="shared" ref="F175:R175" ca="1" si="45">AVERAGE(E174:F174)</f>
        <v>53383617</v>
      </c>
      <c r="G175" s="39">
        <f t="shared" ca="1" si="45"/>
        <v>53383617</v>
      </c>
      <c r="H175" s="39">
        <f t="shared" ca="1" si="45"/>
        <v>53383617</v>
      </c>
      <c r="I175" s="39">
        <f t="shared" ca="1" si="45"/>
        <v>53383617</v>
      </c>
      <c r="J175" s="39">
        <f t="shared" ca="1" si="45"/>
        <v>53383617</v>
      </c>
      <c r="K175" s="39">
        <f t="shared" ca="1" si="45"/>
        <v>53383617</v>
      </c>
      <c r="L175" s="39">
        <f t="shared" ca="1" si="45"/>
        <v>53383617</v>
      </c>
      <c r="M175" s="39">
        <f t="shared" ca="1" si="45"/>
        <v>53383617</v>
      </c>
      <c r="N175" s="39">
        <f t="shared" ca="1" si="45"/>
        <v>53383617</v>
      </c>
      <c r="O175" s="39">
        <f t="shared" ca="1" si="45"/>
        <v>53383617</v>
      </c>
      <c r="P175" s="39">
        <f t="shared" ca="1" si="45"/>
        <v>53383617</v>
      </c>
      <c r="Q175" s="39">
        <f t="shared" ca="1" si="45"/>
        <v>53383617</v>
      </c>
      <c r="R175" s="39">
        <f t="shared" ca="1" si="45"/>
        <v>53383617</v>
      </c>
      <c r="S175" s="39">
        <f ca="1">AVERAGE(R174:S174)</f>
        <v>53383617</v>
      </c>
      <c r="T175" s="39">
        <f ca="1">AVERAGE(S174:T174)</f>
        <v>53383617</v>
      </c>
      <c r="U175" s="39">
        <f ca="1">AVERAGE(T174:U174)</f>
        <v>53383617</v>
      </c>
      <c r="V175" s="39">
        <f t="shared" ref="V175:W175" ca="1" si="46">AVERAGE(U174:V174)</f>
        <v>53383617</v>
      </c>
      <c r="W175" s="352">
        <f t="shared" ca="1" si="46"/>
        <v>53383617</v>
      </c>
    </row>
    <row r="176" spans="1:23" x14ac:dyDescent="0.35">
      <c r="A176" s="26"/>
      <c r="B176" s="52" t="s">
        <v>335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319"/>
    </row>
    <row r="177" spans="1:23" x14ac:dyDescent="0.35">
      <c r="A177" s="33" t="s">
        <v>336</v>
      </c>
      <c r="B177" s="150">
        <f>'0-Inputs'!B24</f>
        <v>1</v>
      </c>
      <c r="D177" s="34">
        <f>IF(D$7&lt;='0-Inputs'!$B$22,-$B$177*D73*IF($B2="Like",'CONF-MeterPrice'!E78,'CONF-MeterPrice'!E77),0)</f>
        <v>0</v>
      </c>
      <c r="E177" s="34">
        <f>IF(E$7&lt;='0-Inputs'!$B$22,-$B$177*E73*IF($B2="Like",'CONF-MeterPrice'!F78,'CONF-MeterPrice'!F77),0)</f>
        <v>0</v>
      </c>
      <c r="F177" s="34">
        <f>IF(F$7&lt;='0-Inputs'!$B$22,-$B$177*F73*IF($B2="Like",'CONF-MeterPrice'!G78,'CONF-MeterPrice'!G77),0)</f>
        <v>0</v>
      </c>
      <c r="G177" s="34">
        <f>IF(G$7&lt;='0-Inputs'!$B$22,-$B$177*G73*IF($B2="Like",'CONF-MeterPrice'!H78,'CONF-MeterPrice'!H77),0)</f>
        <v>0</v>
      </c>
      <c r="H177" s="34">
        <f>IF(H$7&lt;='0-Inputs'!$B$22,-$B$177*H73*IF($B2="Like",'CONF-MeterPrice'!I78,'CONF-MeterPrice'!I77),0)</f>
        <v>0</v>
      </c>
      <c r="I177" s="34">
        <f>IF(I$7&lt;='0-Inputs'!$B$22,-$B$177*I73*IF($B2="Like",'CONF-MeterPrice'!J78,'CONF-MeterPrice'!J77),0)</f>
        <v>0</v>
      </c>
      <c r="J177" s="34">
        <f>IF(J$7&lt;='0-Inputs'!$B$22,-$B$177*J73*IF($B2="Like",'CONF-MeterPrice'!K78,'CONF-MeterPrice'!K77),0)</f>
        <v>0</v>
      </c>
      <c r="K177" s="34">
        <f>IF(K$7&lt;='0-Inputs'!$B$22,-$B$177*K73*IF($B2="Like",'CONF-MeterPrice'!L78,'CONF-MeterPrice'!L77),0)</f>
        <v>0</v>
      </c>
      <c r="L177" s="34">
        <f>IF(L$7&lt;='0-Inputs'!$B$22,-$B$177*L73*IF($B2="Like",'CONF-MeterPrice'!M78,'CONF-MeterPrice'!M77),0)</f>
        <v>0</v>
      </c>
      <c r="M177" s="34">
        <f>IF(M$7&lt;='0-Inputs'!$B$22,-$B$177*M73*IF($B2="Like",'CONF-MeterPrice'!N78,'CONF-MeterPrice'!N77),0)</f>
        <v>0</v>
      </c>
      <c r="N177" s="34">
        <f>IF(N$7&lt;='0-Inputs'!$B$22,-$B$177*N73*IF($B2="Like",'CONF-MeterPrice'!O78,'CONF-MeterPrice'!O77),0)</f>
        <v>0</v>
      </c>
      <c r="O177" s="34">
        <f>IF(O$7&lt;='0-Inputs'!$B$22,-$B$177*O73*IF($B2="Like",'CONF-MeterPrice'!P78,'CONF-MeterPrice'!P77),0)</f>
        <v>0</v>
      </c>
      <c r="P177" s="34">
        <f>IF(P$7&lt;='0-Inputs'!$B$22,-$B$177*P73*IF($B2="Like",'CONF-MeterPrice'!Q78,'CONF-MeterPrice'!Q77),0)</f>
        <v>0</v>
      </c>
      <c r="Q177" s="34">
        <f>IF(Q$7&lt;='0-Inputs'!$B$22,-$B$177*Q73*IF($B2="Like",'CONF-MeterPrice'!R78,'CONF-MeterPrice'!R77),0)</f>
        <v>0</v>
      </c>
      <c r="R177" s="34">
        <f>IF(R$7&lt;='0-Inputs'!$B$22,-$B$177*R73*IF($B2="Like",'CONF-MeterPrice'!S78,'CONF-MeterPrice'!S77),0)</f>
        <v>0</v>
      </c>
      <c r="S177" s="34">
        <f>IF(S$7&lt;='0-Inputs'!$B$22,-$B$177*S73*IF($B2="Like",'CONF-MeterPrice'!T78,'CONF-MeterPrice'!T77),0)</f>
        <v>0</v>
      </c>
      <c r="T177" s="34">
        <f>IF(T$7&lt;='0-Inputs'!$B$22,-$B$177*T73*IF($B2="Like",'CONF-MeterPrice'!U78,'CONF-MeterPrice'!U77),0)</f>
        <v>0</v>
      </c>
      <c r="U177" s="34">
        <f>IF(U$7&lt;='0-Inputs'!$B$22,-$B$177*U73*IF($B2="Like",'CONF-MeterPrice'!V78,'CONF-MeterPrice'!V77),0)</f>
        <v>0</v>
      </c>
      <c r="V177" s="34">
        <f>IF(V$7&lt;='0-Inputs'!$B$22,-$B$177*V73*IF($B2="Like",'CONF-MeterPrice'!W78,'CONF-MeterPrice'!W77),0)</f>
        <v>0</v>
      </c>
      <c r="W177" s="332">
        <f>IF(W$7&lt;='0-Inputs'!$B$22,-$B$177*W73*IF($B2="Like",'CONF-MeterPrice'!X78,'CONF-MeterPrice'!X77),0)</f>
        <v>0</v>
      </c>
    </row>
    <row r="178" spans="1:23" x14ac:dyDescent="0.35">
      <c r="A178" s="33" t="s">
        <v>337</v>
      </c>
      <c r="B178" s="63"/>
      <c r="C178" s="1"/>
      <c r="D178" s="34">
        <f>IF(D$7&lt;='0-Inputs'!$B$22,0,-D170/(1+InflationMeter)^MeterRetireYearsAlt)</f>
        <v>0</v>
      </c>
      <c r="E178" s="34">
        <f>IF(E$7&lt;='0-Inputs'!$B$22,0,-E170/(1+InflationMeter)^MeterRetireYearsAlt)</f>
        <v>0</v>
      </c>
      <c r="F178" s="34">
        <f>IF(F$7&lt;='0-Inputs'!$B$22,0,-F170/(1+InflationMeter)^MeterRetireYearsAlt)</f>
        <v>0</v>
      </c>
      <c r="G178" s="34">
        <f>IF(G$7&lt;='0-Inputs'!$B$22,0,-G170/(1+InflationMeter)^MeterRetireYearsAlt)</f>
        <v>0</v>
      </c>
      <c r="H178" s="34">
        <f>IF(H$7&lt;='0-Inputs'!$B$22,0,-H170/(1+InflationMeter)^MeterRetireYearsAlt)</f>
        <v>0</v>
      </c>
      <c r="I178" s="34">
        <f>IF(I$7&lt;='0-Inputs'!$B$22,0,-I170/(1+InflationMeter)^MeterRetireYearsAlt)</f>
        <v>0</v>
      </c>
      <c r="J178" s="34">
        <f>IF(J$7&lt;='0-Inputs'!$B$22,0,-J170/(1+InflationMeter)^MeterRetireYearsAlt)</f>
        <v>0</v>
      </c>
      <c r="K178" s="34">
        <f>IF(K$7&lt;='0-Inputs'!$B$22,0,-K170/(1+InflationMeter)^MeterRetireYearsAlt)</f>
        <v>0</v>
      </c>
      <c r="L178" s="34">
        <f>IF(L$7&lt;='0-Inputs'!$B$22,0,-L170/(1+InflationMeter)^MeterRetireYearsAlt)</f>
        <v>0</v>
      </c>
      <c r="M178" s="34">
        <f>IF(M$7&lt;='0-Inputs'!$B$22,0,-M170/(1+InflationMeter)^MeterRetireYearsAlt)</f>
        <v>0</v>
      </c>
      <c r="N178" s="34">
        <f ca="1">IF(N$7&lt;='0-Inputs'!$B$22,0,-N170/(1+InflationMeter)^MeterRetireYearsAlt)</f>
        <v>0</v>
      </c>
      <c r="O178" s="34">
        <f ca="1">IF(O$7&lt;='0-Inputs'!$B$22,0,-O170/(1+InflationMeter)^MeterRetireYearsAlt)</f>
        <v>0</v>
      </c>
      <c r="P178" s="34">
        <f ca="1">IF(P$7&lt;='0-Inputs'!$B$22,0,-P170/(1+InflationMeter)^MeterRetireYearsAlt)</f>
        <v>0</v>
      </c>
      <c r="Q178" s="34">
        <f ca="1">IF(Q$7&lt;='0-Inputs'!$B$22,0,-Q170/(1+InflationMeter)^MeterRetireYearsAlt)</f>
        <v>0</v>
      </c>
      <c r="R178" s="34">
        <f ca="1">IF(R$7&lt;='0-Inputs'!$B$22,0,-R170/(1+InflationMeter)^MeterRetireYearsAlt)</f>
        <v>0</v>
      </c>
      <c r="S178" s="34">
        <f ca="1">IF(S$7&lt;='0-Inputs'!$B$22,0,-S170/(1+InflationMeter)^MeterRetireYearsAlt)</f>
        <v>0</v>
      </c>
      <c r="T178" s="34">
        <f ca="1">IF(T$7&lt;='0-Inputs'!$B$22,0,-T170/(1+InflationMeter)^MeterRetireYearsAlt)</f>
        <v>0</v>
      </c>
      <c r="U178" s="34">
        <f ca="1">IF(U$7&lt;='0-Inputs'!$B$22,0,-U170/(1+InflationMeter)^MeterRetireYearsAlt)</f>
        <v>0</v>
      </c>
      <c r="V178" s="34">
        <f ca="1">IF(V$7&lt;='0-Inputs'!$B$22,0,-V170/(1+InflationMeter)^MeterRetireYearsAlt)</f>
        <v>0</v>
      </c>
      <c r="W178" s="332">
        <f ca="1">IF(W$7&lt;='0-Inputs'!$B$22,0,-W170/(1+InflationMeter)^MeterRetireYearsAlt)</f>
        <v>0</v>
      </c>
    </row>
    <row r="179" spans="1:23" x14ac:dyDescent="0.35">
      <c r="A179" s="33" t="s">
        <v>338</v>
      </c>
      <c r="B179" s="63"/>
      <c r="C179" s="63"/>
      <c r="D179" s="34">
        <f t="shared" ref="D179:W179" ca="1" si="47">D156-C156</f>
        <v>0</v>
      </c>
      <c r="E179" s="34">
        <f ca="1">E156-D156</f>
        <v>0</v>
      </c>
      <c r="F179" s="34">
        <f t="shared" ca="1" si="47"/>
        <v>0</v>
      </c>
      <c r="G179" s="34">
        <f t="shared" ca="1" si="47"/>
        <v>0</v>
      </c>
      <c r="H179" s="34">
        <f t="shared" ca="1" si="47"/>
        <v>0</v>
      </c>
      <c r="I179" s="34">
        <f t="shared" ca="1" si="47"/>
        <v>0</v>
      </c>
      <c r="J179" s="34">
        <f t="shared" ca="1" si="47"/>
        <v>0</v>
      </c>
      <c r="K179" s="34">
        <f t="shared" ca="1" si="47"/>
        <v>0</v>
      </c>
      <c r="L179" s="34">
        <f t="shared" ca="1" si="47"/>
        <v>0</v>
      </c>
      <c r="M179" s="34">
        <f t="shared" ca="1" si="47"/>
        <v>0</v>
      </c>
      <c r="N179" s="34">
        <f t="shared" ca="1" si="47"/>
        <v>0</v>
      </c>
      <c r="O179" s="34">
        <f t="shared" ca="1" si="47"/>
        <v>0</v>
      </c>
      <c r="P179" s="34">
        <f t="shared" ca="1" si="47"/>
        <v>0</v>
      </c>
      <c r="Q179" s="34">
        <f t="shared" ca="1" si="47"/>
        <v>0</v>
      </c>
      <c r="R179" s="34">
        <f t="shared" ca="1" si="47"/>
        <v>0</v>
      </c>
      <c r="S179" s="34">
        <f t="shared" ca="1" si="47"/>
        <v>0</v>
      </c>
      <c r="T179" s="34">
        <f t="shared" ca="1" si="47"/>
        <v>0</v>
      </c>
      <c r="U179" s="34">
        <f t="shared" ca="1" si="47"/>
        <v>0</v>
      </c>
      <c r="V179" s="34">
        <f t="shared" ca="1" si="47"/>
        <v>0</v>
      </c>
      <c r="W179" s="332">
        <f t="shared" ca="1" si="47"/>
        <v>0</v>
      </c>
    </row>
    <row r="180" spans="1:23" x14ac:dyDescent="0.35">
      <c r="A180" s="33" t="s">
        <v>339</v>
      </c>
      <c r="B180" s="63"/>
      <c r="C180" s="63"/>
      <c r="D180" s="34">
        <f>IF(D$7&lt;='0-Inputs'!$B$22,-$B$177*SUM(D76:D87)*'CONF-MeterPrice'!E$77,0)</f>
        <v>0</v>
      </c>
      <c r="E180" s="34">
        <f>IF(E$7&lt;='0-Inputs'!$B$22,-$B$177*SUM(E76:E87)*'CONF-MeterPrice'!F$77,0)</f>
        <v>0</v>
      </c>
      <c r="F180" s="34">
        <f>IF(F$7&lt;='0-Inputs'!$B$22,-$B$177*SUM(F76:F87)*'CONF-MeterPrice'!G$77,0)</f>
        <v>0</v>
      </c>
      <c r="G180" s="34">
        <f>IF(G$7&lt;='0-Inputs'!$B$22,-$B$177*SUM(G76:G87)*'CONF-MeterPrice'!H$77,0)</f>
        <v>0</v>
      </c>
      <c r="H180" s="34">
        <f>IF(H$7&lt;='0-Inputs'!$B$22,-$B$177*SUM(H76:H87)*'CONF-MeterPrice'!I$77,0)</f>
        <v>0</v>
      </c>
      <c r="I180" s="34">
        <f>IF(I$7&lt;='0-Inputs'!$B$22,-$B$177*SUM(I76:I87)*'CONF-MeterPrice'!J$77,0)</f>
        <v>0</v>
      </c>
      <c r="J180" s="34">
        <f>IF(J$7&lt;='0-Inputs'!$B$22,-$B$177*SUM(J76:J87)*'CONF-MeterPrice'!K$77,0)</f>
        <v>0</v>
      </c>
      <c r="K180" s="34">
        <f>IF(K$7&lt;='0-Inputs'!$B$22,-$B$177*SUM(K76:K87)*'CONF-MeterPrice'!L$77,0)</f>
        <v>0</v>
      </c>
      <c r="L180" s="34">
        <f>IF(L$7&lt;='0-Inputs'!$B$22,-$B$177*SUM(L76:L87)*'CONF-MeterPrice'!M$77,0)</f>
        <v>0</v>
      </c>
      <c r="M180" s="34">
        <f>IF(M$7&lt;='0-Inputs'!$B$22,-$B$177*SUM(M76:M87)*'CONF-MeterPrice'!N$77,0)</f>
        <v>0</v>
      </c>
      <c r="N180" s="34">
        <f>IF(N$7&lt;='0-Inputs'!$B$22,-$B$177*SUM(N76:N87)*'CONF-MeterPrice'!O$77,0)</f>
        <v>0</v>
      </c>
      <c r="O180" s="34">
        <f>IF(O$7&lt;='0-Inputs'!$B$22,-$B$177*SUM(O76:O87)*'CONF-MeterPrice'!P$77,0)</f>
        <v>0</v>
      </c>
      <c r="P180" s="34">
        <f>IF(P$7&lt;='0-Inputs'!$B$22,-$B$177*SUM(P76:P87)*'CONF-MeterPrice'!Q$77,0)</f>
        <v>0</v>
      </c>
      <c r="Q180" s="34">
        <f>IF(Q$7&lt;='0-Inputs'!$B$22,-$B$177*SUM(Q76:Q87)*'CONF-MeterPrice'!R$77,0)</f>
        <v>0</v>
      </c>
      <c r="R180" s="34">
        <f>IF(R$7&lt;='0-Inputs'!$B$22,-$B$177*SUM(R76:R87)*'CONF-MeterPrice'!S$77,0)</f>
        <v>0</v>
      </c>
      <c r="S180" s="34">
        <f>IF(S$7&lt;='0-Inputs'!$B$22,-$B$177*SUM(S76:S87)*'CONF-MeterPrice'!T$77,0)</f>
        <v>0</v>
      </c>
      <c r="T180" s="34">
        <f>IF(T$7&lt;='0-Inputs'!$B$22,-$B$177*SUM(T76:T87)*'CONF-MeterPrice'!U$77,0)</f>
        <v>0</v>
      </c>
      <c r="U180" s="34">
        <f>IF(U$7&lt;='0-Inputs'!$B$22,-$B$177*SUM(U76:U87)*'CONF-MeterPrice'!V$77,0)</f>
        <v>0</v>
      </c>
      <c r="V180" s="34">
        <f>IF(V$7&lt;='0-Inputs'!$B$22,-$B$177*SUM(V76:V87)*'CONF-MeterPrice'!W$77,0)</f>
        <v>0</v>
      </c>
      <c r="W180" s="332">
        <f>IF(W$7&lt;='0-Inputs'!$B$22,-$B$177*SUM(W76:W87)*'CONF-MeterPrice'!X$77,0)</f>
        <v>0</v>
      </c>
    </row>
    <row r="181" spans="1:23" x14ac:dyDescent="0.35">
      <c r="A181" s="33" t="s">
        <v>340</v>
      </c>
      <c r="B181" s="63"/>
      <c r="C181" s="63"/>
      <c r="D181" s="35">
        <f ca="1">SUM(D177:D180)</f>
        <v>0</v>
      </c>
      <c r="E181" s="35">
        <f t="shared" ref="E181:N181" ca="1" si="48">SUM(E177:E180)</f>
        <v>0</v>
      </c>
      <c r="F181" s="35">
        <f t="shared" ca="1" si="48"/>
        <v>0</v>
      </c>
      <c r="G181" s="35">
        <f t="shared" ca="1" si="48"/>
        <v>0</v>
      </c>
      <c r="H181" s="35">
        <f t="shared" ca="1" si="48"/>
        <v>0</v>
      </c>
      <c r="I181" s="35">
        <f t="shared" ca="1" si="48"/>
        <v>0</v>
      </c>
      <c r="J181" s="35">
        <f t="shared" ca="1" si="48"/>
        <v>0</v>
      </c>
      <c r="K181" s="35">
        <f t="shared" ca="1" si="48"/>
        <v>0</v>
      </c>
      <c r="L181" s="35">
        <f t="shared" ca="1" si="48"/>
        <v>0</v>
      </c>
      <c r="M181" s="35">
        <f t="shared" ca="1" si="48"/>
        <v>0</v>
      </c>
      <c r="N181" s="35">
        <f t="shared" ca="1" si="48"/>
        <v>0</v>
      </c>
      <c r="O181" s="35">
        <f ca="1">SUM(O177:O180)</f>
        <v>0</v>
      </c>
      <c r="P181" s="35">
        <f t="shared" ref="P181" ca="1" si="49">SUM(P177:P180)</f>
        <v>0</v>
      </c>
      <c r="Q181" s="35">
        <f t="shared" ref="Q181" ca="1" si="50">SUM(Q177:Q180)</f>
        <v>0</v>
      </c>
      <c r="R181" s="35">
        <f t="shared" ref="R181" ca="1" si="51">SUM(R177:R180)</f>
        <v>0</v>
      </c>
      <c r="S181" s="35">
        <f t="shared" ref="S181" ca="1" si="52">SUM(S177:S180)</f>
        <v>0</v>
      </c>
      <c r="T181" s="35">
        <f t="shared" ref="T181" ca="1" si="53">SUM(T177:T180)</f>
        <v>0</v>
      </c>
      <c r="U181" s="35">
        <f t="shared" ref="U181" ca="1" si="54">SUM(U177:U180)</f>
        <v>0</v>
      </c>
      <c r="V181" s="35">
        <f t="shared" ref="V181" ca="1" si="55">SUM(V177:V180)</f>
        <v>0</v>
      </c>
      <c r="W181" s="351">
        <f t="shared" ref="W181" ca="1" si="56">SUM(W177:W180)</f>
        <v>0</v>
      </c>
    </row>
    <row r="182" spans="1:23" x14ac:dyDescent="0.35">
      <c r="A182" s="33" t="s">
        <v>341</v>
      </c>
      <c r="C182" s="41">
        <v>0</v>
      </c>
      <c r="D182" s="35">
        <f ca="1">SUM($D177:D180)</f>
        <v>0</v>
      </c>
      <c r="E182" s="35">
        <f ca="1">SUM($D177:E180)</f>
        <v>0</v>
      </c>
      <c r="F182" s="35">
        <f ca="1">SUM($D177:F180)</f>
        <v>0</v>
      </c>
      <c r="G182" s="35">
        <f ca="1">SUM($D177:G180)</f>
        <v>0</v>
      </c>
      <c r="H182" s="35">
        <f ca="1">SUM($D177:H180)</f>
        <v>0</v>
      </c>
      <c r="I182" s="35">
        <f ca="1">SUM($D177:I180)</f>
        <v>0</v>
      </c>
      <c r="J182" s="35">
        <f ca="1">SUM($D177:J180)</f>
        <v>0</v>
      </c>
      <c r="K182" s="35">
        <f ca="1">SUM($D177:K180)</f>
        <v>0</v>
      </c>
      <c r="L182" s="35">
        <f ca="1">SUM($D177:L180)</f>
        <v>0</v>
      </c>
      <c r="M182" s="35">
        <f ca="1">SUM($D177:M180)</f>
        <v>0</v>
      </c>
      <c r="N182" s="35">
        <f ca="1">SUM($D177:N180)</f>
        <v>0</v>
      </c>
      <c r="O182" s="35">
        <f ca="1">SUM($D177:O180)</f>
        <v>0</v>
      </c>
      <c r="P182" s="35">
        <f ca="1">SUM($D177:P180)</f>
        <v>0</v>
      </c>
      <c r="Q182" s="35">
        <f ca="1">SUM($D177:Q180)</f>
        <v>0</v>
      </c>
      <c r="R182" s="35">
        <f ca="1">SUM($D177:R180)</f>
        <v>0</v>
      </c>
      <c r="S182" s="35">
        <f ca="1">SUM($D177:S180)</f>
        <v>0</v>
      </c>
      <c r="T182" s="35">
        <f ca="1">SUM($D177:T180)</f>
        <v>0</v>
      </c>
      <c r="U182" s="35">
        <f ca="1">SUM($D177:U180)</f>
        <v>0</v>
      </c>
      <c r="V182" s="35">
        <f ca="1">SUM($D177:V180)</f>
        <v>0</v>
      </c>
      <c r="W182" s="351">
        <f ca="1">SUM($D177:W180)</f>
        <v>0</v>
      </c>
    </row>
    <row r="183" spans="1:23" x14ac:dyDescent="0.35">
      <c r="A183" s="33" t="s">
        <v>342</v>
      </c>
      <c r="D183" s="39">
        <f ca="1">AVERAGE(C182:D182)</f>
        <v>0</v>
      </c>
      <c r="E183" s="39">
        <f ca="1">AVERAGE(D182:E182)</f>
        <v>0</v>
      </c>
      <c r="F183" s="39">
        <f t="shared" ref="F183:R183" ca="1" si="57">AVERAGE(E182:F182)</f>
        <v>0</v>
      </c>
      <c r="G183" s="39">
        <f t="shared" ca="1" si="57"/>
        <v>0</v>
      </c>
      <c r="H183" s="39">
        <f t="shared" ca="1" si="57"/>
        <v>0</v>
      </c>
      <c r="I183" s="39">
        <f t="shared" ca="1" si="57"/>
        <v>0</v>
      </c>
      <c r="J183" s="39">
        <f t="shared" ca="1" si="57"/>
        <v>0</v>
      </c>
      <c r="K183" s="39">
        <f t="shared" ca="1" si="57"/>
        <v>0</v>
      </c>
      <c r="L183" s="39">
        <f t="shared" ca="1" si="57"/>
        <v>0</v>
      </c>
      <c r="M183" s="39">
        <f t="shared" ca="1" si="57"/>
        <v>0</v>
      </c>
      <c r="N183" s="39">
        <f t="shared" ca="1" si="57"/>
        <v>0</v>
      </c>
      <c r="O183" s="39">
        <f t="shared" ca="1" si="57"/>
        <v>0</v>
      </c>
      <c r="P183" s="39">
        <f t="shared" ca="1" si="57"/>
        <v>0</v>
      </c>
      <c r="Q183" s="39">
        <f t="shared" ca="1" si="57"/>
        <v>0</v>
      </c>
      <c r="R183" s="39">
        <f t="shared" ca="1" si="57"/>
        <v>0</v>
      </c>
      <c r="S183" s="39">
        <f ca="1">AVERAGE(R182:S182)</f>
        <v>0</v>
      </c>
      <c r="T183" s="39">
        <f ca="1">AVERAGE(S182:T182)</f>
        <v>0</v>
      </c>
      <c r="U183" s="39">
        <f ca="1">AVERAGE(T182:U182)</f>
        <v>0</v>
      </c>
      <c r="V183" s="39">
        <f t="shared" ref="V183:W183" ca="1" si="58">AVERAGE(U182:V182)</f>
        <v>0</v>
      </c>
      <c r="W183" s="352">
        <f t="shared" ca="1" si="58"/>
        <v>0</v>
      </c>
    </row>
    <row r="184" spans="1:23" x14ac:dyDescent="0.35">
      <c r="A184" s="33" t="s">
        <v>439</v>
      </c>
      <c r="C184" s="14">
        <f>C174+C182</f>
        <v>53383617</v>
      </c>
      <c r="D184" s="14">
        <f ca="1">D174+D182</f>
        <v>53383617</v>
      </c>
      <c r="E184" s="14">
        <f t="shared" ref="E184:W184" ca="1" si="59">E174+E182</f>
        <v>53383617</v>
      </c>
      <c r="F184" s="14">
        <f t="shared" ca="1" si="59"/>
        <v>53383617</v>
      </c>
      <c r="G184" s="14">
        <f t="shared" ca="1" si="59"/>
        <v>53383617</v>
      </c>
      <c r="H184" s="14">
        <f t="shared" ca="1" si="59"/>
        <v>53383617</v>
      </c>
      <c r="I184" s="14">
        <f t="shared" ca="1" si="59"/>
        <v>53383617</v>
      </c>
      <c r="J184" s="14">
        <f t="shared" ca="1" si="59"/>
        <v>53383617</v>
      </c>
      <c r="K184" s="14">
        <f t="shared" ca="1" si="59"/>
        <v>53383617</v>
      </c>
      <c r="L184" s="14">
        <f t="shared" ca="1" si="59"/>
        <v>53383617</v>
      </c>
      <c r="M184" s="14">
        <f t="shared" ca="1" si="59"/>
        <v>53383617</v>
      </c>
      <c r="N184" s="14">
        <f t="shared" ca="1" si="59"/>
        <v>53383617</v>
      </c>
      <c r="O184" s="14">
        <f t="shared" ca="1" si="59"/>
        <v>53383617</v>
      </c>
      <c r="P184" s="14">
        <f t="shared" ca="1" si="59"/>
        <v>53383617</v>
      </c>
      <c r="Q184" s="14">
        <f t="shared" ca="1" si="59"/>
        <v>53383617</v>
      </c>
      <c r="R184" s="14">
        <f t="shared" ca="1" si="59"/>
        <v>53383617</v>
      </c>
      <c r="S184" s="14">
        <f t="shared" ca="1" si="59"/>
        <v>53383617</v>
      </c>
      <c r="T184" s="14">
        <f t="shared" ca="1" si="59"/>
        <v>53383617</v>
      </c>
      <c r="U184" s="14">
        <f t="shared" ca="1" si="59"/>
        <v>53383617</v>
      </c>
      <c r="V184" s="14">
        <f t="shared" ca="1" si="59"/>
        <v>53383617</v>
      </c>
      <c r="W184" s="14">
        <f t="shared" ca="1" si="59"/>
        <v>53383617</v>
      </c>
    </row>
    <row r="185" spans="1:23" x14ac:dyDescent="0.35">
      <c r="A185" s="33" t="s">
        <v>344</v>
      </c>
      <c r="C185" s="14">
        <f>C184</f>
        <v>53383617</v>
      </c>
      <c r="D185" s="14">
        <f ca="1">AVERAGE(C184:D184)</f>
        <v>53383617</v>
      </c>
      <c r="E185" s="14">
        <f t="shared" ref="E185:W185" ca="1" si="60">AVERAGE(D184:E184)</f>
        <v>53383617</v>
      </c>
      <c r="F185" s="14">
        <f t="shared" ca="1" si="60"/>
        <v>53383617</v>
      </c>
      <c r="G185" s="14">
        <f t="shared" ca="1" si="60"/>
        <v>53383617</v>
      </c>
      <c r="H185" s="14">
        <f t="shared" ca="1" si="60"/>
        <v>53383617</v>
      </c>
      <c r="I185" s="14">
        <f t="shared" ca="1" si="60"/>
        <v>53383617</v>
      </c>
      <c r="J185" s="14">
        <f t="shared" ca="1" si="60"/>
        <v>53383617</v>
      </c>
      <c r="K185" s="14">
        <f t="shared" ca="1" si="60"/>
        <v>53383617</v>
      </c>
      <c r="L185" s="14">
        <f t="shared" ca="1" si="60"/>
        <v>53383617</v>
      </c>
      <c r="M185" s="14">
        <f t="shared" ca="1" si="60"/>
        <v>53383617</v>
      </c>
      <c r="N185" s="14">
        <f t="shared" ca="1" si="60"/>
        <v>53383617</v>
      </c>
      <c r="O185" s="14">
        <f t="shared" ca="1" si="60"/>
        <v>53383617</v>
      </c>
      <c r="P185" s="14">
        <f t="shared" ca="1" si="60"/>
        <v>53383617</v>
      </c>
      <c r="Q185" s="14">
        <f t="shared" ca="1" si="60"/>
        <v>53383617</v>
      </c>
      <c r="R185" s="14">
        <f t="shared" ca="1" si="60"/>
        <v>53383617</v>
      </c>
      <c r="S185" s="14">
        <f t="shared" ca="1" si="60"/>
        <v>53383617</v>
      </c>
      <c r="T185" s="14">
        <f t="shared" ca="1" si="60"/>
        <v>53383617</v>
      </c>
      <c r="U185" s="14">
        <f t="shared" ca="1" si="60"/>
        <v>53383617</v>
      </c>
      <c r="V185" s="14">
        <f t="shared" ca="1" si="60"/>
        <v>53383617</v>
      </c>
      <c r="W185" s="14">
        <f t="shared" ca="1" si="60"/>
        <v>53383617</v>
      </c>
    </row>
    <row r="186" spans="1:23" x14ac:dyDescent="0.35">
      <c r="A186" s="33" t="s">
        <v>345</v>
      </c>
      <c r="C186" s="35"/>
      <c r="D186" s="35">
        <f ca="1">D185-$C185</f>
        <v>0</v>
      </c>
      <c r="E186" s="35">
        <f t="shared" ref="E186:W186" ca="1" si="61">E185-$C185</f>
        <v>0</v>
      </c>
      <c r="F186" s="35">
        <f t="shared" ca="1" si="61"/>
        <v>0</v>
      </c>
      <c r="G186" s="35">
        <f t="shared" ca="1" si="61"/>
        <v>0</v>
      </c>
      <c r="H186" s="35">
        <f t="shared" ca="1" si="61"/>
        <v>0</v>
      </c>
      <c r="I186" s="35">
        <f t="shared" ca="1" si="61"/>
        <v>0</v>
      </c>
      <c r="J186" s="35">
        <f t="shared" ca="1" si="61"/>
        <v>0</v>
      </c>
      <c r="K186" s="35">
        <f t="shared" ca="1" si="61"/>
        <v>0</v>
      </c>
      <c r="L186" s="35">
        <f t="shared" ca="1" si="61"/>
        <v>0</v>
      </c>
      <c r="M186" s="35">
        <f t="shared" ca="1" si="61"/>
        <v>0</v>
      </c>
      <c r="N186" s="35">
        <f t="shared" ca="1" si="61"/>
        <v>0</v>
      </c>
      <c r="O186" s="35">
        <f t="shared" ca="1" si="61"/>
        <v>0</v>
      </c>
      <c r="P186" s="35">
        <f t="shared" ca="1" si="61"/>
        <v>0</v>
      </c>
      <c r="Q186" s="35">
        <f t="shared" ca="1" si="61"/>
        <v>0</v>
      </c>
      <c r="R186" s="35">
        <f t="shared" ca="1" si="61"/>
        <v>0</v>
      </c>
      <c r="S186" s="35">
        <f t="shared" ca="1" si="61"/>
        <v>0</v>
      </c>
      <c r="T186" s="35">
        <f t="shared" ca="1" si="61"/>
        <v>0</v>
      </c>
      <c r="U186" s="35">
        <f t="shared" ca="1" si="61"/>
        <v>0</v>
      </c>
      <c r="V186" s="35">
        <f t="shared" ca="1" si="61"/>
        <v>0</v>
      </c>
      <c r="W186" s="351">
        <f t="shared" ca="1" si="61"/>
        <v>0</v>
      </c>
    </row>
    <row r="187" spans="1:23" x14ac:dyDescent="0.35">
      <c r="A187" s="33" t="s">
        <v>346</v>
      </c>
      <c r="D187" s="98">
        <f ca="1">AVERAGE(SUM($C171:C171)+SUM($C179:C179),SUM($C171:D171)+SUM($C179:D179))</f>
        <v>0</v>
      </c>
      <c r="E187" s="98">
        <f ca="1">AVERAGE(SUM($C171:D171)+SUM($C179:D179),SUM($C171:E171)+SUM($C179:E179))</f>
        <v>0</v>
      </c>
      <c r="F187" s="98">
        <f ca="1">AVERAGE(SUM($C171:E171)+SUM($C179:E179),SUM($C171:F171)+SUM($C179:F179))</f>
        <v>0</v>
      </c>
      <c r="G187" s="98">
        <f ca="1">AVERAGE(SUM($C171:F171)+SUM($C179:F179),SUM($C171:G171)+SUM($C179:G179))</f>
        <v>0</v>
      </c>
      <c r="H187" s="98">
        <f ca="1">AVERAGE(SUM($C171:G171)+SUM($C179:G179),SUM($C171:H171)+SUM($C179:H179))</f>
        <v>0</v>
      </c>
      <c r="I187" s="98">
        <f ca="1">AVERAGE(SUM($C171:H171)+SUM($C179:H179),SUM($C171:I171)+SUM($C179:I179))</f>
        <v>0</v>
      </c>
      <c r="J187" s="98">
        <f ca="1">AVERAGE(SUM($C171:I171)+SUM($C179:I179),SUM($C171:J171)+SUM($C179:J179))</f>
        <v>0</v>
      </c>
      <c r="K187" s="98">
        <f ca="1">AVERAGE(SUM($C171:J171)+SUM($C179:J179),SUM($C171:K171)+SUM($C179:K179))</f>
        <v>0</v>
      </c>
      <c r="L187" s="98">
        <f ca="1">AVERAGE(SUM($C171:K171)+SUM($C179:K179),SUM($C171:L171)+SUM($C179:L179))</f>
        <v>0</v>
      </c>
      <c r="M187" s="98">
        <f ca="1">AVERAGE(SUM($C171:L171)+SUM($C179:L179),SUM($C171:M171)+SUM($C179:M179))</f>
        <v>0</v>
      </c>
      <c r="N187" s="98">
        <f ca="1">AVERAGE(SUM($C171:M171)+SUM($C179:M179),SUM($C171:N171)+SUM($C179:N179))</f>
        <v>0</v>
      </c>
      <c r="O187" s="98">
        <f ca="1">AVERAGE(SUM($C171:N171)+SUM($C179:N179),SUM($C171:O171)+SUM($C179:O179))</f>
        <v>0</v>
      </c>
      <c r="P187" s="98">
        <f ca="1">AVERAGE(SUM($C171:O171)+SUM($C179:O179),SUM($C171:P171)+SUM($C179:P179))</f>
        <v>0</v>
      </c>
      <c r="Q187" s="98">
        <f ca="1">AVERAGE(SUM($C171:P171)+SUM($C179:P179),SUM($C171:Q171)+SUM($C179:Q179))</f>
        <v>0</v>
      </c>
      <c r="R187" s="98">
        <f ca="1">AVERAGE(SUM($C171:Q171)+SUM($C179:Q179),SUM($C171:R171)+SUM($C179:R179))</f>
        <v>0</v>
      </c>
      <c r="S187" s="98">
        <f ca="1">AVERAGE(SUM($C171:R171)+SUM($C179:R179),SUM($C171:S171)+SUM($C179:S179))</f>
        <v>0</v>
      </c>
      <c r="T187" s="98">
        <f ca="1">AVERAGE(SUM($C171:S171)+SUM($C179:S179),SUM($C171:T171)+SUM($C179:T179))</f>
        <v>0</v>
      </c>
      <c r="U187" s="98">
        <f ca="1">AVERAGE(SUM($C171:T171)+SUM($C179:T179),SUM($C171:U171)+SUM($C179:U179))</f>
        <v>0</v>
      </c>
      <c r="V187" s="98">
        <f ca="1">AVERAGE(SUM($C171:U171)+SUM($C179:U179),SUM($C171:V171)+SUM($C179:V179))</f>
        <v>0</v>
      </c>
      <c r="W187" s="333">
        <f ca="1">AVERAGE(SUM($C171:V171)+SUM($C179:V179),SUM($C171:W171)+SUM($C179:W179))</f>
        <v>0</v>
      </c>
    </row>
    <row r="188" spans="1:23" x14ac:dyDescent="0.35">
      <c r="A188" s="33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333"/>
    </row>
    <row r="189" spans="1:23" x14ac:dyDescent="0.35">
      <c r="A189" s="26"/>
      <c r="B189" s="1"/>
      <c r="C189" s="1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319"/>
    </row>
    <row r="190" spans="1:23" x14ac:dyDescent="0.35">
      <c r="A190" s="33" t="s">
        <v>347</v>
      </c>
      <c r="C190" s="302">
        <f>C185*DeprRateMeters</f>
        <v>5338361.7</v>
      </c>
      <c r="D190" s="9">
        <f ca="1">(D185-D187)*DeprRateMeters+D187*DeprRateCollectors</f>
        <v>5338361.7</v>
      </c>
      <c r="E190" s="9">
        <f t="shared" ref="E190:W190" ca="1" si="62">(E185-E187)*DeprRateMeters+E187*DeprRateCollectors</f>
        <v>5338361.7</v>
      </c>
      <c r="F190" s="9">
        <f t="shared" ca="1" si="62"/>
        <v>5338361.7</v>
      </c>
      <c r="G190" s="9">
        <f t="shared" ca="1" si="62"/>
        <v>5338361.7</v>
      </c>
      <c r="H190" s="9">
        <f t="shared" ca="1" si="62"/>
        <v>5338361.7</v>
      </c>
      <c r="I190" s="9">
        <f t="shared" ca="1" si="62"/>
        <v>5338361.7</v>
      </c>
      <c r="J190" s="9">
        <f t="shared" ca="1" si="62"/>
        <v>5338361.7</v>
      </c>
      <c r="K190" s="9">
        <f t="shared" ca="1" si="62"/>
        <v>5338361.7</v>
      </c>
      <c r="L190" s="9">
        <f t="shared" ca="1" si="62"/>
        <v>5338361.7</v>
      </c>
      <c r="M190" s="9">
        <f t="shared" ca="1" si="62"/>
        <v>5338361.7</v>
      </c>
      <c r="N190" s="9">
        <f ca="1">(N185-N187)*DeprRateMeters+N187*DeprRateCollectors</f>
        <v>5338361.7</v>
      </c>
      <c r="O190" s="9">
        <f t="shared" ca="1" si="62"/>
        <v>5338361.7</v>
      </c>
      <c r="P190" s="9">
        <f t="shared" ca="1" si="62"/>
        <v>5338361.7</v>
      </c>
      <c r="Q190" s="9">
        <f t="shared" ca="1" si="62"/>
        <v>5338361.7</v>
      </c>
      <c r="R190" s="9">
        <f t="shared" ca="1" si="62"/>
        <v>5338361.7</v>
      </c>
      <c r="S190" s="9">
        <f t="shared" ca="1" si="62"/>
        <v>5338361.7</v>
      </c>
      <c r="T190" s="9">
        <f t="shared" ca="1" si="62"/>
        <v>5338361.7</v>
      </c>
      <c r="U190" s="9">
        <f t="shared" ca="1" si="62"/>
        <v>5338361.7</v>
      </c>
      <c r="V190" s="9">
        <f t="shared" ca="1" si="62"/>
        <v>5338361.7</v>
      </c>
      <c r="W190" s="319">
        <f t="shared" ca="1" si="62"/>
        <v>5338361.7</v>
      </c>
    </row>
    <row r="191" spans="1:23" x14ac:dyDescent="0.35">
      <c r="A191" s="33" t="s">
        <v>348</v>
      </c>
      <c r="C191" s="98"/>
      <c r="D191" s="34">
        <f ca="1">D190-$C190</f>
        <v>0</v>
      </c>
      <c r="E191" s="34">
        <f t="shared" ref="E191:V191" ca="1" si="63">E190-$C190</f>
        <v>0</v>
      </c>
      <c r="F191" s="34">
        <f t="shared" ca="1" si="63"/>
        <v>0</v>
      </c>
      <c r="G191" s="34">
        <f t="shared" ca="1" si="63"/>
        <v>0</v>
      </c>
      <c r="H191" s="34">
        <f t="shared" ca="1" si="63"/>
        <v>0</v>
      </c>
      <c r="I191" s="34">
        <f t="shared" ca="1" si="63"/>
        <v>0</v>
      </c>
      <c r="J191" s="34">
        <f t="shared" ca="1" si="63"/>
        <v>0</v>
      </c>
      <c r="K191" s="34">
        <f t="shared" ca="1" si="63"/>
        <v>0</v>
      </c>
      <c r="L191" s="34">
        <f t="shared" ca="1" si="63"/>
        <v>0</v>
      </c>
      <c r="M191" s="34">
        <f t="shared" ca="1" si="63"/>
        <v>0</v>
      </c>
      <c r="N191" s="34">
        <f t="shared" ca="1" si="63"/>
        <v>0</v>
      </c>
      <c r="O191" s="34">
        <f t="shared" ca="1" si="63"/>
        <v>0</v>
      </c>
      <c r="P191" s="34">
        <f t="shared" ca="1" si="63"/>
        <v>0</v>
      </c>
      <c r="Q191" s="34">
        <f t="shared" ca="1" si="63"/>
        <v>0</v>
      </c>
      <c r="R191" s="34">
        <f t="shared" ca="1" si="63"/>
        <v>0</v>
      </c>
      <c r="S191" s="34">
        <f t="shared" ca="1" si="63"/>
        <v>0</v>
      </c>
      <c r="T191" s="34">
        <f t="shared" ca="1" si="63"/>
        <v>0</v>
      </c>
      <c r="U191" s="34">
        <f t="shared" ca="1" si="63"/>
        <v>0</v>
      </c>
      <c r="V191" s="34">
        <f t="shared" ca="1" si="63"/>
        <v>0</v>
      </c>
      <c r="W191" s="332">
        <f ca="1">W190-$C190</f>
        <v>0</v>
      </c>
    </row>
    <row r="192" spans="1:23" x14ac:dyDescent="0.35">
      <c r="A192" s="33"/>
      <c r="C192" s="98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32"/>
    </row>
    <row r="193" spans="1:23" x14ac:dyDescent="0.35">
      <c r="A193" s="33" t="s">
        <v>349</v>
      </c>
      <c r="C193" s="301">
        <f>'0-Inputs'!B51</f>
        <v>13259821</v>
      </c>
      <c r="D193" s="34">
        <f ca="1">C193+D190</f>
        <v>18598182.699999999</v>
      </c>
      <c r="E193" s="34">
        <f ca="1">SUM($D190:E190)</f>
        <v>10676723.4</v>
      </c>
      <c r="F193" s="34">
        <f ca="1">SUM($D190:F190)</f>
        <v>16015085.100000001</v>
      </c>
      <c r="G193" s="34">
        <f ca="1">SUM($D190:G190)</f>
        <v>21353446.800000001</v>
      </c>
      <c r="H193" s="34">
        <f ca="1">SUM($D190:H190)</f>
        <v>26691808.5</v>
      </c>
      <c r="I193" s="34">
        <f ca="1">SUM($D190:I190)</f>
        <v>32030170.199999999</v>
      </c>
      <c r="J193" s="34">
        <f ca="1">SUM($D190:J190)</f>
        <v>37368531.899999999</v>
      </c>
      <c r="K193" s="34">
        <f ca="1">SUM($D190:K190)</f>
        <v>42706893.600000001</v>
      </c>
      <c r="L193" s="34">
        <f ca="1">SUM($D190:L190)</f>
        <v>48045255.300000004</v>
      </c>
      <c r="M193" s="34">
        <f ca="1">SUM($D190:M190)</f>
        <v>53383617.000000007</v>
      </c>
      <c r="N193" s="34">
        <f ca="1">SUM($D190:N190)</f>
        <v>58721978.70000001</v>
      </c>
      <c r="O193" s="34">
        <f ca="1">SUM($D190:O190)</f>
        <v>64060340.400000013</v>
      </c>
      <c r="P193" s="34">
        <f ca="1">SUM($D190:P190)</f>
        <v>69398702.100000009</v>
      </c>
      <c r="Q193" s="34">
        <f ca="1">SUM($D190:Q190)</f>
        <v>74737063.800000012</v>
      </c>
      <c r="R193" s="34">
        <f ca="1">SUM($D190:R190)</f>
        <v>80075425.500000015</v>
      </c>
      <c r="S193" s="34">
        <f ca="1">SUM($D190:S190)</f>
        <v>85413787.200000018</v>
      </c>
      <c r="T193" s="34">
        <f ca="1">SUM($D190:T190)</f>
        <v>90752148.900000021</v>
      </c>
      <c r="U193" s="34">
        <f ca="1">SUM($D190:U190)</f>
        <v>96090510.600000024</v>
      </c>
      <c r="V193" s="34">
        <f ca="1">SUM($D190:V190)</f>
        <v>101428872.30000003</v>
      </c>
      <c r="W193" s="332">
        <f ca="1">SUM($D190:W190)</f>
        <v>106767234.00000003</v>
      </c>
    </row>
    <row r="194" spans="1:23" x14ac:dyDescent="0.35">
      <c r="A194" s="33" t="s">
        <v>350</v>
      </c>
      <c r="C194" s="41">
        <v>0</v>
      </c>
      <c r="D194" s="34">
        <f t="shared" ref="D194:W194" ca="1" si="64">D182</f>
        <v>0</v>
      </c>
      <c r="E194" s="34">
        <f t="shared" ca="1" si="64"/>
        <v>0</v>
      </c>
      <c r="F194" s="34">
        <f t="shared" ca="1" si="64"/>
        <v>0</v>
      </c>
      <c r="G194" s="34">
        <f t="shared" ca="1" si="64"/>
        <v>0</v>
      </c>
      <c r="H194" s="34">
        <f t="shared" ca="1" si="64"/>
        <v>0</v>
      </c>
      <c r="I194" s="34">
        <f t="shared" ca="1" si="64"/>
        <v>0</v>
      </c>
      <c r="J194" s="34">
        <f t="shared" ca="1" si="64"/>
        <v>0</v>
      </c>
      <c r="K194" s="34">
        <f t="shared" ca="1" si="64"/>
        <v>0</v>
      </c>
      <c r="L194" s="34">
        <f t="shared" ca="1" si="64"/>
        <v>0</v>
      </c>
      <c r="M194" s="34">
        <f t="shared" ca="1" si="64"/>
        <v>0</v>
      </c>
      <c r="N194" s="34">
        <f t="shared" ca="1" si="64"/>
        <v>0</v>
      </c>
      <c r="O194" s="34">
        <f t="shared" ca="1" si="64"/>
        <v>0</v>
      </c>
      <c r="P194" s="34">
        <f t="shared" ca="1" si="64"/>
        <v>0</v>
      </c>
      <c r="Q194" s="34">
        <f t="shared" ca="1" si="64"/>
        <v>0</v>
      </c>
      <c r="R194" s="34">
        <f t="shared" ca="1" si="64"/>
        <v>0</v>
      </c>
      <c r="S194" s="34">
        <f t="shared" ca="1" si="64"/>
        <v>0</v>
      </c>
      <c r="T194" s="34">
        <f t="shared" ca="1" si="64"/>
        <v>0</v>
      </c>
      <c r="U194" s="34">
        <f t="shared" ca="1" si="64"/>
        <v>0</v>
      </c>
      <c r="V194" s="34">
        <f t="shared" ca="1" si="64"/>
        <v>0</v>
      </c>
      <c r="W194" s="332">
        <f t="shared" ca="1" si="64"/>
        <v>0</v>
      </c>
    </row>
    <row r="195" spans="1:23" x14ac:dyDescent="0.35">
      <c r="A195" s="33" t="s">
        <v>351</v>
      </c>
      <c r="D195" s="34">
        <f ca="1">-SUM($D138:D138)</f>
        <v>0</v>
      </c>
      <c r="E195" s="34">
        <f ca="1">-SUM($D138:E138)</f>
        <v>0</v>
      </c>
      <c r="F195" s="34">
        <f ca="1">-SUM($D138:F138)</f>
        <v>0</v>
      </c>
      <c r="G195" s="34">
        <f ca="1">-SUM($D138:G138)</f>
        <v>0</v>
      </c>
      <c r="H195" s="34">
        <f ca="1">-SUM($D138:H138)</f>
        <v>0</v>
      </c>
      <c r="I195" s="34">
        <f ca="1">-SUM($D138:I138)</f>
        <v>0</v>
      </c>
      <c r="J195" s="34">
        <f ca="1">-SUM($D138:J138)</f>
        <v>0</v>
      </c>
      <c r="K195" s="34">
        <f ca="1">-SUM($D138:K138)</f>
        <v>0</v>
      </c>
      <c r="L195" s="34">
        <f ca="1">-SUM($D138:L138)</f>
        <v>0</v>
      </c>
      <c r="M195" s="34">
        <f ca="1">-SUM($D138:M138)</f>
        <v>0</v>
      </c>
      <c r="N195" s="34">
        <f ca="1">-SUM($D138:N138)</f>
        <v>0</v>
      </c>
      <c r="O195" s="34">
        <f ca="1">-SUM($D138:O138)</f>
        <v>0</v>
      </c>
      <c r="P195" s="34">
        <f ca="1">-SUM($D138:P138)</f>
        <v>0</v>
      </c>
      <c r="Q195" s="34">
        <f ca="1">-SUM($D138:Q138)</f>
        <v>0</v>
      </c>
      <c r="R195" s="34">
        <f ca="1">-SUM($D138:R138)</f>
        <v>0</v>
      </c>
      <c r="S195" s="34">
        <f ca="1">-SUM($D138:S138)</f>
        <v>0</v>
      </c>
      <c r="T195" s="34">
        <f ca="1">-SUM($D138:T138)</f>
        <v>0</v>
      </c>
      <c r="U195" s="34">
        <f ca="1">-SUM($D138:U138)</f>
        <v>0</v>
      </c>
      <c r="V195" s="34">
        <f ca="1">-SUM($D138:V138)</f>
        <v>0</v>
      </c>
      <c r="W195" s="332">
        <f ca="1">-SUM($D138:W138)</f>
        <v>0</v>
      </c>
    </row>
    <row r="196" spans="1:23" x14ac:dyDescent="0.35">
      <c r="A196" s="33" t="s">
        <v>352</v>
      </c>
      <c r="C196" s="39">
        <f>C193</f>
        <v>13259821</v>
      </c>
      <c r="D196" s="39">
        <f ca="1">AVERAGE(C193:D193)+AVERAGE(C194:D194)+AVERAGE(C195:D195)</f>
        <v>15929001.85</v>
      </c>
      <c r="E196" s="39">
        <f ca="1">AVERAGE(D193:E193)+AVERAGE(D194:E194)+AVERAGE(D195:E195)</f>
        <v>14637453.050000001</v>
      </c>
      <c r="F196" s="39">
        <f t="shared" ref="F196:L196" ca="1" si="65">AVERAGE(E193:F193)+AVERAGE(E194:F194)+AVERAGE(E195:F195)</f>
        <v>13345904.25</v>
      </c>
      <c r="G196" s="39">
        <f t="shared" ca="1" si="65"/>
        <v>18684265.950000003</v>
      </c>
      <c r="H196" s="39">
        <f t="shared" ca="1" si="65"/>
        <v>24022627.649999999</v>
      </c>
      <c r="I196" s="39">
        <f t="shared" ca="1" si="65"/>
        <v>29360989.350000001</v>
      </c>
      <c r="J196" s="39">
        <f t="shared" ca="1" si="65"/>
        <v>34699351.049999997</v>
      </c>
      <c r="K196" s="39">
        <f t="shared" ca="1" si="65"/>
        <v>40037712.75</v>
      </c>
      <c r="L196" s="39">
        <f t="shared" ca="1" si="65"/>
        <v>45376074.450000003</v>
      </c>
      <c r="M196" s="39">
        <f ca="1">AVERAGE(L193:M193)+AVERAGE(L194:M194)+AVERAGE(L195:M195)</f>
        <v>50714436.150000006</v>
      </c>
      <c r="N196" s="39">
        <f ca="1">AVERAGE(M193:N193)+AVERAGE(M194:N194)+AVERAGE(M195:N195)</f>
        <v>56052797.850000009</v>
      </c>
      <c r="O196" s="39">
        <f ca="1">AVERAGE(N193:O193)+AVERAGE(N194:O194)+AVERAGE(N195:O195)</f>
        <v>61391159.550000012</v>
      </c>
      <c r="P196" s="39">
        <f ca="1">AVERAGE(O193:P193)+AVERAGE(O194:P194)+AVERAGE(O195:P195)</f>
        <v>66729521.250000015</v>
      </c>
      <c r="Q196" s="39">
        <f t="shared" ref="Q196:W196" ca="1" si="66">AVERAGE(P193:Q193)+AVERAGE(P194:Q194)+AVERAGE(P195:Q195)</f>
        <v>72067882.950000018</v>
      </c>
      <c r="R196" s="39">
        <f t="shared" ca="1" si="66"/>
        <v>77406244.650000006</v>
      </c>
      <c r="S196" s="39">
        <f t="shared" ca="1" si="66"/>
        <v>82744606.350000024</v>
      </c>
      <c r="T196" s="39">
        <f t="shared" ca="1" si="66"/>
        <v>88082968.050000012</v>
      </c>
      <c r="U196" s="39">
        <f t="shared" ca="1" si="66"/>
        <v>93421329.75000003</v>
      </c>
      <c r="V196" s="39">
        <f t="shared" ca="1" si="66"/>
        <v>98759691.450000018</v>
      </c>
      <c r="W196" s="352">
        <f t="shared" ca="1" si="66"/>
        <v>104098053.15000004</v>
      </c>
    </row>
    <row r="197" spans="1:23" x14ac:dyDescent="0.35">
      <c r="A197" s="33" t="s">
        <v>353</v>
      </c>
      <c r="C197" s="40"/>
      <c r="D197" s="40">
        <f ca="1">D196-$C196</f>
        <v>2669180.8499999996</v>
      </c>
      <c r="E197" s="40">
        <f t="shared" ref="E197:W197" ca="1" si="67">E196-$C196</f>
        <v>1377632.0500000007</v>
      </c>
      <c r="F197" s="40">
        <f t="shared" ca="1" si="67"/>
        <v>86083.25</v>
      </c>
      <c r="G197" s="40">
        <f t="shared" ca="1" si="67"/>
        <v>5424444.950000003</v>
      </c>
      <c r="H197" s="40">
        <f t="shared" ca="1" si="67"/>
        <v>10762806.649999999</v>
      </c>
      <c r="I197" s="40">
        <f t="shared" ca="1" si="67"/>
        <v>16101168.350000001</v>
      </c>
      <c r="J197" s="40">
        <f t="shared" ca="1" si="67"/>
        <v>21439530.049999997</v>
      </c>
      <c r="K197" s="40">
        <f t="shared" ca="1" si="67"/>
        <v>26777891.75</v>
      </c>
      <c r="L197" s="40">
        <f t="shared" ca="1" si="67"/>
        <v>32116253.450000003</v>
      </c>
      <c r="M197" s="40">
        <f t="shared" ca="1" si="67"/>
        <v>37454615.150000006</v>
      </c>
      <c r="N197" s="40">
        <f t="shared" ca="1" si="67"/>
        <v>42792976.850000009</v>
      </c>
      <c r="O197" s="40">
        <f t="shared" ca="1" si="67"/>
        <v>48131338.550000012</v>
      </c>
      <c r="P197" s="40">
        <f t="shared" ca="1" si="67"/>
        <v>53469700.250000015</v>
      </c>
      <c r="Q197" s="40">
        <f t="shared" ca="1" si="67"/>
        <v>58808061.950000018</v>
      </c>
      <c r="R197" s="40">
        <f t="shared" ca="1" si="67"/>
        <v>64146423.650000006</v>
      </c>
      <c r="S197" s="40">
        <f t="shared" ca="1" si="67"/>
        <v>69484785.350000024</v>
      </c>
      <c r="T197" s="40">
        <f t="shared" ca="1" si="67"/>
        <v>74823147.050000012</v>
      </c>
      <c r="U197" s="40">
        <f t="shared" ca="1" si="67"/>
        <v>80161508.75000003</v>
      </c>
      <c r="V197" s="40">
        <f t="shared" ca="1" si="67"/>
        <v>85499870.450000018</v>
      </c>
      <c r="W197" s="118">
        <f t="shared" ca="1" si="67"/>
        <v>90838232.150000036</v>
      </c>
    </row>
    <row r="198" spans="1:23" x14ac:dyDescent="0.35">
      <c r="A198" s="33"/>
      <c r="B198" s="1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118"/>
    </row>
    <row r="199" spans="1:23" ht="15" thickBot="1" x14ac:dyDescent="0.4">
      <c r="A199" s="33" t="s">
        <v>354</v>
      </c>
      <c r="B199" s="1"/>
      <c r="C199" s="42">
        <f>C185-C196</f>
        <v>40123796</v>
      </c>
      <c r="D199" s="42">
        <f ca="1">D185-D196</f>
        <v>37454615.149999999</v>
      </c>
      <c r="E199" s="42">
        <f t="shared" ref="E199:W199" ca="1" si="68">E185-E196</f>
        <v>38746163.950000003</v>
      </c>
      <c r="F199" s="42">
        <f t="shared" ca="1" si="68"/>
        <v>40037712.75</v>
      </c>
      <c r="G199" s="42">
        <f t="shared" ca="1" si="68"/>
        <v>34699351.049999997</v>
      </c>
      <c r="H199" s="42">
        <f t="shared" ca="1" si="68"/>
        <v>29360989.350000001</v>
      </c>
      <c r="I199" s="42">
        <f t="shared" ca="1" si="68"/>
        <v>24022627.649999999</v>
      </c>
      <c r="J199" s="42">
        <f t="shared" ca="1" si="68"/>
        <v>18684265.950000003</v>
      </c>
      <c r="K199" s="42">
        <f t="shared" ca="1" si="68"/>
        <v>13345904.25</v>
      </c>
      <c r="L199" s="42">
        <f ca="1">L185-L196</f>
        <v>8007542.549999997</v>
      </c>
      <c r="M199" s="42">
        <f t="shared" ca="1" si="68"/>
        <v>2669180.849999994</v>
      </c>
      <c r="N199" s="42">
        <f t="shared" ca="1" si="68"/>
        <v>-2669180.8500000089</v>
      </c>
      <c r="O199" s="42">
        <f t="shared" ca="1" si="68"/>
        <v>-8007542.5500000119</v>
      </c>
      <c r="P199" s="42">
        <f t="shared" ca="1" si="68"/>
        <v>-13345904.250000015</v>
      </c>
      <c r="Q199" s="42">
        <f t="shared" ca="1" si="68"/>
        <v>-18684265.950000018</v>
      </c>
      <c r="R199" s="42">
        <f ca="1">R185-R196</f>
        <v>-24022627.650000006</v>
      </c>
      <c r="S199" s="42">
        <f t="shared" ca="1" si="68"/>
        <v>-29360989.350000024</v>
      </c>
      <c r="T199" s="42">
        <f t="shared" ca="1" si="68"/>
        <v>-34699351.050000012</v>
      </c>
      <c r="U199" s="42">
        <f t="shared" ca="1" si="68"/>
        <v>-40037712.75000003</v>
      </c>
      <c r="V199" s="42">
        <f t="shared" ca="1" si="68"/>
        <v>-45376074.450000018</v>
      </c>
      <c r="W199" s="353">
        <f t="shared" ca="1" si="68"/>
        <v>-50714436.150000036</v>
      </c>
    </row>
    <row r="200" spans="1:23" ht="15" thickTop="1" x14ac:dyDescent="0.35">
      <c r="A200" s="33"/>
      <c r="B200" s="1"/>
      <c r="D200" s="40">
        <f ca="1">D199-C199</f>
        <v>-2669180.8500000015</v>
      </c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118"/>
    </row>
    <row r="201" spans="1:23" x14ac:dyDescent="0.35">
      <c r="A201" s="33"/>
      <c r="B201" s="1" t="s">
        <v>253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319"/>
    </row>
    <row r="202" spans="1:23" x14ac:dyDescent="0.35">
      <c r="A202" s="33" t="s">
        <v>355</v>
      </c>
      <c r="B202" s="43">
        <f>TaxDeprMeters</f>
        <v>0.04</v>
      </c>
      <c r="D202" s="91">
        <f t="shared" ref="D202:W202" ca="1" si="69">D186*TaxDeprMeters</f>
        <v>0</v>
      </c>
      <c r="E202" s="91">
        <f t="shared" ca="1" si="69"/>
        <v>0</v>
      </c>
      <c r="F202" s="91">
        <f t="shared" ca="1" si="69"/>
        <v>0</v>
      </c>
      <c r="G202" s="91">
        <f t="shared" ca="1" si="69"/>
        <v>0</v>
      </c>
      <c r="H202" s="91">
        <f t="shared" ca="1" si="69"/>
        <v>0</v>
      </c>
      <c r="I202" s="91">
        <f t="shared" ca="1" si="69"/>
        <v>0</v>
      </c>
      <c r="J202" s="91">
        <f t="shared" ca="1" si="69"/>
        <v>0</v>
      </c>
      <c r="K202" s="91">
        <f t="shared" ca="1" si="69"/>
        <v>0</v>
      </c>
      <c r="L202" s="91">
        <f t="shared" ca="1" si="69"/>
        <v>0</v>
      </c>
      <c r="M202" s="91">
        <f t="shared" ca="1" si="69"/>
        <v>0</v>
      </c>
      <c r="N202" s="91">
        <f t="shared" ca="1" si="69"/>
        <v>0</v>
      </c>
      <c r="O202" s="91">
        <f t="shared" ca="1" si="69"/>
        <v>0</v>
      </c>
      <c r="P202" s="91">
        <f t="shared" ca="1" si="69"/>
        <v>0</v>
      </c>
      <c r="Q202" s="91">
        <f t="shared" ca="1" si="69"/>
        <v>0</v>
      </c>
      <c r="R202" s="91">
        <f t="shared" ca="1" si="69"/>
        <v>0</v>
      </c>
      <c r="S202" s="91">
        <f t="shared" ca="1" si="69"/>
        <v>0</v>
      </c>
      <c r="T202" s="91">
        <f t="shared" ca="1" si="69"/>
        <v>0</v>
      </c>
      <c r="U202" s="91">
        <f t="shared" ca="1" si="69"/>
        <v>0</v>
      </c>
      <c r="V202" s="91">
        <f t="shared" ca="1" si="69"/>
        <v>0</v>
      </c>
      <c r="W202" s="349">
        <f t="shared" ca="1" si="69"/>
        <v>0</v>
      </c>
    </row>
    <row r="203" spans="1:23" x14ac:dyDescent="0.35">
      <c r="A203" s="33" t="s">
        <v>356</v>
      </c>
      <c r="B203" s="48"/>
      <c r="D203" s="62">
        <f>IF(1/TaxDeprMeters&gt;'0-Inputs'!$B$22,(DeprRateMeters-TaxDeprMeters)*'0-Inputs'!$B$22*-D178,0)</f>
        <v>0</v>
      </c>
      <c r="E203" s="62">
        <f>IF(1/TaxDeprMeters&gt;'0-Inputs'!$B$22,(DeprRateMeters-TaxDeprMeters)*'0-Inputs'!$B$22*-E178,0)</f>
        <v>0</v>
      </c>
      <c r="F203" s="62">
        <f>IF(1/TaxDeprMeters&gt;'0-Inputs'!$B$22,(DeprRateMeters-TaxDeprMeters)*'0-Inputs'!$B$22*-F178,0)</f>
        <v>0</v>
      </c>
      <c r="G203" s="62">
        <f>IF(1/TaxDeprMeters&gt;'0-Inputs'!$B$22,(DeprRateMeters-TaxDeprMeters)*'0-Inputs'!$B$22*-G178,0)</f>
        <v>0</v>
      </c>
      <c r="H203" s="62">
        <f>IF(1/TaxDeprMeters&gt;'0-Inputs'!$B$22,(DeprRateMeters-TaxDeprMeters)*'0-Inputs'!$B$22*-H178,0)</f>
        <v>0</v>
      </c>
      <c r="I203" s="62">
        <f>IF(1/TaxDeprMeters&gt;'0-Inputs'!$B$22,(DeprRateMeters-TaxDeprMeters)*'0-Inputs'!$B$22*-I178,0)</f>
        <v>0</v>
      </c>
      <c r="J203" s="62">
        <f>IF(1/TaxDeprMeters&gt;'0-Inputs'!$B$22,(DeprRateMeters-TaxDeprMeters)*'0-Inputs'!$B$22*-J178,0)</f>
        <v>0</v>
      </c>
      <c r="K203" s="62">
        <f>IF(1/TaxDeprMeters&gt;'0-Inputs'!$B$22,(DeprRateMeters-TaxDeprMeters)*'0-Inputs'!$B$22*-K178,0)</f>
        <v>0</v>
      </c>
      <c r="L203" s="62">
        <f>IF(1/TaxDeprMeters&gt;'0-Inputs'!$B$22,(DeprRateMeters-TaxDeprMeters)*'0-Inputs'!$B$22*-L178,0)</f>
        <v>0</v>
      </c>
      <c r="M203" s="62">
        <f>IF(1/TaxDeprMeters&gt;'0-Inputs'!$B$22,(DeprRateMeters-TaxDeprMeters)*'0-Inputs'!$B$22*-M178,0)</f>
        <v>0</v>
      </c>
      <c r="N203" s="62">
        <f ca="1">IF(1/TaxDeprMeters&gt;'0-Inputs'!$B$22,(DeprRateMeters-TaxDeprMeters)*'0-Inputs'!$B$22*-N178,0)</f>
        <v>0</v>
      </c>
      <c r="O203" s="62">
        <f ca="1">IF(1/TaxDeprMeters&gt;'0-Inputs'!$B$22,(DeprRateMeters-TaxDeprMeters)*'0-Inputs'!$B$22*-O178,0)</f>
        <v>0</v>
      </c>
      <c r="P203" s="62">
        <f ca="1">IF(1/TaxDeprMeters&gt;'0-Inputs'!$B$22,(DeprRateMeters-TaxDeprMeters)*'0-Inputs'!$B$22*-P178,0)</f>
        <v>0</v>
      </c>
      <c r="Q203" s="62">
        <f ca="1">IF(1/TaxDeprMeters&gt;'0-Inputs'!$B$22,(DeprRateMeters-TaxDeprMeters)*'0-Inputs'!$B$22*-Q178,0)</f>
        <v>0</v>
      </c>
      <c r="R203" s="62">
        <f ca="1">IF(1/TaxDeprMeters&gt;'0-Inputs'!$B$22,(DeprRateMeters-TaxDeprMeters)*'0-Inputs'!$B$22*-R178,0)</f>
        <v>0</v>
      </c>
      <c r="S203" s="62">
        <f ca="1">IF(1/TaxDeprMeters&gt;'0-Inputs'!$B$22,(DeprRateMeters-TaxDeprMeters)*'0-Inputs'!$B$22*-S178,0)</f>
        <v>0</v>
      </c>
      <c r="T203" s="62">
        <f ca="1">IF(1/TaxDeprMeters&gt;'0-Inputs'!$B$22,(DeprRateMeters-TaxDeprMeters)*'0-Inputs'!$B$22*-T178,0)</f>
        <v>0</v>
      </c>
      <c r="U203" s="62">
        <f ca="1">IF(1/TaxDeprMeters&gt;'0-Inputs'!$B$22,(DeprRateMeters-TaxDeprMeters)*'0-Inputs'!$B$22*-U178,0)</f>
        <v>0</v>
      </c>
      <c r="V203" s="62">
        <f ca="1">IF(1/TaxDeprMeters&gt;'0-Inputs'!$B$22,(DeprRateMeters-TaxDeprMeters)*'0-Inputs'!$B$22*-V178,0)</f>
        <v>0</v>
      </c>
      <c r="W203" s="354">
        <f ca="1">IF(1/TaxDeprMeters&gt;'0-Inputs'!$B$22,(DeprRateMeters-TaxDeprMeters)*'0-Inputs'!$B$22*-W178,0)</f>
        <v>0</v>
      </c>
    </row>
    <row r="204" spans="1:23" x14ac:dyDescent="0.35">
      <c r="A204" s="33" t="s">
        <v>357</v>
      </c>
      <c r="B204" s="44"/>
      <c r="D204" s="21">
        <f ca="1">SUM(D202:D203)-D190</f>
        <v>-5338361.7</v>
      </c>
      <c r="E204" s="21">
        <f t="shared" ref="E204:W204" ca="1" si="70">SUM(E202:E203)-E190</f>
        <v>-5338361.7</v>
      </c>
      <c r="F204" s="21">
        <f t="shared" ca="1" si="70"/>
        <v>-5338361.7</v>
      </c>
      <c r="G204" s="21">
        <f t="shared" ca="1" si="70"/>
        <v>-5338361.7</v>
      </c>
      <c r="H204" s="21">
        <f t="shared" ca="1" si="70"/>
        <v>-5338361.7</v>
      </c>
      <c r="I204" s="21">
        <f t="shared" ca="1" si="70"/>
        <v>-5338361.7</v>
      </c>
      <c r="J204" s="21">
        <f t="shared" ca="1" si="70"/>
        <v>-5338361.7</v>
      </c>
      <c r="K204" s="21">
        <f t="shared" ca="1" si="70"/>
        <v>-5338361.7</v>
      </c>
      <c r="L204" s="21">
        <f t="shared" ca="1" si="70"/>
        <v>-5338361.7</v>
      </c>
      <c r="M204" s="21">
        <f t="shared" ca="1" si="70"/>
        <v>-5338361.7</v>
      </c>
      <c r="N204" s="21">
        <f ca="1">SUM(N202:N203)-N190</f>
        <v>-5338361.7</v>
      </c>
      <c r="O204" s="21">
        <f t="shared" ca="1" si="70"/>
        <v>-5338361.7</v>
      </c>
      <c r="P204" s="21">
        <f t="shared" ca="1" si="70"/>
        <v>-5338361.7</v>
      </c>
      <c r="Q204" s="21">
        <f t="shared" ca="1" si="70"/>
        <v>-5338361.7</v>
      </c>
      <c r="R204" s="21">
        <f t="shared" ca="1" si="70"/>
        <v>-5338361.7</v>
      </c>
      <c r="S204" s="21">
        <f t="shared" ca="1" si="70"/>
        <v>-5338361.7</v>
      </c>
      <c r="T204" s="21">
        <f t="shared" ca="1" si="70"/>
        <v>-5338361.7</v>
      </c>
      <c r="U204" s="21">
        <f t="shared" ca="1" si="70"/>
        <v>-5338361.7</v>
      </c>
      <c r="V204" s="21">
        <f t="shared" ca="1" si="70"/>
        <v>-5338361.7</v>
      </c>
      <c r="W204" s="334">
        <f t="shared" ca="1" si="70"/>
        <v>-5338361.7</v>
      </c>
    </row>
    <row r="205" spans="1:23" x14ac:dyDescent="0.35">
      <c r="A205" s="33"/>
      <c r="B205" s="44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334"/>
    </row>
    <row r="206" spans="1:23" x14ac:dyDescent="0.35">
      <c r="A206" s="33" t="s">
        <v>358</v>
      </c>
      <c r="B206" s="43">
        <f>ETR</f>
        <v>0.2495</v>
      </c>
      <c r="D206" s="21">
        <f ca="1">D204*ETR</f>
        <v>-1331921.2441500002</v>
      </c>
      <c r="E206" s="21">
        <f t="shared" ref="E206:W206" ca="1" si="71">E204*ETR</f>
        <v>-1331921.2441500002</v>
      </c>
      <c r="F206" s="21">
        <f t="shared" ca="1" si="71"/>
        <v>-1331921.2441500002</v>
      </c>
      <c r="G206" s="21">
        <f t="shared" ca="1" si="71"/>
        <v>-1331921.2441500002</v>
      </c>
      <c r="H206" s="21">
        <f t="shared" ca="1" si="71"/>
        <v>-1331921.2441500002</v>
      </c>
      <c r="I206" s="21">
        <f t="shared" ca="1" si="71"/>
        <v>-1331921.2441500002</v>
      </c>
      <c r="J206" s="21">
        <f t="shared" ca="1" si="71"/>
        <v>-1331921.2441500002</v>
      </c>
      <c r="K206" s="21">
        <f t="shared" ca="1" si="71"/>
        <v>-1331921.2441500002</v>
      </c>
      <c r="L206" s="21">
        <f t="shared" ca="1" si="71"/>
        <v>-1331921.2441500002</v>
      </c>
      <c r="M206" s="21">
        <f t="shared" ca="1" si="71"/>
        <v>-1331921.2441500002</v>
      </c>
      <c r="N206" s="21">
        <f ca="1">N204*ETR</f>
        <v>-1331921.2441500002</v>
      </c>
      <c r="O206" s="21">
        <f t="shared" ca="1" si="71"/>
        <v>-1331921.2441500002</v>
      </c>
      <c r="P206" s="21">
        <f t="shared" ca="1" si="71"/>
        <v>-1331921.2441500002</v>
      </c>
      <c r="Q206" s="21">
        <f t="shared" ca="1" si="71"/>
        <v>-1331921.2441500002</v>
      </c>
      <c r="R206" s="21">
        <f t="shared" ca="1" si="71"/>
        <v>-1331921.2441500002</v>
      </c>
      <c r="S206" s="21">
        <f t="shared" ca="1" si="71"/>
        <v>-1331921.2441500002</v>
      </c>
      <c r="T206" s="21">
        <f t="shared" ca="1" si="71"/>
        <v>-1331921.2441500002</v>
      </c>
      <c r="U206" s="21">
        <f t="shared" ca="1" si="71"/>
        <v>-1331921.2441500002</v>
      </c>
      <c r="V206" s="21">
        <f t="shared" ca="1" si="71"/>
        <v>-1331921.2441500002</v>
      </c>
      <c r="W206" s="334">
        <f t="shared" ca="1" si="71"/>
        <v>-1331921.2441500002</v>
      </c>
    </row>
    <row r="207" spans="1:23" x14ac:dyDescent="0.35">
      <c r="A207" s="33" t="s">
        <v>359</v>
      </c>
      <c r="C207">
        <v>0</v>
      </c>
      <c r="D207" s="34">
        <f ca="1">SUM($D206:D206)</f>
        <v>-1331921.2441500002</v>
      </c>
      <c r="E207" s="34">
        <f ca="1">SUM($D206:E206)</f>
        <v>-2663842.4883000003</v>
      </c>
      <c r="F207" s="34">
        <f ca="1">SUM($D206:F206)</f>
        <v>-3995763.7324500005</v>
      </c>
      <c r="G207" s="34">
        <f ca="1">SUM($D206:G206)</f>
        <v>-5327684.9766000006</v>
      </c>
      <c r="H207" s="34">
        <f ca="1">SUM($D206:H206)</f>
        <v>-6659606.2207500003</v>
      </c>
      <c r="I207" s="34">
        <f ca="1">SUM($D206:I206)</f>
        <v>-7991527.4649</v>
      </c>
      <c r="J207" s="34">
        <f ca="1">SUM($D206:J206)</f>
        <v>-9323448.7090499997</v>
      </c>
      <c r="K207" s="34">
        <f ca="1">SUM($D206:K206)</f>
        <v>-10655369.953199999</v>
      </c>
      <c r="L207" s="34">
        <f ca="1">SUM($D206:L206)</f>
        <v>-11987291.197349999</v>
      </c>
      <c r="M207" s="34">
        <f ca="1">SUM($D206:M206)</f>
        <v>-13319212.441499999</v>
      </c>
      <c r="N207" s="34">
        <f ca="1">SUM($D206:N206)</f>
        <v>-14651133.685649998</v>
      </c>
      <c r="O207" s="34">
        <f ca="1">SUM($D206:O206)</f>
        <v>-15983054.929799998</v>
      </c>
      <c r="P207" s="34">
        <f ca="1">SUM($D206:P206)</f>
        <v>-17314976.173949998</v>
      </c>
      <c r="Q207" s="34">
        <f ca="1">SUM($D206:Q206)</f>
        <v>-18646897.418099999</v>
      </c>
      <c r="R207" s="34">
        <f ca="1">SUM($D206:R206)</f>
        <v>-19978818.662250001</v>
      </c>
      <c r="S207" s="34">
        <f ca="1">SUM($D206:S206)</f>
        <v>-21310739.906400003</v>
      </c>
      <c r="T207" s="34">
        <f ca="1">SUM($D206:T206)</f>
        <v>-22642661.150550004</v>
      </c>
      <c r="U207" s="34">
        <f ca="1">SUM($D206:U206)</f>
        <v>-23974582.394700006</v>
      </c>
      <c r="V207" s="34">
        <f ca="1">SUM($D206:V206)</f>
        <v>-25306503.638850007</v>
      </c>
      <c r="W207" s="332">
        <f ca="1">SUM($D206:W206)</f>
        <v>-26638424.883000009</v>
      </c>
    </row>
    <row r="208" spans="1:23" x14ac:dyDescent="0.35">
      <c r="A208" s="33" t="s">
        <v>360</v>
      </c>
      <c r="B208" s="1"/>
      <c r="D208" s="39">
        <f ca="1">SUM($C206:C206)+0.5*D206</f>
        <v>-665960.62207500008</v>
      </c>
      <c r="E208" s="39">
        <f ca="1">SUM($C206:D206)+0.5*E206</f>
        <v>-1997881.8662250002</v>
      </c>
      <c r="F208" s="39">
        <f ca="1">SUM($C206:E206)+0.5*F206</f>
        <v>-3329803.1103750002</v>
      </c>
      <c r="G208" s="39">
        <f ca="1">SUM($C206:F206)+0.5*G206</f>
        <v>-4661724.3545250008</v>
      </c>
      <c r="H208" s="39">
        <f ca="1">SUM($C206:G206)+0.5*H206</f>
        <v>-5993645.5986750005</v>
      </c>
      <c r="I208" s="39">
        <f ca="1">SUM($C206:H206)+0.5*I206</f>
        <v>-7325566.8428250002</v>
      </c>
      <c r="J208" s="39">
        <f ca="1">SUM($C206:I206)+0.5*J206</f>
        <v>-8657488.0869750008</v>
      </c>
      <c r="K208" s="39">
        <f ca="1">SUM($C206:J206)+0.5*K206</f>
        <v>-9989409.3311250005</v>
      </c>
      <c r="L208" s="39">
        <f ca="1">SUM($C206:K206)+0.5*L206</f>
        <v>-11321330.575275</v>
      </c>
      <c r="M208" s="39">
        <f ca="1">SUM($C206:L206)+0.5*M206</f>
        <v>-12653251.819425</v>
      </c>
      <c r="N208" s="39">
        <f ca="1">SUM($C206:M206)+0.5*N206</f>
        <v>-13985173.063575</v>
      </c>
      <c r="O208" s="39">
        <f ca="1">SUM($C206:N206)+0.5*O206</f>
        <v>-15317094.307724999</v>
      </c>
      <c r="P208" s="39">
        <f ca="1">SUM($C206:O206)+0.5*P206</f>
        <v>-16649015.551874999</v>
      </c>
      <c r="Q208" s="39">
        <f ca="1">SUM($C206:P206)+0.5*Q206</f>
        <v>-17980936.796024997</v>
      </c>
      <c r="R208" s="39">
        <f ca="1">SUM($C206:Q206)+0.5*R206</f>
        <v>-19312858.040174998</v>
      </c>
      <c r="S208" s="39">
        <f ca="1">SUM($C206:R206)+0.5*S206</f>
        <v>-20644779.284325</v>
      </c>
      <c r="T208" s="39">
        <f ca="1">SUM($C206:S206)+0.5*T206</f>
        <v>-21976700.528475001</v>
      </c>
      <c r="U208" s="39">
        <f ca="1">SUM($C206:T206)+0.5*U206</f>
        <v>-23308621.772625003</v>
      </c>
      <c r="V208" s="39">
        <f ca="1">SUM($C206:U206)+0.5*V206</f>
        <v>-24640543.016775005</v>
      </c>
      <c r="W208" s="352">
        <f ca="1">SUM($C206:V206)+0.5*W206</f>
        <v>-25972464.260925006</v>
      </c>
    </row>
    <row r="209" spans="1:23" ht="15" thickBot="1" x14ac:dyDescent="0.4">
      <c r="A209" s="33" t="s">
        <v>361</v>
      </c>
      <c r="B209" t="s">
        <v>362</v>
      </c>
      <c r="C209" s="302">
        <f>C215</f>
        <v>40123796</v>
      </c>
      <c r="D209" s="42">
        <f ca="1">D199-D208</f>
        <v>38120575.772074997</v>
      </c>
      <c r="E209" s="42">
        <f ca="1">E199-E208</f>
        <v>40744045.816225</v>
      </c>
      <c r="F209" s="42">
        <f ca="1">F199-F208</f>
        <v>43367515.860375002</v>
      </c>
      <c r="G209" s="42">
        <f t="shared" ref="G209:W209" ca="1" si="72">G199-G208</f>
        <v>39361075.404524997</v>
      </c>
      <c r="H209" s="42">
        <f t="shared" ca="1" si="72"/>
        <v>35354634.948674999</v>
      </c>
      <c r="I209" s="42">
        <f t="shared" ca="1" si="72"/>
        <v>31348194.492824998</v>
      </c>
      <c r="J209" s="42">
        <f t="shared" ca="1" si="72"/>
        <v>27341754.036975004</v>
      </c>
      <c r="K209" s="42">
        <f t="shared" ca="1" si="72"/>
        <v>23335313.581124999</v>
      </c>
      <c r="L209" s="42">
        <f t="shared" ca="1" si="72"/>
        <v>19328873.125274997</v>
      </c>
      <c r="M209" s="42">
        <f t="shared" ca="1" si="72"/>
        <v>15322432.669424994</v>
      </c>
      <c r="N209" s="42">
        <f t="shared" ca="1" si="72"/>
        <v>11315992.213574991</v>
      </c>
      <c r="O209" s="42">
        <f t="shared" ca="1" si="72"/>
        <v>7309551.7577249873</v>
      </c>
      <c r="P209" s="42">
        <f t="shared" ca="1" si="72"/>
        <v>3303111.3018749841</v>
      </c>
      <c r="Q209" s="42">
        <f t="shared" ca="1" si="72"/>
        <v>-703329.15397502109</v>
      </c>
      <c r="R209" s="42">
        <f t="shared" ca="1" si="72"/>
        <v>-4709769.6098250076</v>
      </c>
      <c r="S209" s="42">
        <f t="shared" ca="1" si="72"/>
        <v>-8716210.0656750239</v>
      </c>
      <c r="T209" s="42">
        <f t="shared" ca="1" si="72"/>
        <v>-12722650.52152501</v>
      </c>
      <c r="U209" s="42">
        <f t="shared" ca="1" si="72"/>
        <v>-16729090.977375027</v>
      </c>
      <c r="V209" s="42">
        <f t="shared" ca="1" si="72"/>
        <v>-20735531.433225013</v>
      </c>
      <c r="W209" s="353">
        <f t="shared" ca="1" si="72"/>
        <v>-24741971.88907503</v>
      </c>
    </row>
    <row r="210" spans="1:23" ht="15" thickTop="1" x14ac:dyDescent="0.35">
      <c r="A210" s="33" t="s">
        <v>363</v>
      </c>
      <c r="D210" s="98">
        <f ca="1">D209-$C209</f>
        <v>-2003220.2279250026</v>
      </c>
      <c r="E210" s="98">
        <f t="shared" ref="E210:W210" ca="1" si="73">E209-$C209</f>
        <v>620249.81622499973</v>
      </c>
      <c r="F210" s="98">
        <f t="shared" ca="1" si="73"/>
        <v>3243719.860375002</v>
      </c>
      <c r="G210" s="98">
        <f t="shared" ca="1" si="73"/>
        <v>-762720.59547500312</v>
      </c>
      <c r="H210" s="98">
        <f t="shared" ca="1" si="73"/>
        <v>-4769161.0513250008</v>
      </c>
      <c r="I210" s="98">
        <f t="shared" ca="1" si="73"/>
        <v>-8775601.5071750022</v>
      </c>
      <c r="J210" s="98">
        <f t="shared" ca="1" si="73"/>
        <v>-12782041.963024996</v>
      </c>
      <c r="K210" s="98">
        <f t="shared" ca="1" si="73"/>
        <v>-16788482.418875001</v>
      </c>
      <c r="L210" s="98">
        <f t="shared" ca="1" si="73"/>
        <v>-20794922.874725003</v>
      </c>
      <c r="M210" s="98">
        <f t="shared" ca="1" si="73"/>
        <v>-24801363.330575004</v>
      </c>
      <c r="N210" s="98">
        <f t="shared" ca="1" si="73"/>
        <v>-28807803.786425009</v>
      </c>
      <c r="O210" s="98">
        <f t="shared" ca="1" si="73"/>
        <v>-32814244.242275015</v>
      </c>
      <c r="P210" s="98">
        <f t="shared" ca="1" si="73"/>
        <v>-36820684.69812502</v>
      </c>
      <c r="Q210" s="98">
        <f t="shared" ca="1" si="73"/>
        <v>-40827125.153975025</v>
      </c>
      <c r="R210" s="98">
        <f t="shared" ca="1" si="73"/>
        <v>-44833565.609825008</v>
      </c>
      <c r="S210" s="98">
        <f t="shared" ca="1" si="73"/>
        <v>-48840006.06567502</v>
      </c>
      <c r="T210" s="98">
        <f t="shared" ca="1" si="73"/>
        <v>-52846446.52152501</v>
      </c>
      <c r="U210" s="98">
        <f t="shared" ca="1" si="73"/>
        <v>-56852886.977375031</v>
      </c>
      <c r="V210" s="98">
        <f t="shared" ca="1" si="73"/>
        <v>-60859327.433225013</v>
      </c>
      <c r="W210" s="333">
        <f t="shared" ca="1" si="73"/>
        <v>-64865767.889075026</v>
      </c>
    </row>
    <row r="211" spans="1:23" x14ac:dyDescent="0.35">
      <c r="A211" s="33"/>
      <c r="B211" s="52" t="s">
        <v>253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118"/>
    </row>
    <row r="212" spans="1:23" x14ac:dyDescent="0.35">
      <c r="A212" s="33" t="s">
        <v>364</v>
      </c>
      <c r="B212" s="43">
        <f>PropTaxRate</f>
        <v>1.4800000000000001E-2</v>
      </c>
      <c r="C212" s="40">
        <f>PropTaxRate*C199</f>
        <v>593832.18079999997</v>
      </c>
      <c r="D212" s="40">
        <f ca="1">PropTaxRate*D199</f>
        <v>554328.30422000005</v>
      </c>
      <c r="E212" s="40">
        <f t="shared" ref="E212:W212" ca="1" si="74">PropTaxRate*E199</f>
        <v>573443.22646000003</v>
      </c>
      <c r="F212" s="40">
        <f t="shared" ca="1" si="74"/>
        <v>592558.14870000002</v>
      </c>
      <c r="G212" s="40">
        <f t="shared" ca="1" si="74"/>
        <v>513550.39554</v>
      </c>
      <c r="H212" s="40">
        <f t="shared" ca="1" si="74"/>
        <v>434542.64238000003</v>
      </c>
      <c r="I212" s="40">
        <f t="shared" ca="1" si="74"/>
        <v>355534.88922000001</v>
      </c>
      <c r="J212" s="40">
        <f t="shared" ca="1" si="74"/>
        <v>276527.13606000005</v>
      </c>
      <c r="K212" s="40">
        <f t="shared" ca="1" si="74"/>
        <v>197519.3829</v>
      </c>
      <c r="L212" s="40">
        <f t="shared" ca="1" si="74"/>
        <v>118511.62973999996</v>
      </c>
      <c r="M212" s="40">
        <f t="shared" ca="1" si="74"/>
        <v>39503.876579999916</v>
      </c>
      <c r="N212" s="40">
        <f t="shared" ca="1" si="74"/>
        <v>-39503.876580000135</v>
      </c>
      <c r="O212" s="40">
        <f t="shared" ca="1" si="74"/>
        <v>-118511.62974000018</v>
      </c>
      <c r="P212" s="40">
        <f ca="1">PropTaxRate*P199</f>
        <v>-197519.38290000023</v>
      </c>
      <c r="Q212" s="40">
        <f t="shared" ca="1" si="74"/>
        <v>-276527.13606000028</v>
      </c>
      <c r="R212" s="40">
        <f ca="1">PropTaxRate*R199</f>
        <v>-355534.88922000013</v>
      </c>
      <c r="S212" s="40">
        <f t="shared" ca="1" si="74"/>
        <v>-434542.64238000038</v>
      </c>
      <c r="T212" s="40">
        <f t="shared" ca="1" si="74"/>
        <v>-513550.39554000017</v>
      </c>
      <c r="U212" s="40">
        <f t="shared" ca="1" si="74"/>
        <v>-592558.14870000049</v>
      </c>
      <c r="V212" s="40">
        <f t="shared" ca="1" si="74"/>
        <v>-671565.90186000033</v>
      </c>
      <c r="W212" s="118">
        <f t="shared" ca="1" si="74"/>
        <v>-750573.65502000053</v>
      </c>
    </row>
    <row r="213" spans="1:23" x14ac:dyDescent="0.35">
      <c r="A213" s="33" t="s">
        <v>365</v>
      </c>
      <c r="B213" s="44"/>
      <c r="C213" s="98"/>
      <c r="D213" s="98">
        <f ca="1">D212-$C212</f>
        <v>-39503.876579999924</v>
      </c>
      <c r="E213" s="98">
        <f t="shared" ref="E213:W213" ca="1" si="75">E212-$C212</f>
        <v>-20388.954339999938</v>
      </c>
      <c r="F213" s="98">
        <f t="shared" ca="1" si="75"/>
        <v>-1274.0320999999531</v>
      </c>
      <c r="G213" s="98">
        <f t="shared" ca="1" si="75"/>
        <v>-80281.785259999975</v>
      </c>
      <c r="H213" s="98">
        <f t="shared" ca="1" si="75"/>
        <v>-159289.53841999994</v>
      </c>
      <c r="I213" s="98">
        <f t="shared" ca="1" si="75"/>
        <v>-238297.29157999996</v>
      </c>
      <c r="J213" s="98">
        <f t="shared" ca="1" si="75"/>
        <v>-317305.04473999992</v>
      </c>
      <c r="K213" s="98">
        <f t="shared" ca="1" si="75"/>
        <v>-396312.79790000001</v>
      </c>
      <c r="L213" s="98">
        <f t="shared" ca="1" si="75"/>
        <v>-475320.55106000003</v>
      </c>
      <c r="M213" s="98">
        <f t="shared" ca="1" si="75"/>
        <v>-554328.30422000005</v>
      </c>
      <c r="N213" s="98">
        <f t="shared" ca="1" si="75"/>
        <v>-633336.05738000013</v>
      </c>
      <c r="O213" s="98">
        <f t="shared" ca="1" si="75"/>
        <v>-712343.81054000021</v>
      </c>
      <c r="P213" s="98">
        <f t="shared" ca="1" si="75"/>
        <v>-791351.56370000017</v>
      </c>
      <c r="Q213" s="98">
        <f t="shared" ca="1" si="75"/>
        <v>-870359.31686000025</v>
      </c>
      <c r="R213" s="98">
        <f t="shared" ca="1" si="75"/>
        <v>-949367.0700200001</v>
      </c>
      <c r="S213" s="98">
        <f t="shared" ca="1" si="75"/>
        <v>-1028374.8231800003</v>
      </c>
      <c r="T213" s="98">
        <f t="shared" ca="1" si="75"/>
        <v>-1107382.5763400001</v>
      </c>
      <c r="U213" s="98">
        <f t="shared" ca="1" si="75"/>
        <v>-1186390.3295000005</v>
      </c>
      <c r="V213" s="98">
        <f t="shared" ca="1" si="75"/>
        <v>-1265398.0826600003</v>
      </c>
      <c r="W213" s="333">
        <f t="shared" ca="1" si="75"/>
        <v>-1344405.8358200006</v>
      </c>
    </row>
    <row r="214" spans="1:23" x14ac:dyDescent="0.35">
      <c r="A214" s="33"/>
      <c r="B214" s="1"/>
      <c r="D214" s="47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118"/>
    </row>
    <row r="215" spans="1:23" x14ac:dyDescent="0.35">
      <c r="A215" s="33" t="s">
        <v>366</v>
      </c>
      <c r="B215" s="1"/>
      <c r="C215" s="98">
        <f t="shared" ref="C215:W215" si="76">C184-SUM(C193:C195)-C207</f>
        <v>40123796</v>
      </c>
      <c r="D215" s="98">
        <f t="shared" ca="1" si="76"/>
        <v>36117355.544149995</v>
      </c>
      <c r="E215" s="98">
        <f t="shared" ca="1" si="76"/>
        <v>45370736.088300005</v>
      </c>
      <c r="F215" s="98">
        <f t="shared" ca="1" si="76"/>
        <v>41364295.632449999</v>
      </c>
      <c r="G215" s="98">
        <f t="shared" ca="1" si="76"/>
        <v>37357855.176600002</v>
      </c>
      <c r="H215" s="98">
        <f t="shared" ca="1" si="76"/>
        <v>33351414.72075</v>
      </c>
      <c r="I215" s="98">
        <f t="shared" ca="1" si="76"/>
        <v>29344974.264899999</v>
      </c>
      <c r="J215" s="98">
        <f t="shared" ca="1" si="76"/>
        <v>25338533.809050001</v>
      </c>
      <c r="K215" s="98">
        <f t="shared" ca="1" si="76"/>
        <v>21332093.353199996</v>
      </c>
      <c r="L215" s="98">
        <f t="shared" ca="1" si="76"/>
        <v>17325652.897349995</v>
      </c>
      <c r="M215" s="98">
        <f ca="1">M184-SUM(M193:M195)-M207</f>
        <v>13319212.441499991</v>
      </c>
      <c r="N215" s="98">
        <f ca="1">N184-SUM(N193:N195)-N207</f>
        <v>9312771.9856499881</v>
      </c>
      <c r="O215" s="98">
        <f t="shared" ca="1" si="76"/>
        <v>5306331.5297999848</v>
      </c>
      <c r="P215" s="98">
        <f t="shared" ca="1" si="76"/>
        <v>1299891.0739499889</v>
      </c>
      <c r="Q215" s="98">
        <f t="shared" ca="1" si="76"/>
        <v>-2706549.3819000125</v>
      </c>
      <c r="R215" s="98">
        <f t="shared" ca="1" si="76"/>
        <v>-6712989.8377500139</v>
      </c>
      <c r="S215" s="98">
        <f t="shared" ca="1" si="76"/>
        <v>-10719430.293600015</v>
      </c>
      <c r="T215" s="98">
        <f t="shared" ca="1" si="76"/>
        <v>-14725870.749450017</v>
      </c>
      <c r="U215" s="98">
        <f t="shared" ca="1" si="76"/>
        <v>-18732311.205300018</v>
      </c>
      <c r="V215" s="98">
        <f t="shared" ca="1" si="76"/>
        <v>-22738751.66115002</v>
      </c>
      <c r="W215" s="333">
        <f t="shared" ca="1" si="76"/>
        <v>-26745192.117000021</v>
      </c>
    </row>
    <row r="216" spans="1:23" x14ac:dyDescent="0.35">
      <c r="A216" s="33"/>
      <c r="B216" s="1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118"/>
    </row>
    <row r="217" spans="1:23" ht="21" x14ac:dyDescent="0.5">
      <c r="A217" s="93" t="s">
        <v>367</v>
      </c>
      <c r="B217" s="52" t="s">
        <v>368</v>
      </c>
      <c r="D217" s="114">
        <f t="shared" ref="D217:W217" si="77">YearOne+D$7-1</f>
        <v>2026</v>
      </c>
      <c r="E217" s="114">
        <f t="shared" si="77"/>
        <v>2027</v>
      </c>
      <c r="F217" s="114">
        <f t="shared" si="77"/>
        <v>2028</v>
      </c>
      <c r="G217" s="114">
        <f t="shared" si="77"/>
        <v>2029</v>
      </c>
      <c r="H217" s="114">
        <f t="shared" si="77"/>
        <v>2030</v>
      </c>
      <c r="I217" s="114">
        <f t="shared" si="77"/>
        <v>2031</v>
      </c>
      <c r="J217" s="114">
        <f t="shared" si="77"/>
        <v>2032</v>
      </c>
      <c r="K217" s="114">
        <f t="shared" si="77"/>
        <v>2033</v>
      </c>
      <c r="L217" s="114">
        <f t="shared" si="77"/>
        <v>2034</v>
      </c>
      <c r="M217" s="114">
        <f t="shared" si="77"/>
        <v>2035</v>
      </c>
      <c r="N217" s="114">
        <f t="shared" si="77"/>
        <v>2036</v>
      </c>
      <c r="O217" s="114">
        <f t="shared" si="77"/>
        <v>2037</v>
      </c>
      <c r="P217" s="114">
        <f t="shared" si="77"/>
        <v>2038</v>
      </c>
      <c r="Q217" s="114">
        <f t="shared" si="77"/>
        <v>2039</v>
      </c>
      <c r="R217" s="114">
        <f t="shared" si="77"/>
        <v>2040</v>
      </c>
      <c r="S217" s="114">
        <f t="shared" si="77"/>
        <v>2041</v>
      </c>
      <c r="T217" s="114">
        <f t="shared" si="77"/>
        <v>2042</v>
      </c>
      <c r="U217" s="114">
        <f t="shared" si="77"/>
        <v>2043</v>
      </c>
      <c r="V217" s="114">
        <f t="shared" si="77"/>
        <v>2044</v>
      </c>
      <c r="W217" s="217">
        <f t="shared" si="77"/>
        <v>2045</v>
      </c>
    </row>
    <row r="218" spans="1:23" x14ac:dyDescent="0.35">
      <c r="A218" s="33" t="s">
        <v>369</v>
      </c>
      <c r="B218" s="46">
        <f>'0-Inputs'!B168</f>
        <v>0.4778</v>
      </c>
      <c r="C218" s="41">
        <v>0</v>
      </c>
      <c r="D218" s="40">
        <f t="shared" ref="D218:W218" ca="1" si="78">(D215-C215)*DebtRatio</f>
        <v>-1914277.2498051324</v>
      </c>
      <c r="E218" s="40">
        <f t="shared" ca="1" si="78"/>
        <v>4421265.2239948744</v>
      </c>
      <c r="F218" s="40">
        <f t="shared" ca="1" si="78"/>
        <v>-1914277.2498051324</v>
      </c>
      <c r="G218" s="40">
        <f t="shared" ca="1" si="78"/>
        <v>-1914277.2498051289</v>
      </c>
      <c r="H218" s="40">
        <f t="shared" ca="1" si="78"/>
        <v>-1914277.2498051308</v>
      </c>
      <c r="I218" s="40">
        <f t="shared" ca="1" si="78"/>
        <v>-1914277.2498051308</v>
      </c>
      <c r="J218" s="40">
        <f t="shared" ca="1" si="78"/>
        <v>-1914277.2498051289</v>
      </c>
      <c r="K218" s="40">
        <f t="shared" ca="1" si="78"/>
        <v>-1914277.2498051324</v>
      </c>
      <c r="L218" s="40">
        <f t="shared" ca="1" si="78"/>
        <v>-1914277.2498051308</v>
      </c>
      <c r="M218" s="40">
        <f t="shared" ca="1" si="78"/>
        <v>-1914277.2498051317</v>
      </c>
      <c r="N218" s="40">
        <f t="shared" ca="1" si="78"/>
        <v>-1914277.2498051317</v>
      </c>
      <c r="O218" s="40">
        <f t="shared" ca="1" si="78"/>
        <v>-1914277.2498051317</v>
      </c>
      <c r="P218" s="40">
        <f t="shared" ca="1" si="78"/>
        <v>-1914277.249805128</v>
      </c>
      <c r="Q218" s="40">
        <f t="shared" ca="1" si="78"/>
        <v>-1914277.2498051308</v>
      </c>
      <c r="R218" s="40">
        <f t="shared" ca="1" si="78"/>
        <v>-1914277.2498051308</v>
      </c>
      <c r="S218" s="40">
        <f t="shared" ca="1" si="78"/>
        <v>-1914277.2498051308</v>
      </c>
      <c r="T218" s="40">
        <f t="shared" ca="1" si="78"/>
        <v>-1914277.2498051308</v>
      </c>
      <c r="U218" s="40">
        <f t="shared" ca="1" si="78"/>
        <v>-1914277.2498051308</v>
      </c>
      <c r="V218" s="40">
        <f t="shared" ca="1" si="78"/>
        <v>-1914277.2498051308</v>
      </c>
      <c r="W218" s="118">
        <f t="shared" ca="1" si="78"/>
        <v>-1914277.2498051308</v>
      </c>
    </row>
    <row r="219" spans="1:23" x14ac:dyDescent="0.35">
      <c r="A219" s="33" t="s">
        <v>370</v>
      </c>
      <c r="B219" s="46">
        <f>'0-Inputs'!B169</f>
        <v>0.5222</v>
      </c>
      <c r="C219" s="41">
        <v>0</v>
      </c>
      <c r="D219" s="40">
        <f t="shared" ref="D219:W219" ca="1" si="79">(D215-C215)*EquityRatio</f>
        <v>-2092163.2060448728</v>
      </c>
      <c r="E219" s="40">
        <f t="shared" ca="1" si="79"/>
        <v>4832115.3201551354</v>
      </c>
      <c r="F219" s="40">
        <f ca="1">(F215-E215)*EquityRatio</f>
        <v>-2092163.2060448728</v>
      </c>
      <c r="G219" s="40">
        <f t="shared" ca="1" si="79"/>
        <v>-2092163.2060448688</v>
      </c>
      <c r="H219" s="40">
        <f t="shared" ca="1" si="79"/>
        <v>-2092163.2060448707</v>
      </c>
      <c r="I219" s="40">
        <f t="shared" ca="1" si="79"/>
        <v>-2092163.2060448707</v>
      </c>
      <c r="J219" s="40">
        <f t="shared" ca="1" si="79"/>
        <v>-2092163.2060448688</v>
      </c>
      <c r="K219" s="40">
        <f t="shared" ca="1" si="79"/>
        <v>-2092163.2060448728</v>
      </c>
      <c r="L219" s="40">
        <f t="shared" ca="1" si="79"/>
        <v>-2092163.2060448707</v>
      </c>
      <c r="M219" s="40">
        <f t="shared" ca="1" si="79"/>
        <v>-2092163.2060448716</v>
      </c>
      <c r="N219" s="40">
        <f t="shared" ca="1" si="79"/>
        <v>-2092163.2060448716</v>
      </c>
      <c r="O219" s="40">
        <f t="shared" ca="1" si="79"/>
        <v>-2092163.2060448716</v>
      </c>
      <c r="P219" s="40">
        <f t="shared" ca="1" si="79"/>
        <v>-2092163.2060448679</v>
      </c>
      <c r="Q219" s="40">
        <f t="shared" ca="1" si="79"/>
        <v>-2092163.2060448707</v>
      </c>
      <c r="R219" s="40">
        <f t="shared" ca="1" si="79"/>
        <v>-2092163.2060448707</v>
      </c>
      <c r="S219" s="40">
        <f t="shared" ca="1" si="79"/>
        <v>-2092163.2060448707</v>
      </c>
      <c r="T219" s="40">
        <f t="shared" ca="1" si="79"/>
        <v>-2092163.2060448707</v>
      </c>
      <c r="U219" s="40">
        <f t="shared" ca="1" si="79"/>
        <v>-2092163.2060448707</v>
      </c>
      <c r="V219" s="40">
        <f t="shared" ca="1" si="79"/>
        <v>-2092163.2060448707</v>
      </c>
      <c r="W219" s="118">
        <f t="shared" ca="1" si="79"/>
        <v>-2092163.2060448707</v>
      </c>
    </row>
    <row r="220" spans="1:23" x14ac:dyDescent="0.35"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118"/>
    </row>
    <row r="221" spans="1:23" x14ac:dyDescent="0.35">
      <c r="A221" s="8" t="s">
        <v>371</v>
      </c>
      <c r="D221" s="47">
        <f>'0-Inputs'!B175</f>
        <v>4.7E-2</v>
      </c>
      <c r="E221" s="23">
        <f>'0-Inputs'!B176</f>
        <v>4.7E-2</v>
      </c>
      <c r="F221" s="23">
        <f>'0-Inputs'!B177</f>
        <v>4.7E-2</v>
      </c>
      <c r="G221" s="23">
        <f>'0-Inputs'!B178</f>
        <v>4.7E-2</v>
      </c>
      <c r="H221" s="23">
        <f>'0-Inputs'!B179</f>
        <v>4.7E-2</v>
      </c>
      <c r="I221" s="23">
        <f>'0-Inputs'!B180</f>
        <v>4.7E-2</v>
      </c>
      <c r="J221" s="32">
        <f>'0-Inputs'!B181</f>
        <v>4.7E-2</v>
      </c>
      <c r="K221" s="32">
        <f>'0-Inputs'!B182</f>
        <v>4.7E-2</v>
      </c>
      <c r="L221" s="32">
        <f>'0-Inputs'!B183</f>
        <v>4.7E-2</v>
      </c>
      <c r="M221" s="23">
        <f>'0-Inputs'!$B$184</f>
        <v>4.7E-2</v>
      </c>
      <c r="N221" s="32">
        <f>'0-Inputs'!$B$184</f>
        <v>4.7E-2</v>
      </c>
      <c r="O221" s="32">
        <f>'0-Inputs'!$B$184</f>
        <v>4.7E-2</v>
      </c>
      <c r="P221" s="32">
        <f>'0-Inputs'!$B$184</f>
        <v>4.7E-2</v>
      </c>
      <c r="Q221" s="32">
        <f>'0-Inputs'!$B$184</f>
        <v>4.7E-2</v>
      </c>
      <c r="R221" s="23">
        <f>'0-Inputs'!$B$184</f>
        <v>4.7E-2</v>
      </c>
      <c r="S221" s="32">
        <f>'0-Inputs'!$B$184</f>
        <v>4.7E-2</v>
      </c>
      <c r="T221" s="32">
        <f>'0-Inputs'!$B$184</f>
        <v>4.7E-2</v>
      </c>
      <c r="U221" s="32">
        <f>'0-Inputs'!$B$184</f>
        <v>4.7E-2</v>
      </c>
      <c r="V221" s="32">
        <f>'0-Inputs'!$B$184</f>
        <v>4.7E-2</v>
      </c>
      <c r="W221" s="355">
        <f>'0-Inputs'!$B$184</f>
        <v>4.7E-2</v>
      </c>
    </row>
    <row r="222" spans="1:23" x14ac:dyDescent="0.35">
      <c r="A222" s="33" t="s">
        <v>372</v>
      </c>
      <c r="D222" s="40">
        <f ca="1">D218*D221</f>
        <v>-89971.030740841219</v>
      </c>
      <c r="E222" s="40">
        <f ca="1">E218*E221</f>
        <v>207799.46552775911</v>
      </c>
      <c r="F222" s="40">
        <f t="shared" ref="F222:W222" ca="1" si="80">F218*F221</f>
        <v>-89971.030740841219</v>
      </c>
      <c r="G222" s="40">
        <f t="shared" ca="1" si="80"/>
        <v>-89971.030740841059</v>
      </c>
      <c r="H222" s="40">
        <f t="shared" ca="1" si="80"/>
        <v>-89971.030740841146</v>
      </c>
      <c r="I222" s="40">
        <f t="shared" ca="1" si="80"/>
        <v>-89971.030740841146</v>
      </c>
      <c r="J222" s="40">
        <f t="shared" ca="1" si="80"/>
        <v>-89971.030740841059</v>
      </c>
      <c r="K222" s="40">
        <f t="shared" ca="1" si="80"/>
        <v>-89971.030740841219</v>
      </c>
      <c r="L222" s="40">
        <f t="shared" ca="1" si="80"/>
        <v>-89971.030740841146</v>
      </c>
      <c r="M222" s="40">
        <f ca="1">M218*M221</f>
        <v>-89971.03074084119</v>
      </c>
      <c r="N222" s="40">
        <f t="shared" ca="1" si="80"/>
        <v>-89971.03074084119</v>
      </c>
      <c r="O222" s="40">
        <f t="shared" ca="1" si="80"/>
        <v>-89971.03074084119</v>
      </c>
      <c r="P222" s="40">
        <f t="shared" ca="1" si="80"/>
        <v>-89971.030740841015</v>
      </c>
      <c r="Q222" s="40">
        <f t="shared" ca="1" si="80"/>
        <v>-89971.030740841146</v>
      </c>
      <c r="R222" s="40">
        <f t="shared" ca="1" si="80"/>
        <v>-89971.030740841146</v>
      </c>
      <c r="S222" s="40">
        <f t="shared" ca="1" si="80"/>
        <v>-89971.030740841146</v>
      </c>
      <c r="T222" s="40">
        <f t="shared" ca="1" si="80"/>
        <v>-89971.030740841146</v>
      </c>
      <c r="U222" s="40">
        <f t="shared" ca="1" si="80"/>
        <v>-89971.030740841146</v>
      </c>
      <c r="V222" s="40">
        <f t="shared" ca="1" si="80"/>
        <v>-89971.030740841146</v>
      </c>
      <c r="W222" s="118">
        <f t="shared" ca="1" si="80"/>
        <v>-89971.030740841146</v>
      </c>
    </row>
    <row r="223" spans="1:23" x14ac:dyDescent="0.35">
      <c r="A223" s="33" t="s">
        <v>373</v>
      </c>
      <c r="D223" s="39">
        <f ca="1">SUM($C222:C222)+D222*0.5</f>
        <v>-44985.51537042061</v>
      </c>
      <c r="E223" s="39">
        <f ca="1">SUM($C222:D222)+E222*0.5</f>
        <v>13928.702023038335</v>
      </c>
      <c r="F223" s="39">
        <f ca="1">SUM($C222:E222)+F222*0.5</f>
        <v>72842.919416497287</v>
      </c>
      <c r="G223" s="39">
        <f ca="1">SUM($C222:F222)+G222*0.5</f>
        <v>-17128.111324343859</v>
      </c>
      <c r="H223" s="39">
        <f ca="1">SUM($C222:G222)+H222*0.5</f>
        <v>-107099.14206518496</v>
      </c>
      <c r="I223" s="39">
        <f ca="1">SUM($C222:H222)+I222*0.5</f>
        <v>-197070.17280602612</v>
      </c>
      <c r="J223" s="39">
        <f ca="1">SUM($C222:I222)+J222*0.5</f>
        <v>-287041.20354686724</v>
      </c>
      <c r="K223" s="39">
        <f ca="1">SUM($C222:J222)+K222*0.5</f>
        <v>-377012.23428770836</v>
      </c>
      <c r="L223" s="39">
        <f ca="1">SUM($C222:K222)+L222*0.5</f>
        <v>-466983.26502854959</v>
      </c>
      <c r="M223" s="39">
        <f ca="1">SUM($C222:L222)+M222*0.5</f>
        <v>-556954.29576939077</v>
      </c>
      <c r="N223" s="39">
        <f ca="1">SUM($C222:M222)+N222*0.5</f>
        <v>-646925.32651023194</v>
      </c>
      <c r="O223" s="39">
        <f ca="1">SUM($C222:N222)+O222*0.5</f>
        <v>-736896.35725107312</v>
      </c>
      <c r="P223" s="39">
        <f ca="1">SUM($C222:O222)+P222*0.5</f>
        <v>-826867.38799191418</v>
      </c>
      <c r="Q223" s="39">
        <f ca="1">SUM($C222:P222)+Q222*0.5</f>
        <v>-916838.41873275524</v>
      </c>
      <c r="R223" s="39">
        <f ca="1">SUM($C222:Q222)+R222*0.5</f>
        <v>-1006809.4494735964</v>
      </c>
      <c r="S223" s="39">
        <f ca="1">SUM($C222:R222)+S222*0.5</f>
        <v>-1096780.4802144377</v>
      </c>
      <c r="T223" s="39">
        <f ca="1">SUM($C222:S222)+T222*0.5</f>
        <v>-1186751.5109552788</v>
      </c>
      <c r="U223" s="39">
        <f ca="1">SUM($C222:T222)+U222*0.5</f>
        <v>-1276722.5416961198</v>
      </c>
      <c r="V223" s="39">
        <f ca="1">SUM($C222:U222)+V222*0.5</f>
        <v>-1366693.5724369609</v>
      </c>
      <c r="W223" s="352">
        <f ca="1">SUM($C222:V222)+W222*0.5</f>
        <v>-1456664.6031778019</v>
      </c>
    </row>
    <row r="224" spans="1:23" x14ac:dyDescent="0.35">
      <c r="A224" s="33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118"/>
    </row>
    <row r="225" spans="1:23" x14ac:dyDescent="0.35">
      <c r="A225" s="33" t="s">
        <v>374</v>
      </c>
      <c r="B225" s="48">
        <f>'0-Inputs'!B165</f>
        <v>9.7000000000000003E-2</v>
      </c>
      <c r="D225" s="40">
        <f ca="1">$B225*D219</f>
        <v>-202939.83098635267</v>
      </c>
      <c r="E225" s="40">
        <f t="shared" ref="E225:W225" ca="1" si="81">$B225*E219</f>
        <v>468715.18605504814</v>
      </c>
      <c r="F225" s="40">
        <f ca="1">$B225*F219</f>
        <v>-202939.83098635267</v>
      </c>
      <c r="G225" s="40">
        <f t="shared" ca="1" si="81"/>
        <v>-202939.83098635229</v>
      </c>
      <c r="H225" s="40">
        <f t="shared" ca="1" si="81"/>
        <v>-202939.83098635246</v>
      </c>
      <c r="I225" s="40">
        <f t="shared" ca="1" si="81"/>
        <v>-202939.83098635246</v>
      </c>
      <c r="J225" s="40">
        <f t="shared" ca="1" si="81"/>
        <v>-202939.83098635229</v>
      </c>
      <c r="K225" s="40">
        <f t="shared" ca="1" si="81"/>
        <v>-202939.83098635267</v>
      </c>
      <c r="L225" s="40">
        <f t="shared" ca="1" si="81"/>
        <v>-202939.83098635246</v>
      </c>
      <c r="M225" s="40">
        <f t="shared" ca="1" si="81"/>
        <v>-202939.83098635255</v>
      </c>
      <c r="N225" s="40">
        <f t="shared" ca="1" si="81"/>
        <v>-202939.83098635255</v>
      </c>
      <c r="O225" s="40">
        <f t="shared" ca="1" si="81"/>
        <v>-202939.83098635255</v>
      </c>
      <c r="P225" s="40">
        <f t="shared" ca="1" si="81"/>
        <v>-202939.8309863522</v>
      </c>
      <c r="Q225" s="40">
        <f t="shared" ca="1" si="81"/>
        <v>-202939.83098635246</v>
      </c>
      <c r="R225" s="40">
        <f t="shared" ca="1" si="81"/>
        <v>-202939.83098635246</v>
      </c>
      <c r="S225" s="40">
        <f t="shared" ca="1" si="81"/>
        <v>-202939.83098635246</v>
      </c>
      <c r="T225" s="40">
        <f t="shared" ca="1" si="81"/>
        <v>-202939.83098635246</v>
      </c>
      <c r="U225" s="40">
        <f t="shared" ca="1" si="81"/>
        <v>-202939.83098635246</v>
      </c>
      <c r="V225" s="40">
        <f t="shared" ca="1" si="81"/>
        <v>-202939.83098635246</v>
      </c>
      <c r="W225" s="118">
        <f t="shared" ca="1" si="81"/>
        <v>-202939.83098635246</v>
      </c>
    </row>
    <row r="226" spans="1:23" x14ac:dyDescent="0.35">
      <c r="A226" s="33" t="s">
        <v>375</v>
      </c>
      <c r="D226" s="39">
        <f ca="1">SUM($C225:C225)+D225*0.5</f>
        <v>-101469.91549317633</v>
      </c>
      <c r="E226" s="39">
        <f ca="1">SUM($C225:D225)+E225*0.5</f>
        <v>31417.762041171402</v>
      </c>
      <c r="F226" s="39">
        <f ca="1">SUM($C225:E225)+F225*0.5</f>
        <v>164305.43957551918</v>
      </c>
      <c r="G226" s="39">
        <f ca="1">SUM($C225:F225)+G225*0.5</f>
        <v>-38634.391410833312</v>
      </c>
      <c r="H226" s="39">
        <f ca="1">SUM($C225:G225)+H225*0.5</f>
        <v>-241574.22239718569</v>
      </c>
      <c r="I226" s="39">
        <f ca="1">SUM($C225:H225)+I225*0.5</f>
        <v>-444514.05338353815</v>
      </c>
      <c r="J226" s="39">
        <f ca="1">SUM($C225:I225)+J225*0.5</f>
        <v>-647453.88436989044</v>
      </c>
      <c r="K226" s="39">
        <f ca="1">SUM($C225:J225)+K225*0.5</f>
        <v>-850393.71535624296</v>
      </c>
      <c r="L226" s="39">
        <f ca="1">SUM($C225:K225)+L225*0.5</f>
        <v>-1053333.5463425955</v>
      </c>
      <c r="M226" s="39">
        <f ca="1">SUM($C225:L225)+M225*0.5</f>
        <v>-1256273.3773289481</v>
      </c>
      <c r="N226" s="39">
        <f ca="1">SUM($C225:M225)+N225*0.5</f>
        <v>-1459213.2083153008</v>
      </c>
      <c r="O226" s="39">
        <f ca="1">SUM($C225:N225)+O225*0.5</f>
        <v>-1662153.0393016534</v>
      </c>
      <c r="P226" s="39">
        <f ca="1">SUM($C225:O225)+P225*0.5</f>
        <v>-1865092.8702880058</v>
      </c>
      <c r="Q226" s="39">
        <f ca="1">SUM($C225:P225)+Q225*0.5</f>
        <v>-2068032.7012743582</v>
      </c>
      <c r="R226" s="39">
        <f ca="1">SUM($C225:Q225)+R225*0.5</f>
        <v>-2270972.5322607108</v>
      </c>
      <c r="S226" s="39">
        <f ca="1">SUM($C225:R225)+S225*0.5</f>
        <v>-2473912.3632470635</v>
      </c>
      <c r="T226" s="39">
        <f ca="1">SUM($C225:S225)+T225*0.5</f>
        <v>-2676852.1942334161</v>
      </c>
      <c r="U226" s="39">
        <f ca="1">SUM($C225:T225)+U225*0.5</f>
        <v>-2879792.0252197688</v>
      </c>
      <c r="V226" s="39">
        <f ca="1">SUM($C225:U225)+V225*0.5</f>
        <v>-3082731.8562061214</v>
      </c>
      <c r="W226" s="352">
        <f ca="1">SUM($C225:V225)+W225*0.5</f>
        <v>-3285671.687192474</v>
      </c>
    </row>
    <row r="227" spans="1:23" x14ac:dyDescent="0.35">
      <c r="B227" s="52"/>
    </row>
    <row r="228" spans="1:23" x14ac:dyDescent="0.35">
      <c r="A228" s="33" t="s">
        <v>376</v>
      </c>
      <c r="B228" s="43">
        <f>ETR</f>
        <v>0.2495</v>
      </c>
      <c r="D228" s="14">
        <f ca="1">D225/(1-ETR)-D225</f>
        <v>-67466.339548427699</v>
      </c>
      <c r="E228" s="14">
        <f t="shared" ref="E228:W229" ca="1" si="82">E225/(1-ETR)-E225</f>
        <v>155822.03720284416</v>
      </c>
      <c r="F228" s="14">
        <f t="shared" ca="1" si="82"/>
        <v>-67466.339548427699</v>
      </c>
      <c r="G228" s="14">
        <f t="shared" ca="1" si="82"/>
        <v>-67466.339548427612</v>
      </c>
      <c r="H228" s="14">
        <f t="shared" ca="1" si="82"/>
        <v>-67466.33954842767</v>
      </c>
      <c r="I228" s="14">
        <f t="shared" ca="1" si="82"/>
        <v>-67466.33954842767</v>
      </c>
      <c r="J228" s="14">
        <f t="shared" ca="1" si="82"/>
        <v>-67466.339548427612</v>
      </c>
      <c r="K228" s="14">
        <f t="shared" ca="1" si="82"/>
        <v>-67466.339548427699</v>
      </c>
      <c r="L228" s="14">
        <f t="shared" ca="1" si="82"/>
        <v>-67466.33954842767</v>
      </c>
      <c r="M228" s="14">
        <f t="shared" ca="1" si="82"/>
        <v>-67466.339548427699</v>
      </c>
      <c r="N228" s="14">
        <f t="shared" ca="1" si="82"/>
        <v>-67466.339548427699</v>
      </c>
      <c r="O228" s="14">
        <f t="shared" ca="1" si="82"/>
        <v>-67466.339548427699</v>
      </c>
      <c r="P228" s="14">
        <f t="shared" ca="1" si="82"/>
        <v>-67466.339548427582</v>
      </c>
      <c r="Q228" s="14">
        <f t="shared" ca="1" si="82"/>
        <v>-67466.33954842767</v>
      </c>
      <c r="R228" s="14">
        <f t="shared" ca="1" si="82"/>
        <v>-67466.33954842767</v>
      </c>
      <c r="S228" s="14">
        <f t="shared" ca="1" si="82"/>
        <v>-67466.33954842767</v>
      </c>
      <c r="T228" s="14">
        <f t="shared" ca="1" si="82"/>
        <v>-67466.33954842767</v>
      </c>
      <c r="U228" s="14">
        <f t="shared" ca="1" si="82"/>
        <v>-67466.33954842767</v>
      </c>
      <c r="V228" s="14">
        <f t="shared" ca="1" si="82"/>
        <v>-67466.33954842767</v>
      </c>
      <c r="W228" s="14">
        <f t="shared" ca="1" si="82"/>
        <v>-67466.33954842767</v>
      </c>
    </row>
    <row r="229" spans="1:23" x14ac:dyDescent="0.35">
      <c r="A229" s="33" t="s">
        <v>377</v>
      </c>
      <c r="D229" s="74">
        <f ca="1">D226/(1-ETR)-D226</f>
        <v>-33733.169774213849</v>
      </c>
      <c r="E229" s="74">
        <f t="shared" ca="1" si="82"/>
        <v>10444.679052994361</v>
      </c>
      <c r="F229" s="74">
        <f t="shared" ca="1" si="82"/>
        <v>54622.5278802026</v>
      </c>
      <c r="G229" s="74">
        <f t="shared" ca="1" si="82"/>
        <v>-12843.811668225069</v>
      </c>
      <c r="H229" s="74">
        <f t="shared" ca="1" si="82"/>
        <v>-80310.15121665271</v>
      </c>
      <c r="I229" s="74">
        <f t="shared" ca="1" si="82"/>
        <v>-147776.49076508032</v>
      </c>
      <c r="J229" s="74">
        <f t="shared" ca="1" si="82"/>
        <v>-215242.83031350793</v>
      </c>
      <c r="K229" s="74">
        <f t="shared" ca="1" si="82"/>
        <v>-282709.16986193566</v>
      </c>
      <c r="L229" s="74">
        <f t="shared" ca="1" si="82"/>
        <v>-350175.50941036339</v>
      </c>
      <c r="M229" s="74">
        <f t="shared" ca="1" si="82"/>
        <v>-417641.848958791</v>
      </c>
      <c r="N229" s="74">
        <f t="shared" ca="1" si="82"/>
        <v>-485108.18850721861</v>
      </c>
      <c r="O229" s="74">
        <f t="shared" ca="1" si="82"/>
        <v>-552574.52805564646</v>
      </c>
      <c r="P229" s="74">
        <f t="shared" ca="1" si="82"/>
        <v>-620040.86760407384</v>
      </c>
      <c r="Q229" s="74">
        <f t="shared" ca="1" si="82"/>
        <v>-687507.20715250168</v>
      </c>
      <c r="R229" s="74">
        <f t="shared" ca="1" si="82"/>
        <v>-754973.54670092929</v>
      </c>
      <c r="S229" s="74">
        <f t="shared" ca="1" si="82"/>
        <v>-822439.8862493569</v>
      </c>
      <c r="T229" s="74">
        <f t="shared" ca="1" si="82"/>
        <v>-889906.22579778498</v>
      </c>
      <c r="U229" s="74">
        <f t="shared" ca="1" si="82"/>
        <v>-957372.56534621259</v>
      </c>
      <c r="V229" s="74">
        <f t="shared" ca="1" si="82"/>
        <v>-1024838.9048946402</v>
      </c>
      <c r="W229" s="74">
        <f t="shared" ca="1" si="82"/>
        <v>-1092305.2444430678</v>
      </c>
    </row>
    <row r="231" spans="1:23" s="50" customFormat="1" x14ac:dyDescent="0.35">
      <c r="A231" s="49" t="s">
        <v>378</v>
      </c>
      <c r="D231" s="51">
        <f ca="1">(D223+D226+D229)/D210</f>
        <v>8.9949471419053961E-2</v>
      </c>
      <c r="E231" s="51">
        <f t="shared" ref="E231:W231" ca="1" si="83">(E223+E226+E229)/E210</f>
        <v>8.9949471419053975E-2</v>
      </c>
      <c r="F231" s="51">
        <f t="shared" ca="1" si="83"/>
        <v>8.9949471419053989E-2</v>
      </c>
      <c r="G231" s="51">
        <f t="shared" ca="1" si="83"/>
        <v>8.9949471419053476E-2</v>
      </c>
      <c r="H231" s="51">
        <f t="shared" ca="1" si="83"/>
        <v>8.9949471419053934E-2</v>
      </c>
      <c r="I231" s="51">
        <f t="shared" ca="1" si="83"/>
        <v>8.9949471419053934E-2</v>
      </c>
      <c r="J231" s="51">
        <f t="shared" ca="1" si="83"/>
        <v>8.9949471419053989E-2</v>
      </c>
      <c r="K231" s="51">
        <f t="shared" ca="1" si="83"/>
        <v>8.9949471419053961E-2</v>
      </c>
      <c r="L231" s="51">
        <f t="shared" ca="1" si="83"/>
        <v>8.9949471419053975E-2</v>
      </c>
      <c r="M231" s="51">
        <f t="shared" ca="1" si="83"/>
        <v>8.9949471419053989E-2</v>
      </c>
      <c r="N231" s="51">
        <f t="shared" ca="1" si="83"/>
        <v>8.9949471419053989E-2</v>
      </c>
      <c r="O231" s="51">
        <f t="shared" ca="1" si="83"/>
        <v>8.9949471419053975E-2</v>
      </c>
      <c r="P231" s="51">
        <f t="shared" ca="1" si="83"/>
        <v>8.9949471419053947E-2</v>
      </c>
      <c r="Q231" s="51">
        <f t="shared" ca="1" si="83"/>
        <v>8.9949471419053947E-2</v>
      </c>
      <c r="R231" s="51">
        <f t="shared" ca="1" si="83"/>
        <v>8.9949471419054003E-2</v>
      </c>
      <c r="S231" s="51">
        <f t="shared" ca="1" si="83"/>
        <v>8.9949471419053975E-2</v>
      </c>
      <c r="T231" s="51">
        <f t="shared" ca="1" si="83"/>
        <v>8.9949471419054003E-2</v>
      </c>
      <c r="U231" s="51">
        <f t="shared" ca="1" si="83"/>
        <v>8.9949471419053975E-2</v>
      </c>
      <c r="V231" s="51">
        <f t="shared" ca="1" si="83"/>
        <v>8.9949471419053989E-2</v>
      </c>
      <c r="W231" s="51">
        <f t="shared" ca="1" si="83"/>
        <v>8.9949471419053989E-2</v>
      </c>
    </row>
    <row r="232" spans="1:23" s="50" customFormat="1" x14ac:dyDescent="0.35">
      <c r="A232" s="49" t="s">
        <v>379</v>
      </c>
      <c r="D232" s="51">
        <f ca="1">(D223+D226)/D210</f>
        <v>7.3109999999999994E-2</v>
      </c>
      <c r="E232" s="51">
        <f t="shared" ref="E232:W232" ca="1" si="84">(E223+E226)/E210</f>
        <v>7.3110000000000008E-2</v>
      </c>
      <c r="F232" s="51">
        <f t="shared" ca="1" si="84"/>
        <v>7.3110000000000022E-2</v>
      </c>
      <c r="G232" s="51">
        <f t="shared" ca="1" si="84"/>
        <v>7.3109999999999592E-2</v>
      </c>
      <c r="H232" s="51">
        <f t="shared" ca="1" si="84"/>
        <v>7.3109999999999967E-2</v>
      </c>
      <c r="I232" s="51">
        <f t="shared" ca="1" si="84"/>
        <v>7.3109999999999981E-2</v>
      </c>
      <c r="J232" s="51">
        <f t="shared" ca="1" si="84"/>
        <v>7.3110000000000022E-2</v>
      </c>
      <c r="K232" s="51">
        <f t="shared" ca="1" si="84"/>
        <v>7.3110000000000008E-2</v>
      </c>
      <c r="L232" s="51">
        <f t="shared" ca="1" si="84"/>
        <v>7.3110000000000008E-2</v>
      </c>
      <c r="M232" s="51">
        <f t="shared" ca="1" si="84"/>
        <v>7.3110000000000008E-2</v>
      </c>
      <c r="N232" s="51">
        <f t="shared" ca="1" si="84"/>
        <v>7.3110000000000008E-2</v>
      </c>
      <c r="O232" s="51">
        <f t="shared" ca="1" si="84"/>
        <v>7.3110000000000008E-2</v>
      </c>
      <c r="P232" s="51">
        <f t="shared" ca="1" si="84"/>
        <v>7.3109999999999994E-2</v>
      </c>
      <c r="Q232" s="51">
        <f t="shared" ca="1" si="84"/>
        <v>7.3109999999999981E-2</v>
      </c>
      <c r="R232" s="51">
        <f t="shared" ca="1" si="84"/>
        <v>7.3110000000000022E-2</v>
      </c>
      <c r="S232" s="51">
        <f t="shared" ca="1" si="84"/>
        <v>7.3110000000000008E-2</v>
      </c>
      <c r="T232" s="51">
        <f t="shared" ca="1" si="84"/>
        <v>7.3110000000000022E-2</v>
      </c>
      <c r="U232" s="51">
        <f t="shared" ca="1" si="84"/>
        <v>7.3109999999999994E-2</v>
      </c>
      <c r="V232" s="51">
        <f t="shared" ca="1" si="84"/>
        <v>7.3110000000000022E-2</v>
      </c>
      <c r="W232" s="51">
        <f t="shared" ca="1" si="84"/>
        <v>7.3110000000000022E-2</v>
      </c>
    </row>
    <row r="234" spans="1:23" ht="21" x14ac:dyDescent="0.5">
      <c r="A234" s="95" t="s">
        <v>380</v>
      </c>
      <c r="B234" s="25"/>
      <c r="C234" s="27">
        <f>YearOne-1</f>
        <v>2025</v>
      </c>
      <c r="D234" s="114">
        <f t="shared" ref="D234:W234" si="85">YearOne+D$7-1</f>
        <v>2026</v>
      </c>
      <c r="E234" s="114">
        <f t="shared" si="85"/>
        <v>2027</v>
      </c>
      <c r="F234" s="114">
        <f t="shared" si="85"/>
        <v>2028</v>
      </c>
      <c r="G234" s="114">
        <f t="shared" si="85"/>
        <v>2029</v>
      </c>
      <c r="H234" s="114">
        <f t="shared" si="85"/>
        <v>2030</v>
      </c>
      <c r="I234" s="114">
        <f t="shared" si="85"/>
        <v>2031</v>
      </c>
      <c r="J234" s="114">
        <f t="shared" si="85"/>
        <v>2032</v>
      </c>
      <c r="K234" s="114">
        <f t="shared" si="85"/>
        <v>2033</v>
      </c>
      <c r="L234" s="114">
        <f t="shared" si="85"/>
        <v>2034</v>
      </c>
      <c r="M234" s="114">
        <f t="shared" si="85"/>
        <v>2035</v>
      </c>
      <c r="N234" s="114">
        <f t="shared" si="85"/>
        <v>2036</v>
      </c>
      <c r="O234" s="114">
        <f t="shared" si="85"/>
        <v>2037</v>
      </c>
      <c r="P234" s="114">
        <f t="shared" si="85"/>
        <v>2038</v>
      </c>
      <c r="Q234" s="114">
        <f t="shared" si="85"/>
        <v>2039</v>
      </c>
      <c r="R234" s="114">
        <f t="shared" si="85"/>
        <v>2040</v>
      </c>
      <c r="S234" s="114">
        <f t="shared" si="85"/>
        <v>2041</v>
      </c>
      <c r="T234" s="114">
        <f t="shared" si="85"/>
        <v>2042</v>
      </c>
      <c r="U234" s="114">
        <f t="shared" si="85"/>
        <v>2043</v>
      </c>
      <c r="V234" s="114">
        <f t="shared" si="85"/>
        <v>2044</v>
      </c>
      <c r="W234" s="217">
        <f t="shared" si="85"/>
        <v>2045</v>
      </c>
    </row>
    <row r="235" spans="1:23" ht="21" x14ac:dyDescent="0.5">
      <c r="A235" s="59"/>
      <c r="C235" s="27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26"/>
    </row>
    <row r="236" spans="1:23" ht="21" x14ac:dyDescent="0.5">
      <c r="A236" s="93" t="s">
        <v>206</v>
      </c>
      <c r="B236" s="1" t="s">
        <v>299</v>
      </c>
      <c r="C236" s="52" t="str">
        <f>"Per Meter "&amp;YearOne-1</f>
        <v>Per Meter 2025</v>
      </c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26"/>
    </row>
    <row r="237" spans="1:23" x14ac:dyDescent="0.35">
      <c r="A237" t="s">
        <v>382</v>
      </c>
      <c r="B237" s="1"/>
      <c r="C237" s="1"/>
      <c r="D237" s="400">
        <f>IF($B$2="Like",MIN('0-Inputs'!$B11,SUM($D65:D68)+SUM($D80:D83)),0)</f>
        <v>0</v>
      </c>
      <c r="E237" s="400">
        <f>IF($B$2="Like",MIN('0-Inputs'!$B11,SUM($D65:E68)+SUM($D80:E83)),0)</f>
        <v>0</v>
      </c>
      <c r="F237" s="400">
        <f>IF($B$2="Like",MIN('0-Inputs'!$B11,SUM($D65:F68)+SUM($D80:F83)),0)</f>
        <v>0</v>
      </c>
      <c r="G237" s="400">
        <f>IF($B$2="Like",MIN('0-Inputs'!$B11,SUM($D65:G68)+SUM($D80:G83)),0)</f>
        <v>0</v>
      </c>
      <c r="H237" s="400">
        <f>IF($B$2="Like",MIN('0-Inputs'!$B11,SUM($D65:H68)+SUM($D80:H83)),0)</f>
        <v>0</v>
      </c>
      <c r="I237" s="400">
        <f>IF($B$2="Like",MIN('0-Inputs'!$B11,SUM($D65:I68)+SUM($D80:I83)),0)</f>
        <v>0</v>
      </c>
      <c r="J237" s="400">
        <f>IF($B$2="Like",MIN('0-Inputs'!$B11,SUM($D65:J68)+SUM($D80:J83)),0)</f>
        <v>0</v>
      </c>
      <c r="K237" s="400">
        <f>IF($B$2="Like",MIN('0-Inputs'!$B11,SUM($D65:K68)+SUM($D80:K83)),0)</f>
        <v>0</v>
      </c>
      <c r="L237" s="400">
        <f>IF($B$2="Like",MIN('0-Inputs'!$B11,SUM($D65:L68)+SUM($D80:L83)),0)</f>
        <v>0</v>
      </c>
      <c r="M237" s="400">
        <f>IF($B$2="Like",MIN('0-Inputs'!$B11,SUM($D65:M68)+SUM($D80:M83)),0)</f>
        <v>0</v>
      </c>
      <c r="N237" s="400">
        <f>IF($B$2="Like",MIN('0-Inputs'!$B11,SUM($D65:N68)+SUM($D80:N83)),0)</f>
        <v>0</v>
      </c>
      <c r="O237" s="400">
        <f>IF($B$2="Like",MIN('0-Inputs'!$B11,SUM($D65:O68)+SUM($D80:O83)),0)</f>
        <v>0</v>
      </c>
      <c r="P237" s="400">
        <f>IF($B$2="Like",MIN('0-Inputs'!$B11,SUM($D65:P68)+SUM($D80:P83)),0)</f>
        <v>0</v>
      </c>
      <c r="Q237" s="400">
        <f>IF($B$2="Like",MIN('0-Inputs'!$B11,SUM($D65:Q68)+SUM($D80:Q83)),0)</f>
        <v>0</v>
      </c>
      <c r="R237" s="400">
        <f>IF($B$2="Like",MIN('0-Inputs'!$B11,SUM($D65:R68)+SUM($D80:R83)),0)</f>
        <v>0</v>
      </c>
      <c r="S237" s="400">
        <f>IF($B$2="Like",MIN('0-Inputs'!$B11,SUM($D65:S68)+SUM($D80:S83)),0)</f>
        <v>0</v>
      </c>
      <c r="T237" s="400">
        <f>IF($B$2="Like",MIN('0-Inputs'!$B11,SUM($D65:T68)+SUM($D80:T83)),0)</f>
        <v>0</v>
      </c>
      <c r="U237" s="400">
        <f>IF($B$2="Like",MIN('0-Inputs'!$B11,SUM($D65:U68)+SUM($D80:U83)),0)</f>
        <v>0</v>
      </c>
      <c r="V237" s="400">
        <f>IF($B$2="Like",MIN('0-Inputs'!$B11,SUM($D65:V68)+SUM($D80:V83)),0)</f>
        <v>0</v>
      </c>
      <c r="W237" s="400">
        <f>IF($B$2="Like",MIN('0-Inputs'!$B11,SUM($D65:W68)+SUM($D80:W83)),0)</f>
        <v>0</v>
      </c>
    </row>
    <row r="238" spans="1:23" x14ac:dyDescent="0.35">
      <c r="A238" t="s">
        <v>383</v>
      </c>
      <c r="B238" s="398">
        <f>InflationGeneral</f>
        <v>2.8545476330126728E-2</v>
      </c>
      <c r="C238" s="170">
        <f>'0-Inputs'!B33</f>
        <v>0</v>
      </c>
      <c r="D238" s="202">
        <f t="shared" ref="D238:W238" si="86">D237*$C238*(1+$B238)^D7</f>
        <v>0</v>
      </c>
      <c r="E238" s="202">
        <f t="shared" si="86"/>
        <v>0</v>
      </c>
      <c r="F238" s="202">
        <f t="shared" si="86"/>
        <v>0</v>
      </c>
      <c r="G238" s="202">
        <f t="shared" si="86"/>
        <v>0</v>
      </c>
      <c r="H238" s="202">
        <f t="shared" si="86"/>
        <v>0</v>
      </c>
      <c r="I238" s="202">
        <f t="shared" si="86"/>
        <v>0</v>
      </c>
      <c r="J238" s="202">
        <f t="shared" si="86"/>
        <v>0</v>
      </c>
      <c r="K238" s="202">
        <f t="shared" si="86"/>
        <v>0</v>
      </c>
      <c r="L238" s="202">
        <f t="shared" si="86"/>
        <v>0</v>
      </c>
      <c r="M238" s="202">
        <f t="shared" si="86"/>
        <v>0</v>
      </c>
      <c r="N238" s="202">
        <f t="shared" si="86"/>
        <v>0</v>
      </c>
      <c r="O238" s="202">
        <f t="shared" si="86"/>
        <v>0</v>
      </c>
      <c r="P238" s="202">
        <f t="shared" si="86"/>
        <v>0</v>
      </c>
      <c r="Q238" s="202">
        <f t="shared" si="86"/>
        <v>0</v>
      </c>
      <c r="R238" s="202">
        <f t="shared" si="86"/>
        <v>0</v>
      </c>
      <c r="S238" s="202">
        <f t="shared" si="86"/>
        <v>0</v>
      </c>
      <c r="T238" s="202">
        <f t="shared" si="86"/>
        <v>0</v>
      </c>
      <c r="U238" s="202">
        <f t="shared" si="86"/>
        <v>0</v>
      </c>
      <c r="V238" s="202">
        <f t="shared" si="86"/>
        <v>0</v>
      </c>
      <c r="W238" s="202">
        <f t="shared" si="86"/>
        <v>0</v>
      </c>
    </row>
    <row r="239" spans="1:23" x14ac:dyDescent="0.35">
      <c r="A239" t="s">
        <v>384</v>
      </c>
      <c r="B239" s="399"/>
      <c r="C239" s="71"/>
      <c r="D239" s="400">
        <f>IF($B$2="AMI",MIN(SUM('0-Inputs'!$B$10:$B$12),SUM($D73:D73,$D76:D87)),0)</f>
        <v>17246</v>
      </c>
      <c r="E239" s="400">
        <f>IF($B$2="AMI",MIN(SUM('0-Inputs'!$B$10:$B$12),SUM($D73:E73,$D76:E87)),0)</f>
        <v>35809</v>
      </c>
      <c r="F239" s="400">
        <f>IF($B$2="AMI",MIN(SUM('0-Inputs'!$B$10:$B$12),SUM($D73:F73,$D76:F87)),0)</f>
        <v>51634</v>
      </c>
      <c r="G239" s="400">
        <f>IF($B$2="AMI",MIN(SUM('0-Inputs'!$B$10:$B$12),SUM($D73:G73,$D76:G87)),0)</f>
        <v>63691</v>
      </c>
      <c r="H239" s="400">
        <f>IF($B$2="AMI",MIN(SUM('0-Inputs'!$B$10:$B$12),SUM($D73:H73,$D76:H87)),0)</f>
        <v>65269</v>
      </c>
      <c r="I239" s="400">
        <f>IF($B$2="AMI",MIN(SUM('0-Inputs'!$B$10:$B$12),SUM($D73:I73,$D76:I87)),0)</f>
        <v>72172</v>
      </c>
      <c r="J239" s="400">
        <f>IF($B$2="AMI",MIN(SUM('0-Inputs'!$B$10:$B$12),SUM($D73:J73,$D76:J87)),0)</f>
        <v>78498</v>
      </c>
      <c r="K239" s="400">
        <f>IF($B$2="AMI",MIN(SUM('0-Inputs'!$B$10:$B$12),SUM($D73:K73,$D76:K87)),0)</f>
        <v>95845</v>
      </c>
      <c r="L239" s="400">
        <f>IF($B$2="AMI",MIN(SUM('0-Inputs'!$B$10:$B$12),SUM($D73:L73,$D76:L87)),0)</f>
        <v>127500</v>
      </c>
      <c r="M239" s="400">
        <f>IF($B$2="AMI",MIN(SUM('0-Inputs'!$B$10:$B$12),SUM($D73:M73,$D76:M87)),0)</f>
        <v>143500</v>
      </c>
      <c r="N239" s="400">
        <f>IF($B$2="AMI",MIN(SUM('0-Inputs'!$B$10:$B$12),SUM($D73:N73,$D76:N87)),0)</f>
        <v>143500</v>
      </c>
      <c r="O239" s="400">
        <f>IF($B$2="AMI",MIN(SUM('0-Inputs'!$B$10:$B$12),SUM($D73:O73,$D76:O87)),0)</f>
        <v>143500</v>
      </c>
      <c r="P239" s="400">
        <f>IF($B$2="AMI",MIN(SUM('0-Inputs'!$B$10:$B$12),SUM($D73:P73,$D76:P87)),0)</f>
        <v>143500</v>
      </c>
      <c r="Q239" s="400">
        <f>IF($B$2="AMI",MIN(SUM('0-Inputs'!$B$10:$B$12),SUM($D73:Q73,$D76:Q87)),0)</f>
        <v>143500</v>
      </c>
      <c r="R239" s="400">
        <f>IF($B$2="AMI",MIN(SUM('0-Inputs'!$B$10:$B$12),SUM($D73:R73,$D76:R87)),0)</f>
        <v>143500</v>
      </c>
      <c r="S239" s="400">
        <f>IF($B$2="AMI",MIN(SUM('0-Inputs'!$B$10:$B$12),SUM($D73:S73,$D76:S87)),0)</f>
        <v>143500</v>
      </c>
      <c r="T239" s="400">
        <f>IF($B$2="AMI",MIN(SUM('0-Inputs'!$B$10:$B$12),SUM($D73:T73,$D76:T87)),0)</f>
        <v>143500</v>
      </c>
      <c r="U239" s="400">
        <f>IF($B$2="AMI",MIN(SUM('0-Inputs'!$B$10:$B$12),SUM($D73:U73,$D76:U87)),0)</f>
        <v>143500</v>
      </c>
      <c r="V239" s="400">
        <f>IF($B$2="AMI",MIN(SUM('0-Inputs'!$B$10:$B$12),SUM($D73:V73,$D76:V87)),0)</f>
        <v>143500</v>
      </c>
      <c r="W239" s="400">
        <f>IF($B$2="AMI",MIN(SUM('0-Inputs'!$B$10:$B$12),SUM($D73:W73,$D76:W87)),0)</f>
        <v>143500</v>
      </c>
    </row>
    <row r="240" spans="1:23" x14ac:dyDescent="0.35">
      <c r="A240" t="s">
        <v>25</v>
      </c>
      <c r="B240" s="398">
        <f>InflationGeneral</f>
        <v>2.8545476330126728E-2</v>
      </c>
      <c r="C240" s="170">
        <f>'0-Inputs'!B34</f>
        <v>0</v>
      </c>
      <c r="D240" s="401">
        <f t="shared" ref="D240:W240" si="87">D239*$C240*(1+$B240)^D7</f>
        <v>0</v>
      </c>
      <c r="E240" s="401">
        <f t="shared" si="87"/>
        <v>0</v>
      </c>
      <c r="F240" s="401">
        <f t="shared" si="87"/>
        <v>0</v>
      </c>
      <c r="G240" s="401">
        <f t="shared" si="87"/>
        <v>0</v>
      </c>
      <c r="H240" s="401">
        <f t="shared" si="87"/>
        <v>0</v>
      </c>
      <c r="I240" s="401">
        <f t="shared" si="87"/>
        <v>0</v>
      </c>
      <c r="J240" s="401">
        <f t="shared" si="87"/>
        <v>0</v>
      </c>
      <c r="K240" s="401">
        <f t="shared" si="87"/>
        <v>0</v>
      </c>
      <c r="L240" s="401">
        <f t="shared" si="87"/>
        <v>0</v>
      </c>
      <c r="M240" s="401">
        <f t="shared" si="87"/>
        <v>0</v>
      </c>
      <c r="N240" s="401">
        <f t="shared" si="87"/>
        <v>0</v>
      </c>
      <c r="O240" s="401">
        <f t="shared" si="87"/>
        <v>0</v>
      </c>
      <c r="P240" s="401">
        <f t="shared" si="87"/>
        <v>0</v>
      </c>
      <c r="Q240" s="401">
        <f t="shared" si="87"/>
        <v>0</v>
      </c>
      <c r="R240" s="401">
        <f t="shared" si="87"/>
        <v>0</v>
      </c>
      <c r="S240" s="401">
        <f t="shared" si="87"/>
        <v>0</v>
      </c>
      <c r="T240" s="401">
        <f t="shared" si="87"/>
        <v>0</v>
      </c>
      <c r="U240" s="401">
        <f t="shared" si="87"/>
        <v>0</v>
      </c>
      <c r="V240" s="401">
        <f t="shared" si="87"/>
        <v>0</v>
      </c>
      <c r="W240" s="401">
        <f t="shared" si="87"/>
        <v>0</v>
      </c>
    </row>
    <row r="242" spans="1:23" ht="21" x14ac:dyDescent="0.5">
      <c r="A242" s="93" t="s">
        <v>385</v>
      </c>
    </row>
    <row r="243" spans="1:23" x14ac:dyDescent="0.35">
      <c r="A243" s="8" t="s">
        <v>386</v>
      </c>
      <c r="C243" s="68">
        <f>'0-Inputs'!B10</f>
        <v>42</v>
      </c>
      <c r="D243" s="68">
        <f t="shared" ref="D243:W243" si="88">C243-D91</f>
        <v>40</v>
      </c>
      <c r="E243" s="68">
        <f t="shared" si="88"/>
        <v>38</v>
      </c>
      <c r="F243" s="21">
        <f t="shared" si="88"/>
        <v>26</v>
      </c>
      <c r="G243" s="21">
        <f t="shared" si="88"/>
        <v>21</v>
      </c>
      <c r="H243" s="21">
        <f t="shared" si="88"/>
        <v>18</v>
      </c>
      <c r="I243" s="21">
        <f t="shared" si="88"/>
        <v>14</v>
      </c>
      <c r="J243" s="21">
        <f t="shared" si="88"/>
        <v>7</v>
      </c>
      <c r="K243" s="21">
        <f t="shared" si="88"/>
        <v>6</v>
      </c>
      <c r="L243" s="21">
        <f t="shared" si="88"/>
        <v>2</v>
      </c>
      <c r="M243" s="21">
        <f t="shared" si="88"/>
        <v>2</v>
      </c>
      <c r="N243" s="21">
        <f t="shared" si="88"/>
        <v>2</v>
      </c>
      <c r="O243" s="21">
        <f t="shared" si="88"/>
        <v>2</v>
      </c>
      <c r="P243" s="21">
        <f t="shared" si="88"/>
        <v>2</v>
      </c>
      <c r="Q243" s="21">
        <f t="shared" si="88"/>
        <v>2</v>
      </c>
      <c r="R243" s="21">
        <f t="shared" si="88"/>
        <v>2</v>
      </c>
      <c r="S243" s="21">
        <f t="shared" si="88"/>
        <v>2</v>
      </c>
      <c r="T243" s="21">
        <f t="shared" si="88"/>
        <v>2</v>
      </c>
      <c r="U243" s="21">
        <f t="shared" si="88"/>
        <v>2</v>
      </c>
      <c r="V243" s="21">
        <f t="shared" si="88"/>
        <v>2</v>
      </c>
      <c r="W243" s="334">
        <f t="shared" si="88"/>
        <v>2</v>
      </c>
    </row>
    <row r="244" spans="1:23" x14ac:dyDescent="0.35">
      <c r="A244" s="8" t="s">
        <v>387</v>
      </c>
      <c r="C244" s="68">
        <f>'0-Inputs'!B11</f>
        <v>143201</v>
      </c>
      <c r="D244" s="68">
        <f t="shared" ref="D244:W244" si="89">IF(C244=0,0,MAX(C244-D92-(IF(AND($B$2="AMI",$B$3="Hybrid"),D143-C143,0)+IF($B91="AMR",D91,0)),0))</f>
        <v>125975</v>
      </c>
      <c r="E244" s="68">
        <f t="shared" si="89"/>
        <v>107488</v>
      </c>
      <c r="F244" s="68">
        <f t="shared" si="89"/>
        <v>91720</v>
      </c>
      <c r="G244" s="68">
        <f t="shared" si="89"/>
        <v>79670</v>
      </c>
      <c r="H244" s="68">
        <f t="shared" si="89"/>
        <v>78103</v>
      </c>
      <c r="I244" s="68">
        <f t="shared" si="89"/>
        <v>71215</v>
      </c>
      <c r="J244" s="68">
        <f t="shared" si="89"/>
        <v>64915</v>
      </c>
      <c r="K244" s="68">
        <f t="shared" si="89"/>
        <v>47611</v>
      </c>
      <c r="L244" s="68">
        <f t="shared" si="89"/>
        <v>15984</v>
      </c>
      <c r="M244" s="68">
        <f t="shared" si="89"/>
        <v>0</v>
      </c>
      <c r="N244" s="68">
        <f t="shared" si="89"/>
        <v>0</v>
      </c>
      <c r="O244" s="68">
        <f t="shared" si="89"/>
        <v>0</v>
      </c>
      <c r="P244" s="68">
        <f t="shared" si="89"/>
        <v>0</v>
      </c>
      <c r="Q244" s="68">
        <f t="shared" si="89"/>
        <v>0</v>
      </c>
      <c r="R244" s="68">
        <f t="shared" si="89"/>
        <v>0</v>
      </c>
      <c r="S244" s="68">
        <f t="shared" si="89"/>
        <v>0</v>
      </c>
      <c r="T244" s="68">
        <f t="shared" si="89"/>
        <v>0</v>
      </c>
      <c r="U244" s="68">
        <f t="shared" si="89"/>
        <v>0</v>
      </c>
      <c r="V244" s="68">
        <f t="shared" si="89"/>
        <v>0</v>
      </c>
      <c r="W244" s="336">
        <f t="shared" si="89"/>
        <v>0</v>
      </c>
    </row>
    <row r="245" spans="1:23" x14ac:dyDescent="0.35">
      <c r="A245" s="8" t="s">
        <v>388</v>
      </c>
      <c r="C245" s="68">
        <f>'0-Inputs'!B12</f>
        <v>257</v>
      </c>
      <c r="D245" s="68">
        <f t="shared" ref="D245:W245" si="90">MIN(C245+IF(AND($B$2="AMI",$B$3="Hybrid"),D143-C143,0)+IF($B91="AMI",D91,0)+IF($B92="AMI",D92,0),SUM($C$243:$C$245)-SUM(D243:D244))</f>
        <v>17485</v>
      </c>
      <c r="E245" s="68">
        <f t="shared" si="90"/>
        <v>35974</v>
      </c>
      <c r="F245" s="68">
        <f t="shared" si="90"/>
        <v>51754</v>
      </c>
      <c r="G245" s="68">
        <f t="shared" si="90"/>
        <v>63809</v>
      </c>
      <c r="H245" s="68">
        <f t="shared" si="90"/>
        <v>65379</v>
      </c>
      <c r="I245" s="68">
        <f t="shared" si="90"/>
        <v>72271</v>
      </c>
      <c r="J245" s="68">
        <f t="shared" si="90"/>
        <v>78578</v>
      </c>
      <c r="K245" s="68">
        <f t="shared" si="90"/>
        <v>95883</v>
      </c>
      <c r="L245" s="68">
        <f t="shared" si="90"/>
        <v>127514</v>
      </c>
      <c r="M245" s="68">
        <f t="shared" si="90"/>
        <v>143498</v>
      </c>
      <c r="N245" s="68">
        <f t="shared" si="90"/>
        <v>143498</v>
      </c>
      <c r="O245" s="68">
        <f t="shared" si="90"/>
        <v>143498</v>
      </c>
      <c r="P245" s="68">
        <f t="shared" si="90"/>
        <v>143498</v>
      </c>
      <c r="Q245" s="68">
        <f t="shared" si="90"/>
        <v>143498</v>
      </c>
      <c r="R245" s="68">
        <f t="shared" si="90"/>
        <v>143498</v>
      </c>
      <c r="S245" s="68">
        <f t="shared" si="90"/>
        <v>143498</v>
      </c>
      <c r="T245" s="68">
        <f t="shared" si="90"/>
        <v>143498</v>
      </c>
      <c r="U245" s="68">
        <f t="shared" si="90"/>
        <v>143498</v>
      </c>
      <c r="V245" s="68">
        <f t="shared" si="90"/>
        <v>143498</v>
      </c>
      <c r="W245" s="336">
        <f t="shared" si="90"/>
        <v>143498</v>
      </c>
    </row>
    <row r="246" spans="1:23" x14ac:dyDescent="0.35">
      <c r="A246" s="137" t="s">
        <v>389</v>
      </c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334"/>
    </row>
    <row r="247" spans="1:23" x14ac:dyDescent="0.35">
      <c r="A247" s="8" t="s">
        <v>390</v>
      </c>
      <c r="C247" s="2">
        <f t="shared" ref="C247:W247" si="91">C243/SUM(C$243:C$245)</f>
        <v>2.9268292682926828E-4</v>
      </c>
      <c r="D247" s="12">
        <f t="shared" si="91"/>
        <v>2.7874564459930314E-4</v>
      </c>
      <c r="E247" s="12">
        <f t="shared" si="91"/>
        <v>2.6480836236933799E-4</v>
      </c>
      <c r="F247" s="12">
        <f t="shared" si="91"/>
        <v>1.8118466898954703E-4</v>
      </c>
      <c r="G247" s="12">
        <f t="shared" si="91"/>
        <v>1.4634146341463414E-4</v>
      </c>
      <c r="H247" s="12">
        <f t="shared" si="91"/>
        <v>1.2543554006968642E-4</v>
      </c>
      <c r="I247" s="12">
        <f t="shared" si="91"/>
        <v>9.7560975609756103E-5</v>
      </c>
      <c r="J247" s="12">
        <f t="shared" si="91"/>
        <v>4.8780487804878051E-5</v>
      </c>
      <c r="K247" s="12">
        <f t="shared" si="91"/>
        <v>4.1811846689895472E-5</v>
      </c>
      <c r="L247" s="12">
        <f t="shared" si="91"/>
        <v>1.3937282229965156E-5</v>
      </c>
      <c r="M247" s="12">
        <f t="shared" si="91"/>
        <v>1.3937282229965156E-5</v>
      </c>
      <c r="N247" s="12">
        <f t="shared" si="91"/>
        <v>1.3937282229965156E-5</v>
      </c>
      <c r="O247" s="12">
        <f t="shared" si="91"/>
        <v>1.3937282229965156E-5</v>
      </c>
      <c r="P247" s="12">
        <f t="shared" si="91"/>
        <v>1.3937282229965156E-5</v>
      </c>
      <c r="Q247" s="12">
        <f t="shared" si="91"/>
        <v>1.3937282229965156E-5</v>
      </c>
      <c r="R247" s="12">
        <f t="shared" si="91"/>
        <v>1.3937282229965156E-5</v>
      </c>
      <c r="S247" s="12">
        <f t="shared" si="91"/>
        <v>1.3937282229965156E-5</v>
      </c>
      <c r="T247" s="12">
        <f t="shared" si="91"/>
        <v>1.3937282229965156E-5</v>
      </c>
      <c r="U247" s="12">
        <f t="shared" si="91"/>
        <v>1.3937282229965156E-5</v>
      </c>
      <c r="V247" s="12">
        <f t="shared" si="91"/>
        <v>1.3937282229965156E-5</v>
      </c>
      <c r="W247" s="344">
        <f t="shared" si="91"/>
        <v>1.3937282229965156E-5</v>
      </c>
    </row>
    <row r="248" spans="1:23" x14ac:dyDescent="0.35">
      <c r="A248" s="8" t="s">
        <v>391</v>
      </c>
      <c r="C248" s="2">
        <f t="shared" ref="C248:R249" si="92">C244/SUM(C$243:C$245)</f>
        <v>0.99791637630662022</v>
      </c>
      <c r="D248" s="12">
        <f>D244/SUM(D$243:D$245)</f>
        <v>0.87787456445993028</v>
      </c>
      <c r="E248" s="12">
        <f t="shared" si="92"/>
        <v>0.74904529616724735</v>
      </c>
      <c r="F248" s="12">
        <f t="shared" si="92"/>
        <v>0.63916376306620204</v>
      </c>
      <c r="G248" s="12">
        <f t="shared" si="92"/>
        <v>0.55519163763066204</v>
      </c>
      <c r="H248" s="12">
        <f t="shared" si="92"/>
        <v>0.54427177700348428</v>
      </c>
      <c r="I248" s="12">
        <f t="shared" si="92"/>
        <v>0.49627177700348429</v>
      </c>
      <c r="J248" s="12">
        <f>J244/SUM(J$243:J$245)</f>
        <v>0.45236933797909407</v>
      </c>
      <c r="K248" s="12">
        <f t="shared" si="92"/>
        <v>0.33178397212543553</v>
      </c>
      <c r="L248" s="12">
        <f t="shared" si="92"/>
        <v>0.11138675958188153</v>
      </c>
      <c r="M248" s="12">
        <f t="shared" si="92"/>
        <v>0</v>
      </c>
      <c r="N248" s="12">
        <f t="shared" si="92"/>
        <v>0</v>
      </c>
      <c r="O248" s="12">
        <f t="shared" si="92"/>
        <v>0</v>
      </c>
      <c r="P248" s="12">
        <f t="shared" si="92"/>
        <v>0</v>
      </c>
      <c r="Q248" s="12">
        <f t="shared" si="92"/>
        <v>0</v>
      </c>
      <c r="R248" s="12">
        <f t="shared" si="92"/>
        <v>0</v>
      </c>
      <c r="S248" s="12">
        <f t="shared" ref="S248:W249" si="93">S244/SUM(S$243:S$245)</f>
        <v>0</v>
      </c>
      <c r="T248" s="12">
        <f t="shared" si="93"/>
        <v>0</v>
      </c>
      <c r="U248" s="12">
        <f t="shared" si="93"/>
        <v>0</v>
      </c>
      <c r="V248" s="12">
        <f t="shared" si="93"/>
        <v>0</v>
      </c>
      <c r="W248" s="344">
        <f t="shared" si="93"/>
        <v>0</v>
      </c>
    </row>
    <row r="249" spans="1:23" x14ac:dyDescent="0.35">
      <c r="A249" s="8" t="s">
        <v>392</v>
      </c>
      <c r="C249" s="2">
        <f t="shared" si="92"/>
        <v>1.7909407665505227E-3</v>
      </c>
      <c r="D249" s="12">
        <f>D245/SUM(D$243:D$245)</f>
        <v>0.12184668989547039</v>
      </c>
      <c r="E249" s="12">
        <f t="shared" ref="E249:R249" si="94">E245/SUM(E$243:E$245)</f>
        <v>0.25068989547038328</v>
      </c>
      <c r="F249" s="12">
        <f t="shared" si="94"/>
        <v>0.36065505226480837</v>
      </c>
      <c r="G249" s="12">
        <f t="shared" si="94"/>
        <v>0.44466202090592333</v>
      </c>
      <c r="H249" s="12">
        <f t="shared" si="94"/>
        <v>0.455602787456446</v>
      </c>
      <c r="I249" s="12">
        <f t="shared" si="94"/>
        <v>0.50363066202090589</v>
      </c>
      <c r="J249" s="12">
        <f t="shared" si="94"/>
        <v>0.54758188153310106</v>
      </c>
      <c r="K249" s="12">
        <f t="shared" si="94"/>
        <v>0.66817421602787452</v>
      </c>
      <c r="L249" s="12">
        <f t="shared" si="94"/>
        <v>0.88859930313588853</v>
      </c>
      <c r="M249" s="12">
        <f t="shared" si="94"/>
        <v>0.99998606271777002</v>
      </c>
      <c r="N249" s="12">
        <f t="shared" si="94"/>
        <v>0.99998606271777002</v>
      </c>
      <c r="O249" s="12">
        <f t="shared" si="94"/>
        <v>0.99998606271777002</v>
      </c>
      <c r="P249" s="12">
        <f t="shared" si="94"/>
        <v>0.99998606271777002</v>
      </c>
      <c r="Q249" s="12">
        <f t="shared" si="94"/>
        <v>0.99998606271777002</v>
      </c>
      <c r="R249" s="12">
        <f t="shared" si="94"/>
        <v>0.99998606271777002</v>
      </c>
      <c r="S249" s="12">
        <f t="shared" si="93"/>
        <v>0.99998606271777002</v>
      </c>
      <c r="T249" s="12">
        <f t="shared" si="93"/>
        <v>0.99998606271777002</v>
      </c>
      <c r="U249" s="12">
        <f t="shared" si="93"/>
        <v>0.99998606271777002</v>
      </c>
      <c r="V249" s="12">
        <f t="shared" si="93"/>
        <v>0.99998606271777002</v>
      </c>
      <c r="W249" s="344">
        <f t="shared" si="93"/>
        <v>0.99998606271777002</v>
      </c>
    </row>
    <row r="250" spans="1:23" x14ac:dyDescent="0.35">
      <c r="A250" s="8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344"/>
    </row>
    <row r="251" spans="1:23" x14ac:dyDescent="0.35">
      <c r="A251" s="8" t="s">
        <v>393</v>
      </c>
      <c r="C251" s="144">
        <v>0</v>
      </c>
      <c r="D251" s="12">
        <f t="shared" ref="D251:W251" si="95">(D249-$C249)/(1-$C249)</f>
        <v>0.12027114763025069</v>
      </c>
      <c r="E251" s="12">
        <f t="shared" si="95"/>
        <v>0.24934551775653957</v>
      </c>
      <c r="F251" s="12">
        <f t="shared" si="95"/>
        <v>0.3595079689757964</v>
      </c>
      <c r="G251" s="12">
        <f t="shared" si="95"/>
        <v>0.44366565905489275</v>
      </c>
      <c r="H251" s="12">
        <f t="shared" si="95"/>
        <v>0.45462605502537645</v>
      </c>
      <c r="I251" s="12">
        <f t="shared" si="95"/>
        <v>0.50274009899262095</v>
      </c>
      <c r="J251" s="12">
        <f t="shared" si="95"/>
        <v>0.5467701737606725</v>
      </c>
      <c r="K251" s="12">
        <f t="shared" si="95"/>
        <v>0.66757886947355194</v>
      </c>
      <c r="L251" s="12">
        <f t="shared" si="95"/>
        <v>0.88839943313111291</v>
      </c>
      <c r="M251" s="12">
        <f t="shared" si="95"/>
        <v>0.99998603771213945</v>
      </c>
      <c r="N251" s="12">
        <f t="shared" si="95"/>
        <v>0.99998603771213945</v>
      </c>
      <c r="O251" s="12">
        <f t="shared" si="95"/>
        <v>0.99998603771213945</v>
      </c>
      <c r="P251" s="12">
        <f t="shared" si="95"/>
        <v>0.99998603771213945</v>
      </c>
      <c r="Q251" s="12">
        <f t="shared" si="95"/>
        <v>0.99998603771213945</v>
      </c>
      <c r="R251" s="12">
        <f t="shared" si="95"/>
        <v>0.99998603771213945</v>
      </c>
      <c r="S251" s="12">
        <f t="shared" si="95"/>
        <v>0.99998603771213945</v>
      </c>
      <c r="T251" s="12">
        <f t="shared" si="95"/>
        <v>0.99998603771213945</v>
      </c>
      <c r="U251" s="12">
        <f t="shared" si="95"/>
        <v>0.99998603771213945</v>
      </c>
      <c r="V251" s="12">
        <f t="shared" si="95"/>
        <v>0.99998603771213945</v>
      </c>
      <c r="W251" s="344">
        <f t="shared" si="95"/>
        <v>0.99998603771213945</v>
      </c>
    </row>
    <row r="252" spans="1:23" x14ac:dyDescent="0.35">
      <c r="A252" s="8" t="s">
        <v>394</v>
      </c>
      <c r="C252" s="21"/>
      <c r="D252" s="12">
        <f>AVERAGE(C251:D251)</f>
        <v>6.0135573815125347E-2</v>
      </c>
      <c r="E252" s="12">
        <f t="shared" ref="E252:W252" si="96">AVERAGE(D251:E251)</f>
        <v>0.18480833269339514</v>
      </c>
      <c r="F252" s="12">
        <f t="shared" si="96"/>
        <v>0.30442674336616798</v>
      </c>
      <c r="G252" s="12">
        <f t="shared" si="96"/>
        <v>0.40158681401534457</v>
      </c>
      <c r="H252" s="12">
        <f t="shared" si="96"/>
        <v>0.4491458570401346</v>
      </c>
      <c r="I252" s="12">
        <f t="shared" si="96"/>
        <v>0.4786830770089987</v>
      </c>
      <c r="J252" s="12">
        <f t="shared" si="96"/>
        <v>0.52475513637664672</v>
      </c>
      <c r="K252" s="12">
        <f t="shared" si="96"/>
        <v>0.60717452161711227</v>
      </c>
      <c r="L252" s="12">
        <f t="shared" si="96"/>
        <v>0.77798915130233248</v>
      </c>
      <c r="M252" s="12">
        <f t="shared" si="96"/>
        <v>0.94419273542162618</v>
      </c>
      <c r="N252" s="12">
        <f t="shared" si="96"/>
        <v>0.99998603771213945</v>
      </c>
      <c r="O252" s="12">
        <f t="shared" si="96"/>
        <v>0.99998603771213945</v>
      </c>
      <c r="P252" s="12">
        <f t="shared" si="96"/>
        <v>0.99998603771213945</v>
      </c>
      <c r="Q252" s="12">
        <f t="shared" si="96"/>
        <v>0.99998603771213945</v>
      </c>
      <c r="R252" s="12">
        <f t="shared" si="96"/>
        <v>0.99998603771213945</v>
      </c>
      <c r="S252" s="12">
        <f t="shared" si="96"/>
        <v>0.99998603771213945</v>
      </c>
      <c r="T252" s="12">
        <f t="shared" si="96"/>
        <v>0.99998603771213945</v>
      </c>
      <c r="U252" s="12">
        <f t="shared" si="96"/>
        <v>0.99998603771213945</v>
      </c>
      <c r="V252" s="12">
        <f t="shared" si="96"/>
        <v>0.99998603771213945</v>
      </c>
      <c r="W252" s="344">
        <f t="shared" si="96"/>
        <v>0.99998603771213945</v>
      </c>
    </row>
    <row r="253" spans="1:23" x14ac:dyDescent="0.35">
      <c r="A253" s="8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334"/>
    </row>
    <row r="254" spans="1:23" x14ac:dyDescent="0.35">
      <c r="A254" s="8" t="s">
        <v>395</v>
      </c>
      <c r="C254" s="21">
        <v>12</v>
      </c>
      <c r="D254" s="21">
        <v>12</v>
      </c>
      <c r="E254" s="21">
        <v>12</v>
      </c>
      <c r="F254" s="21">
        <v>12</v>
      </c>
      <c r="G254" s="21">
        <v>12</v>
      </c>
      <c r="H254" s="21">
        <v>12</v>
      </c>
      <c r="I254" s="21">
        <v>12</v>
      </c>
      <c r="J254" s="21">
        <v>12</v>
      </c>
      <c r="K254" s="21">
        <v>12</v>
      </c>
      <c r="L254" s="21">
        <v>12</v>
      </c>
      <c r="M254" s="21">
        <v>12</v>
      </c>
      <c r="N254" s="21">
        <v>12</v>
      </c>
      <c r="O254" s="21">
        <v>12</v>
      </c>
      <c r="P254" s="21">
        <v>12</v>
      </c>
      <c r="Q254" s="21">
        <v>12</v>
      </c>
      <c r="R254" s="21">
        <v>12</v>
      </c>
      <c r="S254" s="21">
        <v>12</v>
      </c>
      <c r="T254" s="21">
        <v>12</v>
      </c>
      <c r="U254" s="21">
        <v>12</v>
      </c>
      <c r="V254" s="21">
        <v>12</v>
      </c>
      <c r="W254" s="334">
        <v>12</v>
      </c>
    </row>
    <row r="255" spans="1:23" x14ac:dyDescent="0.35">
      <c r="A255" s="8"/>
      <c r="D255" s="80"/>
    </row>
    <row r="256" spans="1:23" x14ac:dyDescent="0.35">
      <c r="A256" s="8" t="s">
        <v>396</v>
      </c>
      <c r="B256" s="41">
        <f>'0-Inputs'!B196</f>
        <v>7</v>
      </c>
      <c r="D256" s="80"/>
    </row>
    <row r="257" spans="1:23" x14ac:dyDescent="0.35">
      <c r="A257" s="8" t="s">
        <v>397</v>
      </c>
      <c r="C257" s="89">
        <f>($B$256*2088)/(SUM(C243:C244)*12)</f>
        <v>8.5030333070376905E-3</v>
      </c>
      <c r="D257" s="89">
        <f>C257</f>
        <v>8.5030333070376905E-3</v>
      </c>
      <c r="E257" s="89">
        <f t="shared" ref="E257:W257" si="97">D257</f>
        <v>8.5030333070376905E-3</v>
      </c>
      <c r="F257" s="89">
        <f t="shared" si="97"/>
        <v>8.5030333070376905E-3</v>
      </c>
      <c r="G257" s="89">
        <f t="shared" si="97"/>
        <v>8.5030333070376905E-3</v>
      </c>
      <c r="H257" s="89">
        <f t="shared" si="97"/>
        <v>8.5030333070376905E-3</v>
      </c>
      <c r="I257" s="89">
        <f t="shared" si="97"/>
        <v>8.5030333070376905E-3</v>
      </c>
      <c r="J257" s="89">
        <f t="shared" si="97"/>
        <v>8.5030333070376905E-3</v>
      </c>
      <c r="K257" s="89">
        <f t="shared" si="97"/>
        <v>8.5030333070376905E-3</v>
      </c>
      <c r="L257" s="89">
        <f t="shared" si="97"/>
        <v>8.5030333070376905E-3</v>
      </c>
      <c r="M257" s="89">
        <f t="shared" si="97"/>
        <v>8.5030333070376905E-3</v>
      </c>
      <c r="N257" s="89">
        <f t="shared" si="97"/>
        <v>8.5030333070376905E-3</v>
      </c>
      <c r="O257" s="89">
        <f t="shared" si="97"/>
        <v>8.5030333070376905E-3</v>
      </c>
      <c r="P257" s="89">
        <f t="shared" si="97"/>
        <v>8.5030333070376905E-3</v>
      </c>
      <c r="Q257" s="89">
        <f t="shared" si="97"/>
        <v>8.5030333070376905E-3</v>
      </c>
      <c r="R257" s="89">
        <f t="shared" si="97"/>
        <v>8.5030333070376905E-3</v>
      </c>
      <c r="S257" s="89">
        <f t="shared" si="97"/>
        <v>8.5030333070376905E-3</v>
      </c>
      <c r="T257" s="89">
        <f t="shared" si="97"/>
        <v>8.5030333070376905E-3</v>
      </c>
      <c r="U257" s="89">
        <f t="shared" si="97"/>
        <v>8.5030333070376905E-3</v>
      </c>
      <c r="V257" s="89">
        <f t="shared" si="97"/>
        <v>8.5030333070376905E-3</v>
      </c>
      <c r="W257" s="356">
        <f t="shared" si="97"/>
        <v>8.5030333070376905E-3</v>
      </c>
    </row>
    <row r="258" spans="1:23" x14ac:dyDescent="0.35">
      <c r="A258" s="8" t="s">
        <v>398</v>
      </c>
      <c r="C258" s="68">
        <f t="shared" ref="C258:W258" si="98">SUM(C243:C244)*C254*C257</f>
        <v>14615.999999999998</v>
      </c>
      <c r="D258" s="68">
        <f t="shared" si="98"/>
        <v>12858.116906236255</v>
      </c>
      <c r="E258" s="68">
        <f t="shared" si="98"/>
        <v>10971.565912470416</v>
      </c>
      <c r="F258" s="68">
        <f t="shared" si="98"/>
        <v>9361.4315254497596</v>
      </c>
      <c r="G258" s="68">
        <f t="shared" si="98"/>
        <v>8131.3827272536873</v>
      </c>
      <c r="H258" s="68">
        <f t="shared" si="98"/>
        <v>7971.1855797490971</v>
      </c>
      <c r="I258" s="68">
        <f t="shared" si="98"/>
        <v>7267.9507131238515</v>
      </c>
      <c r="J258" s="68">
        <f t="shared" si="98"/>
        <v>6624.4071403140115</v>
      </c>
      <c r="K258" s="68">
        <f t="shared" si="98"/>
        <v>4858.6672437745647</v>
      </c>
      <c r="L258" s="68">
        <f t="shared" si="98"/>
        <v>1631.1538853556542</v>
      </c>
      <c r="M258" s="68">
        <f t="shared" si="98"/>
        <v>0.20407279936890457</v>
      </c>
      <c r="N258" s="68">
        <f t="shared" si="98"/>
        <v>0.20407279936890457</v>
      </c>
      <c r="O258" s="68">
        <f t="shared" si="98"/>
        <v>0.20407279936890457</v>
      </c>
      <c r="P258" s="68">
        <f t="shared" si="98"/>
        <v>0.20407279936890457</v>
      </c>
      <c r="Q258" s="68">
        <f t="shared" si="98"/>
        <v>0.20407279936890457</v>
      </c>
      <c r="R258" s="68">
        <f t="shared" si="98"/>
        <v>0.20407279936890457</v>
      </c>
      <c r="S258" s="68">
        <f t="shared" si="98"/>
        <v>0.20407279936890457</v>
      </c>
      <c r="T258" s="68">
        <f t="shared" si="98"/>
        <v>0.20407279936890457</v>
      </c>
      <c r="U258" s="68">
        <f t="shared" si="98"/>
        <v>0.20407279936890457</v>
      </c>
      <c r="V258" s="68">
        <f t="shared" si="98"/>
        <v>0.20407279936890457</v>
      </c>
      <c r="W258" s="336">
        <f t="shared" si="98"/>
        <v>0.20407279936890457</v>
      </c>
    </row>
    <row r="259" spans="1:23" x14ac:dyDescent="0.35">
      <c r="A259" s="8" t="s">
        <v>399</v>
      </c>
      <c r="C259" s="68"/>
      <c r="D259" s="31">
        <f>IF($B$2="AMI",IF(D252&lt;Plateau1,PlateauFactor1,IF(D252&lt;Plateau2,PlateauFactor2,IF(D252&lt;Plateau3,PlateauFactor3,IF(D252&lt;Plateau4,PlateauFactor4,1)))),1)</f>
        <v>0</v>
      </c>
      <c r="E259" s="31">
        <f t="shared" ref="E259:W259" si="99">IF($B$2="AMI",IF(E252&lt;Plateau1,PlateauFactor1,IF(E252&lt;Plateau2,PlateauFactor2,IF(E252&lt;Plateau3,PlateauFactor3,IF(E252&lt;Plateau4,PlateauFactor4,1)))),1)</f>
        <v>0</v>
      </c>
      <c r="F259" s="31">
        <f>IF($B$2="AMI",IF(F252&lt;Plateau1,PlateauFactor1,IF(F252&lt;Plateau2,PlateauFactor2,IF(F252&lt;Plateau3,PlateauFactor3,IF(F252&lt;Plateau4,PlateauFactor4,1)))),1)</f>
        <v>0</v>
      </c>
      <c r="G259" s="31">
        <f t="shared" si="99"/>
        <v>0</v>
      </c>
      <c r="H259" s="31">
        <f t="shared" si="99"/>
        <v>0</v>
      </c>
      <c r="I259" s="31">
        <f t="shared" si="99"/>
        <v>0</v>
      </c>
      <c r="J259" s="31">
        <f t="shared" si="99"/>
        <v>0</v>
      </c>
      <c r="K259" s="31">
        <f t="shared" si="99"/>
        <v>0</v>
      </c>
      <c r="L259" s="31">
        <f t="shared" si="99"/>
        <v>0</v>
      </c>
      <c r="M259" s="31">
        <f t="shared" si="99"/>
        <v>0</v>
      </c>
      <c r="N259" s="31">
        <f t="shared" si="99"/>
        <v>1</v>
      </c>
      <c r="O259" s="31">
        <f t="shared" si="99"/>
        <v>1</v>
      </c>
      <c r="P259" s="31">
        <f t="shared" si="99"/>
        <v>1</v>
      </c>
      <c r="Q259" s="31">
        <f t="shared" si="99"/>
        <v>1</v>
      </c>
      <c r="R259" s="31">
        <f t="shared" si="99"/>
        <v>1</v>
      </c>
      <c r="S259" s="31">
        <f t="shared" si="99"/>
        <v>1</v>
      </c>
      <c r="T259" s="31">
        <f t="shared" si="99"/>
        <v>1</v>
      </c>
      <c r="U259" s="31">
        <f t="shared" si="99"/>
        <v>1</v>
      </c>
      <c r="V259" s="31">
        <f t="shared" si="99"/>
        <v>1</v>
      </c>
      <c r="W259" s="340">
        <f t="shared" si="99"/>
        <v>1</v>
      </c>
    </row>
    <row r="260" spans="1:23" x14ac:dyDescent="0.35">
      <c r="A260" s="8" t="s">
        <v>400</v>
      </c>
      <c r="C260" s="68">
        <f>C258</f>
        <v>14615.999999999998</v>
      </c>
      <c r="D260" s="68">
        <f>(D258-$C258)*D259+$C258</f>
        <v>14615.999999999998</v>
      </c>
      <c r="E260" s="68">
        <f>(E258-$C258)*E259+$C258</f>
        <v>14615.999999999998</v>
      </c>
      <c r="F260" s="68">
        <f>(F258-$C258)*F259+$C258</f>
        <v>14615.999999999998</v>
      </c>
      <c r="G260" s="68">
        <f t="shared" ref="G260:W260" si="100">(G258-$C258)*G259+$C258</f>
        <v>14615.999999999998</v>
      </c>
      <c r="H260" s="68">
        <f t="shared" si="100"/>
        <v>14615.999999999998</v>
      </c>
      <c r="I260" s="68">
        <f t="shared" si="100"/>
        <v>14615.999999999998</v>
      </c>
      <c r="J260" s="68">
        <f t="shared" si="100"/>
        <v>14615.999999999998</v>
      </c>
      <c r="K260" s="68">
        <f t="shared" si="100"/>
        <v>14615.999999999998</v>
      </c>
      <c r="L260" s="68">
        <f t="shared" si="100"/>
        <v>14615.999999999998</v>
      </c>
      <c r="M260" s="68">
        <f t="shared" si="100"/>
        <v>14615.999999999998</v>
      </c>
      <c r="N260" s="68">
        <f t="shared" si="100"/>
        <v>0.20407279936807754</v>
      </c>
      <c r="O260" s="68">
        <f t="shared" si="100"/>
        <v>0.20407279936807754</v>
      </c>
      <c r="P260" s="68">
        <f t="shared" si="100"/>
        <v>0.20407279936807754</v>
      </c>
      <c r="Q260" s="68">
        <f t="shared" si="100"/>
        <v>0.20407279936807754</v>
      </c>
      <c r="R260" s="68">
        <f t="shared" si="100"/>
        <v>0.20407279936807754</v>
      </c>
      <c r="S260" s="68">
        <f t="shared" si="100"/>
        <v>0.20407279936807754</v>
      </c>
      <c r="T260" s="68">
        <f t="shared" si="100"/>
        <v>0.20407279936807754</v>
      </c>
      <c r="U260" s="68">
        <f t="shared" si="100"/>
        <v>0.20407279936807754</v>
      </c>
      <c r="V260" s="68">
        <f t="shared" si="100"/>
        <v>0.20407279936807754</v>
      </c>
      <c r="W260" s="336">
        <f t="shared" si="100"/>
        <v>0.20407279936807754</v>
      </c>
    </row>
    <row r="261" spans="1:23" x14ac:dyDescent="0.35">
      <c r="A261" s="8" t="s">
        <v>401</v>
      </c>
      <c r="C261" s="68">
        <f>C258</f>
        <v>14615.999999999998</v>
      </c>
      <c r="D261" s="68">
        <f>AVERAGE(C260:D260)</f>
        <v>14615.999999999998</v>
      </c>
      <c r="E261" s="68">
        <f>AVERAGE(D260:E260)</f>
        <v>14615.999999999998</v>
      </c>
      <c r="F261" s="68">
        <f>AVERAGE(E260:F260)</f>
        <v>14615.999999999998</v>
      </c>
      <c r="G261" s="68">
        <f t="shared" ref="G261:W261" si="101">AVERAGE(F260:G260)</f>
        <v>14615.999999999998</v>
      </c>
      <c r="H261" s="68">
        <f t="shared" si="101"/>
        <v>14615.999999999998</v>
      </c>
      <c r="I261" s="68">
        <f t="shared" si="101"/>
        <v>14615.999999999998</v>
      </c>
      <c r="J261" s="68">
        <f t="shared" si="101"/>
        <v>14615.999999999998</v>
      </c>
      <c r="K261" s="68">
        <f t="shared" si="101"/>
        <v>14615.999999999998</v>
      </c>
      <c r="L261" s="68">
        <f t="shared" si="101"/>
        <v>14615.999999999998</v>
      </c>
      <c r="M261" s="68">
        <f t="shared" si="101"/>
        <v>14615.999999999998</v>
      </c>
      <c r="N261" s="68">
        <f t="shared" si="101"/>
        <v>7308.1020363996831</v>
      </c>
      <c r="O261" s="68">
        <f t="shared" si="101"/>
        <v>0.20407279936807754</v>
      </c>
      <c r="P261" s="68">
        <f t="shared" si="101"/>
        <v>0.20407279936807754</v>
      </c>
      <c r="Q261" s="68">
        <f t="shared" si="101"/>
        <v>0.20407279936807754</v>
      </c>
      <c r="R261" s="68">
        <f t="shared" si="101"/>
        <v>0.20407279936807754</v>
      </c>
      <c r="S261" s="68">
        <f t="shared" si="101"/>
        <v>0.20407279936807754</v>
      </c>
      <c r="T261" s="68">
        <f t="shared" si="101"/>
        <v>0.20407279936807754</v>
      </c>
      <c r="U261" s="68">
        <f t="shared" si="101"/>
        <v>0.20407279936807754</v>
      </c>
      <c r="V261" s="68">
        <f t="shared" si="101"/>
        <v>0.20407279936807754</v>
      </c>
      <c r="W261" s="336">
        <f t="shared" si="101"/>
        <v>0.20407279936807754</v>
      </c>
    </row>
    <row r="262" spans="1:23" x14ac:dyDescent="0.35">
      <c r="A262" s="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336"/>
    </row>
    <row r="263" spans="1:23" x14ac:dyDescent="0.35">
      <c r="A263" s="8" t="s">
        <v>402</v>
      </c>
      <c r="C263" s="79">
        <f>HourlyMRRate</f>
        <v>0</v>
      </c>
      <c r="D263" s="79" t="e">
        <f t="shared" ref="D263:W263" si="102">C263*(1+InflationLabor)</f>
        <v>#DIV/0!</v>
      </c>
      <c r="E263" s="79" t="e">
        <f t="shared" si="102"/>
        <v>#DIV/0!</v>
      </c>
      <c r="F263" s="79" t="e">
        <f t="shared" si="102"/>
        <v>#DIV/0!</v>
      </c>
      <c r="G263" s="79" t="e">
        <f t="shared" si="102"/>
        <v>#DIV/0!</v>
      </c>
      <c r="H263" s="79" t="e">
        <f t="shared" si="102"/>
        <v>#DIV/0!</v>
      </c>
      <c r="I263" s="79" t="e">
        <f t="shared" si="102"/>
        <v>#DIV/0!</v>
      </c>
      <c r="J263" s="79" t="e">
        <f t="shared" si="102"/>
        <v>#DIV/0!</v>
      </c>
      <c r="K263" s="79" t="e">
        <f t="shared" si="102"/>
        <v>#DIV/0!</v>
      </c>
      <c r="L263" s="79" t="e">
        <f t="shared" si="102"/>
        <v>#DIV/0!</v>
      </c>
      <c r="M263" s="79" t="e">
        <f t="shared" si="102"/>
        <v>#DIV/0!</v>
      </c>
      <c r="N263" s="79" t="e">
        <f t="shared" si="102"/>
        <v>#DIV/0!</v>
      </c>
      <c r="O263" s="79" t="e">
        <f t="shared" si="102"/>
        <v>#DIV/0!</v>
      </c>
      <c r="P263" s="79" t="e">
        <f t="shared" si="102"/>
        <v>#DIV/0!</v>
      </c>
      <c r="Q263" s="79" t="e">
        <f t="shared" si="102"/>
        <v>#DIV/0!</v>
      </c>
      <c r="R263" s="79" t="e">
        <f t="shared" si="102"/>
        <v>#DIV/0!</v>
      </c>
      <c r="S263" s="79" t="e">
        <f t="shared" si="102"/>
        <v>#DIV/0!</v>
      </c>
      <c r="T263" s="79" t="e">
        <f t="shared" si="102"/>
        <v>#DIV/0!</v>
      </c>
      <c r="U263" s="79" t="e">
        <f t="shared" si="102"/>
        <v>#DIV/0!</v>
      </c>
      <c r="V263" s="79" t="e">
        <f t="shared" si="102"/>
        <v>#DIV/0!</v>
      </c>
      <c r="W263" s="338" t="e">
        <f t="shared" si="102"/>
        <v>#DIV/0!</v>
      </c>
    </row>
    <row r="264" spans="1:23" x14ac:dyDescent="0.35">
      <c r="A264" s="8" t="s">
        <v>403</v>
      </c>
      <c r="C264" s="75"/>
      <c r="D264" s="13">
        <f t="shared" ref="D264:W264" si="103">D261-$C261</f>
        <v>0</v>
      </c>
      <c r="E264" s="13">
        <f t="shared" si="103"/>
        <v>0</v>
      </c>
      <c r="F264" s="13">
        <f t="shared" si="103"/>
        <v>0</v>
      </c>
      <c r="G264" s="13">
        <f t="shared" si="103"/>
        <v>0</v>
      </c>
      <c r="H264" s="13">
        <f t="shared" si="103"/>
        <v>0</v>
      </c>
      <c r="I264" s="13">
        <f t="shared" si="103"/>
        <v>0</v>
      </c>
      <c r="J264" s="13">
        <f t="shared" si="103"/>
        <v>0</v>
      </c>
      <c r="K264" s="13">
        <f t="shared" si="103"/>
        <v>0</v>
      </c>
      <c r="L264" s="13">
        <f t="shared" si="103"/>
        <v>0</v>
      </c>
      <c r="M264" s="13">
        <f t="shared" si="103"/>
        <v>0</v>
      </c>
      <c r="N264" s="13">
        <f t="shared" si="103"/>
        <v>-7307.8979636003151</v>
      </c>
      <c r="O264" s="13">
        <f t="shared" si="103"/>
        <v>-14615.79592720063</v>
      </c>
      <c r="P264" s="13">
        <f t="shared" si="103"/>
        <v>-14615.79592720063</v>
      </c>
      <c r="Q264" s="13">
        <f t="shared" si="103"/>
        <v>-14615.79592720063</v>
      </c>
      <c r="R264" s="13">
        <f t="shared" si="103"/>
        <v>-14615.79592720063</v>
      </c>
      <c r="S264" s="13">
        <f t="shared" si="103"/>
        <v>-14615.79592720063</v>
      </c>
      <c r="T264" s="13">
        <f t="shared" si="103"/>
        <v>-14615.79592720063</v>
      </c>
      <c r="U264" s="13">
        <f t="shared" si="103"/>
        <v>-14615.79592720063</v>
      </c>
      <c r="V264" s="13">
        <f t="shared" si="103"/>
        <v>-14615.79592720063</v>
      </c>
      <c r="W264" s="13">
        <f t="shared" si="103"/>
        <v>-14615.79592720063</v>
      </c>
    </row>
    <row r="265" spans="1:23" x14ac:dyDescent="0.35">
      <c r="A265" s="8"/>
    </row>
    <row r="266" spans="1:23" ht="15" thickBot="1" x14ac:dyDescent="0.4">
      <c r="A266" s="8" t="s">
        <v>404</v>
      </c>
      <c r="C266" s="76">
        <f t="shared" ref="C266:W266" si="104">C261*C263</f>
        <v>0</v>
      </c>
      <c r="D266" s="76" t="e">
        <f t="shared" si="104"/>
        <v>#DIV/0!</v>
      </c>
      <c r="E266" s="76" t="e">
        <f t="shared" si="104"/>
        <v>#DIV/0!</v>
      </c>
      <c r="F266" s="76" t="e">
        <f t="shared" si="104"/>
        <v>#DIV/0!</v>
      </c>
      <c r="G266" s="76" t="e">
        <f t="shared" si="104"/>
        <v>#DIV/0!</v>
      </c>
      <c r="H266" s="76" t="e">
        <f t="shared" si="104"/>
        <v>#DIV/0!</v>
      </c>
      <c r="I266" s="76" t="e">
        <f t="shared" si="104"/>
        <v>#DIV/0!</v>
      </c>
      <c r="J266" s="76" t="e">
        <f t="shared" si="104"/>
        <v>#DIV/0!</v>
      </c>
      <c r="K266" s="76" t="e">
        <f t="shared" si="104"/>
        <v>#DIV/0!</v>
      </c>
      <c r="L266" s="76" t="e">
        <f t="shared" si="104"/>
        <v>#DIV/0!</v>
      </c>
      <c r="M266" s="76" t="e">
        <f t="shared" si="104"/>
        <v>#DIV/0!</v>
      </c>
      <c r="N266" s="76" t="e">
        <f t="shared" si="104"/>
        <v>#DIV/0!</v>
      </c>
      <c r="O266" s="76" t="e">
        <f t="shared" si="104"/>
        <v>#DIV/0!</v>
      </c>
      <c r="P266" s="76" t="e">
        <f t="shared" si="104"/>
        <v>#DIV/0!</v>
      </c>
      <c r="Q266" s="76" t="e">
        <f t="shared" si="104"/>
        <v>#DIV/0!</v>
      </c>
      <c r="R266" s="76" t="e">
        <f t="shared" si="104"/>
        <v>#DIV/0!</v>
      </c>
      <c r="S266" s="76" t="e">
        <f t="shared" si="104"/>
        <v>#DIV/0!</v>
      </c>
      <c r="T266" s="76" t="e">
        <f t="shared" si="104"/>
        <v>#DIV/0!</v>
      </c>
      <c r="U266" s="76" t="e">
        <f t="shared" si="104"/>
        <v>#DIV/0!</v>
      </c>
      <c r="V266" s="76" t="e">
        <f t="shared" si="104"/>
        <v>#DIV/0!</v>
      </c>
      <c r="W266" s="358" t="e">
        <f t="shared" si="104"/>
        <v>#DIV/0!</v>
      </c>
    </row>
    <row r="267" spans="1:23" x14ac:dyDescent="0.35">
      <c r="A267" s="8" t="s">
        <v>405</v>
      </c>
      <c r="C267" s="40">
        <f>C266</f>
        <v>0</v>
      </c>
      <c r="D267" s="40" t="e">
        <f>C267*(1+InflationLabor)</f>
        <v>#DIV/0!</v>
      </c>
      <c r="E267" s="40" t="e">
        <f t="shared" ref="E267:W267" si="105">D267*(1+InflationLabor)</f>
        <v>#DIV/0!</v>
      </c>
      <c r="F267" s="40" t="e">
        <f t="shared" si="105"/>
        <v>#DIV/0!</v>
      </c>
      <c r="G267" s="40" t="e">
        <f t="shared" si="105"/>
        <v>#DIV/0!</v>
      </c>
      <c r="H267" s="40" t="e">
        <f t="shared" si="105"/>
        <v>#DIV/0!</v>
      </c>
      <c r="I267" s="40" t="e">
        <f t="shared" si="105"/>
        <v>#DIV/0!</v>
      </c>
      <c r="J267" s="40" t="e">
        <f t="shared" si="105"/>
        <v>#DIV/0!</v>
      </c>
      <c r="K267" s="40" t="e">
        <f t="shared" si="105"/>
        <v>#DIV/0!</v>
      </c>
      <c r="L267" s="40" t="e">
        <f t="shared" si="105"/>
        <v>#DIV/0!</v>
      </c>
      <c r="M267" s="40" t="e">
        <f t="shared" si="105"/>
        <v>#DIV/0!</v>
      </c>
      <c r="N267" s="40" t="e">
        <f t="shared" si="105"/>
        <v>#DIV/0!</v>
      </c>
      <c r="O267" s="40" t="e">
        <f t="shared" si="105"/>
        <v>#DIV/0!</v>
      </c>
      <c r="P267" s="40" t="e">
        <f t="shared" si="105"/>
        <v>#DIV/0!</v>
      </c>
      <c r="Q267" s="40" t="e">
        <f t="shared" si="105"/>
        <v>#DIV/0!</v>
      </c>
      <c r="R267" s="40" t="e">
        <f t="shared" si="105"/>
        <v>#DIV/0!</v>
      </c>
      <c r="S267" s="40" t="e">
        <f t="shared" si="105"/>
        <v>#DIV/0!</v>
      </c>
      <c r="T267" s="40" t="e">
        <f t="shared" si="105"/>
        <v>#DIV/0!</v>
      </c>
      <c r="U267" s="40" t="e">
        <f t="shared" si="105"/>
        <v>#DIV/0!</v>
      </c>
      <c r="V267" s="40" t="e">
        <f t="shared" si="105"/>
        <v>#DIV/0!</v>
      </c>
      <c r="W267" s="118" t="e">
        <f t="shared" si="105"/>
        <v>#DIV/0!</v>
      </c>
    </row>
    <row r="268" spans="1:23" x14ac:dyDescent="0.35">
      <c r="A268" s="8" t="s">
        <v>406</v>
      </c>
      <c r="C268" s="125">
        <f>C266-C267</f>
        <v>0</v>
      </c>
      <c r="D268" s="125" t="e">
        <f>D266-D267</f>
        <v>#DIV/0!</v>
      </c>
      <c r="E268" s="125" t="e">
        <f t="shared" ref="E268:W268" si="106">E266-E267</f>
        <v>#DIV/0!</v>
      </c>
      <c r="F268" s="125" t="e">
        <f t="shared" si="106"/>
        <v>#DIV/0!</v>
      </c>
      <c r="G268" s="125" t="e">
        <f t="shared" si="106"/>
        <v>#DIV/0!</v>
      </c>
      <c r="H268" s="125" t="e">
        <f t="shared" si="106"/>
        <v>#DIV/0!</v>
      </c>
      <c r="I268" s="125" t="e">
        <f t="shared" si="106"/>
        <v>#DIV/0!</v>
      </c>
      <c r="J268" s="125" t="e">
        <f t="shared" si="106"/>
        <v>#DIV/0!</v>
      </c>
      <c r="K268" s="125" t="e">
        <f t="shared" si="106"/>
        <v>#DIV/0!</v>
      </c>
      <c r="L268" s="125" t="e">
        <f t="shared" si="106"/>
        <v>#DIV/0!</v>
      </c>
      <c r="M268" s="125" t="e">
        <f>M266-M267</f>
        <v>#DIV/0!</v>
      </c>
      <c r="N268" s="125" t="e">
        <f t="shared" si="106"/>
        <v>#DIV/0!</v>
      </c>
      <c r="O268" s="125" t="e">
        <f t="shared" si="106"/>
        <v>#DIV/0!</v>
      </c>
      <c r="P268" s="125" t="e">
        <f t="shared" si="106"/>
        <v>#DIV/0!</v>
      </c>
      <c r="Q268" s="125" t="e">
        <f t="shared" si="106"/>
        <v>#DIV/0!</v>
      </c>
      <c r="R268" s="125" t="e">
        <f t="shared" si="106"/>
        <v>#DIV/0!</v>
      </c>
      <c r="S268" s="125" t="e">
        <f t="shared" si="106"/>
        <v>#DIV/0!</v>
      </c>
      <c r="T268" s="125" t="e">
        <f t="shared" si="106"/>
        <v>#DIV/0!</v>
      </c>
      <c r="U268" s="125" t="e">
        <f t="shared" si="106"/>
        <v>#DIV/0!</v>
      </c>
      <c r="V268" s="125" t="e">
        <f t="shared" si="106"/>
        <v>#DIV/0!</v>
      </c>
      <c r="W268" s="347" t="e">
        <f t="shared" si="106"/>
        <v>#DIV/0!</v>
      </c>
    </row>
    <row r="269" spans="1:23" x14ac:dyDescent="0.35">
      <c r="A269" s="8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357"/>
    </row>
    <row r="270" spans="1:23" x14ac:dyDescent="0.35">
      <c r="A270" s="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333"/>
    </row>
    <row r="272" spans="1:23" ht="21" x14ac:dyDescent="0.5">
      <c r="A272" s="93" t="s">
        <v>249</v>
      </c>
      <c r="C272" s="27">
        <f>YearOne-1</f>
        <v>2025</v>
      </c>
      <c r="D272" s="114">
        <f t="shared" ref="D272:W272" si="107">YearOne+D$7-1</f>
        <v>2026</v>
      </c>
      <c r="E272" s="114">
        <f t="shared" si="107"/>
        <v>2027</v>
      </c>
      <c r="F272" s="114">
        <f t="shared" si="107"/>
        <v>2028</v>
      </c>
      <c r="G272" s="114">
        <f t="shared" si="107"/>
        <v>2029</v>
      </c>
      <c r="H272" s="114">
        <f t="shared" si="107"/>
        <v>2030</v>
      </c>
      <c r="I272" s="114">
        <f t="shared" si="107"/>
        <v>2031</v>
      </c>
      <c r="J272" s="114">
        <f t="shared" si="107"/>
        <v>2032</v>
      </c>
      <c r="K272" s="114">
        <f t="shared" si="107"/>
        <v>2033</v>
      </c>
      <c r="L272" s="114">
        <f t="shared" si="107"/>
        <v>2034</v>
      </c>
      <c r="M272" s="114">
        <f t="shared" si="107"/>
        <v>2035</v>
      </c>
      <c r="N272" s="114">
        <f t="shared" si="107"/>
        <v>2036</v>
      </c>
      <c r="O272" s="114">
        <f t="shared" si="107"/>
        <v>2037</v>
      </c>
      <c r="P272" s="114">
        <f t="shared" si="107"/>
        <v>2038</v>
      </c>
      <c r="Q272" s="114">
        <f t="shared" si="107"/>
        <v>2039</v>
      </c>
      <c r="R272" s="114">
        <f t="shared" si="107"/>
        <v>2040</v>
      </c>
      <c r="S272" s="114">
        <f t="shared" si="107"/>
        <v>2041</v>
      </c>
      <c r="T272" s="114">
        <f t="shared" si="107"/>
        <v>2042</v>
      </c>
      <c r="U272" s="114">
        <f t="shared" si="107"/>
        <v>2043</v>
      </c>
      <c r="V272" s="114">
        <f t="shared" si="107"/>
        <v>2044</v>
      </c>
      <c r="W272" s="217">
        <f t="shared" si="107"/>
        <v>2045</v>
      </c>
    </row>
    <row r="273" spans="1:23" x14ac:dyDescent="0.35">
      <c r="A273" s="8" t="s">
        <v>407</v>
      </c>
      <c r="C273" s="7">
        <f>'Conf-Wages FSR MR'!H20</f>
        <v>0</v>
      </c>
      <c r="D273" s="79" t="e">
        <f t="shared" ref="D273" si="108">C273*(1+InflationLabor)</f>
        <v>#DIV/0!</v>
      </c>
      <c r="E273" s="79" t="e">
        <f t="shared" ref="E273" si="109">D273*(1+InflationLabor)</f>
        <v>#DIV/0!</v>
      </c>
      <c r="F273" s="79" t="e">
        <f t="shared" ref="F273" si="110">E273*(1+InflationLabor)</f>
        <v>#DIV/0!</v>
      </c>
      <c r="G273" s="79" t="e">
        <f t="shared" ref="G273" si="111">F273*(1+InflationLabor)</f>
        <v>#DIV/0!</v>
      </c>
      <c r="H273" s="79" t="e">
        <f t="shared" ref="H273" si="112">G273*(1+InflationLabor)</f>
        <v>#DIV/0!</v>
      </c>
      <c r="I273" s="79" t="e">
        <f t="shared" ref="I273" si="113">H273*(1+InflationLabor)</f>
        <v>#DIV/0!</v>
      </c>
      <c r="J273" s="79" t="e">
        <f t="shared" ref="J273" si="114">I273*(1+InflationLabor)</f>
        <v>#DIV/0!</v>
      </c>
      <c r="K273" s="79" t="e">
        <f t="shared" ref="K273" si="115">J273*(1+InflationLabor)</f>
        <v>#DIV/0!</v>
      </c>
      <c r="L273" s="79" t="e">
        <f t="shared" ref="L273" si="116">K273*(1+InflationLabor)</f>
        <v>#DIV/0!</v>
      </c>
      <c r="M273" s="79" t="e">
        <f t="shared" ref="M273" si="117">L273*(1+InflationLabor)</f>
        <v>#DIV/0!</v>
      </c>
      <c r="N273" s="79" t="e">
        <f t="shared" ref="N273" si="118">M273*(1+InflationLabor)</f>
        <v>#DIV/0!</v>
      </c>
      <c r="O273" s="79" t="e">
        <f t="shared" ref="O273" si="119">N273*(1+InflationLabor)</f>
        <v>#DIV/0!</v>
      </c>
      <c r="P273" s="79" t="e">
        <f t="shared" ref="P273" si="120">O273*(1+InflationLabor)</f>
        <v>#DIV/0!</v>
      </c>
      <c r="Q273" s="79" t="e">
        <f t="shared" ref="Q273" si="121">P273*(1+InflationLabor)</f>
        <v>#DIV/0!</v>
      </c>
      <c r="R273" s="79" t="e">
        <f t="shared" ref="R273" si="122">Q273*(1+InflationLabor)</f>
        <v>#DIV/0!</v>
      </c>
      <c r="S273" s="79" t="e">
        <f t="shared" ref="S273" si="123">R273*(1+InflationLabor)</f>
        <v>#DIV/0!</v>
      </c>
      <c r="T273" s="79" t="e">
        <f t="shared" ref="T273" si="124">S273*(1+InflationLabor)</f>
        <v>#DIV/0!</v>
      </c>
      <c r="U273" s="79" t="e">
        <f t="shared" ref="U273" si="125">T273*(1+InflationLabor)</f>
        <v>#DIV/0!</v>
      </c>
      <c r="V273" s="79" t="e">
        <f t="shared" ref="V273" si="126">U273*(1+InflationLabor)</f>
        <v>#DIV/0!</v>
      </c>
      <c r="W273" s="79" t="e">
        <f t="shared" ref="W273" si="127">V273*(1+InflationLabor)</f>
        <v>#DIV/0!</v>
      </c>
    </row>
    <row r="274" spans="1:23" x14ac:dyDescent="0.35">
      <c r="A274" s="8"/>
      <c r="C274" s="7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x14ac:dyDescent="0.35">
      <c r="A275" s="33" t="s">
        <v>437</v>
      </c>
      <c r="C275" s="21">
        <f>'ServOrderOpp-AMI'!$C$6</f>
        <v>99890</v>
      </c>
      <c r="D275" s="21">
        <f>'ServOrderOpp-AMI'!$C$6</f>
        <v>99890</v>
      </c>
      <c r="E275" s="21">
        <f>'ServOrderOpp-AMI'!$C$6</f>
        <v>99890</v>
      </c>
      <c r="F275" s="21">
        <f>'ServOrderOpp-AMI'!$C$6</f>
        <v>99890</v>
      </c>
      <c r="G275" s="21">
        <f>'ServOrderOpp-AMI'!$C$6</f>
        <v>99890</v>
      </c>
      <c r="H275" s="21">
        <f>'ServOrderOpp-AMI'!$C$6</f>
        <v>99890</v>
      </c>
      <c r="I275" s="21">
        <f>'ServOrderOpp-AMI'!$C$6</f>
        <v>99890</v>
      </c>
      <c r="J275" s="21">
        <f>'ServOrderOpp-AMI'!$C$6</f>
        <v>99890</v>
      </c>
      <c r="K275" s="21">
        <f>'ServOrderOpp-AMI'!$C$6</f>
        <v>99890</v>
      </c>
      <c r="L275" s="21">
        <f>'ServOrderOpp-AMI'!$C$6</f>
        <v>99890</v>
      </c>
      <c r="M275" s="21">
        <f>'ServOrderOpp-AMI'!$C$6</f>
        <v>99890</v>
      </c>
      <c r="N275" s="21">
        <f>'ServOrderOpp-AMI'!$C$6</f>
        <v>99890</v>
      </c>
      <c r="O275" s="21">
        <f>'ServOrderOpp-AMI'!$C$6</f>
        <v>99890</v>
      </c>
      <c r="P275" s="21">
        <f>'ServOrderOpp-AMI'!$C$6</f>
        <v>99890</v>
      </c>
      <c r="Q275" s="21">
        <f>'ServOrderOpp-AMI'!$C$6</f>
        <v>99890</v>
      </c>
      <c r="R275" s="21">
        <f>'ServOrderOpp-AMI'!$C$6</f>
        <v>99890</v>
      </c>
      <c r="S275" s="21">
        <f>'ServOrderOpp-AMI'!$C$6</f>
        <v>99890</v>
      </c>
      <c r="T275" s="21">
        <f>'ServOrderOpp-AMI'!$C$6</f>
        <v>99890</v>
      </c>
      <c r="U275" s="21">
        <f>'ServOrderOpp-AMI'!$C$6</f>
        <v>99890</v>
      </c>
      <c r="V275" s="21">
        <f>'ServOrderOpp-AMI'!$C$6</f>
        <v>99890</v>
      </c>
      <c r="W275" s="334">
        <f>'ServOrderOpp-AMI'!$C$6</f>
        <v>99890</v>
      </c>
    </row>
    <row r="276" spans="1:23" x14ac:dyDescent="0.35">
      <c r="A276" s="33" t="s">
        <v>409</v>
      </c>
      <c r="C276" s="72">
        <f>(ServOrderMins!$G$4+'Transit Time'!$F$8)/60</f>
        <v>0.455478712778497</v>
      </c>
      <c r="D276" s="72">
        <f>(ServOrderMins!$G$4+'Transit Time'!$F$8)/60</f>
        <v>0.455478712778497</v>
      </c>
      <c r="E276" s="72">
        <f>(ServOrderMins!$G$4+'Transit Time'!$F$8)/60</f>
        <v>0.455478712778497</v>
      </c>
      <c r="F276" s="72">
        <f>(ServOrderMins!$G$4+'Transit Time'!$F$8)/60</f>
        <v>0.455478712778497</v>
      </c>
      <c r="G276" s="72">
        <f>(ServOrderMins!$G$4+'Transit Time'!$F$8)/60</f>
        <v>0.455478712778497</v>
      </c>
      <c r="H276" s="72">
        <f>(ServOrderMins!$G$4+'Transit Time'!$F$8)/60</f>
        <v>0.455478712778497</v>
      </c>
      <c r="I276" s="72">
        <f>(ServOrderMins!$G$4+'Transit Time'!$F$8)/60</f>
        <v>0.455478712778497</v>
      </c>
      <c r="J276" s="72">
        <f>(ServOrderMins!$G$4+'Transit Time'!$F$8)/60</f>
        <v>0.455478712778497</v>
      </c>
      <c r="K276" s="72">
        <f>(ServOrderMins!$G$4+'Transit Time'!$F$8)/60</f>
        <v>0.455478712778497</v>
      </c>
      <c r="L276" s="72">
        <f>(ServOrderMins!$G$4+'Transit Time'!$F$8)/60</f>
        <v>0.455478712778497</v>
      </c>
      <c r="M276" s="72">
        <f>(ServOrderMins!$G$4+'Transit Time'!$F$8)/60</f>
        <v>0.455478712778497</v>
      </c>
      <c r="N276" s="72">
        <f>(ServOrderMins!$G$4+'Transit Time'!$F$8)/60</f>
        <v>0.455478712778497</v>
      </c>
      <c r="O276" s="72">
        <f>(ServOrderMins!$G$4+'Transit Time'!$F$8)/60</f>
        <v>0.455478712778497</v>
      </c>
      <c r="P276" s="72">
        <f>(ServOrderMins!$G$4+'Transit Time'!$F$8)/60</f>
        <v>0.455478712778497</v>
      </c>
      <c r="Q276" s="72">
        <f>(ServOrderMins!$G$4+'Transit Time'!$F$8)/60</f>
        <v>0.455478712778497</v>
      </c>
      <c r="R276" s="72">
        <f>(ServOrderMins!$G$4+'Transit Time'!$F$8)/60</f>
        <v>0.455478712778497</v>
      </c>
      <c r="S276" s="72">
        <f>(ServOrderMins!$G$4+'Transit Time'!$F$8)/60</f>
        <v>0.455478712778497</v>
      </c>
      <c r="T276" s="72">
        <f>(ServOrderMins!$G$4+'Transit Time'!$F$8)/60</f>
        <v>0.455478712778497</v>
      </c>
      <c r="U276" s="72">
        <f>(ServOrderMins!$G$4+'Transit Time'!$F$8)/60</f>
        <v>0.455478712778497</v>
      </c>
      <c r="V276" s="72">
        <f>(ServOrderMins!$G$4+'Transit Time'!$F$8)/60</f>
        <v>0.455478712778497</v>
      </c>
      <c r="W276" s="359">
        <f>(ServOrderMins!$G$4+'Transit Time'!$F$8)/60</f>
        <v>0.455478712778497</v>
      </c>
    </row>
    <row r="277" spans="1:23" x14ac:dyDescent="0.35">
      <c r="A277" s="33" t="s">
        <v>410</v>
      </c>
      <c r="C277" s="91">
        <f>C275*C276</f>
        <v>45497.768619444068</v>
      </c>
      <c r="D277" s="91">
        <f t="shared" ref="D277:W277" si="128">D275*D276</f>
        <v>45497.768619444068</v>
      </c>
      <c r="E277" s="91">
        <f t="shared" si="128"/>
        <v>45497.768619444068</v>
      </c>
      <c r="F277" s="91">
        <f t="shared" si="128"/>
        <v>45497.768619444068</v>
      </c>
      <c r="G277" s="91">
        <f t="shared" si="128"/>
        <v>45497.768619444068</v>
      </c>
      <c r="H277" s="91">
        <f t="shared" si="128"/>
        <v>45497.768619444068</v>
      </c>
      <c r="I277" s="91">
        <f t="shared" si="128"/>
        <v>45497.768619444068</v>
      </c>
      <c r="J277" s="91">
        <f t="shared" si="128"/>
        <v>45497.768619444068</v>
      </c>
      <c r="K277" s="91">
        <f t="shared" si="128"/>
        <v>45497.768619444068</v>
      </c>
      <c r="L277" s="91">
        <f t="shared" si="128"/>
        <v>45497.768619444068</v>
      </c>
      <c r="M277" s="91">
        <f t="shared" si="128"/>
        <v>45497.768619444068</v>
      </c>
      <c r="N277" s="91">
        <f t="shared" si="128"/>
        <v>45497.768619444068</v>
      </c>
      <c r="O277" s="91">
        <f t="shared" si="128"/>
        <v>45497.768619444068</v>
      </c>
      <c r="P277" s="91">
        <f t="shared" si="128"/>
        <v>45497.768619444068</v>
      </c>
      <c r="Q277" s="91">
        <f t="shared" si="128"/>
        <v>45497.768619444068</v>
      </c>
      <c r="R277" s="91">
        <f t="shared" si="128"/>
        <v>45497.768619444068</v>
      </c>
      <c r="S277" s="91">
        <f t="shared" si="128"/>
        <v>45497.768619444068</v>
      </c>
      <c r="T277" s="91">
        <f t="shared" si="128"/>
        <v>45497.768619444068</v>
      </c>
      <c r="U277" s="91">
        <f t="shared" si="128"/>
        <v>45497.768619444068</v>
      </c>
      <c r="V277" s="91">
        <f t="shared" si="128"/>
        <v>45497.768619444068</v>
      </c>
      <c r="W277" s="349">
        <f t="shared" si="128"/>
        <v>45497.768619444068</v>
      </c>
    </row>
    <row r="278" spans="1:23" x14ac:dyDescent="0.35">
      <c r="A278" s="33" t="s">
        <v>411</v>
      </c>
      <c r="C278" s="91">
        <f>C277/2088</f>
        <v>21.790119070614974</v>
      </c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349"/>
    </row>
    <row r="279" spans="1:23" x14ac:dyDescent="0.35">
      <c r="A279" s="33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349"/>
    </row>
    <row r="280" spans="1:23" x14ac:dyDescent="0.35">
      <c r="A280" s="33" t="s">
        <v>412</v>
      </c>
      <c r="C280" s="9">
        <f t="shared" ref="C280:W280" si="129">C273*C277</f>
        <v>0</v>
      </c>
      <c r="D280" s="9" t="e">
        <f t="shared" si="129"/>
        <v>#DIV/0!</v>
      </c>
      <c r="E280" s="9" t="e">
        <f t="shared" si="129"/>
        <v>#DIV/0!</v>
      </c>
      <c r="F280" s="9" t="e">
        <f t="shared" si="129"/>
        <v>#DIV/0!</v>
      </c>
      <c r="G280" s="9" t="e">
        <f t="shared" si="129"/>
        <v>#DIV/0!</v>
      </c>
      <c r="H280" s="9" t="e">
        <f t="shared" si="129"/>
        <v>#DIV/0!</v>
      </c>
      <c r="I280" s="9" t="e">
        <f t="shared" si="129"/>
        <v>#DIV/0!</v>
      </c>
      <c r="J280" s="9" t="e">
        <f t="shared" si="129"/>
        <v>#DIV/0!</v>
      </c>
      <c r="K280" s="9" t="e">
        <f t="shared" si="129"/>
        <v>#DIV/0!</v>
      </c>
      <c r="L280" s="9" t="e">
        <f t="shared" si="129"/>
        <v>#DIV/0!</v>
      </c>
      <c r="M280" s="9" t="e">
        <f t="shared" si="129"/>
        <v>#DIV/0!</v>
      </c>
      <c r="N280" s="9" t="e">
        <f t="shared" si="129"/>
        <v>#DIV/0!</v>
      </c>
      <c r="O280" s="9" t="e">
        <f t="shared" si="129"/>
        <v>#DIV/0!</v>
      </c>
      <c r="P280" s="9" t="e">
        <f t="shared" si="129"/>
        <v>#DIV/0!</v>
      </c>
      <c r="Q280" s="9" t="e">
        <f t="shared" si="129"/>
        <v>#DIV/0!</v>
      </c>
      <c r="R280" s="9" t="e">
        <f t="shared" si="129"/>
        <v>#DIV/0!</v>
      </c>
      <c r="S280" s="9" t="e">
        <f t="shared" si="129"/>
        <v>#DIV/0!</v>
      </c>
      <c r="T280" s="9" t="e">
        <f t="shared" si="129"/>
        <v>#DIV/0!</v>
      </c>
      <c r="U280" s="9" t="e">
        <f t="shared" si="129"/>
        <v>#DIV/0!</v>
      </c>
      <c r="V280" s="9" t="e">
        <f t="shared" si="129"/>
        <v>#DIV/0!</v>
      </c>
      <c r="W280" s="319" t="e">
        <f t="shared" si="129"/>
        <v>#DIV/0!</v>
      </c>
    </row>
    <row r="281" spans="1:23" x14ac:dyDescent="0.35">
      <c r="A281" s="33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319"/>
    </row>
    <row r="282" spans="1:23" x14ac:dyDescent="0.35">
      <c r="A282" s="33" t="s">
        <v>413</v>
      </c>
      <c r="C282" s="21">
        <f>IF($B$2="Like",0,'ServOrderOpp-AMI'!$I$6)</f>
        <v>-29799.649999999998</v>
      </c>
      <c r="D282" s="21">
        <f>IF($B$2="Like",0,'ServOrderOpp-AMI'!$I$6)</f>
        <v>-29799.649999999998</v>
      </c>
      <c r="E282" s="21">
        <f>IF($B$2="Like",0,'ServOrderOpp-AMI'!$I$6)</f>
        <v>-29799.649999999998</v>
      </c>
      <c r="F282" s="21">
        <f>IF($B$2="Like",0,'ServOrderOpp-AMI'!$I$6)</f>
        <v>-29799.649999999998</v>
      </c>
      <c r="G282" s="21">
        <f>IF($B$2="Like",0,'ServOrderOpp-AMI'!$I$6)</f>
        <v>-29799.649999999998</v>
      </c>
      <c r="H282" s="21">
        <f>IF($B$2="Like",0,'ServOrderOpp-AMI'!$I$6)</f>
        <v>-29799.649999999998</v>
      </c>
      <c r="I282" s="21">
        <f>IF($B$2="Like",0,'ServOrderOpp-AMI'!$I$6)</f>
        <v>-29799.649999999998</v>
      </c>
      <c r="J282" s="21">
        <f>IF($B$2="Like",0,'ServOrderOpp-AMI'!$I$6)</f>
        <v>-29799.649999999998</v>
      </c>
      <c r="K282" s="21">
        <f>IF($B$2="Like",0,'ServOrderOpp-AMI'!$I$6)</f>
        <v>-29799.649999999998</v>
      </c>
      <c r="L282" s="21">
        <f>IF($B$2="Like",0,'ServOrderOpp-AMI'!$I$6)</f>
        <v>-29799.649999999998</v>
      </c>
      <c r="M282" s="21">
        <f>IF($B$2="Like",0,'ServOrderOpp-AMI'!$I$6)</f>
        <v>-29799.649999999998</v>
      </c>
      <c r="N282" s="21">
        <f>IF($B$2="Like",0,'ServOrderOpp-AMI'!$I$6)</f>
        <v>-29799.649999999998</v>
      </c>
      <c r="O282" s="21">
        <f>IF($B$2="Like",0,'ServOrderOpp-AMI'!$I$6)</f>
        <v>-29799.649999999998</v>
      </c>
      <c r="P282" s="21">
        <f>IF($B$2="Like",0,'ServOrderOpp-AMI'!$I$6)</f>
        <v>-29799.649999999998</v>
      </c>
      <c r="Q282" s="21">
        <f>IF($B$2="Like",0,'ServOrderOpp-AMI'!$I$6)</f>
        <v>-29799.649999999998</v>
      </c>
      <c r="R282" s="21">
        <f>IF($B$2="Like",0,'ServOrderOpp-AMI'!$I$6)</f>
        <v>-29799.649999999998</v>
      </c>
      <c r="S282" s="21">
        <f>IF($B$2="Like",0,'ServOrderOpp-AMI'!$I$6)</f>
        <v>-29799.649999999998</v>
      </c>
      <c r="T282" s="21">
        <f>IF($B$2="Like",0,'ServOrderOpp-AMI'!$I$6)</f>
        <v>-29799.649999999998</v>
      </c>
      <c r="U282" s="21">
        <f>IF($B$2="Like",0,'ServOrderOpp-AMI'!$I$6)</f>
        <v>-29799.649999999998</v>
      </c>
      <c r="V282" s="21">
        <f>IF($B$2="Like",0,'ServOrderOpp-AMI'!$I$6)</f>
        <v>-29799.649999999998</v>
      </c>
      <c r="W282" s="334">
        <f>IF($B$2="Like",0,'ServOrderOpp-AMI'!$I$6)</f>
        <v>-29799.649999999998</v>
      </c>
    </row>
    <row r="283" spans="1:23" x14ac:dyDescent="0.35">
      <c r="A283" s="8" t="s">
        <v>414</v>
      </c>
      <c r="C283" s="63">
        <f>C251</f>
        <v>0</v>
      </c>
      <c r="D283" s="63">
        <f t="shared" ref="D283:W283" si="130">D251</f>
        <v>0.12027114763025069</v>
      </c>
      <c r="E283" s="63">
        <f t="shared" si="130"/>
        <v>0.24934551775653957</v>
      </c>
      <c r="F283" s="63">
        <f t="shared" si="130"/>
        <v>0.3595079689757964</v>
      </c>
      <c r="G283" s="63">
        <f t="shared" si="130"/>
        <v>0.44366565905489275</v>
      </c>
      <c r="H283" s="63">
        <f t="shared" si="130"/>
        <v>0.45462605502537645</v>
      </c>
      <c r="I283" s="63">
        <f t="shared" si="130"/>
        <v>0.50274009899262095</v>
      </c>
      <c r="J283" s="63">
        <f t="shared" si="130"/>
        <v>0.5467701737606725</v>
      </c>
      <c r="K283" s="63">
        <f t="shared" si="130"/>
        <v>0.66757886947355194</v>
      </c>
      <c r="L283" s="63">
        <f t="shared" si="130"/>
        <v>0.88839943313111291</v>
      </c>
      <c r="M283" s="63">
        <f t="shared" si="130"/>
        <v>0.99998603771213945</v>
      </c>
      <c r="N283" s="63">
        <f t="shared" si="130"/>
        <v>0.99998603771213945</v>
      </c>
      <c r="O283" s="63">
        <f t="shared" si="130"/>
        <v>0.99998603771213945</v>
      </c>
      <c r="P283" s="63">
        <f t="shared" si="130"/>
        <v>0.99998603771213945</v>
      </c>
      <c r="Q283" s="63">
        <f t="shared" si="130"/>
        <v>0.99998603771213945</v>
      </c>
      <c r="R283" s="63">
        <f t="shared" si="130"/>
        <v>0.99998603771213945</v>
      </c>
      <c r="S283" s="63">
        <f t="shared" si="130"/>
        <v>0.99998603771213945</v>
      </c>
      <c r="T283" s="63">
        <f t="shared" si="130"/>
        <v>0.99998603771213945</v>
      </c>
      <c r="U283" s="63">
        <f t="shared" si="130"/>
        <v>0.99998603771213945</v>
      </c>
      <c r="V283" s="63">
        <f t="shared" si="130"/>
        <v>0.99998603771213945</v>
      </c>
      <c r="W283" s="63">
        <f t="shared" si="130"/>
        <v>0.99998603771213945</v>
      </c>
    </row>
    <row r="284" spans="1:23" x14ac:dyDescent="0.35">
      <c r="A284" s="8" t="s">
        <v>415</v>
      </c>
      <c r="D284" s="63">
        <f>AVERAGE(C283:D283)</f>
        <v>6.0135573815125347E-2</v>
      </c>
      <c r="E284" s="63">
        <f t="shared" ref="E284:W284" si="131">AVERAGE(D283:E283)</f>
        <v>0.18480833269339514</v>
      </c>
      <c r="F284" s="63">
        <f t="shared" si="131"/>
        <v>0.30442674336616798</v>
      </c>
      <c r="G284" s="63">
        <f t="shared" si="131"/>
        <v>0.40158681401534457</v>
      </c>
      <c r="H284" s="63">
        <f t="shared" si="131"/>
        <v>0.4491458570401346</v>
      </c>
      <c r="I284" s="63">
        <f t="shared" si="131"/>
        <v>0.4786830770089987</v>
      </c>
      <c r="J284" s="63">
        <f t="shared" si="131"/>
        <v>0.52475513637664672</v>
      </c>
      <c r="K284" s="63">
        <f t="shared" si="131"/>
        <v>0.60717452161711227</v>
      </c>
      <c r="L284" s="63">
        <f t="shared" si="131"/>
        <v>0.77798915130233248</v>
      </c>
      <c r="M284" s="63">
        <f t="shared" si="131"/>
        <v>0.94419273542162618</v>
      </c>
      <c r="N284" s="63">
        <f t="shared" si="131"/>
        <v>0.99998603771213945</v>
      </c>
      <c r="O284" s="63">
        <f t="shared" si="131"/>
        <v>0.99998603771213945</v>
      </c>
      <c r="P284" s="63">
        <f t="shared" si="131"/>
        <v>0.99998603771213945</v>
      </c>
      <c r="Q284" s="63">
        <f t="shared" si="131"/>
        <v>0.99998603771213945</v>
      </c>
      <c r="R284" s="63">
        <f t="shared" si="131"/>
        <v>0.99998603771213945</v>
      </c>
      <c r="S284" s="63">
        <f t="shared" si="131"/>
        <v>0.99998603771213945</v>
      </c>
      <c r="T284" s="63">
        <f t="shared" si="131"/>
        <v>0.99998603771213945</v>
      </c>
      <c r="U284" s="63">
        <f t="shared" si="131"/>
        <v>0.99998603771213945</v>
      </c>
      <c r="V284" s="63">
        <f t="shared" si="131"/>
        <v>0.99998603771213945</v>
      </c>
      <c r="W284" s="63">
        <f t="shared" si="131"/>
        <v>0.99998603771213945</v>
      </c>
    </row>
    <row r="285" spans="1:23" x14ac:dyDescent="0.35">
      <c r="A285" s="8" t="s">
        <v>416</v>
      </c>
      <c r="B285" s="20"/>
      <c r="C285" s="68">
        <v>0</v>
      </c>
      <c r="D285" s="13">
        <f>D282*D284</f>
        <v>-1792.0190522399</v>
      </c>
      <c r="E285" s="13">
        <f t="shared" ref="E285:W285" si="132">E282*E284</f>
        <v>-5507.223631346732</v>
      </c>
      <c r="F285" s="13">
        <f t="shared" si="132"/>
        <v>-9071.8104029516271</v>
      </c>
      <c r="G285" s="13">
        <f t="shared" si="132"/>
        <v>-11967.146502272362</v>
      </c>
      <c r="H285" s="13">
        <f t="shared" si="132"/>
        <v>-13384.389338746047</v>
      </c>
      <c r="I285" s="13">
        <f t="shared" si="132"/>
        <v>-14264.588155791207</v>
      </c>
      <c r="J285" s="13">
        <f t="shared" si="132"/>
        <v>-15637.51939972634</v>
      </c>
      <c r="K285" s="13">
        <f t="shared" si="132"/>
        <v>-18093.588233107377</v>
      </c>
      <c r="L285" s="13">
        <f t="shared" si="132"/>
        <v>-23183.804412606551</v>
      </c>
      <c r="M285" s="13">
        <f t="shared" si="132"/>
        <v>-28136.613048107061</v>
      </c>
      <c r="N285" s="13">
        <f t="shared" si="132"/>
        <v>-29799.233928708556</v>
      </c>
      <c r="O285" s="13">
        <f t="shared" si="132"/>
        <v>-29799.233928708556</v>
      </c>
      <c r="P285" s="13">
        <f t="shared" si="132"/>
        <v>-29799.233928708556</v>
      </c>
      <c r="Q285" s="13">
        <f t="shared" si="132"/>
        <v>-29799.233928708556</v>
      </c>
      <c r="R285" s="13">
        <f t="shared" si="132"/>
        <v>-29799.233928708556</v>
      </c>
      <c r="S285" s="13">
        <f t="shared" si="132"/>
        <v>-29799.233928708556</v>
      </c>
      <c r="T285" s="13">
        <f t="shared" si="132"/>
        <v>-29799.233928708556</v>
      </c>
      <c r="U285" s="13">
        <f t="shared" si="132"/>
        <v>-29799.233928708556</v>
      </c>
      <c r="V285" s="13">
        <f t="shared" si="132"/>
        <v>-29799.233928708556</v>
      </c>
      <c r="W285" s="13">
        <f t="shared" si="132"/>
        <v>-29799.233928708556</v>
      </c>
    </row>
    <row r="286" spans="1:23" x14ac:dyDescent="0.35">
      <c r="A286" s="8" t="s">
        <v>417</v>
      </c>
      <c r="C286" s="206"/>
      <c r="D286" s="206">
        <f>'ServOrderOpp-AMI'!$M$6</f>
        <v>0.41448855408649765</v>
      </c>
      <c r="E286" s="206">
        <f>'ServOrderOpp-AMI'!$M$6</f>
        <v>0.41448855408649765</v>
      </c>
      <c r="F286" s="206">
        <f>'ServOrderOpp-AMI'!$M$6</f>
        <v>0.41448855408649765</v>
      </c>
      <c r="G286" s="206">
        <f>'ServOrderOpp-AMI'!$M$6</f>
        <v>0.41448855408649765</v>
      </c>
      <c r="H286" s="206">
        <f>'ServOrderOpp-AMI'!$M$6</f>
        <v>0.41448855408649765</v>
      </c>
      <c r="I286" s="206">
        <f>'ServOrderOpp-AMI'!$M$6</f>
        <v>0.41448855408649765</v>
      </c>
      <c r="J286" s="206">
        <f>'ServOrderOpp-AMI'!$M$6</f>
        <v>0.41448855408649765</v>
      </c>
      <c r="K286" s="206">
        <f>'ServOrderOpp-AMI'!$M$6</f>
        <v>0.41448855408649765</v>
      </c>
      <c r="L286" s="206">
        <f>'ServOrderOpp-AMI'!$M$6</f>
        <v>0.41448855408649765</v>
      </c>
      <c r="M286" s="206">
        <f>'ServOrderOpp-AMI'!$M$6</f>
        <v>0.41448855408649765</v>
      </c>
      <c r="N286" s="206">
        <f>'ServOrderOpp-AMI'!$M$6</f>
        <v>0.41448855408649765</v>
      </c>
      <c r="O286" s="206">
        <f>'ServOrderOpp-AMI'!$M$6</f>
        <v>0.41448855408649765</v>
      </c>
      <c r="P286" s="206">
        <f>'ServOrderOpp-AMI'!$M$6</f>
        <v>0.41448855408649765</v>
      </c>
      <c r="Q286" s="206">
        <f>'ServOrderOpp-AMI'!$M$6</f>
        <v>0.41448855408649765</v>
      </c>
      <c r="R286" s="206">
        <f>'ServOrderOpp-AMI'!$M$6</f>
        <v>0.41448855408649765</v>
      </c>
      <c r="S286" s="206">
        <f>'ServOrderOpp-AMI'!$M$6</f>
        <v>0.41448855408649765</v>
      </c>
      <c r="T286" s="206">
        <f>'ServOrderOpp-AMI'!$M$6</f>
        <v>0.41448855408649765</v>
      </c>
      <c r="U286" s="206">
        <f>'ServOrderOpp-AMI'!$M$6</f>
        <v>0.41448855408649765</v>
      </c>
      <c r="V286" s="206">
        <f>'ServOrderOpp-AMI'!$M$6</f>
        <v>0.41448855408649765</v>
      </c>
      <c r="W286" s="360">
        <f>'ServOrderOpp-AMI'!$M$6</f>
        <v>0.41448855408649765</v>
      </c>
    </row>
    <row r="287" spans="1:23" x14ac:dyDescent="0.35">
      <c r="A287" s="8" t="s">
        <v>418</v>
      </c>
      <c r="C287" s="92">
        <f>C285*C286</f>
        <v>0</v>
      </c>
      <c r="D287" s="92">
        <f>D285*D286</f>
        <v>-742.77138585837201</v>
      </c>
      <c r="E287" s="92">
        <f>E285*E286</f>
        <v>-2282.6811599878979</v>
      </c>
      <c r="F287" s="92">
        <f t="shared" ref="F287:W287" si="133">F285*F286</f>
        <v>-3760.1615768662678</v>
      </c>
      <c r="G287" s="92">
        <f t="shared" si="133"/>
        <v>-4960.245250268159</v>
      </c>
      <c r="H287" s="92">
        <f t="shared" si="133"/>
        <v>-5547.6761843475833</v>
      </c>
      <c r="I287" s="92">
        <f t="shared" si="133"/>
        <v>-5912.5085193332779</v>
      </c>
      <c r="J287" s="92">
        <f t="shared" si="133"/>
        <v>-6481.5728054921274</v>
      </c>
      <c r="K287" s="92">
        <f t="shared" si="133"/>
        <v>-7499.5852249771442</v>
      </c>
      <c r="L287" s="92">
        <f t="shared" si="133"/>
        <v>-9609.4215692054531</v>
      </c>
      <c r="M287" s="92">
        <f t="shared" si="133"/>
        <v>-11662.304059201178</v>
      </c>
      <c r="N287" s="92">
        <f t="shared" si="133"/>
        <v>-12351.441383995712</v>
      </c>
      <c r="O287" s="92">
        <f t="shared" si="133"/>
        <v>-12351.441383995712</v>
      </c>
      <c r="P287" s="92">
        <f t="shared" si="133"/>
        <v>-12351.441383995712</v>
      </c>
      <c r="Q287" s="92">
        <f t="shared" si="133"/>
        <v>-12351.441383995712</v>
      </c>
      <c r="R287" s="92">
        <f t="shared" si="133"/>
        <v>-12351.441383995712</v>
      </c>
      <c r="S287" s="92">
        <f t="shared" si="133"/>
        <v>-12351.441383995712</v>
      </c>
      <c r="T287" s="92">
        <f t="shared" si="133"/>
        <v>-12351.441383995712</v>
      </c>
      <c r="U287" s="92">
        <f t="shared" si="133"/>
        <v>-12351.441383995712</v>
      </c>
      <c r="V287" s="92">
        <f t="shared" si="133"/>
        <v>-12351.441383995712</v>
      </c>
      <c r="W287" s="346">
        <f t="shared" si="133"/>
        <v>-12351.441383995712</v>
      </c>
    </row>
    <row r="288" spans="1:23" x14ac:dyDescent="0.35">
      <c r="A288" s="8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346"/>
    </row>
    <row r="289" spans="1:23" x14ac:dyDescent="0.35">
      <c r="A289" s="8" t="s">
        <v>419</v>
      </c>
      <c r="C289" s="110"/>
      <c r="D289" s="35" t="e">
        <f t="shared" ref="D289:W289" si="134">D273*D287</f>
        <v>#DIV/0!</v>
      </c>
      <c r="E289" s="35" t="e">
        <f t="shared" si="134"/>
        <v>#DIV/0!</v>
      </c>
      <c r="F289" s="35" t="e">
        <f t="shared" si="134"/>
        <v>#DIV/0!</v>
      </c>
      <c r="G289" s="35" t="e">
        <f t="shared" si="134"/>
        <v>#DIV/0!</v>
      </c>
      <c r="H289" s="35" t="e">
        <f t="shared" si="134"/>
        <v>#DIV/0!</v>
      </c>
      <c r="I289" s="35" t="e">
        <f t="shared" si="134"/>
        <v>#DIV/0!</v>
      </c>
      <c r="J289" s="35" t="e">
        <f t="shared" si="134"/>
        <v>#DIV/0!</v>
      </c>
      <c r="K289" s="35" t="e">
        <f t="shared" si="134"/>
        <v>#DIV/0!</v>
      </c>
      <c r="L289" s="35" t="e">
        <f t="shared" si="134"/>
        <v>#DIV/0!</v>
      </c>
      <c r="M289" s="35" t="e">
        <f t="shared" si="134"/>
        <v>#DIV/0!</v>
      </c>
      <c r="N289" s="35" t="e">
        <f t="shared" si="134"/>
        <v>#DIV/0!</v>
      </c>
      <c r="O289" s="35" t="e">
        <f t="shared" si="134"/>
        <v>#DIV/0!</v>
      </c>
      <c r="P289" s="35" t="e">
        <f t="shared" si="134"/>
        <v>#DIV/0!</v>
      </c>
      <c r="Q289" s="35" t="e">
        <f t="shared" si="134"/>
        <v>#DIV/0!</v>
      </c>
      <c r="R289" s="35" t="e">
        <f t="shared" si="134"/>
        <v>#DIV/0!</v>
      </c>
      <c r="S289" s="35" t="e">
        <f t="shared" si="134"/>
        <v>#DIV/0!</v>
      </c>
      <c r="T289" s="35" t="e">
        <f t="shared" si="134"/>
        <v>#DIV/0!</v>
      </c>
      <c r="U289" s="35" t="e">
        <f t="shared" si="134"/>
        <v>#DIV/0!</v>
      </c>
      <c r="V289" s="35" t="e">
        <f t="shared" si="134"/>
        <v>#DIV/0!</v>
      </c>
      <c r="W289" s="351" t="e">
        <f t="shared" si="134"/>
        <v>#DIV/0!</v>
      </c>
    </row>
    <row r="290" spans="1:23" x14ac:dyDescent="0.35">
      <c r="A290" s="8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:23" x14ac:dyDescent="0.35">
      <c r="A291" s="8" t="s">
        <v>420</v>
      </c>
      <c r="C291" s="14">
        <f t="shared" ref="C291:W291" si="135">C280+C289</f>
        <v>0</v>
      </c>
      <c r="D291" s="14" t="e">
        <f t="shared" si="135"/>
        <v>#DIV/0!</v>
      </c>
      <c r="E291" s="14" t="e">
        <f t="shared" si="135"/>
        <v>#DIV/0!</v>
      </c>
      <c r="F291" s="14" t="e">
        <f t="shared" si="135"/>
        <v>#DIV/0!</v>
      </c>
      <c r="G291" s="14" t="e">
        <f t="shared" si="135"/>
        <v>#DIV/0!</v>
      </c>
      <c r="H291" s="14" t="e">
        <f t="shared" si="135"/>
        <v>#DIV/0!</v>
      </c>
      <c r="I291" s="14" t="e">
        <f t="shared" si="135"/>
        <v>#DIV/0!</v>
      </c>
      <c r="J291" s="14" t="e">
        <f t="shared" si="135"/>
        <v>#DIV/0!</v>
      </c>
      <c r="K291" s="14" t="e">
        <f t="shared" si="135"/>
        <v>#DIV/0!</v>
      </c>
      <c r="L291" s="14" t="e">
        <f t="shared" si="135"/>
        <v>#DIV/0!</v>
      </c>
      <c r="M291" s="14" t="e">
        <f t="shared" si="135"/>
        <v>#DIV/0!</v>
      </c>
      <c r="N291" s="14" t="e">
        <f t="shared" si="135"/>
        <v>#DIV/0!</v>
      </c>
      <c r="O291" s="14" t="e">
        <f t="shared" si="135"/>
        <v>#DIV/0!</v>
      </c>
      <c r="P291" s="14" t="e">
        <f t="shared" si="135"/>
        <v>#DIV/0!</v>
      </c>
      <c r="Q291" s="14" t="e">
        <f t="shared" si="135"/>
        <v>#DIV/0!</v>
      </c>
      <c r="R291" s="14" t="e">
        <f t="shared" si="135"/>
        <v>#DIV/0!</v>
      </c>
      <c r="S291" s="14" t="e">
        <f t="shared" si="135"/>
        <v>#DIV/0!</v>
      </c>
      <c r="T291" s="14" t="e">
        <f t="shared" si="135"/>
        <v>#DIV/0!</v>
      </c>
      <c r="U291" s="14" t="e">
        <f t="shared" si="135"/>
        <v>#DIV/0!</v>
      </c>
      <c r="V291" s="14" t="e">
        <f t="shared" si="135"/>
        <v>#DIV/0!</v>
      </c>
      <c r="W291" s="14" t="e">
        <f t="shared" si="135"/>
        <v>#DIV/0!</v>
      </c>
    </row>
    <row r="293" spans="1:23" ht="21" x14ac:dyDescent="0.5">
      <c r="A293" s="93" t="s">
        <v>421</v>
      </c>
      <c r="C293" s="27">
        <f>YearOne-1</f>
        <v>2025</v>
      </c>
      <c r="D293" s="114">
        <f t="shared" ref="D293:W293" si="136">YearOne+D$7-1</f>
        <v>2026</v>
      </c>
      <c r="E293" s="114">
        <f t="shared" si="136"/>
        <v>2027</v>
      </c>
      <c r="F293" s="114">
        <f t="shared" si="136"/>
        <v>2028</v>
      </c>
      <c r="G293" s="114">
        <f t="shared" si="136"/>
        <v>2029</v>
      </c>
      <c r="H293" s="114">
        <f t="shared" si="136"/>
        <v>2030</v>
      </c>
      <c r="I293" s="114">
        <f t="shared" si="136"/>
        <v>2031</v>
      </c>
      <c r="J293" s="114">
        <f t="shared" si="136"/>
        <v>2032</v>
      </c>
      <c r="K293" s="114">
        <f t="shared" si="136"/>
        <v>2033</v>
      </c>
      <c r="L293" s="114">
        <f t="shared" si="136"/>
        <v>2034</v>
      </c>
      <c r="M293" s="114">
        <f t="shared" si="136"/>
        <v>2035</v>
      </c>
      <c r="N293" s="114">
        <f t="shared" si="136"/>
        <v>2036</v>
      </c>
      <c r="O293" s="114">
        <f t="shared" si="136"/>
        <v>2037</v>
      </c>
      <c r="P293" s="114">
        <f t="shared" si="136"/>
        <v>2038</v>
      </c>
      <c r="Q293" s="114">
        <f t="shared" si="136"/>
        <v>2039</v>
      </c>
      <c r="R293" s="114">
        <f t="shared" si="136"/>
        <v>2040</v>
      </c>
      <c r="S293" s="114">
        <f t="shared" si="136"/>
        <v>2041</v>
      </c>
      <c r="T293" s="114">
        <f t="shared" si="136"/>
        <v>2042</v>
      </c>
      <c r="U293" s="114">
        <f t="shared" si="136"/>
        <v>2043</v>
      </c>
      <c r="V293" s="114">
        <f t="shared" si="136"/>
        <v>2044</v>
      </c>
      <c r="W293" s="217">
        <f t="shared" si="136"/>
        <v>2045</v>
      </c>
    </row>
    <row r="294" spans="1:23" x14ac:dyDescent="0.35">
      <c r="A294" s="8" t="s">
        <v>422</v>
      </c>
      <c r="C294" s="13">
        <f t="shared" ref="C294:W294" si="137">C287+C264</f>
        <v>0</v>
      </c>
      <c r="D294" s="13">
        <f t="shared" si="137"/>
        <v>-742.77138585837201</v>
      </c>
      <c r="E294" s="13">
        <f t="shared" si="137"/>
        <v>-2282.6811599878979</v>
      </c>
      <c r="F294" s="13">
        <f t="shared" si="137"/>
        <v>-3760.1615768662678</v>
      </c>
      <c r="G294" s="13">
        <f t="shared" si="137"/>
        <v>-4960.245250268159</v>
      </c>
      <c r="H294" s="13">
        <f t="shared" si="137"/>
        <v>-5547.6761843475833</v>
      </c>
      <c r="I294" s="13">
        <f t="shared" si="137"/>
        <v>-5912.5085193332779</v>
      </c>
      <c r="J294" s="13">
        <f t="shared" si="137"/>
        <v>-6481.5728054921274</v>
      </c>
      <c r="K294" s="13">
        <f t="shared" si="137"/>
        <v>-7499.5852249771442</v>
      </c>
      <c r="L294" s="13">
        <f t="shared" si="137"/>
        <v>-9609.4215692054531</v>
      </c>
      <c r="M294" s="13">
        <f t="shared" si="137"/>
        <v>-11662.304059201178</v>
      </c>
      <c r="N294" s="13">
        <f t="shared" si="137"/>
        <v>-19659.339347596026</v>
      </c>
      <c r="O294" s="13">
        <f t="shared" si="137"/>
        <v>-26967.237311196342</v>
      </c>
      <c r="P294" s="13">
        <f t="shared" si="137"/>
        <v>-26967.237311196342</v>
      </c>
      <c r="Q294" s="13">
        <f t="shared" si="137"/>
        <v>-26967.237311196342</v>
      </c>
      <c r="R294" s="13">
        <f t="shared" si="137"/>
        <v>-26967.237311196342</v>
      </c>
      <c r="S294" s="13">
        <f t="shared" si="137"/>
        <v>-26967.237311196342</v>
      </c>
      <c r="T294" s="13">
        <f t="shared" si="137"/>
        <v>-26967.237311196342</v>
      </c>
      <c r="U294" s="13">
        <f t="shared" si="137"/>
        <v>-26967.237311196342</v>
      </c>
      <c r="V294" s="13">
        <f t="shared" si="137"/>
        <v>-26967.237311196342</v>
      </c>
      <c r="W294" s="13">
        <f t="shared" si="137"/>
        <v>-26967.237311196342</v>
      </c>
    </row>
    <row r="295" spans="1:23" x14ac:dyDescent="0.35">
      <c r="A295" s="8" t="s">
        <v>423</v>
      </c>
      <c r="C295" s="13">
        <f>C294/2088</f>
        <v>0</v>
      </c>
      <c r="D295" s="13">
        <f>D294/2088</f>
        <v>-0.35573342234596361</v>
      </c>
      <c r="E295" s="13">
        <f t="shared" ref="E295:W295" si="138">E294/2088</f>
        <v>-1.0932381034424798</v>
      </c>
      <c r="F295" s="13">
        <f t="shared" si="138"/>
        <v>-1.8008436670815458</v>
      </c>
      <c r="G295" s="13">
        <f t="shared" si="138"/>
        <v>-2.3755963842280456</v>
      </c>
      <c r="H295" s="13">
        <f t="shared" si="138"/>
        <v>-2.6569330384806435</v>
      </c>
      <c r="I295" s="13">
        <f t="shared" si="138"/>
        <v>-2.8316611682630644</v>
      </c>
      <c r="J295" s="13">
        <f t="shared" si="138"/>
        <v>-3.1042015351973791</v>
      </c>
      <c r="K295" s="13">
        <f t="shared" si="138"/>
        <v>-3.5917553759469083</v>
      </c>
      <c r="L295" s="13">
        <f t="shared" si="138"/>
        <v>-4.6022133952133393</v>
      </c>
      <c r="M295" s="13">
        <f t="shared" si="138"/>
        <v>-5.5853946643683807</v>
      </c>
      <c r="N295" s="13">
        <f t="shared" si="138"/>
        <v>-9.4153924078525026</v>
      </c>
      <c r="O295" s="13">
        <f t="shared" si="138"/>
        <v>-12.915343539844992</v>
      </c>
      <c r="P295" s="13">
        <f t="shared" si="138"/>
        <v>-12.915343539844992</v>
      </c>
      <c r="Q295" s="13">
        <f t="shared" si="138"/>
        <v>-12.915343539844992</v>
      </c>
      <c r="R295" s="13">
        <f t="shared" si="138"/>
        <v>-12.915343539844992</v>
      </c>
      <c r="S295" s="13">
        <f t="shared" si="138"/>
        <v>-12.915343539844992</v>
      </c>
      <c r="T295" s="13">
        <f t="shared" si="138"/>
        <v>-12.915343539844992</v>
      </c>
      <c r="U295" s="13">
        <f t="shared" si="138"/>
        <v>-12.915343539844992</v>
      </c>
      <c r="V295" s="13">
        <f t="shared" si="138"/>
        <v>-12.915343539844992</v>
      </c>
      <c r="W295" s="13">
        <f t="shared" si="138"/>
        <v>-12.915343539844992</v>
      </c>
    </row>
    <row r="296" spans="1:23" x14ac:dyDescent="0.35">
      <c r="A296" s="19"/>
    </row>
    <row r="297" spans="1:23" x14ac:dyDescent="0.35">
      <c r="A297" s="8" t="s">
        <v>424</v>
      </c>
      <c r="B297" s="22"/>
      <c r="C297" s="58">
        <f>'Truck Miles'!H29</f>
        <v>11437.2131707317</v>
      </c>
      <c r="D297" s="13">
        <f>C297</f>
        <v>11437.2131707317</v>
      </c>
      <c r="E297" s="13">
        <f t="shared" ref="E297:W297" si="139">D297</f>
        <v>11437.2131707317</v>
      </c>
      <c r="F297" s="13">
        <f t="shared" si="139"/>
        <v>11437.2131707317</v>
      </c>
      <c r="G297" s="13">
        <f t="shared" si="139"/>
        <v>11437.2131707317</v>
      </c>
      <c r="H297" s="13">
        <f t="shared" si="139"/>
        <v>11437.2131707317</v>
      </c>
      <c r="I297" s="13">
        <f t="shared" si="139"/>
        <v>11437.2131707317</v>
      </c>
      <c r="J297" s="13">
        <f t="shared" si="139"/>
        <v>11437.2131707317</v>
      </c>
      <c r="K297" s="13">
        <f t="shared" si="139"/>
        <v>11437.2131707317</v>
      </c>
      <c r="L297" s="13">
        <f t="shared" si="139"/>
        <v>11437.2131707317</v>
      </c>
      <c r="M297" s="13">
        <f t="shared" si="139"/>
        <v>11437.2131707317</v>
      </c>
      <c r="N297" s="13">
        <f t="shared" si="139"/>
        <v>11437.2131707317</v>
      </c>
      <c r="O297" s="13">
        <f t="shared" si="139"/>
        <v>11437.2131707317</v>
      </c>
      <c r="P297" s="13">
        <f t="shared" si="139"/>
        <v>11437.2131707317</v>
      </c>
      <c r="Q297" s="13">
        <f t="shared" si="139"/>
        <v>11437.2131707317</v>
      </c>
      <c r="R297" s="13">
        <f t="shared" si="139"/>
        <v>11437.2131707317</v>
      </c>
      <c r="S297" s="13">
        <f t="shared" si="139"/>
        <v>11437.2131707317</v>
      </c>
      <c r="T297" s="13">
        <f t="shared" si="139"/>
        <v>11437.2131707317</v>
      </c>
      <c r="U297" s="13">
        <f t="shared" si="139"/>
        <v>11437.2131707317</v>
      </c>
      <c r="V297" s="13">
        <f t="shared" si="139"/>
        <v>11437.2131707317</v>
      </c>
      <c r="W297" s="13">
        <f t="shared" si="139"/>
        <v>11437.2131707317</v>
      </c>
    </row>
    <row r="298" spans="1:23" x14ac:dyDescent="0.35">
      <c r="A298" s="8" t="s">
        <v>425</v>
      </c>
      <c r="B298" s="22"/>
      <c r="C298" s="97">
        <f>'Truck Miles'!$C$29</f>
        <v>12.18314789381655</v>
      </c>
      <c r="D298" s="97">
        <f>'Truck Miles'!$C$29</f>
        <v>12.18314789381655</v>
      </c>
      <c r="E298" s="97">
        <f>'Truck Miles'!$C$29</f>
        <v>12.18314789381655</v>
      </c>
      <c r="F298" s="97">
        <f>'Truck Miles'!$C$29</f>
        <v>12.18314789381655</v>
      </c>
      <c r="G298" s="97">
        <f>'Truck Miles'!$C$29</f>
        <v>12.18314789381655</v>
      </c>
      <c r="H298" s="97">
        <f>'Truck Miles'!$C$29</f>
        <v>12.18314789381655</v>
      </c>
      <c r="I298" s="97">
        <f>'Truck Miles'!$C$29</f>
        <v>12.18314789381655</v>
      </c>
      <c r="J298" s="97">
        <f>'Truck Miles'!$C$29</f>
        <v>12.18314789381655</v>
      </c>
      <c r="K298" s="97">
        <f>'Truck Miles'!$C$29</f>
        <v>12.18314789381655</v>
      </c>
      <c r="L298" s="97">
        <f>'Truck Miles'!$C$29</f>
        <v>12.18314789381655</v>
      </c>
      <c r="M298" s="97">
        <f>'Truck Miles'!$C$29</f>
        <v>12.18314789381655</v>
      </c>
      <c r="N298" s="97">
        <f>'Truck Miles'!$C$29</f>
        <v>12.18314789381655</v>
      </c>
      <c r="O298" s="97">
        <f>'Truck Miles'!$C$29</f>
        <v>12.18314789381655</v>
      </c>
      <c r="P298" s="97">
        <f>'Truck Miles'!$C$29</f>
        <v>12.18314789381655</v>
      </c>
      <c r="Q298" s="97">
        <f>'Truck Miles'!$C$29</f>
        <v>12.18314789381655</v>
      </c>
      <c r="R298" s="97">
        <f>'Truck Miles'!$C$29</f>
        <v>12.18314789381655</v>
      </c>
      <c r="S298" s="97">
        <f>'Truck Miles'!$C$29</f>
        <v>12.18314789381655</v>
      </c>
      <c r="T298" s="97">
        <f>'Truck Miles'!$C$29</f>
        <v>12.18314789381655</v>
      </c>
      <c r="U298" s="97">
        <f>'Truck Miles'!$C$29</f>
        <v>12.18314789381655</v>
      </c>
      <c r="V298" s="97">
        <f>'Truck Miles'!$C$29</f>
        <v>12.18314789381655</v>
      </c>
      <c r="W298" s="97">
        <f>'Truck Miles'!$C$29</f>
        <v>12.18314789381655</v>
      </c>
    </row>
    <row r="299" spans="1:23" x14ac:dyDescent="0.35">
      <c r="A299" s="8" t="s">
        <v>426</v>
      </c>
      <c r="B299" s="22" t="s">
        <v>427</v>
      </c>
      <c r="C299" s="96">
        <f>INDEX(PriceFuelOutlook!$F$66:$AI$66,MATCH(C293,PriceFuelOutlook!$F$5:$AI$5,0))</f>
        <v>3.3818709999999998</v>
      </c>
      <c r="D299" s="96">
        <f>INDEX(PriceFuelOutlook!$F$66:$AI$66,MATCH(D293,PriceFuelOutlook!$F$5:$AI$5,0))</f>
        <v>3.4165350000000001</v>
      </c>
      <c r="E299" s="96">
        <f>INDEX(PriceFuelOutlook!$F$66:$AI$66,MATCH(E293,PriceFuelOutlook!$F$5:$AI$5,0))</f>
        <v>3.468658</v>
      </c>
      <c r="F299" s="96">
        <f>INDEX(PriceFuelOutlook!$F$66:$AI$66,MATCH(F293,PriceFuelOutlook!$F$5:$AI$5,0))</f>
        <v>3.5444469999999999</v>
      </c>
      <c r="G299" s="96">
        <f>INDEX(PriceFuelOutlook!$F$66:$AI$66,MATCH(G293,PriceFuelOutlook!$F$5:$AI$5,0))</f>
        <v>3.627688</v>
      </c>
      <c r="H299" s="96">
        <f>INDEX(PriceFuelOutlook!$F$66:$AI$66,MATCH(H293,PriceFuelOutlook!$F$5:$AI$5,0))</f>
        <v>3.7206999999999999</v>
      </c>
      <c r="I299" s="96">
        <f>INDEX(PriceFuelOutlook!$F$66:$AI$66,MATCH(I293,PriceFuelOutlook!$F$5:$AI$5,0))</f>
        <v>3.7995350000000001</v>
      </c>
      <c r="J299" s="96">
        <f>INDEX(PriceFuelOutlook!$F$66:$AI$66,MATCH(J293,PriceFuelOutlook!$F$5:$AI$5,0))</f>
        <v>3.906202</v>
      </c>
      <c r="K299" s="96">
        <f>INDEX(PriceFuelOutlook!$F$66:$AI$66,MATCH(K293,PriceFuelOutlook!$F$5:$AI$5,0))</f>
        <v>4.0075830000000003</v>
      </c>
      <c r="L299" s="96">
        <f>INDEX(PriceFuelOutlook!$F$66:$AI$66,MATCH(L293,PriceFuelOutlook!$F$5:$AI$5,0))</f>
        <v>4.1168290000000001</v>
      </c>
      <c r="M299" s="96">
        <f>INDEX(PriceFuelOutlook!$F$66:$AI$66,MATCH(M293,PriceFuelOutlook!$F$5:$AI$5,0))</f>
        <v>4.2216589999999998</v>
      </c>
      <c r="N299" s="96">
        <f>INDEX(PriceFuelOutlook!$F$66:$AI$66,MATCH(N293,PriceFuelOutlook!$F$5:$AI$5,0))</f>
        <v>4.3647850000000004</v>
      </c>
      <c r="O299" s="96">
        <f>INDEX(PriceFuelOutlook!$F$66:$AI$66,MATCH(O293,PriceFuelOutlook!$F$5:$AI$5,0))</f>
        <v>4.4682969999999997</v>
      </c>
      <c r="P299" s="96">
        <f>INDEX(PriceFuelOutlook!$F$66:$AI$66,MATCH(P293,PriceFuelOutlook!$F$5:$AI$5,0))</f>
        <v>4.5803690000000001</v>
      </c>
      <c r="Q299" s="96">
        <f>INDEX(PriceFuelOutlook!$F$66:$AI$66,MATCH(Q293,PriceFuelOutlook!$F$5:$AI$5,0))</f>
        <v>4.7007490000000001</v>
      </c>
      <c r="R299" s="96">
        <f>INDEX(PriceFuelOutlook!$F$66:$AI$66,MATCH(R293,PriceFuelOutlook!$F$5:$AI$5,0))</f>
        <v>4.8112940000000002</v>
      </c>
      <c r="S299" s="96">
        <f>INDEX(PriceFuelOutlook!$F$66:$AI$66,MATCH(S293,PriceFuelOutlook!$F$5:$AI$5,0))</f>
        <v>4.9186759999999996</v>
      </c>
      <c r="T299" s="96">
        <f>INDEX(PriceFuelOutlook!$F$66:$AI$66,MATCH(T293,PriceFuelOutlook!$F$5:$AI$5,0))</f>
        <v>5.0421829999999996</v>
      </c>
      <c r="U299" s="96">
        <f>INDEX(PriceFuelOutlook!$F$66:$AI$66,MATCH(U293,PriceFuelOutlook!$F$5:$AI$5,0))</f>
        <v>5.1363669999999999</v>
      </c>
      <c r="V299" s="96">
        <f>INDEX(PriceFuelOutlook!$F$66:$AI$66,MATCH(V293,PriceFuelOutlook!$F$5:$AI$5,0))</f>
        <v>5.2888909999999996</v>
      </c>
      <c r="W299" s="361">
        <f>INDEX(PriceFuelOutlook!$F$66:$AI$66,MATCH(W293,PriceFuelOutlook!$F$5:$AI$5,0))</f>
        <v>5.413583</v>
      </c>
    </row>
    <row r="300" spans="1:23" x14ac:dyDescent="0.35">
      <c r="A300" s="8" t="s">
        <v>428</v>
      </c>
      <c r="B300" s="20"/>
      <c r="C300" s="110"/>
      <c r="D300" s="35">
        <f t="shared" ref="D300:W300" si="140">D295*D297/D298*D299</f>
        <v>-1140.9621674664556</v>
      </c>
      <c r="E300" s="35">
        <f t="shared" si="140"/>
        <v>-3559.8929732678193</v>
      </c>
      <c r="F300" s="35">
        <f t="shared" si="140"/>
        <v>-5992.1848077050527</v>
      </c>
      <c r="G300" s="35">
        <f t="shared" si="140"/>
        <v>-8090.274987514822</v>
      </c>
      <c r="H300" s="35">
        <f t="shared" si="140"/>
        <v>-9280.3843486383521</v>
      </c>
      <c r="I300" s="35">
        <f t="shared" si="140"/>
        <v>-10100.257223362951</v>
      </c>
      <c r="J300" s="35">
        <f t="shared" si="140"/>
        <v>-11383.224651800785</v>
      </c>
      <c r="K300" s="35">
        <f t="shared" si="140"/>
        <v>-13512.943957843427</v>
      </c>
      <c r="L300" s="35">
        <f t="shared" si="140"/>
        <v>-17786.491116491103</v>
      </c>
      <c r="M300" s="35">
        <f t="shared" si="140"/>
        <v>-22135.927106650961</v>
      </c>
      <c r="N300" s="35">
        <f t="shared" si="140"/>
        <v>-38579.978436406571</v>
      </c>
      <c r="O300" s="35">
        <f t="shared" si="140"/>
        <v>-54176.219286552732</v>
      </c>
      <c r="P300" s="35">
        <f t="shared" si="140"/>
        <v>-55535.045087049555</v>
      </c>
      <c r="Q300" s="35">
        <f t="shared" si="140"/>
        <v>-56994.601888603975</v>
      </c>
      <c r="R300" s="35">
        <f t="shared" si="140"/>
        <v>-58334.913457202034</v>
      </c>
      <c r="S300" s="35">
        <f t="shared" si="140"/>
        <v>-59636.874982908259</v>
      </c>
      <c r="T300" s="35">
        <f t="shared" si="140"/>
        <v>-61134.345342516019</v>
      </c>
      <c r="U300" s="35">
        <f t="shared" si="140"/>
        <v>-62276.286676604759</v>
      </c>
      <c r="V300" s="35">
        <f t="shared" si="140"/>
        <v>-64125.575940604474</v>
      </c>
      <c r="W300" s="351">
        <f t="shared" si="140"/>
        <v>-65637.413926145469</v>
      </c>
    </row>
    <row r="301" spans="1:23" x14ac:dyDescent="0.35">
      <c r="A301" s="8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362"/>
    </row>
    <row r="302" spans="1:23" x14ac:dyDescent="0.35">
      <c r="A302" s="8" t="s">
        <v>429</v>
      </c>
      <c r="B302" s="22"/>
      <c r="C302" s="34">
        <f>'Truck Maint'!D22</f>
        <v>3145.8976615853662</v>
      </c>
      <c r="D302" s="34">
        <f t="shared" ref="D302:W302" si="141">C302*(1+InflationGeneral)</f>
        <v>3235.6988088211524</v>
      </c>
      <c r="E302" s="34">
        <f t="shared" si="141"/>
        <v>3328.0633725797757</v>
      </c>
      <c r="F302" s="34">
        <f t="shared" si="141"/>
        <v>3423.0645268069134</v>
      </c>
      <c r="G302" s="34">
        <f t="shared" si="141"/>
        <v>3520.7775342333766</v>
      </c>
      <c r="H302" s="34">
        <f t="shared" si="141"/>
        <v>3621.2798060004775</v>
      </c>
      <c r="I302" s="34">
        <f t="shared" si="141"/>
        <v>3724.6509629874299</v>
      </c>
      <c r="J302" s="34">
        <f t="shared" si="141"/>
        <v>3830.9728988893712</v>
      </c>
      <c r="K302" s="34">
        <f t="shared" si="141"/>
        <v>3940.3298450959746</v>
      </c>
      <c r="L302" s="34">
        <f t="shared" si="141"/>
        <v>4052.8084374220534</v>
      </c>
      <c r="M302" s="34">
        <f t="shared" si="141"/>
        <v>4168.4977847430227</v>
      </c>
      <c r="N302" s="34">
        <f t="shared" si="141"/>
        <v>4287.4895395895901</v>
      </c>
      <c r="O302" s="34">
        <f t="shared" si="141"/>
        <v>4409.8779707576105</v>
      </c>
      <c r="P302" s="34">
        <f t="shared" si="141"/>
        <v>4535.7600379906189</v>
      </c>
      <c r="Q302" s="34">
        <f t="shared" si="141"/>
        <v>4665.2354687942152</v>
      </c>
      <c r="R302" s="34">
        <f t="shared" si="141"/>
        <v>4798.4068374431481</v>
      </c>
      <c r="S302" s="34">
        <f t="shared" si="141"/>
        <v>4935.3796462436994</v>
      </c>
      <c r="T302" s="34">
        <f t="shared" si="141"/>
        <v>5076.2624091157377</v>
      </c>
      <c r="U302" s="34">
        <f t="shared" si="141"/>
        <v>5221.166737560663</v>
      </c>
      <c r="V302" s="34">
        <f t="shared" si="141"/>
        <v>5370.2074290833461</v>
      </c>
      <c r="W302" s="332">
        <f t="shared" si="141"/>
        <v>5523.5025581381151</v>
      </c>
    </row>
    <row r="303" spans="1:23" x14ac:dyDescent="0.35">
      <c r="A303" s="8" t="s">
        <v>430</v>
      </c>
      <c r="C303" s="110"/>
      <c r="D303" s="35">
        <f t="shared" ref="D303:W303" si="142">D295*D302</f>
        <v>-1151.0462109427065</v>
      </c>
      <c r="E303" s="35">
        <f t="shared" si="142"/>
        <v>-3638.3656895754971</v>
      </c>
      <c r="F303" s="35">
        <f t="shared" si="142"/>
        <v>-6164.4040751117182</v>
      </c>
      <c r="G303" s="35">
        <f t="shared" si="142"/>
        <v>-8363.9463799961432</v>
      </c>
      <c r="H303" s="35">
        <f t="shared" si="142"/>
        <v>-9621.4979581454445</v>
      </c>
      <c r="I303" s="35">
        <f t="shared" si="142"/>
        <v>-10546.949497225134</v>
      </c>
      <c r="J303" s="35">
        <f t="shared" si="142"/>
        <v>-11892.11195403194</v>
      </c>
      <c r="K303" s="35">
        <f t="shared" si="142"/>
        <v>-14152.700904127516</v>
      </c>
      <c r="L303" s="35">
        <f t="shared" si="142"/>
        <v>-18651.889278937419</v>
      </c>
      <c r="M303" s="35">
        <f t="shared" si="142"/>
        <v>-23282.705285335094</v>
      </c>
      <c r="N303" s="35">
        <f t="shared" si="142"/>
        <v>-40368.396459798845</v>
      </c>
      <c r="O303" s="35">
        <f t="shared" si="142"/>
        <v>-56955.088961129048</v>
      </c>
      <c r="P303" s="35">
        <f t="shared" si="142"/>
        <v>-58580.899104949218</v>
      </c>
      <c r="Q303" s="35">
        <f t="shared" si="142"/>
        <v>-60253.11877374709</v>
      </c>
      <c r="R303" s="35">
        <f t="shared" si="142"/>
        <v>-61973.072749519401</v>
      </c>
      <c r="S303" s="35">
        <f t="shared" si="142"/>
        <v>-63742.123630796028</v>
      </c>
      <c r="T303" s="35">
        <f t="shared" si="142"/>
        <v>-65561.672912130918</v>
      </c>
      <c r="U303" s="35">
        <f t="shared" si="142"/>
        <v>-67433.162094407657</v>
      </c>
      <c r="V303" s="35">
        <f t="shared" si="142"/>
        <v>-69358.073826839172</v>
      </c>
      <c r="W303" s="351">
        <f t="shared" si="142"/>
        <v>-71337.933081566385</v>
      </c>
    </row>
    <row r="304" spans="1:23" x14ac:dyDescent="0.35">
      <c r="A304" s="8"/>
    </row>
    <row r="305" spans="1:23" x14ac:dyDescent="0.35">
      <c r="A305" s="8" t="s">
        <v>431</v>
      </c>
      <c r="D305" s="34">
        <f>'Fleet UPIS'!$E$31</f>
        <v>33111.678225712058</v>
      </c>
      <c r="E305" s="34">
        <f>'Fleet UPIS'!$E$31</f>
        <v>33111.678225712058</v>
      </c>
      <c r="F305" s="34">
        <f>'Fleet UPIS'!$E$31</f>
        <v>33111.678225712058</v>
      </c>
      <c r="G305" s="34">
        <f>'Fleet UPIS'!$E$31</f>
        <v>33111.678225712058</v>
      </c>
      <c r="H305" s="34">
        <f>'Fleet UPIS'!$E$31</f>
        <v>33111.678225712058</v>
      </c>
      <c r="I305" s="34">
        <f>'Fleet UPIS'!$E$31</f>
        <v>33111.678225712058</v>
      </c>
      <c r="J305" s="34">
        <f>'Fleet UPIS'!$E$31</f>
        <v>33111.678225712058</v>
      </c>
      <c r="K305" s="34">
        <f>'Fleet UPIS'!$E$31</f>
        <v>33111.678225712058</v>
      </c>
      <c r="L305" s="34">
        <f>'Fleet UPIS'!$E$31</f>
        <v>33111.678225712058</v>
      </c>
      <c r="M305" s="34">
        <f>'Fleet UPIS'!$E$31</f>
        <v>33111.678225712058</v>
      </c>
      <c r="N305" s="34">
        <f>'Fleet UPIS'!$E$31</f>
        <v>33111.678225712058</v>
      </c>
      <c r="O305" s="34">
        <f>'Fleet UPIS'!$E$31</f>
        <v>33111.678225712058</v>
      </c>
      <c r="P305" s="34">
        <f>'Fleet UPIS'!$E$31</f>
        <v>33111.678225712058</v>
      </c>
      <c r="Q305" s="34">
        <f>'Fleet UPIS'!$E$31</f>
        <v>33111.678225712058</v>
      </c>
      <c r="R305" s="34">
        <f>'Fleet UPIS'!$E$31</f>
        <v>33111.678225712058</v>
      </c>
      <c r="S305" s="34">
        <f>'Fleet UPIS'!$E$31</f>
        <v>33111.678225712058</v>
      </c>
      <c r="T305" s="34">
        <f>'Fleet UPIS'!$E$31</f>
        <v>33111.678225712058</v>
      </c>
      <c r="U305" s="34">
        <f>'Fleet UPIS'!$E$31</f>
        <v>33111.678225712058</v>
      </c>
      <c r="V305" s="34">
        <f>'Fleet UPIS'!$E$31</f>
        <v>33111.678225712058</v>
      </c>
      <c r="W305" s="332">
        <f>'Fleet UPIS'!$E$31</f>
        <v>33111.678225712058</v>
      </c>
    </row>
    <row r="306" spans="1:23" x14ac:dyDescent="0.35">
      <c r="A306" s="8" t="s">
        <v>432</v>
      </c>
      <c r="D306" s="140">
        <f t="shared" ref="D306:W306" ca="1" si="143">D231</f>
        <v>8.9949471419053961E-2</v>
      </c>
      <c r="E306" s="140">
        <f t="shared" ca="1" si="143"/>
        <v>8.9949471419053975E-2</v>
      </c>
      <c r="F306" s="140">
        <f t="shared" ca="1" si="143"/>
        <v>8.9949471419053989E-2</v>
      </c>
      <c r="G306" s="140">
        <f t="shared" ca="1" si="143"/>
        <v>8.9949471419053476E-2</v>
      </c>
      <c r="H306" s="140">
        <f t="shared" ca="1" si="143"/>
        <v>8.9949471419053934E-2</v>
      </c>
      <c r="I306" s="140">
        <f t="shared" ca="1" si="143"/>
        <v>8.9949471419053934E-2</v>
      </c>
      <c r="J306" s="140">
        <f t="shared" ca="1" si="143"/>
        <v>8.9949471419053989E-2</v>
      </c>
      <c r="K306" s="140">
        <f t="shared" ca="1" si="143"/>
        <v>8.9949471419053961E-2</v>
      </c>
      <c r="L306" s="140">
        <f t="shared" ca="1" si="143"/>
        <v>8.9949471419053975E-2</v>
      </c>
      <c r="M306" s="140">
        <f t="shared" ca="1" si="143"/>
        <v>8.9949471419053989E-2</v>
      </c>
      <c r="N306" s="140">
        <f t="shared" ca="1" si="143"/>
        <v>8.9949471419053989E-2</v>
      </c>
      <c r="O306" s="140">
        <f t="shared" ca="1" si="143"/>
        <v>8.9949471419053975E-2</v>
      </c>
      <c r="P306" s="140">
        <f t="shared" ca="1" si="143"/>
        <v>8.9949471419053947E-2</v>
      </c>
      <c r="Q306" s="140">
        <f t="shared" ca="1" si="143"/>
        <v>8.9949471419053947E-2</v>
      </c>
      <c r="R306" s="140">
        <f t="shared" ca="1" si="143"/>
        <v>8.9949471419054003E-2</v>
      </c>
      <c r="S306" s="140">
        <f t="shared" ca="1" si="143"/>
        <v>8.9949471419053975E-2</v>
      </c>
      <c r="T306" s="140">
        <f t="shared" ca="1" si="143"/>
        <v>8.9949471419054003E-2</v>
      </c>
      <c r="U306" s="140">
        <f t="shared" ca="1" si="143"/>
        <v>8.9949471419053975E-2</v>
      </c>
      <c r="V306" s="140">
        <f t="shared" ca="1" si="143"/>
        <v>8.9949471419053989E-2</v>
      </c>
      <c r="W306" s="363">
        <f t="shared" ca="1" si="143"/>
        <v>8.9949471419053989E-2</v>
      </c>
    </row>
    <row r="307" spans="1:23" x14ac:dyDescent="0.35">
      <c r="A307" s="8" t="s">
        <v>433</v>
      </c>
      <c r="D307" s="141">
        <f ca="1">D305*D306</f>
        <v>2978.3779542005982</v>
      </c>
      <c r="E307" s="141">
        <f t="shared" ref="E307:W307" ca="1" si="144">E305*E306</f>
        <v>2978.3779542005987</v>
      </c>
      <c r="F307" s="141">
        <f t="shared" ca="1" si="144"/>
        <v>2978.3779542005991</v>
      </c>
      <c r="G307" s="141">
        <f t="shared" ca="1" si="144"/>
        <v>2978.3779542005818</v>
      </c>
      <c r="H307" s="141">
        <f t="shared" ca="1" si="144"/>
        <v>2978.3779542005973</v>
      </c>
      <c r="I307" s="141">
        <f t="shared" ca="1" si="144"/>
        <v>2978.3779542005973</v>
      </c>
      <c r="J307" s="141">
        <f t="shared" ca="1" si="144"/>
        <v>2978.3779542005991</v>
      </c>
      <c r="K307" s="141">
        <f t="shared" ca="1" si="144"/>
        <v>2978.3779542005982</v>
      </c>
      <c r="L307" s="141">
        <f t="shared" ca="1" si="144"/>
        <v>2978.3779542005987</v>
      </c>
      <c r="M307" s="141">
        <f t="shared" ca="1" si="144"/>
        <v>2978.3779542005991</v>
      </c>
      <c r="N307" s="141">
        <f t="shared" ca="1" si="144"/>
        <v>2978.3779542005991</v>
      </c>
      <c r="O307" s="141">
        <f t="shared" ca="1" si="144"/>
        <v>2978.3779542005987</v>
      </c>
      <c r="P307" s="141">
        <f t="shared" ca="1" si="144"/>
        <v>2978.3779542005977</v>
      </c>
      <c r="Q307" s="141">
        <f t="shared" ca="1" si="144"/>
        <v>2978.3779542005977</v>
      </c>
      <c r="R307" s="141">
        <f t="shared" ca="1" si="144"/>
        <v>2978.3779542005996</v>
      </c>
      <c r="S307" s="141">
        <f t="shared" ca="1" si="144"/>
        <v>2978.3779542005987</v>
      </c>
      <c r="T307" s="141">
        <f t="shared" ca="1" si="144"/>
        <v>2978.3779542005996</v>
      </c>
      <c r="U307" s="141">
        <f t="shared" ca="1" si="144"/>
        <v>2978.3779542005987</v>
      </c>
      <c r="V307" s="141">
        <f t="shared" ca="1" si="144"/>
        <v>2978.3779542005991</v>
      </c>
      <c r="W307" s="364">
        <f t="shared" ca="1" si="144"/>
        <v>2978.3779542005991</v>
      </c>
    </row>
    <row r="308" spans="1:23" x14ac:dyDescent="0.35">
      <c r="A308" s="8" t="s">
        <v>434</v>
      </c>
      <c r="D308" s="98">
        <f>'Fleet UPIS'!$F$31</f>
        <v>6928.3544999999995</v>
      </c>
      <c r="E308" s="98">
        <f>'Fleet UPIS'!$F$31</f>
        <v>6928.3544999999995</v>
      </c>
      <c r="F308" s="98">
        <f>'Fleet UPIS'!$F$31</f>
        <v>6928.3544999999995</v>
      </c>
      <c r="G308" s="98">
        <f>'Fleet UPIS'!$F$31</f>
        <v>6928.3544999999995</v>
      </c>
      <c r="H308" s="98">
        <f>'Fleet UPIS'!$F$31</f>
        <v>6928.3544999999995</v>
      </c>
      <c r="I308" s="98">
        <f>'Fleet UPIS'!$F$31</f>
        <v>6928.3544999999995</v>
      </c>
      <c r="J308" s="98">
        <f>'Fleet UPIS'!$F$31</f>
        <v>6928.3544999999995</v>
      </c>
      <c r="K308" s="98">
        <f>'Fleet UPIS'!$F$31</f>
        <v>6928.3544999999995</v>
      </c>
      <c r="L308" s="98">
        <f>'Fleet UPIS'!$F$31</f>
        <v>6928.3544999999995</v>
      </c>
      <c r="M308" s="98">
        <f>'Fleet UPIS'!$F$31</f>
        <v>6928.3544999999995</v>
      </c>
      <c r="N308" s="98">
        <f>'Fleet UPIS'!$F$31</f>
        <v>6928.3544999999995</v>
      </c>
      <c r="O308" s="98">
        <f>'Fleet UPIS'!$F$31</f>
        <v>6928.3544999999995</v>
      </c>
      <c r="P308" s="98">
        <f>'Fleet UPIS'!$F$31</f>
        <v>6928.3544999999995</v>
      </c>
      <c r="Q308" s="98">
        <f>'Fleet UPIS'!$F$31</f>
        <v>6928.3544999999995</v>
      </c>
      <c r="R308" s="98">
        <f>'Fleet UPIS'!$F$31</f>
        <v>6928.3544999999995</v>
      </c>
      <c r="S308" s="98">
        <f>'Fleet UPIS'!$F$31</f>
        <v>6928.3544999999995</v>
      </c>
      <c r="T308" s="98">
        <f>'Fleet UPIS'!$F$31</f>
        <v>6928.3544999999995</v>
      </c>
      <c r="U308" s="98">
        <f>'Fleet UPIS'!$F$31</f>
        <v>6928.3544999999995</v>
      </c>
      <c r="V308" s="98">
        <f>'Fleet UPIS'!$F$31</f>
        <v>6928.3544999999995</v>
      </c>
      <c r="W308" s="333">
        <f>'Fleet UPIS'!$F$31</f>
        <v>6928.3544999999995</v>
      </c>
    </row>
    <row r="309" spans="1:23" x14ac:dyDescent="0.35">
      <c r="A309" s="8" t="s">
        <v>435</v>
      </c>
      <c r="C309" s="110"/>
      <c r="D309" s="35">
        <f ca="1">D295*(SUM(D307:D308))</f>
        <v>-3524.1558401986058</v>
      </c>
      <c r="E309" s="35">
        <f t="shared" ref="E309:W309" ca="1" si="145">E295*(SUM(E307:E308))</f>
        <v>-10830.417399542326</v>
      </c>
      <c r="F309" s="35">
        <f t="shared" ca="1" si="145"/>
        <v>-17840.476401618369</v>
      </c>
      <c r="G309" s="35">
        <f t="shared" ca="1" si="145"/>
        <v>-23534.397797713533</v>
      </c>
      <c r="H309" s="35">
        <f t="shared" ca="1" si="145"/>
        <v>-26321.524760953995</v>
      </c>
      <c r="I309" s="35">
        <f t="shared" ca="1" si="145"/>
        <v>-28052.509594931278</v>
      </c>
      <c r="J309" s="35">
        <f t="shared" ca="1" si="145"/>
        <v>-30752.4940931192</v>
      </c>
      <c r="K309" s="35">
        <f t="shared" ca="1" si="145"/>
        <v>-35582.559550442704</v>
      </c>
      <c r="L309" s="35">
        <f t="shared" ca="1" si="145"/>
        <v>-45592.896803516713</v>
      </c>
      <c r="M309" s="35">
        <f t="shared" ca="1" si="145"/>
        <v>-55333.010591017097</v>
      </c>
      <c r="N309" s="35">
        <f t="shared" ca="1" si="145"/>
        <v>-93275.773535906308</v>
      </c>
      <c r="O309" s="35">
        <f t="shared" ca="1" si="145"/>
        <v>-127948.85300333244</v>
      </c>
      <c r="P309" s="35">
        <f t="shared" ca="1" si="145"/>
        <v>-127948.85300333241</v>
      </c>
      <c r="Q309" s="35">
        <f t="shared" ca="1" si="145"/>
        <v>-127948.85300333241</v>
      </c>
      <c r="R309" s="35">
        <f t="shared" ca="1" si="145"/>
        <v>-127948.85300333244</v>
      </c>
      <c r="S309" s="35">
        <f t="shared" ca="1" si="145"/>
        <v>-127948.85300333244</v>
      </c>
      <c r="T309" s="35">
        <f t="shared" ca="1" si="145"/>
        <v>-127948.85300333244</v>
      </c>
      <c r="U309" s="35">
        <f t="shared" ca="1" si="145"/>
        <v>-127948.85300333244</v>
      </c>
      <c r="V309" s="35">
        <f t="shared" ca="1" si="145"/>
        <v>-127948.85300333244</v>
      </c>
      <c r="W309" s="351">
        <f t="shared" ca="1" si="145"/>
        <v>-127948.85300333244</v>
      </c>
    </row>
    <row r="310" spans="1:23" x14ac:dyDescent="0.35">
      <c r="A310" s="8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</row>
    <row r="311" spans="1:23" x14ac:dyDescent="0.35">
      <c r="A311" s="8" t="s">
        <v>436</v>
      </c>
      <c r="C311" s="110"/>
      <c r="D311" s="35">
        <f t="shared" ref="D311:W311" ca="1" si="146">D300+D303+D309</f>
        <v>-5816.1642186077679</v>
      </c>
      <c r="E311" s="35">
        <f t="shared" ca="1" si="146"/>
        <v>-18028.676062385643</v>
      </c>
      <c r="F311" s="35">
        <f t="shared" ca="1" si="146"/>
        <v>-29997.065284435139</v>
      </c>
      <c r="G311" s="35">
        <f t="shared" ca="1" si="146"/>
        <v>-39988.619165224503</v>
      </c>
      <c r="H311" s="35">
        <f t="shared" ca="1" si="146"/>
        <v>-45223.407067737789</v>
      </c>
      <c r="I311" s="35">
        <f t="shared" ca="1" si="146"/>
        <v>-48699.716315519363</v>
      </c>
      <c r="J311" s="35">
        <f t="shared" ca="1" si="146"/>
        <v>-54027.830698951919</v>
      </c>
      <c r="K311" s="35">
        <f t="shared" ca="1" si="146"/>
        <v>-63248.204412413645</v>
      </c>
      <c r="L311" s="35">
        <f t="shared" ca="1" si="146"/>
        <v>-82031.27719894523</v>
      </c>
      <c r="M311" s="35">
        <f t="shared" ca="1" si="146"/>
        <v>-100751.64298300316</v>
      </c>
      <c r="N311" s="35">
        <f t="shared" ca="1" si="146"/>
        <v>-172224.14843211172</v>
      </c>
      <c r="O311" s="35">
        <f t="shared" ca="1" si="146"/>
        <v>-239080.16125101421</v>
      </c>
      <c r="P311" s="35">
        <f t="shared" ca="1" si="146"/>
        <v>-242064.79719533119</v>
      </c>
      <c r="Q311" s="35">
        <f t="shared" ca="1" si="146"/>
        <v>-245196.57366568345</v>
      </c>
      <c r="R311" s="35">
        <f t="shared" ca="1" si="146"/>
        <v>-248256.83921005385</v>
      </c>
      <c r="S311" s="35">
        <f t="shared" ca="1" si="146"/>
        <v>-251327.85161703674</v>
      </c>
      <c r="T311" s="35">
        <f t="shared" ca="1" si="146"/>
        <v>-254644.87125797936</v>
      </c>
      <c r="U311" s="35">
        <f t="shared" ca="1" si="146"/>
        <v>-257658.30177434487</v>
      </c>
      <c r="V311" s="35">
        <f t="shared" ca="1" si="146"/>
        <v>-261432.5027707761</v>
      </c>
      <c r="W311" s="351">
        <f t="shared" ca="1" si="146"/>
        <v>-264924.20001104428</v>
      </c>
    </row>
    <row r="312" spans="1:23" x14ac:dyDescent="0.35">
      <c r="A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</sheetData>
  <dataValidations disablePrompts="1" count="1">
    <dataValidation type="list" allowBlank="1" showInputMessage="1" showErrorMessage="1" sqref="D3:D4 B3" xr:uid="{0ABE641F-2223-4B1F-80F7-A77D58B63641}">
      <formula1>"Cellular, Hybrid, n/a"</formula1>
    </dataValidation>
  </dataValidation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A8C38CC-9583-4898-A21B-190F631383B4}">
          <x14:formula1>
            <xm:f>'CONF-MeterPrice'!#REF!</xm:f>
          </x14:formula1>
          <xm:sqref>A115:A118 A120:A123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FB46-72AE-418E-B58D-B61FA7BAECAB}">
  <sheetPr>
    <tabColor rgb="FFFFCCFF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7EAC-B720-45B7-8B25-228E960A7F4B}">
  <sheetPr filterMode="1">
    <tabColor rgb="FFFFCCFF"/>
  </sheetPr>
  <dimension ref="A1:Y282"/>
  <sheetViews>
    <sheetView zoomScale="70" zoomScaleNormal="70" workbookViewId="0">
      <selection activeCell="C2" sqref="C2"/>
    </sheetView>
  </sheetViews>
  <sheetFormatPr defaultRowHeight="14.5" outlineLevelCol="1" x14ac:dyDescent="0.35"/>
  <cols>
    <col min="1" max="1" width="11.26953125" customWidth="1"/>
    <col min="2" max="2" width="24.54296875" bestFit="1" customWidth="1"/>
    <col min="3" max="3" width="18.453125" customWidth="1"/>
    <col min="4" max="4" width="11.26953125" customWidth="1"/>
    <col min="5" max="5" width="18.7265625" customWidth="1"/>
    <col min="6" max="6" width="31.26953125" bestFit="1" customWidth="1" outlineLevel="1"/>
    <col min="7" max="9" width="11.26953125" customWidth="1"/>
    <col min="10" max="10" width="11.81640625" customWidth="1"/>
    <col min="11" max="11" width="13.26953125" customWidth="1"/>
    <col min="12" max="12" width="11" customWidth="1"/>
    <col min="13" max="13" width="13.81640625" customWidth="1"/>
    <col min="14" max="14" width="5.81640625" customWidth="1"/>
    <col min="15" max="15" width="13.453125" customWidth="1"/>
    <col min="16" max="16" width="10.7265625" customWidth="1"/>
    <col min="17" max="17" width="11.54296875" customWidth="1"/>
    <col min="18" max="18" width="17.453125" customWidth="1"/>
    <col min="19" max="19" width="8.81640625" customWidth="1"/>
    <col min="20" max="20" width="13.7265625" customWidth="1"/>
    <col min="21" max="21" width="13.453125" customWidth="1"/>
    <col min="23" max="23" width="10" bestFit="1" customWidth="1"/>
    <col min="24" max="24" width="13.453125" bestFit="1" customWidth="1"/>
  </cols>
  <sheetData>
    <row r="1" spans="1:25" x14ac:dyDescent="0.35">
      <c r="A1" s="19" t="s">
        <v>440</v>
      </c>
      <c r="C1" s="296" t="s">
        <v>1107</v>
      </c>
      <c r="J1" s="440" t="s">
        <v>441</v>
      </c>
    </row>
    <row r="2" spans="1:25" x14ac:dyDescent="0.35">
      <c r="A2" s="19" t="s">
        <v>442</v>
      </c>
      <c r="J2" s="441">
        <f>SUM(J6:J270)</f>
        <v>143500</v>
      </c>
      <c r="T2" s="3"/>
    </row>
    <row r="4" spans="1:25" s="20" customFormat="1" ht="58" x14ac:dyDescent="0.35">
      <c r="A4" s="145" t="s">
        <v>443</v>
      </c>
      <c r="B4" s="145" t="s">
        <v>443</v>
      </c>
      <c r="C4" s="145" t="s">
        <v>443</v>
      </c>
      <c r="D4" s="145" t="s">
        <v>443</v>
      </c>
      <c r="E4" s="145" t="s">
        <v>443</v>
      </c>
      <c r="F4" s="145" t="s">
        <v>443</v>
      </c>
      <c r="H4" s="145" t="s">
        <v>443</v>
      </c>
      <c r="I4" s="145"/>
      <c r="J4" s="145" t="s">
        <v>444</v>
      </c>
    </row>
    <row r="5" spans="1:25" s="20" customFormat="1" ht="58" x14ac:dyDescent="0.35">
      <c r="A5" s="20" t="s">
        <v>445</v>
      </c>
      <c r="B5" s="20" t="s">
        <v>446</v>
      </c>
      <c r="C5" s="20" t="s">
        <v>447</v>
      </c>
      <c r="D5" s="20" t="s">
        <v>448</v>
      </c>
      <c r="E5" s="20" t="s">
        <v>261</v>
      </c>
      <c r="F5" s="20" t="s">
        <v>449</v>
      </c>
      <c r="G5" s="20" t="s">
        <v>450</v>
      </c>
      <c r="H5" s="20" t="s">
        <v>451</v>
      </c>
      <c r="I5" s="20" t="s">
        <v>452</v>
      </c>
      <c r="J5" s="20" t="s">
        <v>453</v>
      </c>
      <c r="K5" s="20" t="s">
        <v>454</v>
      </c>
      <c r="L5" s="20" t="s">
        <v>455</v>
      </c>
      <c r="M5" s="20" t="s">
        <v>456</v>
      </c>
      <c r="N5" s="20" t="s">
        <v>457</v>
      </c>
      <c r="O5" s="20" t="s">
        <v>458</v>
      </c>
      <c r="P5" s="20" t="s">
        <v>459</v>
      </c>
      <c r="Q5" s="73" t="s">
        <v>259</v>
      </c>
      <c r="R5" s="20" t="s">
        <v>260</v>
      </c>
      <c r="S5" s="20" t="s">
        <v>460</v>
      </c>
      <c r="T5" s="20" t="s">
        <v>258</v>
      </c>
      <c r="U5" s="20" t="s">
        <v>461</v>
      </c>
      <c r="V5" s="20" t="s">
        <v>462</v>
      </c>
      <c r="W5" s="20" t="s">
        <v>463</v>
      </c>
      <c r="X5" s="20" t="s">
        <v>464</v>
      </c>
      <c r="Y5" s="20" t="s">
        <v>465</v>
      </c>
    </row>
    <row r="6" spans="1:25" hidden="1" x14ac:dyDescent="0.35">
      <c r="A6" t="s">
        <v>466</v>
      </c>
      <c r="B6" s="19" t="s">
        <v>467</v>
      </c>
      <c r="C6" t="s">
        <v>468</v>
      </c>
      <c r="D6" t="s">
        <v>469</v>
      </c>
      <c r="E6" t="s">
        <v>264</v>
      </c>
      <c r="G6" t="str">
        <f>IF(ISNUMBER(SEARCH("AMI",F6,1)),"AMI",IF(ISNUMBER(SEARCH("AMR",F6,1)),"AMR","Manual"))</f>
        <v>Manual</v>
      </c>
      <c r="H6">
        <v>2018</v>
      </c>
      <c r="I6">
        <v>10</v>
      </c>
      <c r="J6">
        <v>2</v>
      </c>
      <c r="K6">
        <f>H6+I6</f>
        <v>2028</v>
      </c>
      <c r="L6">
        <f t="shared" ref="L6:L69" si="0">IF(K6&lt;YearOne,YearOne-1,K6)</f>
        <v>2028</v>
      </c>
      <c r="M6" t="str">
        <f t="shared" ref="M6:M69" si="1">(C6&amp; " "&amp;L6)</f>
        <v>KY 2028</v>
      </c>
      <c r="N6" t="str">
        <f>IF(G6="AMI","Y","N")</f>
        <v>N</v>
      </c>
      <c r="O6">
        <f t="shared" ref="O6:O69" si="2">IF(K6&lt;=(YearOne-1),YearOne-1,K6)</f>
        <v>2028</v>
      </c>
      <c r="P6">
        <f t="shared" ref="P6:P69" si="3">O6-H6</f>
        <v>10</v>
      </c>
      <c r="Q6" t="str">
        <f>G6</f>
        <v>Manual</v>
      </c>
      <c r="R6" t="s">
        <v>266</v>
      </c>
      <c r="S6" t="str">
        <f>C6</f>
        <v>KY</v>
      </c>
      <c r="T6">
        <f t="shared" ref="T6:T69" si="4">IF(I6=15,IF(O6=(YearOne-1),O6,MAX(YearOne,O6-5)),O6)</f>
        <v>2028</v>
      </c>
      <c r="U6">
        <f>IF(P6=15,"10**",P6)</f>
        <v>10</v>
      </c>
      <c r="W6">
        <f>2026-H6</f>
        <v>8</v>
      </c>
      <c r="X6">
        <f>IF(W6&gt;10,W6*J6,0)</f>
        <v>0</v>
      </c>
      <c r="Y6">
        <f>IF(W6&gt;10,J6,0)</f>
        <v>0</v>
      </c>
    </row>
    <row r="7" spans="1:25" hidden="1" x14ac:dyDescent="0.35">
      <c r="A7" t="s">
        <v>466</v>
      </c>
      <c r="B7" s="19" t="s">
        <v>467</v>
      </c>
      <c r="C7" t="s">
        <v>468</v>
      </c>
      <c r="D7" t="s">
        <v>469</v>
      </c>
      <c r="E7" t="s">
        <v>265</v>
      </c>
      <c r="G7" t="str">
        <f t="shared" ref="G7:G70" si="5">IF(ISNUMBER(SEARCH("AMI",F7,1)),"AMI",IF(ISNUMBER(SEARCH("AMR",F7,1)),"AMR","Manual"))</f>
        <v>Manual</v>
      </c>
      <c r="H7">
        <v>2016</v>
      </c>
      <c r="I7">
        <v>10</v>
      </c>
      <c r="J7">
        <v>1</v>
      </c>
      <c r="K7">
        <f t="shared" ref="K7:K70" si="6">H7+I7</f>
        <v>2026</v>
      </c>
      <c r="L7">
        <f t="shared" si="0"/>
        <v>2026</v>
      </c>
      <c r="M7" t="str">
        <f t="shared" si="1"/>
        <v>KY 2026</v>
      </c>
      <c r="N7" t="str">
        <f t="shared" ref="N7:N70" si="7">IF(G7="AMI","Y","N")</f>
        <v>N</v>
      </c>
      <c r="O7">
        <f t="shared" si="2"/>
        <v>2026</v>
      </c>
      <c r="P7">
        <f t="shared" si="3"/>
        <v>10</v>
      </c>
      <c r="Q7" t="str">
        <f t="shared" ref="Q7:Q70" si="8">G7</f>
        <v>Manual</v>
      </c>
      <c r="R7" t="s">
        <v>266</v>
      </c>
      <c r="S7" t="str">
        <f t="shared" ref="S7:S70" si="9">C7</f>
        <v>KY</v>
      </c>
      <c r="T7">
        <f t="shared" si="4"/>
        <v>2026</v>
      </c>
      <c r="U7">
        <f t="shared" ref="U7:U70" si="10">IF(P7=15,"10**",P7)</f>
        <v>10</v>
      </c>
      <c r="W7">
        <f t="shared" ref="W7:W70" si="11">2026-H7</f>
        <v>10</v>
      </c>
      <c r="X7">
        <f t="shared" ref="X7:X70" si="12">IF(W7&gt;10,W7*J7,0)</f>
        <v>0</v>
      </c>
      <c r="Y7">
        <f t="shared" ref="Y7:Y70" si="13">IF(W7&gt;10,J7,0)</f>
        <v>0</v>
      </c>
    </row>
    <row r="8" spans="1:25" hidden="1" x14ac:dyDescent="0.35">
      <c r="A8" t="s">
        <v>466</v>
      </c>
      <c r="B8" s="19" t="s">
        <v>467</v>
      </c>
      <c r="C8" t="s">
        <v>468</v>
      </c>
      <c r="D8" t="s">
        <v>469</v>
      </c>
      <c r="E8" t="s">
        <v>265</v>
      </c>
      <c r="G8" t="str">
        <f t="shared" si="5"/>
        <v>Manual</v>
      </c>
      <c r="H8">
        <v>2017</v>
      </c>
      <c r="I8">
        <v>10</v>
      </c>
      <c r="J8">
        <v>2</v>
      </c>
      <c r="K8">
        <f>H8+I8</f>
        <v>2027</v>
      </c>
      <c r="L8">
        <f t="shared" si="0"/>
        <v>2027</v>
      </c>
      <c r="M8" t="str">
        <f t="shared" si="1"/>
        <v>KY 2027</v>
      </c>
      <c r="N8" t="str">
        <f t="shared" si="7"/>
        <v>N</v>
      </c>
      <c r="O8">
        <f t="shared" si="2"/>
        <v>2027</v>
      </c>
      <c r="P8">
        <f t="shared" si="3"/>
        <v>10</v>
      </c>
      <c r="Q8" t="str">
        <f t="shared" si="8"/>
        <v>Manual</v>
      </c>
      <c r="R8" t="s">
        <v>266</v>
      </c>
      <c r="S8" t="str">
        <f t="shared" si="9"/>
        <v>KY</v>
      </c>
      <c r="T8">
        <f t="shared" si="4"/>
        <v>2027</v>
      </c>
      <c r="U8">
        <f t="shared" si="10"/>
        <v>10</v>
      </c>
      <c r="W8">
        <f t="shared" si="11"/>
        <v>9</v>
      </c>
      <c r="X8">
        <f t="shared" si="12"/>
        <v>0</v>
      </c>
      <c r="Y8">
        <f t="shared" si="13"/>
        <v>0</v>
      </c>
    </row>
    <row r="9" spans="1:25" hidden="1" x14ac:dyDescent="0.35">
      <c r="A9" t="s">
        <v>466</v>
      </c>
      <c r="B9" s="19" t="s">
        <v>467</v>
      </c>
      <c r="C9" t="s">
        <v>468</v>
      </c>
      <c r="D9" t="s">
        <v>469</v>
      </c>
      <c r="E9" t="s">
        <v>265</v>
      </c>
      <c r="G9" t="str">
        <f t="shared" si="5"/>
        <v>Manual</v>
      </c>
      <c r="H9">
        <v>2018</v>
      </c>
      <c r="I9">
        <v>10</v>
      </c>
      <c r="J9">
        <v>9</v>
      </c>
      <c r="K9">
        <f t="shared" si="6"/>
        <v>2028</v>
      </c>
      <c r="L9">
        <f t="shared" si="0"/>
        <v>2028</v>
      </c>
      <c r="M9" t="str">
        <f t="shared" si="1"/>
        <v>KY 2028</v>
      </c>
      <c r="N9" t="str">
        <f t="shared" si="7"/>
        <v>N</v>
      </c>
      <c r="O9">
        <f t="shared" si="2"/>
        <v>2028</v>
      </c>
      <c r="P9">
        <f t="shared" si="3"/>
        <v>10</v>
      </c>
      <c r="Q9" t="str">
        <f t="shared" si="8"/>
        <v>Manual</v>
      </c>
      <c r="R9" t="s">
        <v>266</v>
      </c>
      <c r="S9" t="str">
        <f t="shared" si="9"/>
        <v>KY</v>
      </c>
      <c r="T9">
        <f t="shared" si="4"/>
        <v>2028</v>
      </c>
      <c r="U9">
        <f t="shared" si="10"/>
        <v>10</v>
      </c>
      <c r="W9">
        <f t="shared" si="11"/>
        <v>8</v>
      </c>
      <c r="X9">
        <f t="shared" si="12"/>
        <v>0</v>
      </c>
      <c r="Y9">
        <f t="shared" si="13"/>
        <v>0</v>
      </c>
    </row>
    <row r="10" spans="1:25" hidden="1" x14ac:dyDescent="0.35">
      <c r="A10" t="s">
        <v>466</v>
      </c>
      <c r="B10" s="19" t="s">
        <v>467</v>
      </c>
      <c r="C10" t="s">
        <v>468</v>
      </c>
      <c r="D10" t="s">
        <v>469</v>
      </c>
      <c r="E10" t="s">
        <v>265</v>
      </c>
      <c r="G10" t="str">
        <f t="shared" si="5"/>
        <v>Manual</v>
      </c>
      <c r="H10">
        <v>2020</v>
      </c>
      <c r="I10">
        <v>10</v>
      </c>
      <c r="J10">
        <v>1</v>
      </c>
      <c r="K10">
        <f t="shared" si="6"/>
        <v>2030</v>
      </c>
      <c r="L10">
        <f t="shared" si="0"/>
        <v>2030</v>
      </c>
      <c r="M10" t="str">
        <f t="shared" si="1"/>
        <v>KY 2030</v>
      </c>
      <c r="N10" t="str">
        <f t="shared" si="7"/>
        <v>N</v>
      </c>
      <c r="O10">
        <f t="shared" si="2"/>
        <v>2030</v>
      </c>
      <c r="P10">
        <f t="shared" si="3"/>
        <v>10</v>
      </c>
      <c r="Q10" t="str">
        <f t="shared" si="8"/>
        <v>Manual</v>
      </c>
      <c r="R10" t="s">
        <v>266</v>
      </c>
      <c r="S10" t="str">
        <f t="shared" si="9"/>
        <v>KY</v>
      </c>
      <c r="T10">
        <f t="shared" si="4"/>
        <v>2030</v>
      </c>
      <c r="U10">
        <f t="shared" si="10"/>
        <v>10</v>
      </c>
      <c r="W10">
        <f t="shared" si="11"/>
        <v>6</v>
      </c>
      <c r="X10">
        <f t="shared" si="12"/>
        <v>0</v>
      </c>
      <c r="Y10">
        <f t="shared" si="13"/>
        <v>0</v>
      </c>
    </row>
    <row r="11" spans="1:25" hidden="1" x14ac:dyDescent="0.35">
      <c r="A11" t="s">
        <v>466</v>
      </c>
      <c r="B11" s="19" t="s">
        <v>467</v>
      </c>
      <c r="C11" t="s">
        <v>468</v>
      </c>
      <c r="D11" t="s">
        <v>469</v>
      </c>
      <c r="E11" t="s">
        <v>265</v>
      </c>
      <c r="G11" t="str">
        <f t="shared" si="5"/>
        <v>Manual</v>
      </c>
      <c r="H11">
        <v>2021</v>
      </c>
      <c r="I11">
        <v>10</v>
      </c>
      <c r="J11">
        <v>4</v>
      </c>
      <c r="K11">
        <f t="shared" si="6"/>
        <v>2031</v>
      </c>
      <c r="L11">
        <f t="shared" si="0"/>
        <v>2031</v>
      </c>
      <c r="M11" t="str">
        <f t="shared" si="1"/>
        <v>KY 2031</v>
      </c>
      <c r="N11" t="str">
        <f t="shared" si="7"/>
        <v>N</v>
      </c>
      <c r="O11">
        <f t="shared" si="2"/>
        <v>2031</v>
      </c>
      <c r="P11">
        <f t="shared" si="3"/>
        <v>10</v>
      </c>
      <c r="Q11" t="str">
        <f t="shared" si="8"/>
        <v>Manual</v>
      </c>
      <c r="R11" t="s">
        <v>266</v>
      </c>
      <c r="S11" t="str">
        <f t="shared" si="9"/>
        <v>KY</v>
      </c>
      <c r="T11">
        <f t="shared" si="4"/>
        <v>2031</v>
      </c>
      <c r="U11">
        <f t="shared" si="10"/>
        <v>10</v>
      </c>
      <c r="W11">
        <f t="shared" si="11"/>
        <v>5</v>
      </c>
      <c r="X11">
        <f t="shared" si="12"/>
        <v>0</v>
      </c>
      <c r="Y11">
        <f t="shared" si="13"/>
        <v>0</v>
      </c>
    </row>
    <row r="12" spans="1:25" hidden="1" x14ac:dyDescent="0.35">
      <c r="A12" t="s">
        <v>466</v>
      </c>
      <c r="B12" s="19" t="s">
        <v>467</v>
      </c>
      <c r="C12" t="s">
        <v>468</v>
      </c>
      <c r="D12" t="s">
        <v>469</v>
      </c>
      <c r="E12" t="s">
        <v>265</v>
      </c>
      <c r="G12" t="str">
        <f t="shared" si="5"/>
        <v>Manual</v>
      </c>
      <c r="H12">
        <v>2022</v>
      </c>
      <c r="I12">
        <v>10</v>
      </c>
      <c r="J12">
        <v>4</v>
      </c>
      <c r="K12">
        <f t="shared" si="6"/>
        <v>2032</v>
      </c>
      <c r="L12">
        <f t="shared" si="0"/>
        <v>2032</v>
      </c>
      <c r="M12" t="str">
        <f t="shared" si="1"/>
        <v>KY 2032</v>
      </c>
      <c r="N12" t="str">
        <f t="shared" si="7"/>
        <v>N</v>
      </c>
      <c r="O12">
        <f t="shared" si="2"/>
        <v>2032</v>
      </c>
      <c r="P12">
        <f t="shared" si="3"/>
        <v>10</v>
      </c>
      <c r="Q12" t="str">
        <f t="shared" si="8"/>
        <v>Manual</v>
      </c>
      <c r="R12" t="s">
        <v>266</v>
      </c>
      <c r="S12" t="str">
        <f t="shared" si="9"/>
        <v>KY</v>
      </c>
      <c r="T12">
        <f t="shared" si="4"/>
        <v>2032</v>
      </c>
      <c r="U12">
        <f t="shared" si="10"/>
        <v>10</v>
      </c>
      <c r="W12">
        <f t="shared" si="11"/>
        <v>4</v>
      </c>
      <c r="X12">
        <f t="shared" si="12"/>
        <v>0</v>
      </c>
      <c r="Y12">
        <f t="shared" si="13"/>
        <v>0</v>
      </c>
    </row>
    <row r="13" spans="1:25" hidden="1" x14ac:dyDescent="0.35">
      <c r="A13" t="s">
        <v>466</v>
      </c>
      <c r="B13" s="19" t="s">
        <v>467</v>
      </c>
      <c r="C13" t="s">
        <v>468</v>
      </c>
      <c r="D13" t="s">
        <v>469</v>
      </c>
      <c r="E13" t="s">
        <v>265</v>
      </c>
      <c r="G13" t="str">
        <f t="shared" si="5"/>
        <v>Manual</v>
      </c>
      <c r="H13">
        <v>2023</v>
      </c>
      <c r="I13">
        <v>10</v>
      </c>
      <c r="J13">
        <v>1</v>
      </c>
      <c r="K13">
        <f t="shared" si="6"/>
        <v>2033</v>
      </c>
      <c r="L13">
        <f t="shared" si="0"/>
        <v>2033</v>
      </c>
      <c r="M13" t="str">
        <f t="shared" si="1"/>
        <v>KY 2033</v>
      </c>
      <c r="N13" t="str">
        <f t="shared" si="7"/>
        <v>N</v>
      </c>
      <c r="O13">
        <f t="shared" si="2"/>
        <v>2033</v>
      </c>
      <c r="P13">
        <f t="shared" si="3"/>
        <v>10</v>
      </c>
      <c r="Q13" t="str">
        <f t="shared" si="8"/>
        <v>Manual</v>
      </c>
      <c r="R13" t="s">
        <v>266</v>
      </c>
      <c r="S13" t="str">
        <f t="shared" si="9"/>
        <v>KY</v>
      </c>
      <c r="T13">
        <f t="shared" si="4"/>
        <v>2033</v>
      </c>
      <c r="U13">
        <f t="shared" si="10"/>
        <v>10</v>
      </c>
      <c r="W13">
        <f t="shared" si="11"/>
        <v>3</v>
      </c>
      <c r="X13">
        <f t="shared" si="12"/>
        <v>0</v>
      </c>
      <c r="Y13">
        <f t="shared" si="13"/>
        <v>0</v>
      </c>
    </row>
    <row r="14" spans="1:25" hidden="1" x14ac:dyDescent="0.35">
      <c r="A14" t="s">
        <v>466</v>
      </c>
      <c r="B14" s="19" t="s">
        <v>467</v>
      </c>
      <c r="C14" t="s">
        <v>468</v>
      </c>
      <c r="D14" t="s">
        <v>469</v>
      </c>
      <c r="E14" t="s">
        <v>265</v>
      </c>
      <c r="G14" t="str">
        <f t="shared" si="5"/>
        <v>Manual</v>
      </c>
      <c r="H14">
        <v>2024</v>
      </c>
      <c r="I14">
        <v>10</v>
      </c>
      <c r="J14">
        <v>4</v>
      </c>
      <c r="K14">
        <f t="shared" si="6"/>
        <v>2034</v>
      </c>
      <c r="L14">
        <f t="shared" si="0"/>
        <v>2034</v>
      </c>
      <c r="M14" t="str">
        <f t="shared" si="1"/>
        <v>KY 2034</v>
      </c>
      <c r="N14" t="str">
        <f t="shared" si="7"/>
        <v>N</v>
      </c>
      <c r="O14">
        <f t="shared" si="2"/>
        <v>2034</v>
      </c>
      <c r="P14">
        <f t="shared" si="3"/>
        <v>10</v>
      </c>
      <c r="Q14" t="str">
        <f t="shared" si="8"/>
        <v>Manual</v>
      </c>
      <c r="R14" t="s">
        <v>266</v>
      </c>
      <c r="S14" t="str">
        <f t="shared" si="9"/>
        <v>KY</v>
      </c>
      <c r="T14">
        <f t="shared" si="4"/>
        <v>2034</v>
      </c>
      <c r="U14">
        <f t="shared" si="10"/>
        <v>10</v>
      </c>
      <c r="W14">
        <f t="shared" si="11"/>
        <v>2</v>
      </c>
      <c r="X14">
        <f t="shared" si="12"/>
        <v>0</v>
      </c>
      <c r="Y14">
        <f t="shared" si="13"/>
        <v>0</v>
      </c>
    </row>
    <row r="15" spans="1:25" hidden="1" x14ac:dyDescent="0.35">
      <c r="A15" t="s">
        <v>466</v>
      </c>
      <c r="B15" s="19" t="s">
        <v>467</v>
      </c>
      <c r="C15" t="s">
        <v>468</v>
      </c>
      <c r="D15" t="s">
        <v>469</v>
      </c>
      <c r="E15" t="s">
        <v>265</v>
      </c>
      <c r="F15" t="s">
        <v>470</v>
      </c>
      <c r="G15" t="str">
        <f t="shared" si="5"/>
        <v>AMR</v>
      </c>
      <c r="H15">
        <v>2024</v>
      </c>
      <c r="I15">
        <v>10</v>
      </c>
      <c r="J15">
        <v>1</v>
      </c>
      <c r="K15">
        <f t="shared" si="6"/>
        <v>2034</v>
      </c>
      <c r="L15">
        <f t="shared" si="0"/>
        <v>2034</v>
      </c>
      <c r="M15" t="str">
        <f t="shared" si="1"/>
        <v>KY 2034</v>
      </c>
      <c r="N15" t="str">
        <f t="shared" si="7"/>
        <v>N</v>
      </c>
      <c r="O15">
        <f t="shared" si="2"/>
        <v>2034</v>
      </c>
      <c r="P15">
        <f t="shared" si="3"/>
        <v>10</v>
      </c>
      <c r="Q15" t="str">
        <f t="shared" si="8"/>
        <v>AMR</v>
      </c>
      <c r="R15" t="s">
        <v>266</v>
      </c>
      <c r="S15" t="str">
        <f t="shared" si="9"/>
        <v>KY</v>
      </c>
      <c r="T15">
        <f t="shared" si="4"/>
        <v>2034</v>
      </c>
      <c r="U15">
        <f t="shared" si="10"/>
        <v>10</v>
      </c>
      <c r="W15">
        <f t="shared" si="11"/>
        <v>2</v>
      </c>
      <c r="X15">
        <f t="shared" si="12"/>
        <v>0</v>
      </c>
      <c r="Y15">
        <f t="shared" si="13"/>
        <v>0</v>
      </c>
    </row>
    <row r="16" spans="1:25" hidden="1" x14ac:dyDescent="0.35">
      <c r="A16" t="s">
        <v>466</v>
      </c>
      <c r="B16" s="19" t="s">
        <v>467</v>
      </c>
      <c r="C16" t="s">
        <v>468</v>
      </c>
      <c r="D16" t="s">
        <v>469</v>
      </c>
      <c r="E16" t="s">
        <v>264</v>
      </c>
      <c r="F16" t="s">
        <v>471</v>
      </c>
      <c r="G16" t="str">
        <f t="shared" si="5"/>
        <v>AMR</v>
      </c>
      <c r="H16">
        <v>2021</v>
      </c>
      <c r="I16">
        <v>10</v>
      </c>
      <c r="J16">
        <v>1</v>
      </c>
      <c r="K16">
        <f t="shared" si="6"/>
        <v>2031</v>
      </c>
      <c r="L16">
        <f t="shared" si="0"/>
        <v>2031</v>
      </c>
      <c r="M16" t="str">
        <f t="shared" si="1"/>
        <v>KY 2031</v>
      </c>
      <c r="N16" t="str">
        <f t="shared" si="7"/>
        <v>N</v>
      </c>
      <c r="O16">
        <f t="shared" si="2"/>
        <v>2031</v>
      </c>
      <c r="P16">
        <f t="shared" si="3"/>
        <v>10</v>
      </c>
      <c r="Q16" t="str">
        <f t="shared" si="8"/>
        <v>AMR</v>
      </c>
      <c r="R16" t="s">
        <v>266</v>
      </c>
      <c r="S16" t="str">
        <f t="shared" si="9"/>
        <v>KY</v>
      </c>
      <c r="T16">
        <f t="shared" si="4"/>
        <v>2031</v>
      </c>
      <c r="U16">
        <f t="shared" si="10"/>
        <v>10</v>
      </c>
      <c r="W16">
        <f t="shared" si="11"/>
        <v>5</v>
      </c>
      <c r="X16">
        <f t="shared" si="12"/>
        <v>0</v>
      </c>
      <c r="Y16">
        <f t="shared" si="13"/>
        <v>0</v>
      </c>
    </row>
    <row r="17" spans="1:25" hidden="1" x14ac:dyDescent="0.35">
      <c r="A17" t="s">
        <v>466</v>
      </c>
      <c r="B17" s="19" t="s">
        <v>467</v>
      </c>
      <c r="C17" t="s">
        <v>468</v>
      </c>
      <c r="D17" t="s">
        <v>469</v>
      </c>
      <c r="E17" t="s">
        <v>264</v>
      </c>
      <c r="F17" t="s">
        <v>471</v>
      </c>
      <c r="G17" t="str">
        <f t="shared" si="5"/>
        <v>AMR</v>
      </c>
      <c r="H17">
        <v>2023</v>
      </c>
      <c r="I17">
        <v>10</v>
      </c>
      <c r="J17">
        <v>1</v>
      </c>
      <c r="K17">
        <f t="shared" si="6"/>
        <v>2033</v>
      </c>
      <c r="L17">
        <f t="shared" si="0"/>
        <v>2033</v>
      </c>
      <c r="M17" t="str">
        <f>(C17&amp; " "&amp;L17)</f>
        <v>KY 2033</v>
      </c>
      <c r="N17" t="str">
        <f t="shared" si="7"/>
        <v>N</v>
      </c>
      <c r="O17">
        <f t="shared" si="2"/>
        <v>2033</v>
      </c>
      <c r="P17">
        <f t="shared" si="3"/>
        <v>10</v>
      </c>
      <c r="Q17" t="str">
        <f t="shared" si="8"/>
        <v>AMR</v>
      </c>
      <c r="R17" t="s">
        <v>266</v>
      </c>
      <c r="S17" t="str">
        <f t="shared" si="9"/>
        <v>KY</v>
      </c>
      <c r="T17">
        <f t="shared" si="4"/>
        <v>2033</v>
      </c>
      <c r="U17">
        <f t="shared" si="10"/>
        <v>10</v>
      </c>
      <c r="W17">
        <f t="shared" si="11"/>
        <v>3</v>
      </c>
      <c r="X17">
        <f t="shared" si="12"/>
        <v>0</v>
      </c>
      <c r="Y17">
        <f t="shared" si="13"/>
        <v>0</v>
      </c>
    </row>
    <row r="18" spans="1:25" hidden="1" x14ac:dyDescent="0.35">
      <c r="A18" t="s">
        <v>466</v>
      </c>
      <c r="B18" s="19" t="s">
        <v>467</v>
      </c>
      <c r="C18" t="s">
        <v>468</v>
      </c>
      <c r="D18" t="s">
        <v>469</v>
      </c>
      <c r="E18" t="s">
        <v>265</v>
      </c>
      <c r="F18" t="s">
        <v>471</v>
      </c>
      <c r="G18" t="str">
        <f t="shared" si="5"/>
        <v>AMR</v>
      </c>
      <c r="H18">
        <v>2016</v>
      </c>
      <c r="I18">
        <v>10</v>
      </c>
      <c r="J18">
        <v>1</v>
      </c>
      <c r="K18">
        <f t="shared" si="6"/>
        <v>2026</v>
      </c>
      <c r="L18">
        <f t="shared" si="0"/>
        <v>2026</v>
      </c>
      <c r="M18" t="str">
        <f t="shared" si="1"/>
        <v>KY 2026</v>
      </c>
      <c r="N18" t="str">
        <f t="shared" si="7"/>
        <v>N</v>
      </c>
      <c r="O18">
        <f t="shared" si="2"/>
        <v>2026</v>
      </c>
      <c r="P18">
        <f t="shared" si="3"/>
        <v>10</v>
      </c>
      <c r="Q18" t="str">
        <f t="shared" si="8"/>
        <v>AMR</v>
      </c>
      <c r="R18" t="s">
        <v>266</v>
      </c>
      <c r="S18" t="str">
        <f t="shared" si="9"/>
        <v>KY</v>
      </c>
      <c r="T18">
        <f t="shared" si="4"/>
        <v>2026</v>
      </c>
      <c r="U18">
        <f t="shared" si="10"/>
        <v>10</v>
      </c>
      <c r="W18">
        <f t="shared" si="11"/>
        <v>10</v>
      </c>
      <c r="X18">
        <f t="shared" si="12"/>
        <v>0</v>
      </c>
      <c r="Y18">
        <f t="shared" si="13"/>
        <v>0</v>
      </c>
    </row>
    <row r="19" spans="1:25" hidden="1" x14ac:dyDescent="0.35">
      <c r="A19" t="s">
        <v>466</v>
      </c>
      <c r="B19" s="19" t="s">
        <v>467</v>
      </c>
      <c r="C19" t="s">
        <v>468</v>
      </c>
      <c r="D19" t="s">
        <v>469</v>
      </c>
      <c r="E19" t="s">
        <v>265</v>
      </c>
      <c r="F19" t="s">
        <v>471</v>
      </c>
      <c r="G19" t="str">
        <f t="shared" si="5"/>
        <v>AMR</v>
      </c>
      <c r="H19">
        <v>2018</v>
      </c>
      <c r="I19">
        <v>10</v>
      </c>
      <c r="J19">
        <v>1</v>
      </c>
      <c r="K19">
        <f t="shared" si="6"/>
        <v>2028</v>
      </c>
      <c r="L19">
        <f t="shared" si="0"/>
        <v>2028</v>
      </c>
      <c r="M19" t="str">
        <f t="shared" si="1"/>
        <v>KY 2028</v>
      </c>
      <c r="N19" t="str">
        <f t="shared" si="7"/>
        <v>N</v>
      </c>
      <c r="O19">
        <f t="shared" si="2"/>
        <v>2028</v>
      </c>
      <c r="P19">
        <f t="shared" si="3"/>
        <v>10</v>
      </c>
      <c r="Q19" t="str">
        <f t="shared" si="8"/>
        <v>AMR</v>
      </c>
      <c r="R19" t="s">
        <v>266</v>
      </c>
      <c r="S19" t="str">
        <f t="shared" si="9"/>
        <v>KY</v>
      </c>
      <c r="T19">
        <f t="shared" si="4"/>
        <v>2028</v>
      </c>
      <c r="U19">
        <f t="shared" si="10"/>
        <v>10</v>
      </c>
      <c r="W19">
        <f t="shared" si="11"/>
        <v>8</v>
      </c>
      <c r="X19">
        <f t="shared" si="12"/>
        <v>0</v>
      </c>
      <c r="Y19">
        <f t="shared" si="13"/>
        <v>0</v>
      </c>
    </row>
    <row r="20" spans="1:25" hidden="1" x14ac:dyDescent="0.35">
      <c r="A20" t="s">
        <v>466</v>
      </c>
      <c r="B20" s="19" t="s">
        <v>467</v>
      </c>
      <c r="C20" t="s">
        <v>468</v>
      </c>
      <c r="D20" t="s">
        <v>469</v>
      </c>
      <c r="E20" t="s">
        <v>265</v>
      </c>
      <c r="F20" t="s">
        <v>471</v>
      </c>
      <c r="G20" t="str">
        <f t="shared" si="5"/>
        <v>AMR</v>
      </c>
      <c r="H20">
        <v>2022</v>
      </c>
      <c r="I20">
        <v>10</v>
      </c>
      <c r="J20">
        <v>1</v>
      </c>
      <c r="K20">
        <f t="shared" si="6"/>
        <v>2032</v>
      </c>
      <c r="L20">
        <f t="shared" si="0"/>
        <v>2032</v>
      </c>
      <c r="M20" t="str">
        <f t="shared" si="1"/>
        <v>KY 2032</v>
      </c>
      <c r="N20" t="str">
        <f t="shared" si="7"/>
        <v>N</v>
      </c>
      <c r="O20">
        <f t="shared" si="2"/>
        <v>2032</v>
      </c>
      <c r="P20">
        <f t="shared" si="3"/>
        <v>10</v>
      </c>
      <c r="Q20" t="str">
        <f t="shared" si="8"/>
        <v>AMR</v>
      </c>
      <c r="R20" t="s">
        <v>266</v>
      </c>
      <c r="S20" t="str">
        <f t="shared" si="9"/>
        <v>KY</v>
      </c>
      <c r="T20">
        <f t="shared" si="4"/>
        <v>2032</v>
      </c>
      <c r="U20">
        <f t="shared" si="10"/>
        <v>10</v>
      </c>
      <c r="W20">
        <f t="shared" si="11"/>
        <v>4</v>
      </c>
      <c r="X20">
        <f t="shared" si="12"/>
        <v>0</v>
      </c>
      <c r="Y20">
        <f t="shared" si="13"/>
        <v>0</v>
      </c>
    </row>
    <row r="21" spans="1:25" hidden="1" x14ac:dyDescent="0.35">
      <c r="A21" t="s">
        <v>466</v>
      </c>
      <c r="B21" s="19" t="s">
        <v>467</v>
      </c>
      <c r="C21" t="s">
        <v>468</v>
      </c>
      <c r="D21" t="s">
        <v>469</v>
      </c>
      <c r="E21" t="s">
        <v>265</v>
      </c>
      <c r="F21" t="s">
        <v>471</v>
      </c>
      <c r="G21" t="str">
        <f t="shared" si="5"/>
        <v>AMR</v>
      </c>
      <c r="H21">
        <v>2023</v>
      </c>
      <c r="I21">
        <v>10</v>
      </c>
      <c r="J21">
        <v>6</v>
      </c>
      <c r="K21">
        <f t="shared" si="6"/>
        <v>2033</v>
      </c>
      <c r="L21">
        <f t="shared" si="0"/>
        <v>2033</v>
      </c>
      <c r="M21" t="str">
        <f t="shared" si="1"/>
        <v>KY 2033</v>
      </c>
      <c r="N21" t="str">
        <f t="shared" si="7"/>
        <v>N</v>
      </c>
      <c r="O21">
        <f t="shared" si="2"/>
        <v>2033</v>
      </c>
      <c r="P21">
        <f t="shared" si="3"/>
        <v>10</v>
      </c>
      <c r="Q21" t="str">
        <f t="shared" si="8"/>
        <v>AMR</v>
      </c>
      <c r="R21" t="s">
        <v>266</v>
      </c>
      <c r="S21" t="str">
        <f t="shared" si="9"/>
        <v>KY</v>
      </c>
      <c r="T21">
        <f t="shared" si="4"/>
        <v>2033</v>
      </c>
      <c r="U21">
        <f t="shared" si="10"/>
        <v>10</v>
      </c>
      <c r="W21">
        <f t="shared" si="11"/>
        <v>3</v>
      </c>
      <c r="X21">
        <f t="shared" si="12"/>
        <v>0</v>
      </c>
      <c r="Y21">
        <f t="shared" si="13"/>
        <v>0</v>
      </c>
    </row>
    <row r="22" spans="1:25" hidden="1" x14ac:dyDescent="0.35">
      <c r="A22" t="s">
        <v>466</v>
      </c>
      <c r="B22" s="19" t="s">
        <v>467</v>
      </c>
      <c r="C22" t="s">
        <v>468</v>
      </c>
      <c r="D22" t="s">
        <v>469</v>
      </c>
      <c r="E22" t="s">
        <v>265</v>
      </c>
      <c r="F22" t="s">
        <v>471</v>
      </c>
      <c r="G22" t="str">
        <f t="shared" si="5"/>
        <v>AMR</v>
      </c>
      <c r="H22">
        <v>2024</v>
      </c>
      <c r="I22">
        <v>10</v>
      </c>
      <c r="J22">
        <v>21</v>
      </c>
      <c r="K22">
        <f t="shared" si="6"/>
        <v>2034</v>
      </c>
      <c r="L22">
        <f t="shared" si="0"/>
        <v>2034</v>
      </c>
      <c r="M22" t="str">
        <f t="shared" si="1"/>
        <v>KY 2034</v>
      </c>
      <c r="N22" t="str">
        <f t="shared" si="7"/>
        <v>N</v>
      </c>
      <c r="O22">
        <f t="shared" si="2"/>
        <v>2034</v>
      </c>
      <c r="P22">
        <f t="shared" si="3"/>
        <v>10</v>
      </c>
      <c r="Q22" t="str">
        <f t="shared" si="8"/>
        <v>AMR</v>
      </c>
      <c r="R22" t="s">
        <v>266</v>
      </c>
      <c r="S22" t="str">
        <f t="shared" si="9"/>
        <v>KY</v>
      </c>
      <c r="T22">
        <f t="shared" si="4"/>
        <v>2034</v>
      </c>
      <c r="U22">
        <f t="shared" si="10"/>
        <v>10</v>
      </c>
      <c r="W22">
        <f t="shared" si="11"/>
        <v>2</v>
      </c>
      <c r="X22">
        <f t="shared" si="12"/>
        <v>0</v>
      </c>
      <c r="Y22">
        <f t="shared" si="13"/>
        <v>0</v>
      </c>
    </row>
    <row r="23" spans="1:25" hidden="1" x14ac:dyDescent="0.35">
      <c r="A23" t="s">
        <v>466</v>
      </c>
      <c r="B23" s="19" t="s">
        <v>467</v>
      </c>
      <c r="C23" t="s">
        <v>468</v>
      </c>
      <c r="D23" t="s">
        <v>469</v>
      </c>
      <c r="E23" t="s">
        <v>264</v>
      </c>
      <c r="F23" t="s">
        <v>471</v>
      </c>
      <c r="G23" t="str">
        <f t="shared" si="5"/>
        <v>AMR</v>
      </c>
      <c r="H23">
        <v>2024</v>
      </c>
      <c r="I23">
        <v>10</v>
      </c>
      <c r="J23">
        <v>1</v>
      </c>
      <c r="K23">
        <f t="shared" si="6"/>
        <v>2034</v>
      </c>
      <c r="L23">
        <f t="shared" si="0"/>
        <v>2034</v>
      </c>
      <c r="M23" t="str">
        <f t="shared" si="1"/>
        <v>KY 2034</v>
      </c>
      <c r="N23" t="str">
        <f t="shared" si="7"/>
        <v>N</v>
      </c>
      <c r="O23">
        <f t="shared" si="2"/>
        <v>2034</v>
      </c>
      <c r="P23">
        <f t="shared" si="3"/>
        <v>10</v>
      </c>
      <c r="Q23" t="str">
        <f t="shared" si="8"/>
        <v>AMR</v>
      </c>
      <c r="R23" t="s">
        <v>266</v>
      </c>
      <c r="S23" t="str">
        <f t="shared" si="9"/>
        <v>KY</v>
      </c>
      <c r="T23">
        <f t="shared" si="4"/>
        <v>2034</v>
      </c>
      <c r="U23">
        <f t="shared" si="10"/>
        <v>10</v>
      </c>
      <c r="W23">
        <f t="shared" si="11"/>
        <v>2</v>
      </c>
      <c r="X23">
        <f t="shared" si="12"/>
        <v>0</v>
      </c>
      <c r="Y23">
        <f t="shared" si="13"/>
        <v>0</v>
      </c>
    </row>
    <row r="24" spans="1:25" hidden="1" x14ac:dyDescent="0.35">
      <c r="A24" t="s">
        <v>466</v>
      </c>
      <c r="B24" s="19" t="s">
        <v>467</v>
      </c>
      <c r="C24" t="s">
        <v>468</v>
      </c>
      <c r="D24" t="s">
        <v>469</v>
      </c>
      <c r="E24" t="s">
        <v>264</v>
      </c>
      <c r="F24" t="s">
        <v>472</v>
      </c>
      <c r="G24" t="str">
        <f t="shared" si="5"/>
        <v>AMI</v>
      </c>
      <c r="H24">
        <v>2016</v>
      </c>
      <c r="I24">
        <v>10</v>
      </c>
      <c r="J24">
        <v>1</v>
      </c>
      <c r="K24">
        <f t="shared" si="6"/>
        <v>2026</v>
      </c>
      <c r="L24">
        <f t="shared" si="0"/>
        <v>2026</v>
      </c>
      <c r="M24" t="str">
        <f t="shared" si="1"/>
        <v>KY 2026</v>
      </c>
      <c r="N24" t="str">
        <f t="shared" si="7"/>
        <v>Y</v>
      </c>
      <c r="O24">
        <f t="shared" si="2"/>
        <v>2026</v>
      </c>
      <c r="P24">
        <f t="shared" si="3"/>
        <v>10</v>
      </c>
      <c r="Q24" t="str">
        <f t="shared" si="8"/>
        <v>AMI</v>
      </c>
      <c r="R24" t="s">
        <v>266</v>
      </c>
      <c r="S24" t="str">
        <f t="shared" si="9"/>
        <v>KY</v>
      </c>
      <c r="T24">
        <f t="shared" si="4"/>
        <v>2026</v>
      </c>
      <c r="U24">
        <f t="shared" si="10"/>
        <v>10</v>
      </c>
      <c r="W24">
        <f t="shared" si="11"/>
        <v>10</v>
      </c>
      <c r="X24">
        <f t="shared" si="12"/>
        <v>0</v>
      </c>
      <c r="Y24">
        <f t="shared" si="13"/>
        <v>0</v>
      </c>
    </row>
    <row r="25" spans="1:25" hidden="1" x14ac:dyDescent="0.35">
      <c r="A25" t="s">
        <v>466</v>
      </c>
      <c r="B25" s="19" t="s">
        <v>467</v>
      </c>
      <c r="C25" t="s">
        <v>468</v>
      </c>
      <c r="D25" t="s">
        <v>469</v>
      </c>
      <c r="E25" t="s">
        <v>264</v>
      </c>
      <c r="F25" t="s">
        <v>472</v>
      </c>
      <c r="G25" t="str">
        <f t="shared" si="5"/>
        <v>AMI</v>
      </c>
      <c r="H25">
        <v>2017</v>
      </c>
      <c r="I25">
        <v>10</v>
      </c>
      <c r="J25">
        <v>1</v>
      </c>
      <c r="K25">
        <f t="shared" si="6"/>
        <v>2027</v>
      </c>
      <c r="L25">
        <f t="shared" si="0"/>
        <v>2027</v>
      </c>
      <c r="M25" t="str">
        <f t="shared" si="1"/>
        <v>KY 2027</v>
      </c>
      <c r="N25" t="str">
        <f t="shared" si="7"/>
        <v>Y</v>
      </c>
      <c r="O25">
        <f t="shared" si="2"/>
        <v>2027</v>
      </c>
      <c r="P25">
        <f t="shared" si="3"/>
        <v>10</v>
      </c>
      <c r="Q25" t="str">
        <f t="shared" si="8"/>
        <v>AMI</v>
      </c>
      <c r="R25" t="s">
        <v>266</v>
      </c>
      <c r="S25" t="str">
        <f t="shared" si="9"/>
        <v>KY</v>
      </c>
      <c r="T25">
        <f t="shared" si="4"/>
        <v>2027</v>
      </c>
      <c r="U25">
        <f t="shared" si="10"/>
        <v>10</v>
      </c>
      <c r="W25">
        <f t="shared" si="11"/>
        <v>9</v>
      </c>
      <c r="X25">
        <f t="shared" si="12"/>
        <v>0</v>
      </c>
      <c r="Y25">
        <f t="shared" si="13"/>
        <v>0</v>
      </c>
    </row>
    <row r="26" spans="1:25" hidden="1" x14ac:dyDescent="0.35">
      <c r="A26" t="s">
        <v>466</v>
      </c>
      <c r="B26" s="19" t="s">
        <v>467</v>
      </c>
      <c r="C26" t="s">
        <v>468</v>
      </c>
      <c r="D26" t="s">
        <v>469</v>
      </c>
      <c r="E26" t="s">
        <v>264</v>
      </c>
      <c r="F26" t="s">
        <v>472</v>
      </c>
      <c r="G26" t="str">
        <f t="shared" si="5"/>
        <v>AMI</v>
      </c>
      <c r="H26">
        <v>2023</v>
      </c>
      <c r="I26">
        <v>10</v>
      </c>
      <c r="J26">
        <v>6</v>
      </c>
      <c r="K26">
        <f t="shared" si="6"/>
        <v>2033</v>
      </c>
      <c r="L26">
        <f t="shared" si="0"/>
        <v>2033</v>
      </c>
      <c r="M26" t="str">
        <f t="shared" si="1"/>
        <v>KY 2033</v>
      </c>
      <c r="N26" t="str">
        <f t="shared" si="7"/>
        <v>Y</v>
      </c>
      <c r="O26">
        <f t="shared" si="2"/>
        <v>2033</v>
      </c>
      <c r="P26">
        <f t="shared" si="3"/>
        <v>10</v>
      </c>
      <c r="Q26" t="str">
        <f t="shared" si="8"/>
        <v>AMI</v>
      </c>
      <c r="R26" t="s">
        <v>266</v>
      </c>
      <c r="S26" t="str">
        <f t="shared" si="9"/>
        <v>KY</v>
      </c>
      <c r="T26">
        <f t="shared" si="4"/>
        <v>2033</v>
      </c>
      <c r="U26">
        <f t="shared" si="10"/>
        <v>10</v>
      </c>
      <c r="W26">
        <f t="shared" si="11"/>
        <v>3</v>
      </c>
      <c r="X26">
        <f t="shared" si="12"/>
        <v>0</v>
      </c>
      <c r="Y26">
        <f t="shared" si="13"/>
        <v>0</v>
      </c>
    </row>
    <row r="27" spans="1:25" hidden="1" x14ac:dyDescent="0.35">
      <c r="A27" t="s">
        <v>466</v>
      </c>
      <c r="B27" s="19" t="s">
        <v>467</v>
      </c>
      <c r="C27" t="s">
        <v>468</v>
      </c>
      <c r="D27" t="s">
        <v>469</v>
      </c>
      <c r="E27" t="s">
        <v>264</v>
      </c>
      <c r="F27" t="s">
        <v>472</v>
      </c>
      <c r="G27" t="str">
        <f t="shared" si="5"/>
        <v>AMI</v>
      </c>
      <c r="H27">
        <v>2024</v>
      </c>
      <c r="I27">
        <v>10</v>
      </c>
      <c r="J27">
        <v>5</v>
      </c>
      <c r="K27">
        <f t="shared" si="6"/>
        <v>2034</v>
      </c>
      <c r="L27">
        <f t="shared" si="0"/>
        <v>2034</v>
      </c>
      <c r="M27" t="str">
        <f t="shared" si="1"/>
        <v>KY 2034</v>
      </c>
      <c r="N27" t="str">
        <f t="shared" si="7"/>
        <v>Y</v>
      </c>
      <c r="O27">
        <f t="shared" si="2"/>
        <v>2034</v>
      </c>
      <c r="P27">
        <f t="shared" si="3"/>
        <v>10</v>
      </c>
      <c r="Q27" t="str">
        <f t="shared" si="8"/>
        <v>AMI</v>
      </c>
      <c r="R27" t="s">
        <v>266</v>
      </c>
      <c r="S27" t="str">
        <f t="shared" si="9"/>
        <v>KY</v>
      </c>
      <c r="T27">
        <f t="shared" si="4"/>
        <v>2034</v>
      </c>
      <c r="U27">
        <f t="shared" si="10"/>
        <v>10</v>
      </c>
      <c r="W27">
        <f t="shared" si="11"/>
        <v>2</v>
      </c>
      <c r="X27">
        <f t="shared" si="12"/>
        <v>0</v>
      </c>
      <c r="Y27">
        <f t="shared" si="13"/>
        <v>0</v>
      </c>
    </row>
    <row r="28" spans="1:25" hidden="1" x14ac:dyDescent="0.35">
      <c r="A28" t="s">
        <v>466</v>
      </c>
      <c r="B28" s="19" t="s">
        <v>467</v>
      </c>
      <c r="C28" t="s">
        <v>468</v>
      </c>
      <c r="D28" t="s">
        <v>469</v>
      </c>
      <c r="E28" t="s">
        <v>265</v>
      </c>
      <c r="F28" t="s">
        <v>472</v>
      </c>
      <c r="G28" t="str">
        <f t="shared" si="5"/>
        <v>AMI</v>
      </c>
      <c r="H28">
        <v>2017</v>
      </c>
      <c r="I28">
        <v>10</v>
      </c>
      <c r="J28">
        <v>3</v>
      </c>
      <c r="K28">
        <f t="shared" si="6"/>
        <v>2027</v>
      </c>
      <c r="L28">
        <f t="shared" si="0"/>
        <v>2027</v>
      </c>
      <c r="M28" t="str">
        <f t="shared" si="1"/>
        <v>KY 2027</v>
      </c>
      <c r="N28" t="str">
        <f t="shared" si="7"/>
        <v>Y</v>
      </c>
      <c r="O28">
        <f t="shared" si="2"/>
        <v>2027</v>
      </c>
      <c r="P28">
        <f t="shared" si="3"/>
        <v>10</v>
      </c>
      <c r="Q28" t="str">
        <f t="shared" si="8"/>
        <v>AMI</v>
      </c>
      <c r="R28" t="s">
        <v>266</v>
      </c>
      <c r="S28" t="str">
        <f t="shared" si="9"/>
        <v>KY</v>
      </c>
      <c r="T28">
        <f t="shared" si="4"/>
        <v>2027</v>
      </c>
      <c r="U28">
        <f t="shared" si="10"/>
        <v>10</v>
      </c>
      <c r="W28">
        <f t="shared" si="11"/>
        <v>9</v>
      </c>
      <c r="X28">
        <f t="shared" si="12"/>
        <v>0</v>
      </c>
      <c r="Y28">
        <f t="shared" si="13"/>
        <v>0</v>
      </c>
    </row>
    <row r="29" spans="1:25" hidden="1" x14ac:dyDescent="0.35">
      <c r="A29" t="s">
        <v>466</v>
      </c>
      <c r="B29" s="19" t="s">
        <v>467</v>
      </c>
      <c r="C29" t="s">
        <v>468</v>
      </c>
      <c r="D29" t="s">
        <v>469</v>
      </c>
      <c r="E29" t="s">
        <v>265</v>
      </c>
      <c r="F29" t="s">
        <v>472</v>
      </c>
      <c r="G29" t="str">
        <f t="shared" si="5"/>
        <v>AMI</v>
      </c>
      <c r="H29">
        <v>2018</v>
      </c>
      <c r="I29">
        <v>10</v>
      </c>
      <c r="J29">
        <v>3</v>
      </c>
      <c r="K29">
        <f t="shared" si="6"/>
        <v>2028</v>
      </c>
      <c r="L29">
        <f t="shared" si="0"/>
        <v>2028</v>
      </c>
      <c r="M29" t="str">
        <f t="shared" si="1"/>
        <v>KY 2028</v>
      </c>
      <c r="N29" t="str">
        <f t="shared" si="7"/>
        <v>Y</v>
      </c>
      <c r="O29">
        <f t="shared" si="2"/>
        <v>2028</v>
      </c>
      <c r="P29">
        <f t="shared" si="3"/>
        <v>10</v>
      </c>
      <c r="Q29" t="str">
        <f t="shared" si="8"/>
        <v>AMI</v>
      </c>
      <c r="R29" t="s">
        <v>266</v>
      </c>
      <c r="S29" t="str">
        <f t="shared" si="9"/>
        <v>KY</v>
      </c>
      <c r="T29">
        <f t="shared" si="4"/>
        <v>2028</v>
      </c>
      <c r="U29">
        <f t="shared" si="10"/>
        <v>10</v>
      </c>
      <c r="W29">
        <f t="shared" si="11"/>
        <v>8</v>
      </c>
      <c r="X29">
        <f t="shared" si="12"/>
        <v>0</v>
      </c>
      <c r="Y29">
        <f t="shared" si="13"/>
        <v>0</v>
      </c>
    </row>
    <row r="30" spans="1:25" hidden="1" x14ac:dyDescent="0.35">
      <c r="A30" t="s">
        <v>466</v>
      </c>
      <c r="B30" s="19" t="s">
        <v>467</v>
      </c>
      <c r="C30" t="s">
        <v>468</v>
      </c>
      <c r="D30" t="s">
        <v>469</v>
      </c>
      <c r="E30" t="s">
        <v>265</v>
      </c>
      <c r="F30" t="s">
        <v>472</v>
      </c>
      <c r="G30" t="str">
        <f t="shared" si="5"/>
        <v>AMI</v>
      </c>
      <c r="H30">
        <v>2020</v>
      </c>
      <c r="I30">
        <v>10</v>
      </c>
      <c r="J30">
        <v>5</v>
      </c>
      <c r="K30">
        <f t="shared" si="6"/>
        <v>2030</v>
      </c>
      <c r="L30">
        <f t="shared" si="0"/>
        <v>2030</v>
      </c>
      <c r="M30" t="str">
        <f t="shared" si="1"/>
        <v>KY 2030</v>
      </c>
      <c r="N30" t="str">
        <f t="shared" si="7"/>
        <v>Y</v>
      </c>
      <c r="O30">
        <f t="shared" si="2"/>
        <v>2030</v>
      </c>
      <c r="P30">
        <f t="shared" si="3"/>
        <v>10</v>
      </c>
      <c r="Q30" t="str">
        <f t="shared" si="8"/>
        <v>AMI</v>
      </c>
      <c r="R30" t="s">
        <v>266</v>
      </c>
      <c r="S30" t="str">
        <f t="shared" si="9"/>
        <v>KY</v>
      </c>
      <c r="T30">
        <f t="shared" si="4"/>
        <v>2030</v>
      </c>
      <c r="U30">
        <f t="shared" si="10"/>
        <v>10</v>
      </c>
      <c r="W30">
        <f t="shared" si="11"/>
        <v>6</v>
      </c>
      <c r="X30">
        <f t="shared" si="12"/>
        <v>0</v>
      </c>
      <c r="Y30">
        <f t="shared" si="13"/>
        <v>0</v>
      </c>
    </row>
    <row r="31" spans="1:25" hidden="1" x14ac:dyDescent="0.35">
      <c r="A31" t="s">
        <v>466</v>
      </c>
      <c r="B31" s="19" t="s">
        <v>467</v>
      </c>
      <c r="C31" t="s">
        <v>468</v>
      </c>
      <c r="D31" t="s">
        <v>469</v>
      </c>
      <c r="E31" t="s">
        <v>265</v>
      </c>
      <c r="F31" t="s">
        <v>472</v>
      </c>
      <c r="G31" t="str">
        <f t="shared" si="5"/>
        <v>AMI</v>
      </c>
      <c r="H31">
        <v>2021</v>
      </c>
      <c r="I31">
        <v>10</v>
      </c>
      <c r="J31">
        <v>11</v>
      </c>
      <c r="K31">
        <f t="shared" si="6"/>
        <v>2031</v>
      </c>
      <c r="L31">
        <f t="shared" si="0"/>
        <v>2031</v>
      </c>
      <c r="M31" t="str">
        <f t="shared" si="1"/>
        <v>KY 2031</v>
      </c>
      <c r="N31" t="str">
        <f t="shared" si="7"/>
        <v>Y</v>
      </c>
      <c r="O31">
        <f t="shared" si="2"/>
        <v>2031</v>
      </c>
      <c r="P31">
        <f t="shared" si="3"/>
        <v>10</v>
      </c>
      <c r="Q31" t="str">
        <f t="shared" si="8"/>
        <v>AMI</v>
      </c>
      <c r="R31" t="s">
        <v>266</v>
      </c>
      <c r="S31" t="str">
        <f t="shared" si="9"/>
        <v>KY</v>
      </c>
      <c r="T31">
        <f t="shared" si="4"/>
        <v>2031</v>
      </c>
      <c r="U31">
        <f t="shared" si="10"/>
        <v>10</v>
      </c>
      <c r="W31">
        <f t="shared" si="11"/>
        <v>5</v>
      </c>
      <c r="X31">
        <f t="shared" si="12"/>
        <v>0</v>
      </c>
      <c r="Y31">
        <f t="shared" si="13"/>
        <v>0</v>
      </c>
    </row>
    <row r="32" spans="1:25" hidden="1" x14ac:dyDescent="0.35">
      <c r="A32" t="s">
        <v>466</v>
      </c>
      <c r="B32" s="19" t="s">
        <v>467</v>
      </c>
      <c r="C32" t="s">
        <v>468</v>
      </c>
      <c r="D32" t="s">
        <v>469</v>
      </c>
      <c r="E32" t="s">
        <v>265</v>
      </c>
      <c r="F32" t="s">
        <v>472</v>
      </c>
      <c r="G32" t="str">
        <f t="shared" si="5"/>
        <v>AMI</v>
      </c>
      <c r="H32">
        <v>2022</v>
      </c>
      <c r="I32">
        <v>10</v>
      </c>
      <c r="J32">
        <v>12</v>
      </c>
      <c r="K32">
        <f t="shared" si="6"/>
        <v>2032</v>
      </c>
      <c r="L32">
        <f t="shared" si="0"/>
        <v>2032</v>
      </c>
      <c r="M32" t="str">
        <f t="shared" si="1"/>
        <v>KY 2032</v>
      </c>
      <c r="N32" t="str">
        <f t="shared" si="7"/>
        <v>Y</v>
      </c>
      <c r="O32">
        <f t="shared" si="2"/>
        <v>2032</v>
      </c>
      <c r="P32">
        <f t="shared" si="3"/>
        <v>10</v>
      </c>
      <c r="Q32" t="str">
        <f t="shared" si="8"/>
        <v>AMI</v>
      </c>
      <c r="R32" t="s">
        <v>266</v>
      </c>
      <c r="S32" t="str">
        <f t="shared" si="9"/>
        <v>KY</v>
      </c>
      <c r="T32">
        <f t="shared" si="4"/>
        <v>2032</v>
      </c>
      <c r="U32">
        <f t="shared" si="10"/>
        <v>10</v>
      </c>
      <c r="W32">
        <f t="shared" si="11"/>
        <v>4</v>
      </c>
      <c r="X32">
        <f t="shared" si="12"/>
        <v>0</v>
      </c>
      <c r="Y32">
        <f t="shared" si="13"/>
        <v>0</v>
      </c>
    </row>
    <row r="33" spans="1:25" hidden="1" x14ac:dyDescent="0.35">
      <c r="A33" t="s">
        <v>466</v>
      </c>
      <c r="B33" s="19" t="s">
        <v>467</v>
      </c>
      <c r="C33" t="s">
        <v>468</v>
      </c>
      <c r="D33" t="s">
        <v>469</v>
      </c>
      <c r="E33" t="s">
        <v>265</v>
      </c>
      <c r="F33" t="s">
        <v>472</v>
      </c>
      <c r="G33" t="str">
        <f t="shared" si="5"/>
        <v>AMI</v>
      </c>
      <c r="H33">
        <v>2023</v>
      </c>
      <c r="I33">
        <v>10</v>
      </c>
      <c r="J33">
        <v>23</v>
      </c>
      <c r="K33">
        <f t="shared" si="6"/>
        <v>2033</v>
      </c>
      <c r="L33">
        <f t="shared" si="0"/>
        <v>2033</v>
      </c>
      <c r="M33" t="str">
        <f t="shared" si="1"/>
        <v>KY 2033</v>
      </c>
      <c r="N33" t="str">
        <f t="shared" si="7"/>
        <v>Y</v>
      </c>
      <c r="O33">
        <f t="shared" si="2"/>
        <v>2033</v>
      </c>
      <c r="P33">
        <f t="shared" si="3"/>
        <v>10</v>
      </c>
      <c r="Q33" t="str">
        <f t="shared" si="8"/>
        <v>AMI</v>
      </c>
      <c r="R33" t="s">
        <v>266</v>
      </c>
      <c r="S33" t="str">
        <f t="shared" si="9"/>
        <v>KY</v>
      </c>
      <c r="T33">
        <f t="shared" si="4"/>
        <v>2033</v>
      </c>
      <c r="U33">
        <f t="shared" si="10"/>
        <v>10</v>
      </c>
      <c r="W33">
        <f t="shared" si="11"/>
        <v>3</v>
      </c>
      <c r="X33">
        <f t="shared" si="12"/>
        <v>0</v>
      </c>
      <c r="Y33">
        <f t="shared" si="13"/>
        <v>0</v>
      </c>
    </row>
    <row r="34" spans="1:25" hidden="1" x14ac:dyDescent="0.35">
      <c r="A34" t="s">
        <v>466</v>
      </c>
      <c r="B34" s="19" t="s">
        <v>467</v>
      </c>
      <c r="C34" t="s">
        <v>468</v>
      </c>
      <c r="D34" t="s">
        <v>469</v>
      </c>
      <c r="E34" t="s">
        <v>265</v>
      </c>
      <c r="F34" t="s">
        <v>472</v>
      </c>
      <c r="G34" t="str">
        <f>IF(ISNUMBER(SEARCH("AMI",F34,1)),"AMI",IF(ISNUMBER(SEARCH("AMR",F34,1)),"AMR","Manual"))</f>
        <v>AMI</v>
      </c>
      <c r="H34">
        <v>2024</v>
      </c>
      <c r="I34">
        <v>10</v>
      </c>
      <c r="J34">
        <v>13</v>
      </c>
      <c r="K34">
        <f t="shared" si="6"/>
        <v>2034</v>
      </c>
      <c r="L34">
        <f t="shared" si="0"/>
        <v>2034</v>
      </c>
      <c r="M34" t="str">
        <f t="shared" si="1"/>
        <v>KY 2034</v>
      </c>
      <c r="N34" t="str">
        <f t="shared" si="7"/>
        <v>Y</v>
      </c>
      <c r="O34">
        <f t="shared" si="2"/>
        <v>2034</v>
      </c>
      <c r="P34">
        <f>O34-H34</f>
        <v>10</v>
      </c>
      <c r="Q34" t="str">
        <f t="shared" si="8"/>
        <v>AMI</v>
      </c>
      <c r="R34" t="s">
        <v>266</v>
      </c>
      <c r="S34" t="str">
        <f t="shared" si="9"/>
        <v>KY</v>
      </c>
      <c r="T34">
        <f t="shared" si="4"/>
        <v>2034</v>
      </c>
      <c r="U34">
        <f t="shared" si="10"/>
        <v>10</v>
      </c>
      <c r="W34">
        <f t="shared" si="11"/>
        <v>2</v>
      </c>
      <c r="X34">
        <f t="shared" si="12"/>
        <v>0</v>
      </c>
      <c r="Y34">
        <f t="shared" si="13"/>
        <v>0</v>
      </c>
    </row>
    <row r="35" spans="1:25" hidden="1" x14ac:dyDescent="0.35">
      <c r="A35" t="s">
        <v>466</v>
      </c>
      <c r="B35" s="19" t="s">
        <v>467</v>
      </c>
      <c r="C35" t="s">
        <v>468</v>
      </c>
      <c r="D35" t="s">
        <v>469</v>
      </c>
      <c r="E35" t="s">
        <v>264</v>
      </c>
      <c r="F35" t="s">
        <v>472</v>
      </c>
      <c r="G35" t="str">
        <f t="shared" si="5"/>
        <v>AMI</v>
      </c>
      <c r="H35">
        <v>2022</v>
      </c>
      <c r="I35">
        <v>10</v>
      </c>
      <c r="J35">
        <v>1</v>
      </c>
      <c r="K35">
        <f t="shared" si="6"/>
        <v>2032</v>
      </c>
      <c r="L35">
        <f t="shared" si="0"/>
        <v>2032</v>
      </c>
      <c r="M35" t="str">
        <f t="shared" si="1"/>
        <v>KY 2032</v>
      </c>
      <c r="N35" t="str">
        <f t="shared" si="7"/>
        <v>Y</v>
      </c>
      <c r="O35">
        <f t="shared" si="2"/>
        <v>2032</v>
      </c>
      <c r="P35">
        <f t="shared" si="3"/>
        <v>10</v>
      </c>
      <c r="Q35" t="str">
        <f t="shared" si="8"/>
        <v>AMI</v>
      </c>
      <c r="R35" t="s">
        <v>266</v>
      </c>
      <c r="S35" t="str">
        <f t="shared" si="9"/>
        <v>KY</v>
      </c>
      <c r="T35">
        <f t="shared" si="4"/>
        <v>2032</v>
      </c>
      <c r="U35">
        <f t="shared" si="10"/>
        <v>10</v>
      </c>
      <c r="W35">
        <f t="shared" si="11"/>
        <v>4</v>
      </c>
      <c r="X35">
        <f t="shared" si="12"/>
        <v>0</v>
      </c>
      <c r="Y35">
        <f t="shared" si="13"/>
        <v>0</v>
      </c>
    </row>
    <row r="36" spans="1:25" hidden="1" x14ac:dyDescent="0.35">
      <c r="A36" t="s">
        <v>466</v>
      </c>
      <c r="B36" s="19" t="s">
        <v>467</v>
      </c>
      <c r="C36" t="s">
        <v>468</v>
      </c>
      <c r="D36" t="s">
        <v>469</v>
      </c>
      <c r="E36" t="s">
        <v>264</v>
      </c>
      <c r="F36" t="s">
        <v>470</v>
      </c>
      <c r="G36" t="str">
        <f t="shared" si="5"/>
        <v>AMR</v>
      </c>
      <c r="H36">
        <v>2024</v>
      </c>
      <c r="I36">
        <v>10</v>
      </c>
      <c r="J36">
        <v>49</v>
      </c>
      <c r="K36">
        <f t="shared" si="6"/>
        <v>2034</v>
      </c>
      <c r="L36">
        <f t="shared" si="0"/>
        <v>2034</v>
      </c>
      <c r="M36" t="str">
        <f t="shared" si="1"/>
        <v>KY 2034</v>
      </c>
      <c r="N36" t="str">
        <f t="shared" si="7"/>
        <v>N</v>
      </c>
      <c r="O36">
        <f t="shared" si="2"/>
        <v>2034</v>
      </c>
      <c r="P36">
        <f t="shared" si="3"/>
        <v>10</v>
      </c>
      <c r="Q36" t="str">
        <f t="shared" si="8"/>
        <v>AMR</v>
      </c>
      <c r="R36" t="s">
        <v>266</v>
      </c>
      <c r="S36" t="str">
        <f t="shared" si="9"/>
        <v>KY</v>
      </c>
      <c r="T36">
        <f t="shared" si="4"/>
        <v>2034</v>
      </c>
      <c r="U36">
        <f t="shared" si="10"/>
        <v>10</v>
      </c>
      <c r="W36">
        <f t="shared" si="11"/>
        <v>2</v>
      </c>
      <c r="X36">
        <f t="shared" si="12"/>
        <v>0</v>
      </c>
      <c r="Y36">
        <f t="shared" si="13"/>
        <v>0</v>
      </c>
    </row>
    <row r="37" spans="1:25" hidden="1" x14ac:dyDescent="0.35">
      <c r="A37" t="s">
        <v>466</v>
      </c>
      <c r="B37" s="19" t="s">
        <v>467</v>
      </c>
      <c r="C37" t="s">
        <v>468</v>
      </c>
      <c r="D37" t="s">
        <v>469</v>
      </c>
      <c r="E37" t="s">
        <v>265</v>
      </c>
      <c r="F37" t="s">
        <v>470</v>
      </c>
      <c r="G37" t="str">
        <f t="shared" si="5"/>
        <v>AMR</v>
      </c>
      <c r="H37">
        <v>2016</v>
      </c>
      <c r="I37">
        <v>10</v>
      </c>
      <c r="J37">
        <v>1</v>
      </c>
      <c r="K37">
        <f t="shared" si="6"/>
        <v>2026</v>
      </c>
      <c r="L37">
        <f t="shared" si="0"/>
        <v>2026</v>
      </c>
      <c r="M37" t="str">
        <f t="shared" si="1"/>
        <v>KY 2026</v>
      </c>
      <c r="N37" t="str">
        <f t="shared" si="7"/>
        <v>N</v>
      </c>
      <c r="O37">
        <f t="shared" si="2"/>
        <v>2026</v>
      </c>
      <c r="P37">
        <f t="shared" si="3"/>
        <v>10</v>
      </c>
      <c r="Q37" t="str">
        <f t="shared" si="8"/>
        <v>AMR</v>
      </c>
      <c r="R37" t="s">
        <v>266</v>
      </c>
      <c r="S37" t="str">
        <f t="shared" si="9"/>
        <v>KY</v>
      </c>
      <c r="T37">
        <f t="shared" si="4"/>
        <v>2026</v>
      </c>
      <c r="U37">
        <f t="shared" si="10"/>
        <v>10</v>
      </c>
      <c r="W37">
        <f t="shared" si="11"/>
        <v>10</v>
      </c>
      <c r="X37">
        <f t="shared" si="12"/>
        <v>0</v>
      </c>
      <c r="Y37">
        <f t="shared" si="13"/>
        <v>0</v>
      </c>
    </row>
    <row r="38" spans="1:25" hidden="1" x14ac:dyDescent="0.35">
      <c r="A38" t="s">
        <v>466</v>
      </c>
      <c r="B38" s="19" t="s">
        <v>467</v>
      </c>
      <c r="C38" t="s">
        <v>468</v>
      </c>
      <c r="D38" t="s">
        <v>469</v>
      </c>
      <c r="E38" t="s">
        <v>265</v>
      </c>
      <c r="F38" t="s">
        <v>470</v>
      </c>
      <c r="G38" t="str">
        <f t="shared" si="5"/>
        <v>AMR</v>
      </c>
      <c r="H38">
        <v>2017</v>
      </c>
      <c r="I38">
        <v>10</v>
      </c>
      <c r="J38">
        <v>1</v>
      </c>
      <c r="K38">
        <f t="shared" si="6"/>
        <v>2027</v>
      </c>
      <c r="L38">
        <f t="shared" si="0"/>
        <v>2027</v>
      </c>
      <c r="M38" t="str">
        <f t="shared" si="1"/>
        <v>KY 2027</v>
      </c>
      <c r="N38" t="str">
        <f t="shared" si="7"/>
        <v>N</v>
      </c>
      <c r="O38">
        <f t="shared" si="2"/>
        <v>2027</v>
      </c>
      <c r="P38">
        <f t="shared" si="3"/>
        <v>10</v>
      </c>
      <c r="Q38" t="str">
        <f t="shared" si="8"/>
        <v>AMR</v>
      </c>
      <c r="R38" t="s">
        <v>266</v>
      </c>
      <c r="S38" t="str">
        <f t="shared" si="9"/>
        <v>KY</v>
      </c>
      <c r="T38">
        <f t="shared" si="4"/>
        <v>2027</v>
      </c>
      <c r="U38">
        <f t="shared" si="10"/>
        <v>10</v>
      </c>
      <c r="W38">
        <f t="shared" si="11"/>
        <v>9</v>
      </c>
      <c r="X38">
        <f t="shared" si="12"/>
        <v>0</v>
      </c>
      <c r="Y38">
        <f t="shared" si="13"/>
        <v>0</v>
      </c>
    </row>
    <row r="39" spans="1:25" hidden="1" x14ac:dyDescent="0.35">
      <c r="A39" t="s">
        <v>466</v>
      </c>
      <c r="B39" s="19" t="s">
        <v>467</v>
      </c>
      <c r="C39" t="s">
        <v>468</v>
      </c>
      <c r="D39" t="s">
        <v>469</v>
      </c>
      <c r="E39" t="s">
        <v>265</v>
      </c>
      <c r="F39" t="s">
        <v>470</v>
      </c>
      <c r="G39" t="str">
        <f t="shared" si="5"/>
        <v>AMR</v>
      </c>
      <c r="H39">
        <v>2018</v>
      </c>
      <c r="I39">
        <v>10</v>
      </c>
      <c r="J39">
        <v>5</v>
      </c>
      <c r="K39">
        <f t="shared" si="6"/>
        <v>2028</v>
      </c>
      <c r="L39">
        <f t="shared" si="0"/>
        <v>2028</v>
      </c>
      <c r="M39" t="str">
        <f t="shared" si="1"/>
        <v>KY 2028</v>
      </c>
      <c r="N39" t="str">
        <f t="shared" si="7"/>
        <v>N</v>
      </c>
      <c r="O39">
        <f t="shared" si="2"/>
        <v>2028</v>
      </c>
      <c r="P39">
        <f t="shared" si="3"/>
        <v>10</v>
      </c>
      <c r="Q39" t="str">
        <f t="shared" si="8"/>
        <v>AMR</v>
      </c>
      <c r="R39" t="s">
        <v>266</v>
      </c>
      <c r="S39" t="str">
        <f t="shared" si="9"/>
        <v>KY</v>
      </c>
      <c r="T39">
        <f t="shared" si="4"/>
        <v>2028</v>
      </c>
      <c r="U39">
        <f t="shared" si="10"/>
        <v>10</v>
      </c>
      <c r="W39">
        <f t="shared" si="11"/>
        <v>8</v>
      </c>
      <c r="X39">
        <f t="shared" si="12"/>
        <v>0</v>
      </c>
      <c r="Y39">
        <f t="shared" si="13"/>
        <v>0</v>
      </c>
    </row>
    <row r="40" spans="1:25" hidden="1" x14ac:dyDescent="0.35">
      <c r="A40" t="s">
        <v>466</v>
      </c>
      <c r="B40" s="19" t="s">
        <v>467</v>
      </c>
      <c r="C40" t="s">
        <v>468</v>
      </c>
      <c r="D40" t="s">
        <v>469</v>
      </c>
      <c r="E40" t="s">
        <v>265</v>
      </c>
      <c r="F40" t="s">
        <v>470</v>
      </c>
      <c r="G40" t="str">
        <f t="shared" si="5"/>
        <v>AMR</v>
      </c>
      <c r="H40">
        <v>2021</v>
      </c>
      <c r="I40">
        <v>10</v>
      </c>
      <c r="J40">
        <v>5</v>
      </c>
      <c r="K40">
        <f t="shared" si="6"/>
        <v>2031</v>
      </c>
      <c r="L40">
        <f t="shared" si="0"/>
        <v>2031</v>
      </c>
      <c r="M40" t="str">
        <f t="shared" si="1"/>
        <v>KY 2031</v>
      </c>
      <c r="N40" t="str">
        <f t="shared" si="7"/>
        <v>N</v>
      </c>
      <c r="O40">
        <f t="shared" si="2"/>
        <v>2031</v>
      </c>
      <c r="P40">
        <f t="shared" si="3"/>
        <v>10</v>
      </c>
      <c r="Q40" t="str">
        <f t="shared" si="8"/>
        <v>AMR</v>
      </c>
      <c r="R40" t="s">
        <v>266</v>
      </c>
      <c r="S40" t="str">
        <f t="shared" si="9"/>
        <v>KY</v>
      </c>
      <c r="T40">
        <f t="shared" si="4"/>
        <v>2031</v>
      </c>
      <c r="U40">
        <f t="shared" si="10"/>
        <v>10</v>
      </c>
      <c r="W40">
        <f t="shared" si="11"/>
        <v>5</v>
      </c>
      <c r="X40">
        <f t="shared" si="12"/>
        <v>0</v>
      </c>
      <c r="Y40">
        <f t="shared" si="13"/>
        <v>0</v>
      </c>
    </row>
    <row r="41" spans="1:25" hidden="1" x14ac:dyDescent="0.35">
      <c r="A41" t="s">
        <v>466</v>
      </c>
      <c r="B41" s="19" t="s">
        <v>467</v>
      </c>
      <c r="C41" t="s">
        <v>468</v>
      </c>
      <c r="D41" t="s">
        <v>469</v>
      </c>
      <c r="E41" t="s">
        <v>265</v>
      </c>
      <c r="F41" t="s">
        <v>470</v>
      </c>
      <c r="G41" t="str">
        <f t="shared" si="5"/>
        <v>AMR</v>
      </c>
      <c r="H41">
        <v>2022</v>
      </c>
      <c r="I41">
        <v>10</v>
      </c>
      <c r="J41">
        <v>8</v>
      </c>
      <c r="K41">
        <f t="shared" si="6"/>
        <v>2032</v>
      </c>
      <c r="L41">
        <f t="shared" si="0"/>
        <v>2032</v>
      </c>
      <c r="M41" t="str">
        <f t="shared" si="1"/>
        <v>KY 2032</v>
      </c>
      <c r="N41" t="str">
        <f t="shared" si="7"/>
        <v>N</v>
      </c>
      <c r="O41">
        <f t="shared" si="2"/>
        <v>2032</v>
      </c>
      <c r="P41">
        <f t="shared" si="3"/>
        <v>10</v>
      </c>
      <c r="Q41" t="str">
        <f t="shared" si="8"/>
        <v>AMR</v>
      </c>
      <c r="R41" t="s">
        <v>266</v>
      </c>
      <c r="S41" t="str">
        <f t="shared" si="9"/>
        <v>KY</v>
      </c>
      <c r="T41">
        <f t="shared" si="4"/>
        <v>2032</v>
      </c>
      <c r="U41">
        <f t="shared" si="10"/>
        <v>10</v>
      </c>
      <c r="W41">
        <f t="shared" si="11"/>
        <v>4</v>
      </c>
      <c r="X41">
        <f t="shared" si="12"/>
        <v>0</v>
      </c>
      <c r="Y41">
        <f t="shared" si="13"/>
        <v>0</v>
      </c>
    </row>
    <row r="42" spans="1:25" hidden="1" x14ac:dyDescent="0.35">
      <c r="A42" t="s">
        <v>466</v>
      </c>
      <c r="B42" s="19" t="s">
        <v>467</v>
      </c>
      <c r="C42" t="s">
        <v>468</v>
      </c>
      <c r="D42" t="s">
        <v>469</v>
      </c>
      <c r="E42" t="s">
        <v>265</v>
      </c>
      <c r="F42" t="s">
        <v>470</v>
      </c>
      <c r="G42" t="str">
        <f t="shared" si="5"/>
        <v>AMR</v>
      </c>
      <c r="H42">
        <v>2023</v>
      </c>
      <c r="I42">
        <v>10</v>
      </c>
      <c r="J42">
        <v>9</v>
      </c>
      <c r="K42">
        <f t="shared" si="6"/>
        <v>2033</v>
      </c>
      <c r="L42">
        <f t="shared" si="0"/>
        <v>2033</v>
      </c>
      <c r="M42" t="str">
        <f t="shared" si="1"/>
        <v>KY 2033</v>
      </c>
      <c r="N42" t="str">
        <f t="shared" si="7"/>
        <v>N</v>
      </c>
      <c r="O42">
        <f t="shared" si="2"/>
        <v>2033</v>
      </c>
      <c r="P42">
        <f t="shared" si="3"/>
        <v>10</v>
      </c>
      <c r="Q42" t="str">
        <f t="shared" si="8"/>
        <v>AMR</v>
      </c>
      <c r="R42" t="s">
        <v>266</v>
      </c>
      <c r="S42" t="str">
        <f t="shared" si="9"/>
        <v>KY</v>
      </c>
      <c r="T42">
        <f t="shared" si="4"/>
        <v>2033</v>
      </c>
      <c r="U42">
        <f t="shared" si="10"/>
        <v>10</v>
      </c>
      <c r="W42">
        <f t="shared" si="11"/>
        <v>3</v>
      </c>
      <c r="X42">
        <f t="shared" si="12"/>
        <v>0</v>
      </c>
      <c r="Y42">
        <f t="shared" si="13"/>
        <v>0</v>
      </c>
    </row>
    <row r="43" spans="1:25" hidden="1" x14ac:dyDescent="0.35">
      <c r="A43" t="s">
        <v>466</v>
      </c>
      <c r="B43" s="19" t="s">
        <v>467</v>
      </c>
      <c r="C43" t="s">
        <v>468</v>
      </c>
      <c r="D43" t="s">
        <v>469</v>
      </c>
      <c r="E43" t="s">
        <v>265</v>
      </c>
      <c r="F43" t="s">
        <v>470</v>
      </c>
      <c r="G43" t="str">
        <f t="shared" si="5"/>
        <v>AMR</v>
      </c>
      <c r="H43">
        <v>2024</v>
      </c>
      <c r="I43">
        <v>10</v>
      </c>
      <c r="J43">
        <v>8307</v>
      </c>
      <c r="K43">
        <f t="shared" si="6"/>
        <v>2034</v>
      </c>
      <c r="L43">
        <f t="shared" si="0"/>
        <v>2034</v>
      </c>
      <c r="M43" t="str">
        <f t="shared" si="1"/>
        <v>KY 2034</v>
      </c>
      <c r="N43" t="str">
        <f t="shared" si="7"/>
        <v>N</v>
      </c>
      <c r="O43">
        <f t="shared" si="2"/>
        <v>2034</v>
      </c>
      <c r="P43">
        <f t="shared" si="3"/>
        <v>10</v>
      </c>
      <c r="Q43" t="str">
        <f t="shared" si="8"/>
        <v>AMR</v>
      </c>
      <c r="R43" t="s">
        <v>266</v>
      </c>
      <c r="S43" t="str">
        <f t="shared" si="9"/>
        <v>KY</v>
      </c>
      <c r="T43">
        <f t="shared" si="4"/>
        <v>2034</v>
      </c>
      <c r="U43">
        <f t="shared" si="10"/>
        <v>10</v>
      </c>
      <c r="W43">
        <f t="shared" si="11"/>
        <v>2</v>
      </c>
      <c r="X43">
        <f t="shared" si="12"/>
        <v>0</v>
      </c>
      <c r="Y43">
        <f t="shared" si="13"/>
        <v>0</v>
      </c>
    </row>
    <row r="44" spans="1:25" hidden="1" x14ac:dyDescent="0.35">
      <c r="A44" t="s">
        <v>466</v>
      </c>
      <c r="B44" s="19" t="s">
        <v>467</v>
      </c>
      <c r="C44" t="s">
        <v>468</v>
      </c>
      <c r="D44" t="s">
        <v>469</v>
      </c>
      <c r="E44" t="s">
        <v>264</v>
      </c>
      <c r="F44" t="s">
        <v>470</v>
      </c>
      <c r="G44" t="str">
        <f t="shared" si="5"/>
        <v>AMR</v>
      </c>
      <c r="H44">
        <v>2024</v>
      </c>
      <c r="I44">
        <v>10</v>
      </c>
      <c r="J44">
        <v>4</v>
      </c>
      <c r="K44">
        <f t="shared" si="6"/>
        <v>2034</v>
      </c>
      <c r="L44">
        <f t="shared" si="0"/>
        <v>2034</v>
      </c>
      <c r="M44" t="str">
        <f t="shared" si="1"/>
        <v>KY 2034</v>
      </c>
      <c r="N44" t="str">
        <f t="shared" si="7"/>
        <v>N</v>
      </c>
      <c r="O44">
        <f t="shared" si="2"/>
        <v>2034</v>
      </c>
      <c r="P44">
        <f t="shared" si="3"/>
        <v>10</v>
      </c>
      <c r="Q44" t="str">
        <f t="shared" si="8"/>
        <v>AMR</v>
      </c>
      <c r="R44" t="s">
        <v>266</v>
      </c>
      <c r="S44" t="str">
        <f t="shared" si="9"/>
        <v>KY</v>
      </c>
      <c r="T44">
        <f t="shared" si="4"/>
        <v>2034</v>
      </c>
      <c r="U44">
        <f t="shared" si="10"/>
        <v>10</v>
      </c>
      <c r="W44">
        <f t="shared" si="11"/>
        <v>2</v>
      </c>
      <c r="X44">
        <f t="shared" si="12"/>
        <v>0</v>
      </c>
      <c r="Y44">
        <f t="shared" si="13"/>
        <v>0</v>
      </c>
    </row>
    <row r="45" spans="1:25" hidden="1" x14ac:dyDescent="0.35">
      <c r="A45" t="s">
        <v>466</v>
      </c>
      <c r="B45" s="19" t="s">
        <v>467</v>
      </c>
      <c r="C45" t="s">
        <v>468</v>
      </c>
      <c r="D45" t="s">
        <v>469</v>
      </c>
      <c r="E45" t="s">
        <v>265</v>
      </c>
      <c r="F45" t="s">
        <v>473</v>
      </c>
      <c r="G45" t="str">
        <f t="shared" si="5"/>
        <v>AMR</v>
      </c>
      <c r="H45">
        <v>2024</v>
      </c>
      <c r="I45">
        <v>10</v>
      </c>
      <c r="J45">
        <v>2</v>
      </c>
      <c r="K45">
        <f t="shared" si="6"/>
        <v>2034</v>
      </c>
      <c r="L45">
        <f t="shared" si="0"/>
        <v>2034</v>
      </c>
      <c r="M45" t="str">
        <f t="shared" si="1"/>
        <v>KY 2034</v>
      </c>
      <c r="N45" t="str">
        <f t="shared" si="7"/>
        <v>N</v>
      </c>
      <c r="O45">
        <f t="shared" si="2"/>
        <v>2034</v>
      </c>
      <c r="P45">
        <f t="shared" si="3"/>
        <v>10</v>
      </c>
      <c r="Q45" t="str">
        <f t="shared" si="8"/>
        <v>AMR</v>
      </c>
      <c r="R45" t="s">
        <v>266</v>
      </c>
      <c r="S45" t="str">
        <f t="shared" si="9"/>
        <v>KY</v>
      </c>
      <c r="T45">
        <f t="shared" si="4"/>
        <v>2034</v>
      </c>
      <c r="U45">
        <f t="shared" si="10"/>
        <v>10</v>
      </c>
      <c r="W45">
        <f t="shared" si="11"/>
        <v>2</v>
      </c>
      <c r="X45">
        <f t="shared" si="12"/>
        <v>0</v>
      </c>
      <c r="Y45">
        <f t="shared" si="13"/>
        <v>0</v>
      </c>
    </row>
    <row r="46" spans="1:25" hidden="1" x14ac:dyDescent="0.35">
      <c r="A46" t="s">
        <v>466</v>
      </c>
      <c r="B46" s="19" t="s">
        <v>467</v>
      </c>
      <c r="C46" t="s">
        <v>468</v>
      </c>
      <c r="D46" t="s">
        <v>469</v>
      </c>
      <c r="E46" t="s">
        <v>264</v>
      </c>
      <c r="F46" t="s">
        <v>471</v>
      </c>
      <c r="G46" t="str">
        <f t="shared" si="5"/>
        <v>AMR</v>
      </c>
      <c r="H46">
        <v>2016</v>
      </c>
      <c r="I46">
        <v>10</v>
      </c>
      <c r="J46">
        <v>22</v>
      </c>
      <c r="K46">
        <f t="shared" si="6"/>
        <v>2026</v>
      </c>
      <c r="L46">
        <f t="shared" si="0"/>
        <v>2026</v>
      </c>
      <c r="M46" t="str">
        <f t="shared" si="1"/>
        <v>KY 2026</v>
      </c>
      <c r="N46" t="str">
        <f t="shared" si="7"/>
        <v>N</v>
      </c>
      <c r="O46">
        <f t="shared" si="2"/>
        <v>2026</v>
      </c>
      <c r="P46">
        <f t="shared" si="3"/>
        <v>10</v>
      </c>
      <c r="Q46" t="str">
        <f t="shared" si="8"/>
        <v>AMR</v>
      </c>
      <c r="R46" t="s">
        <v>266</v>
      </c>
      <c r="S46" t="str">
        <f t="shared" si="9"/>
        <v>KY</v>
      </c>
      <c r="T46">
        <f t="shared" si="4"/>
        <v>2026</v>
      </c>
      <c r="U46">
        <f t="shared" si="10"/>
        <v>10</v>
      </c>
      <c r="W46">
        <f t="shared" si="11"/>
        <v>10</v>
      </c>
      <c r="X46">
        <f t="shared" si="12"/>
        <v>0</v>
      </c>
      <c r="Y46">
        <f t="shared" si="13"/>
        <v>0</v>
      </c>
    </row>
    <row r="47" spans="1:25" hidden="1" x14ac:dyDescent="0.35">
      <c r="A47" t="s">
        <v>466</v>
      </c>
      <c r="B47" s="19" t="s">
        <v>467</v>
      </c>
      <c r="C47" t="s">
        <v>468</v>
      </c>
      <c r="D47" t="s">
        <v>469</v>
      </c>
      <c r="E47" t="s">
        <v>264</v>
      </c>
      <c r="F47" t="s">
        <v>471</v>
      </c>
      <c r="G47" t="str">
        <f t="shared" si="5"/>
        <v>AMR</v>
      </c>
      <c r="H47">
        <v>2017</v>
      </c>
      <c r="I47">
        <v>10</v>
      </c>
      <c r="J47">
        <v>32</v>
      </c>
      <c r="K47">
        <f t="shared" si="6"/>
        <v>2027</v>
      </c>
      <c r="L47">
        <f t="shared" si="0"/>
        <v>2027</v>
      </c>
      <c r="M47" t="str">
        <f t="shared" si="1"/>
        <v>KY 2027</v>
      </c>
      <c r="N47" t="str">
        <f t="shared" si="7"/>
        <v>N</v>
      </c>
      <c r="O47">
        <f t="shared" si="2"/>
        <v>2027</v>
      </c>
      <c r="P47">
        <f t="shared" si="3"/>
        <v>10</v>
      </c>
      <c r="Q47" t="str">
        <f t="shared" si="8"/>
        <v>AMR</v>
      </c>
      <c r="R47" t="s">
        <v>266</v>
      </c>
      <c r="S47" t="str">
        <f t="shared" si="9"/>
        <v>KY</v>
      </c>
      <c r="T47">
        <f t="shared" si="4"/>
        <v>2027</v>
      </c>
      <c r="U47">
        <f t="shared" si="10"/>
        <v>10</v>
      </c>
      <c r="W47">
        <f t="shared" si="11"/>
        <v>9</v>
      </c>
      <c r="X47">
        <f t="shared" si="12"/>
        <v>0</v>
      </c>
      <c r="Y47">
        <f t="shared" si="13"/>
        <v>0</v>
      </c>
    </row>
    <row r="48" spans="1:25" hidden="1" x14ac:dyDescent="0.35">
      <c r="A48" t="s">
        <v>466</v>
      </c>
      <c r="B48" s="19" t="s">
        <v>467</v>
      </c>
      <c r="C48" t="s">
        <v>468</v>
      </c>
      <c r="D48" t="s">
        <v>469</v>
      </c>
      <c r="E48" t="s">
        <v>264</v>
      </c>
      <c r="F48" t="s">
        <v>471</v>
      </c>
      <c r="G48" t="str">
        <f t="shared" si="5"/>
        <v>AMR</v>
      </c>
      <c r="H48">
        <v>2018</v>
      </c>
      <c r="I48">
        <v>10</v>
      </c>
      <c r="J48">
        <v>91</v>
      </c>
      <c r="K48">
        <f t="shared" si="6"/>
        <v>2028</v>
      </c>
      <c r="L48">
        <f t="shared" si="0"/>
        <v>2028</v>
      </c>
      <c r="M48" t="str">
        <f t="shared" si="1"/>
        <v>KY 2028</v>
      </c>
      <c r="N48" t="str">
        <f t="shared" si="7"/>
        <v>N</v>
      </c>
      <c r="O48">
        <f t="shared" si="2"/>
        <v>2028</v>
      </c>
      <c r="P48">
        <f t="shared" si="3"/>
        <v>10</v>
      </c>
      <c r="Q48" t="str">
        <f t="shared" si="8"/>
        <v>AMR</v>
      </c>
      <c r="R48" t="s">
        <v>266</v>
      </c>
      <c r="S48" t="str">
        <f t="shared" si="9"/>
        <v>KY</v>
      </c>
      <c r="T48">
        <f t="shared" si="4"/>
        <v>2028</v>
      </c>
      <c r="U48">
        <f t="shared" si="10"/>
        <v>10</v>
      </c>
      <c r="W48">
        <f t="shared" si="11"/>
        <v>8</v>
      </c>
      <c r="X48">
        <f t="shared" si="12"/>
        <v>0</v>
      </c>
      <c r="Y48">
        <f t="shared" si="13"/>
        <v>0</v>
      </c>
    </row>
    <row r="49" spans="1:25" hidden="1" x14ac:dyDescent="0.35">
      <c r="A49" t="s">
        <v>466</v>
      </c>
      <c r="B49" s="19" t="s">
        <v>467</v>
      </c>
      <c r="C49" t="s">
        <v>468</v>
      </c>
      <c r="D49" t="s">
        <v>469</v>
      </c>
      <c r="E49" t="s">
        <v>264</v>
      </c>
      <c r="F49" t="s">
        <v>471</v>
      </c>
      <c r="G49" t="str">
        <f t="shared" si="5"/>
        <v>AMR</v>
      </c>
      <c r="H49">
        <v>2020</v>
      </c>
      <c r="I49">
        <v>10</v>
      </c>
      <c r="J49">
        <v>8</v>
      </c>
      <c r="K49">
        <f t="shared" si="6"/>
        <v>2030</v>
      </c>
      <c r="L49">
        <f t="shared" si="0"/>
        <v>2030</v>
      </c>
      <c r="M49" t="str">
        <f t="shared" si="1"/>
        <v>KY 2030</v>
      </c>
      <c r="N49" t="str">
        <f t="shared" si="7"/>
        <v>N</v>
      </c>
      <c r="O49">
        <f t="shared" si="2"/>
        <v>2030</v>
      </c>
      <c r="P49">
        <f t="shared" si="3"/>
        <v>10</v>
      </c>
      <c r="Q49" t="str">
        <f t="shared" si="8"/>
        <v>AMR</v>
      </c>
      <c r="R49" t="s">
        <v>266</v>
      </c>
      <c r="S49" t="str">
        <f t="shared" si="9"/>
        <v>KY</v>
      </c>
      <c r="T49">
        <f t="shared" si="4"/>
        <v>2030</v>
      </c>
      <c r="U49">
        <f t="shared" si="10"/>
        <v>10</v>
      </c>
      <c r="W49">
        <f t="shared" si="11"/>
        <v>6</v>
      </c>
      <c r="X49">
        <f t="shared" si="12"/>
        <v>0</v>
      </c>
      <c r="Y49">
        <f t="shared" si="13"/>
        <v>0</v>
      </c>
    </row>
    <row r="50" spans="1:25" hidden="1" x14ac:dyDescent="0.35">
      <c r="A50" t="s">
        <v>466</v>
      </c>
      <c r="B50" s="19" t="s">
        <v>467</v>
      </c>
      <c r="C50" t="s">
        <v>468</v>
      </c>
      <c r="D50" t="s">
        <v>469</v>
      </c>
      <c r="E50" t="s">
        <v>264</v>
      </c>
      <c r="F50" t="s">
        <v>471</v>
      </c>
      <c r="G50" t="str">
        <f t="shared" si="5"/>
        <v>AMR</v>
      </c>
      <c r="H50">
        <v>2021</v>
      </c>
      <c r="I50">
        <v>10</v>
      </c>
      <c r="J50">
        <v>75</v>
      </c>
      <c r="K50">
        <f t="shared" si="6"/>
        <v>2031</v>
      </c>
      <c r="L50">
        <f t="shared" si="0"/>
        <v>2031</v>
      </c>
      <c r="M50" t="str">
        <f t="shared" si="1"/>
        <v>KY 2031</v>
      </c>
      <c r="N50" t="str">
        <f t="shared" si="7"/>
        <v>N</v>
      </c>
      <c r="O50">
        <f t="shared" si="2"/>
        <v>2031</v>
      </c>
      <c r="P50">
        <f t="shared" si="3"/>
        <v>10</v>
      </c>
      <c r="Q50" t="str">
        <f t="shared" si="8"/>
        <v>AMR</v>
      </c>
      <c r="R50" t="s">
        <v>266</v>
      </c>
      <c r="S50" t="str">
        <f t="shared" si="9"/>
        <v>KY</v>
      </c>
      <c r="T50">
        <f t="shared" si="4"/>
        <v>2031</v>
      </c>
      <c r="U50">
        <f t="shared" si="10"/>
        <v>10</v>
      </c>
      <c r="W50">
        <f t="shared" si="11"/>
        <v>5</v>
      </c>
      <c r="X50">
        <f t="shared" si="12"/>
        <v>0</v>
      </c>
      <c r="Y50">
        <f t="shared" si="13"/>
        <v>0</v>
      </c>
    </row>
    <row r="51" spans="1:25" hidden="1" x14ac:dyDescent="0.35">
      <c r="A51" t="s">
        <v>466</v>
      </c>
      <c r="B51" s="19" t="s">
        <v>467</v>
      </c>
      <c r="C51" t="s">
        <v>468</v>
      </c>
      <c r="D51" t="s">
        <v>469</v>
      </c>
      <c r="E51" t="s">
        <v>264</v>
      </c>
      <c r="F51" t="s">
        <v>471</v>
      </c>
      <c r="G51" t="str">
        <f t="shared" si="5"/>
        <v>AMR</v>
      </c>
      <c r="H51">
        <v>2022</v>
      </c>
      <c r="I51">
        <v>10</v>
      </c>
      <c r="J51">
        <v>89</v>
      </c>
      <c r="K51">
        <f t="shared" si="6"/>
        <v>2032</v>
      </c>
      <c r="L51">
        <f t="shared" si="0"/>
        <v>2032</v>
      </c>
      <c r="M51" t="str">
        <f t="shared" si="1"/>
        <v>KY 2032</v>
      </c>
      <c r="N51" t="str">
        <f t="shared" si="7"/>
        <v>N</v>
      </c>
      <c r="O51">
        <f t="shared" si="2"/>
        <v>2032</v>
      </c>
      <c r="P51">
        <f t="shared" si="3"/>
        <v>10</v>
      </c>
      <c r="Q51" t="str">
        <f t="shared" si="8"/>
        <v>AMR</v>
      </c>
      <c r="R51" t="s">
        <v>266</v>
      </c>
      <c r="S51" t="str">
        <f t="shared" si="9"/>
        <v>KY</v>
      </c>
      <c r="T51">
        <f t="shared" si="4"/>
        <v>2032</v>
      </c>
      <c r="U51">
        <f t="shared" si="10"/>
        <v>10</v>
      </c>
      <c r="W51">
        <f t="shared" si="11"/>
        <v>4</v>
      </c>
      <c r="X51">
        <f t="shared" si="12"/>
        <v>0</v>
      </c>
      <c r="Y51">
        <f t="shared" si="13"/>
        <v>0</v>
      </c>
    </row>
    <row r="52" spans="1:25" hidden="1" x14ac:dyDescent="0.35">
      <c r="A52" t="s">
        <v>466</v>
      </c>
      <c r="B52" s="19" t="s">
        <v>467</v>
      </c>
      <c r="C52" t="s">
        <v>468</v>
      </c>
      <c r="D52" t="s">
        <v>469</v>
      </c>
      <c r="E52" t="s">
        <v>264</v>
      </c>
      <c r="F52" t="s">
        <v>471</v>
      </c>
      <c r="G52" t="str">
        <f t="shared" si="5"/>
        <v>AMR</v>
      </c>
      <c r="H52">
        <v>2023</v>
      </c>
      <c r="I52">
        <v>10</v>
      </c>
      <c r="J52">
        <v>83</v>
      </c>
      <c r="K52">
        <f t="shared" si="6"/>
        <v>2033</v>
      </c>
      <c r="L52">
        <f t="shared" si="0"/>
        <v>2033</v>
      </c>
      <c r="M52" t="str">
        <f t="shared" si="1"/>
        <v>KY 2033</v>
      </c>
      <c r="N52" t="str">
        <f t="shared" si="7"/>
        <v>N</v>
      </c>
      <c r="O52">
        <f t="shared" si="2"/>
        <v>2033</v>
      </c>
      <c r="P52">
        <f t="shared" si="3"/>
        <v>10</v>
      </c>
      <c r="Q52" t="str">
        <f t="shared" si="8"/>
        <v>AMR</v>
      </c>
      <c r="R52" t="s">
        <v>266</v>
      </c>
      <c r="S52" t="str">
        <f t="shared" si="9"/>
        <v>KY</v>
      </c>
      <c r="T52">
        <f t="shared" si="4"/>
        <v>2033</v>
      </c>
      <c r="U52">
        <f t="shared" si="10"/>
        <v>10</v>
      </c>
      <c r="W52">
        <f t="shared" si="11"/>
        <v>3</v>
      </c>
      <c r="X52">
        <f t="shared" si="12"/>
        <v>0</v>
      </c>
      <c r="Y52">
        <f t="shared" si="13"/>
        <v>0</v>
      </c>
    </row>
    <row r="53" spans="1:25" hidden="1" x14ac:dyDescent="0.35">
      <c r="A53" t="s">
        <v>466</v>
      </c>
      <c r="B53" s="19" t="s">
        <v>467</v>
      </c>
      <c r="C53" t="s">
        <v>468</v>
      </c>
      <c r="D53" t="s">
        <v>469</v>
      </c>
      <c r="E53" t="s">
        <v>264</v>
      </c>
      <c r="F53" t="s">
        <v>471</v>
      </c>
      <c r="G53" t="str">
        <f t="shared" si="5"/>
        <v>AMR</v>
      </c>
      <c r="H53">
        <v>2024</v>
      </c>
      <c r="I53">
        <v>10</v>
      </c>
      <c r="J53">
        <v>196</v>
      </c>
      <c r="K53">
        <f t="shared" si="6"/>
        <v>2034</v>
      </c>
      <c r="L53">
        <f t="shared" si="0"/>
        <v>2034</v>
      </c>
      <c r="M53" t="str">
        <f t="shared" si="1"/>
        <v>KY 2034</v>
      </c>
      <c r="N53" t="str">
        <f t="shared" si="7"/>
        <v>N</v>
      </c>
      <c r="O53">
        <f t="shared" si="2"/>
        <v>2034</v>
      </c>
      <c r="P53">
        <f t="shared" si="3"/>
        <v>10</v>
      </c>
      <c r="Q53" t="str">
        <f t="shared" si="8"/>
        <v>AMR</v>
      </c>
      <c r="R53" t="s">
        <v>266</v>
      </c>
      <c r="S53" t="str">
        <f t="shared" si="9"/>
        <v>KY</v>
      </c>
      <c r="T53">
        <f t="shared" si="4"/>
        <v>2034</v>
      </c>
      <c r="U53">
        <f t="shared" si="10"/>
        <v>10</v>
      </c>
      <c r="W53">
        <f t="shared" si="11"/>
        <v>2</v>
      </c>
      <c r="X53">
        <f t="shared" si="12"/>
        <v>0</v>
      </c>
      <c r="Y53">
        <f t="shared" si="13"/>
        <v>0</v>
      </c>
    </row>
    <row r="54" spans="1:25" hidden="1" x14ac:dyDescent="0.35">
      <c r="A54" t="s">
        <v>466</v>
      </c>
      <c r="B54" s="19" t="s">
        <v>467</v>
      </c>
      <c r="C54" t="s">
        <v>468</v>
      </c>
      <c r="D54" t="s">
        <v>469</v>
      </c>
      <c r="E54" t="s">
        <v>265</v>
      </c>
      <c r="F54" t="s">
        <v>471</v>
      </c>
      <c r="G54" t="str">
        <f t="shared" si="5"/>
        <v>AMR</v>
      </c>
      <c r="H54">
        <v>2016</v>
      </c>
      <c r="I54">
        <v>10</v>
      </c>
      <c r="J54">
        <v>2892</v>
      </c>
      <c r="K54">
        <f t="shared" si="6"/>
        <v>2026</v>
      </c>
      <c r="L54">
        <f t="shared" si="0"/>
        <v>2026</v>
      </c>
      <c r="M54" t="str">
        <f t="shared" si="1"/>
        <v>KY 2026</v>
      </c>
      <c r="N54" t="str">
        <f t="shared" si="7"/>
        <v>N</v>
      </c>
      <c r="O54">
        <f t="shared" si="2"/>
        <v>2026</v>
      </c>
      <c r="P54">
        <f t="shared" si="3"/>
        <v>10</v>
      </c>
      <c r="Q54" t="str">
        <f t="shared" si="8"/>
        <v>AMR</v>
      </c>
      <c r="R54" t="s">
        <v>266</v>
      </c>
      <c r="S54" t="str">
        <f t="shared" si="9"/>
        <v>KY</v>
      </c>
      <c r="T54">
        <f t="shared" si="4"/>
        <v>2026</v>
      </c>
      <c r="U54">
        <f t="shared" si="10"/>
        <v>10</v>
      </c>
      <c r="W54">
        <f t="shared" si="11"/>
        <v>10</v>
      </c>
      <c r="X54">
        <f t="shared" si="12"/>
        <v>0</v>
      </c>
      <c r="Y54">
        <f t="shared" si="13"/>
        <v>0</v>
      </c>
    </row>
    <row r="55" spans="1:25" hidden="1" x14ac:dyDescent="0.35">
      <c r="A55" t="s">
        <v>466</v>
      </c>
      <c r="B55" s="19" t="s">
        <v>467</v>
      </c>
      <c r="C55" t="s">
        <v>468</v>
      </c>
      <c r="D55" t="s">
        <v>469</v>
      </c>
      <c r="E55" t="s">
        <v>265</v>
      </c>
      <c r="F55" t="s">
        <v>471</v>
      </c>
      <c r="G55" t="str">
        <f t="shared" si="5"/>
        <v>AMR</v>
      </c>
      <c r="H55">
        <v>2016</v>
      </c>
      <c r="I55">
        <v>15</v>
      </c>
      <c r="J55">
        <v>1</v>
      </c>
      <c r="K55">
        <f t="shared" si="6"/>
        <v>2031</v>
      </c>
      <c r="L55">
        <f t="shared" si="0"/>
        <v>2031</v>
      </c>
      <c r="M55" t="str">
        <f t="shared" si="1"/>
        <v>KY 2031</v>
      </c>
      <c r="N55" t="str">
        <f t="shared" si="7"/>
        <v>N</v>
      </c>
      <c r="O55">
        <f t="shared" si="2"/>
        <v>2031</v>
      </c>
      <c r="P55">
        <f t="shared" si="3"/>
        <v>15</v>
      </c>
      <c r="Q55" t="str">
        <f t="shared" si="8"/>
        <v>AMR</v>
      </c>
      <c r="R55" t="s">
        <v>266</v>
      </c>
      <c r="S55" t="str">
        <f t="shared" si="9"/>
        <v>KY</v>
      </c>
      <c r="T55">
        <f t="shared" si="4"/>
        <v>2026</v>
      </c>
      <c r="U55" t="str">
        <f t="shared" si="10"/>
        <v>10**</v>
      </c>
      <c r="W55">
        <f t="shared" si="11"/>
        <v>10</v>
      </c>
      <c r="X55">
        <f t="shared" si="12"/>
        <v>0</v>
      </c>
      <c r="Y55">
        <f t="shared" si="13"/>
        <v>0</v>
      </c>
    </row>
    <row r="56" spans="1:25" hidden="1" x14ac:dyDescent="0.35">
      <c r="A56" t="s">
        <v>466</v>
      </c>
      <c r="B56" s="19" t="s">
        <v>467</v>
      </c>
      <c r="C56" t="s">
        <v>468</v>
      </c>
      <c r="D56" t="s">
        <v>469</v>
      </c>
      <c r="E56" t="s">
        <v>265</v>
      </c>
      <c r="F56" t="s">
        <v>471</v>
      </c>
      <c r="G56" t="str">
        <f t="shared" si="5"/>
        <v>AMR</v>
      </c>
      <c r="H56">
        <v>2017</v>
      </c>
      <c r="I56">
        <v>10</v>
      </c>
      <c r="J56">
        <v>5675</v>
      </c>
      <c r="K56">
        <f t="shared" si="6"/>
        <v>2027</v>
      </c>
      <c r="L56">
        <f t="shared" si="0"/>
        <v>2027</v>
      </c>
      <c r="M56" t="str">
        <f t="shared" si="1"/>
        <v>KY 2027</v>
      </c>
      <c r="N56" t="str">
        <f t="shared" si="7"/>
        <v>N</v>
      </c>
      <c r="O56">
        <f t="shared" si="2"/>
        <v>2027</v>
      </c>
      <c r="P56">
        <f t="shared" si="3"/>
        <v>10</v>
      </c>
      <c r="Q56" t="str">
        <f t="shared" si="8"/>
        <v>AMR</v>
      </c>
      <c r="R56" t="s">
        <v>266</v>
      </c>
      <c r="S56" t="str">
        <f t="shared" si="9"/>
        <v>KY</v>
      </c>
      <c r="T56">
        <f t="shared" si="4"/>
        <v>2027</v>
      </c>
      <c r="U56">
        <f t="shared" si="10"/>
        <v>10</v>
      </c>
      <c r="W56">
        <f t="shared" si="11"/>
        <v>9</v>
      </c>
      <c r="X56">
        <f t="shared" si="12"/>
        <v>0</v>
      </c>
      <c r="Y56">
        <f t="shared" si="13"/>
        <v>0</v>
      </c>
    </row>
    <row r="57" spans="1:25" hidden="1" x14ac:dyDescent="0.35">
      <c r="A57" t="s">
        <v>466</v>
      </c>
      <c r="B57" s="19" t="s">
        <v>467</v>
      </c>
      <c r="C57" t="s">
        <v>468</v>
      </c>
      <c r="D57" t="s">
        <v>469</v>
      </c>
      <c r="E57" t="s">
        <v>265</v>
      </c>
      <c r="F57" t="s">
        <v>471</v>
      </c>
      <c r="G57" t="str">
        <f t="shared" si="5"/>
        <v>AMR</v>
      </c>
      <c r="H57">
        <v>2018</v>
      </c>
      <c r="I57">
        <v>10</v>
      </c>
      <c r="J57">
        <v>13995</v>
      </c>
      <c r="K57">
        <f t="shared" si="6"/>
        <v>2028</v>
      </c>
      <c r="L57">
        <f t="shared" si="0"/>
        <v>2028</v>
      </c>
      <c r="M57" t="str">
        <f t="shared" si="1"/>
        <v>KY 2028</v>
      </c>
      <c r="N57" t="str">
        <f t="shared" si="7"/>
        <v>N</v>
      </c>
      <c r="O57">
        <f t="shared" si="2"/>
        <v>2028</v>
      </c>
      <c r="P57">
        <f t="shared" si="3"/>
        <v>10</v>
      </c>
      <c r="Q57" t="str">
        <f t="shared" si="8"/>
        <v>AMR</v>
      </c>
      <c r="R57" t="s">
        <v>266</v>
      </c>
      <c r="S57" t="str">
        <f t="shared" si="9"/>
        <v>KY</v>
      </c>
      <c r="T57">
        <f t="shared" si="4"/>
        <v>2028</v>
      </c>
      <c r="U57">
        <f t="shared" si="10"/>
        <v>10</v>
      </c>
      <c r="W57">
        <f t="shared" si="11"/>
        <v>8</v>
      </c>
      <c r="X57">
        <f t="shared" si="12"/>
        <v>0</v>
      </c>
      <c r="Y57">
        <f t="shared" si="13"/>
        <v>0</v>
      </c>
    </row>
    <row r="58" spans="1:25" hidden="1" x14ac:dyDescent="0.35">
      <c r="A58" t="s">
        <v>466</v>
      </c>
      <c r="B58" s="19" t="s">
        <v>467</v>
      </c>
      <c r="C58" t="s">
        <v>468</v>
      </c>
      <c r="D58" t="s">
        <v>469</v>
      </c>
      <c r="E58" t="s">
        <v>265</v>
      </c>
      <c r="F58" t="s">
        <v>471</v>
      </c>
      <c r="G58" t="str">
        <f t="shared" si="5"/>
        <v>AMR</v>
      </c>
      <c r="H58">
        <v>2018</v>
      </c>
      <c r="I58">
        <v>15</v>
      </c>
      <c r="J58">
        <v>1</v>
      </c>
      <c r="K58">
        <f t="shared" si="6"/>
        <v>2033</v>
      </c>
      <c r="L58">
        <f t="shared" si="0"/>
        <v>2033</v>
      </c>
      <c r="M58" t="str">
        <f t="shared" si="1"/>
        <v>KY 2033</v>
      </c>
      <c r="N58" t="str">
        <f t="shared" si="7"/>
        <v>N</v>
      </c>
      <c r="O58">
        <f t="shared" si="2"/>
        <v>2033</v>
      </c>
      <c r="P58">
        <f t="shared" si="3"/>
        <v>15</v>
      </c>
      <c r="Q58" t="str">
        <f t="shared" si="8"/>
        <v>AMR</v>
      </c>
      <c r="R58" t="s">
        <v>266</v>
      </c>
      <c r="S58" t="str">
        <f t="shared" si="9"/>
        <v>KY</v>
      </c>
      <c r="T58">
        <f t="shared" si="4"/>
        <v>2028</v>
      </c>
      <c r="U58" t="str">
        <f t="shared" si="10"/>
        <v>10**</v>
      </c>
      <c r="W58">
        <f t="shared" si="11"/>
        <v>8</v>
      </c>
      <c r="X58">
        <f t="shared" si="12"/>
        <v>0</v>
      </c>
      <c r="Y58">
        <f t="shared" si="13"/>
        <v>0</v>
      </c>
    </row>
    <row r="59" spans="1:25" hidden="1" x14ac:dyDescent="0.35">
      <c r="A59" t="s">
        <v>466</v>
      </c>
      <c r="B59" s="19" t="s">
        <v>467</v>
      </c>
      <c r="C59" t="s">
        <v>468</v>
      </c>
      <c r="D59" t="s">
        <v>469</v>
      </c>
      <c r="E59" t="s">
        <v>265</v>
      </c>
      <c r="F59" t="s">
        <v>471</v>
      </c>
      <c r="G59" t="str">
        <f t="shared" si="5"/>
        <v>AMR</v>
      </c>
      <c r="H59">
        <v>2019</v>
      </c>
      <c r="I59">
        <v>10</v>
      </c>
      <c r="J59">
        <v>1</v>
      </c>
      <c r="K59">
        <f t="shared" si="6"/>
        <v>2029</v>
      </c>
      <c r="L59">
        <f t="shared" si="0"/>
        <v>2029</v>
      </c>
      <c r="M59" t="str">
        <f t="shared" si="1"/>
        <v>KY 2029</v>
      </c>
      <c r="N59" t="str">
        <f t="shared" si="7"/>
        <v>N</v>
      </c>
      <c r="O59">
        <f t="shared" si="2"/>
        <v>2029</v>
      </c>
      <c r="P59">
        <f t="shared" si="3"/>
        <v>10</v>
      </c>
      <c r="Q59" t="str">
        <f t="shared" si="8"/>
        <v>AMR</v>
      </c>
      <c r="R59" t="s">
        <v>266</v>
      </c>
      <c r="S59" t="str">
        <f t="shared" si="9"/>
        <v>KY</v>
      </c>
      <c r="T59">
        <f t="shared" si="4"/>
        <v>2029</v>
      </c>
      <c r="U59">
        <f t="shared" si="10"/>
        <v>10</v>
      </c>
      <c r="W59">
        <f t="shared" si="11"/>
        <v>7</v>
      </c>
      <c r="X59">
        <f t="shared" si="12"/>
        <v>0</v>
      </c>
      <c r="Y59">
        <f t="shared" si="13"/>
        <v>0</v>
      </c>
    </row>
    <row r="60" spans="1:25" hidden="1" x14ac:dyDescent="0.35">
      <c r="A60" t="s">
        <v>466</v>
      </c>
      <c r="B60" s="19" t="s">
        <v>467</v>
      </c>
      <c r="C60" t="s">
        <v>468</v>
      </c>
      <c r="D60" t="s">
        <v>469</v>
      </c>
      <c r="E60" t="s">
        <v>265</v>
      </c>
      <c r="F60" t="s">
        <v>471</v>
      </c>
      <c r="G60" t="str">
        <f t="shared" si="5"/>
        <v>AMR</v>
      </c>
      <c r="H60">
        <v>2020</v>
      </c>
      <c r="I60">
        <v>10</v>
      </c>
      <c r="J60">
        <v>1210</v>
      </c>
      <c r="K60">
        <f t="shared" si="6"/>
        <v>2030</v>
      </c>
      <c r="L60">
        <f t="shared" si="0"/>
        <v>2030</v>
      </c>
      <c r="M60" t="str">
        <f t="shared" si="1"/>
        <v>KY 2030</v>
      </c>
      <c r="N60" t="str">
        <f t="shared" si="7"/>
        <v>N</v>
      </c>
      <c r="O60">
        <f t="shared" si="2"/>
        <v>2030</v>
      </c>
      <c r="P60">
        <f t="shared" si="3"/>
        <v>10</v>
      </c>
      <c r="Q60" t="str">
        <f t="shared" si="8"/>
        <v>AMR</v>
      </c>
      <c r="R60" t="s">
        <v>266</v>
      </c>
      <c r="S60" t="str">
        <f t="shared" si="9"/>
        <v>KY</v>
      </c>
      <c r="T60">
        <f t="shared" si="4"/>
        <v>2030</v>
      </c>
      <c r="U60">
        <f t="shared" si="10"/>
        <v>10</v>
      </c>
      <c r="W60">
        <f t="shared" si="11"/>
        <v>6</v>
      </c>
      <c r="X60">
        <f t="shared" si="12"/>
        <v>0</v>
      </c>
      <c r="Y60">
        <f t="shared" si="13"/>
        <v>0</v>
      </c>
    </row>
    <row r="61" spans="1:25" hidden="1" x14ac:dyDescent="0.35">
      <c r="A61" t="s">
        <v>466</v>
      </c>
      <c r="B61" s="19" t="s">
        <v>467</v>
      </c>
      <c r="C61" t="s">
        <v>468</v>
      </c>
      <c r="D61" t="s">
        <v>469</v>
      </c>
      <c r="E61" t="s">
        <v>265</v>
      </c>
      <c r="F61" t="s">
        <v>471</v>
      </c>
      <c r="G61" t="str">
        <f t="shared" si="5"/>
        <v>AMR</v>
      </c>
      <c r="H61">
        <v>2021</v>
      </c>
      <c r="I61">
        <v>10</v>
      </c>
      <c r="J61">
        <v>6615</v>
      </c>
      <c r="K61">
        <f t="shared" si="6"/>
        <v>2031</v>
      </c>
      <c r="L61">
        <f t="shared" si="0"/>
        <v>2031</v>
      </c>
      <c r="M61" t="str">
        <f t="shared" si="1"/>
        <v>KY 2031</v>
      </c>
      <c r="N61" t="str">
        <f t="shared" si="7"/>
        <v>N</v>
      </c>
      <c r="O61">
        <f t="shared" si="2"/>
        <v>2031</v>
      </c>
      <c r="P61">
        <f t="shared" si="3"/>
        <v>10</v>
      </c>
      <c r="Q61" t="str">
        <f t="shared" si="8"/>
        <v>AMR</v>
      </c>
      <c r="R61" t="s">
        <v>266</v>
      </c>
      <c r="S61" t="str">
        <f t="shared" si="9"/>
        <v>KY</v>
      </c>
      <c r="T61">
        <f t="shared" si="4"/>
        <v>2031</v>
      </c>
      <c r="U61">
        <f t="shared" si="10"/>
        <v>10</v>
      </c>
      <c r="W61">
        <f t="shared" si="11"/>
        <v>5</v>
      </c>
      <c r="X61">
        <f t="shared" si="12"/>
        <v>0</v>
      </c>
      <c r="Y61">
        <f t="shared" si="13"/>
        <v>0</v>
      </c>
    </row>
    <row r="62" spans="1:25" hidden="1" x14ac:dyDescent="0.35">
      <c r="A62" t="s">
        <v>466</v>
      </c>
      <c r="B62" s="19" t="s">
        <v>467</v>
      </c>
      <c r="C62" t="s">
        <v>468</v>
      </c>
      <c r="D62" t="s">
        <v>469</v>
      </c>
      <c r="E62" t="s">
        <v>265</v>
      </c>
      <c r="F62" t="s">
        <v>471</v>
      </c>
      <c r="G62" t="str">
        <f t="shared" si="5"/>
        <v>AMR</v>
      </c>
      <c r="H62">
        <v>2022</v>
      </c>
      <c r="I62">
        <v>10</v>
      </c>
      <c r="J62">
        <v>3634</v>
      </c>
      <c r="K62">
        <f t="shared" si="6"/>
        <v>2032</v>
      </c>
      <c r="L62">
        <f t="shared" si="0"/>
        <v>2032</v>
      </c>
      <c r="M62" t="str">
        <f t="shared" si="1"/>
        <v>KY 2032</v>
      </c>
      <c r="N62" t="str">
        <f t="shared" si="7"/>
        <v>N</v>
      </c>
      <c r="O62">
        <f t="shared" si="2"/>
        <v>2032</v>
      </c>
      <c r="P62">
        <f t="shared" si="3"/>
        <v>10</v>
      </c>
      <c r="Q62" t="str">
        <f t="shared" si="8"/>
        <v>AMR</v>
      </c>
      <c r="R62" t="s">
        <v>266</v>
      </c>
      <c r="S62" t="str">
        <f t="shared" si="9"/>
        <v>KY</v>
      </c>
      <c r="T62">
        <f t="shared" si="4"/>
        <v>2032</v>
      </c>
      <c r="U62">
        <f t="shared" si="10"/>
        <v>10</v>
      </c>
      <c r="W62">
        <f t="shared" si="11"/>
        <v>4</v>
      </c>
      <c r="X62">
        <f t="shared" si="12"/>
        <v>0</v>
      </c>
      <c r="Y62">
        <f t="shared" si="13"/>
        <v>0</v>
      </c>
    </row>
    <row r="63" spans="1:25" hidden="1" x14ac:dyDescent="0.35">
      <c r="A63" t="s">
        <v>466</v>
      </c>
      <c r="B63" s="274" t="s">
        <v>467</v>
      </c>
      <c r="C63" t="s">
        <v>468</v>
      </c>
      <c r="D63" t="s">
        <v>469</v>
      </c>
      <c r="E63" t="s">
        <v>265</v>
      </c>
      <c r="F63" t="s">
        <v>471</v>
      </c>
      <c r="G63" t="str">
        <f t="shared" si="5"/>
        <v>AMR</v>
      </c>
      <c r="H63">
        <v>2023</v>
      </c>
      <c r="I63">
        <v>10</v>
      </c>
      <c r="J63">
        <v>11678</v>
      </c>
      <c r="K63">
        <f t="shared" si="6"/>
        <v>2033</v>
      </c>
      <c r="L63">
        <f t="shared" si="0"/>
        <v>2033</v>
      </c>
      <c r="M63" t="str">
        <f t="shared" si="1"/>
        <v>KY 2033</v>
      </c>
      <c r="N63" t="str">
        <f t="shared" si="7"/>
        <v>N</v>
      </c>
      <c r="O63">
        <f t="shared" si="2"/>
        <v>2033</v>
      </c>
      <c r="P63">
        <f t="shared" si="3"/>
        <v>10</v>
      </c>
      <c r="Q63" t="str">
        <f t="shared" si="8"/>
        <v>AMR</v>
      </c>
      <c r="R63" t="s">
        <v>266</v>
      </c>
      <c r="S63" t="str">
        <f t="shared" si="9"/>
        <v>KY</v>
      </c>
      <c r="T63">
        <f t="shared" si="4"/>
        <v>2033</v>
      </c>
      <c r="U63">
        <f t="shared" si="10"/>
        <v>10</v>
      </c>
      <c r="W63">
        <f t="shared" si="11"/>
        <v>3</v>
      </c>
      <c r="X63">
        <f t="shared" si="12"/>
        <v>0</v>
      </c>
      <c r="Y63">
        <f t="shared" si="13"/>
        <v>0</v>
      </c>
    </row>
    <row r="64" spans="1:25" hidden="1" x14ac:dyDescent="0.35">
      <c r="A64" t="s">
        <v>466</v>
      </c>
      <c r="B64" s="19" t="s">
        <v>467</v>
      </c>
      <c r="C64" t="s">
        <v>468</v>
      </c>
      <c r="D64" t="s">
        <v>469</v>
      </c>
      <c r="E64" t="s">
        <v>265</v>
      </c>
      <c r="F64" t="s">
        <v>471</v>
      </c>
      <c r="G64" t="str">
        <f t="shared" si="5"/>
        <v>AMR</v>
      </c>
      <c r="H64">
        <v>2023</v>
      </c>
      <c r="I64">
        <v>15</v>
      </c>
      <c r="J64">
        <v>10</v>
      </c>
      <c r="K64">
        <f t="shared" si="6"/>
        <v>2038</v>
      </c>
      <c r="L64">
        <f t="shared" si="0"/>
        <v>2038</v>
      </c>
      <c r="M64" t="str">
        <f t="shared" si="1"/>
        <v>KY 2038</v>
      </c>
      <c r="N64" t="str">
        <f t="shared" si="7"/>
        <v>N</v>
      </c>
      <c r="O64">
        <f t="shared" si="2"/>
        <v>2038</v>
      </c>
      <c r="P64">
        <f t="shared" si="3"/>
        <v>15</v>
      </c>
      <c r="Q64" t="str">
        <f t="shared" si="8"/>
        <v>AMR</v>
      </c>
      <c r="R64" t="s">
        <v>266</v>
      </c>
      <c r="S64" t="str">
        <f t="shared" si="9"/>
        <v>KY</v>
      </c>
      <c r="T64">
        <f t="shared" si="4"/>
        <v>2033</v>
      </c>
      <c r="U64" t="str">
        <f t="shared" si="10"/>
        <v>10**</v>
      </c>
      <c r="W64">
        <f t="shared" si="11"/>
        <v>3</v>
      </c>
      <c r="X64">
        <f t="shared" si="12"/>
        <v>0</v>
      </c>
      <c r="Y64">
        <f t="shared" si="13"/>
        <v>0</v>
      </c>
    </row>
    <row r="65" spans="1:25" hidden="1" x14ac:dyDescent="0.35">
      <c r="A65" t="s">
        <v>466</v>
      </c>
      <c r="B65" s="19" t="s">
        <v>467</v>
      </c>
      <c r="C65" t="s">
        <v>468</v>
      </c>
      <c r="D65" t="s">
        <v>469</v>
      </c>
      <c r="E65" t="s">
        <v>265</v>
      </c>
      <c r="F65" t="s">
        <v>471</v>
      </c>
      <c r="G65" t="str">
        <f t="shared" si="5"/>
        <v>AMR</v>
      </c>
      <c r="H65">
        <v>2024</v>
      </c>
      <c r="I65">
        <v>10</v>
      </c>
      <c r="J65">
        <v>22808</v>
      </c>
      <c r="K65">
        <f t="shared" si="6"/>
        <v>2034</v>
      </c>
      <c r="L65">
        <f t="shared" si="0"/>
        <v>2034</v>
      </c>
      <c r="M65" t="str">
        <f t="shared" si="1"/>
        <v>KY 2034</v>
      </c>
      <c r="N65" t="str">
        <f t="shared" si="7"/>
        <v>N</v>
      </c>
      <c r="O65">
        <f t="shared" si="2"/>
        <v>2034</v>
      </c>
      <c r="P65">
        <f t="shared" si="3"/>
        <v>10</v>
      </c>
      <c r="Q65" t="str">
        <f t="shared" si="8"/>
        <v>AMR</v>
      </c>
      <c r="R65" t="s">
        <v>266</v>
      </c>
      <c r="S65" t="str">
        <f t="shared" si="9"/>
        <v>KY</v>
      </c>
      <c r="T65">
        <f t="shared" si="4"/>
        <v>2034</v>
      </c>
      <c r="U65">
        <f t="shared" si="10"/>
        <v>10</v>
      </c>
      <c r="W65">
        <f t="shared" si="11"/>
        <v>2</v>
      </c>
      <c r="X65">
        <f t="shared" si="12"/>
        <v>0</v>
      </c>
      <c r="Y65">
        <f t="shared" si="13"/>
        <v>0</v>
      </c>
    </row>
    <row r="66" spans="1:25" hidden="1" x14ac:dyDescent="0.35">
      <c r="A66" t="s">
        <v>466</v>
      </c>
      <c r="B66" s="19" t="s">
        <v>467</v>
      </c>
      <c r="C66" t="s">
        <v>468</v>
      </c>
      <c r="D66" t="s">
        <v>469</v>
      </c>
      <c r="E66" t="s">
        <v>264</v>
      </c>
      <c r="F66" t="s">
        <v>471</v>
      </c>
      <c r="G66" t="str">
        <f t="shared" si="5"/>
        <v>AMR</v>
      </c>
      <c r="H66">
        <v>2017</v>
      </c>
      <c r="I66">
        <v>10</v>
      </c>
      <c r="J66">
        <v>1</v>
      </c>
      <c r="K66">
        <f t="shared" si="6"/>
        <v>2027</v>
      </c>
      <c r="L66">
        <f t="shared" si="0"/>
        <v>2027</v>
      </c>
      <c r="M66" t="str">
        <f t="shared" si="1"/>
        <v>KY 2027</v>
      </c>
      <c r="N66" t="str">
        <f t="shared" si="7"/>
        <v>N</v>
      </c>
      <c r="O66">
        <f t="shared" si="2"/>
        <v>2027</v>
      </c>
      <c r="P66">
        <f t="shared" si="3"/>
        <v>10</v>
      </c>
      <c r="Q66" t="str">
        <f t="shared" si="8"/>
        <v>AMR</v>
      </c>
      <c r="R66" t="s">
        <v>266</v>
      </c>
      <c r="S66" t="str">
        <f t="shared" si="9"/>
        <v>KY</v>
      </c>
      <c r="T66">
        <f t="shared" si="4"/>
        <v>2027</v>
      </c>
      <c r="U66">
        <f t="shared" si="10"/>
        <v>10</v>
      </c>
      <c r="W66">
        <f t="shared" si="11"/>
        <v>9</v>
      </c>
      <c r="X66">
        <f t="shared" si="12"/>
        <v>0</v>
      </c>
      <c r="Y66">
        <f t="shared" si="13"/>
        <v>0</v>
      </c>
    </row>
    <row r="67" spans="1:25" hidden="1" x14ac:dyDescent="0.35">
      <c r="A67" t="s">
        <v>466</v>
      </c>
      <c r="B67" s="19" t="s">
        <v>467</v>
      </c>
      <c r="C67" t="s">
        <v>468</v>
      </c>
      <c r="D67" t="s">
        <v>469</v>
      </c>
      <c r="E67" t="s">
        <v>264</v>
      </c>
      <c r="F67" t="s">
        <v>471</v>
      </c>
      <c r="G67" t="str">
        <f t="shared" si="5"/>
        <v>AMR</v>
      </c>
      <c r="H67">
        <v>2022</v>
      </c>
      <c r="I67">
        <v>10</v>
      </c>
      <c r="J67">
        <v>3</v>
      </c>
      <c r="K67">
        <f t="shared" si="6"/>
        <v>2032</v>
      </c>
      <c r="L67">
        <f t="shared" si="0"/>
        <v>2032</v>
      </c>
      <c r="M67" t="str">
        <f t="shared" si="1"/>
        <v>KY 2032</v>
      </c>
      <c r="N67" t="str">
        <f t="shared" si="7"/>
        <v>N</v>
      </c>
      <c r="O67">
        <f t="shared" si="2"/>
        <v>2032</v>
      </c>
      <c r="P67">
        <f t="shared" si="3"/>
        <v>10</v>
      </c>
      <c r="Q67" t="str">
        <f t="shared" si="8"/>
        <v>AMR</v>
      </c>
      <c r="R67" t="s">
        <v>266</v>
      </c>
      <c r="S67" t="str">
        <f t="shared" si="9"/>
        <v>KY</v>
      </c>
      <c r="T67">
        <f t="shared" si="4"/>
        <v>2032</v>
      </c>
      <c r="U67">
        <f t="shared" si="10"/>
        <v>10</v>
      </c>
      <c r="W67">
        <f t="shared" si="11"/>
        <v>4</v>
      </c>
      <c r="X67">
        <f t="shared" si="12"/>
        <v>0</v>
      </c>
      <c r="Y67">
        <f t="shared" si="13"/>
        <v>0</v>
      </c>
    </row>
    <row r="68" spans="1:25" hidden="1" x14ac:dyDescent="0.35">
      <c r="A68" t="s">
        <v>466</v>
      </c>
      <c r="B68" s="19" t="s">
        <v>467</v>
      </c>
      <c r="C68" t="s">
        <v>468</v>
      </c>
      <c r="D68" t="s">
        <v>469</v>
      </c>
      <c r="E68" t="s">
        <v>264</v>
      </c>
      <c r="F68" t="s">
        <v>471</v>
      </c>
      <c r="G68" t="str">
        <f t="shared" si="5"/>
        <v>AMR</v>
      </c>
      <c r="H68">
        <v>2023</v>
      </c>
      <c r="I68">
        <v>10</v>
      </c>
      <c r="J68">
        <v>5</v>
      </c>
      <c r="K68">
        <f t="shared" si="6"/>
        <v>2033</v>
      </c>
      <c r="L68">
        <f t="shared" si="0"/>
        <v>2033</v>
      </c>
      <c r="M68" t="str">
        <f t="shared" si="1"/>
        <v>KY 2033</v>
      </c>
      <c r="N68" t="str">
        <f t="shared" si="7"/>
        <v>N</v>
      </c>
      <c r="O68">
        <f t="shared" si="2"/>
        <v>2033</v>
      </c>
      <c r="P68">
        <f t="shared" si="3"/>
        <v>10</v>
      </c>
      <c r="Q68" t="str">
        <f t="shared" si="8"/>
        <v>AMR</v>
      </c>
      <c r="R68" t="s">
        <v>266</v>
      </c>
      <c r="S68" t="str">
        <f t="shared" si="9"/>
        <v>KY</v>
      </c>
      <c r="T68">
        <f t="shared" si="4"/>
        <v>2033</v>
      </c>
      <c r="U68">
        <f t="shared" si="10"/>
        <v>10</v>
      </c>
      <c r="W68">
        <f t="shared" si="11"/>
        <v>3</v>
      </c>
      <c r="X68">
        <f t="shared" si="12"/>
        <v>0</v>
      </c>
      <c r="Y68">
        <f t="shared" si="13"/>
        <v>0</v>
      </c>
    </row>
    <row r="69" spans="1:25" hidden="1" x14ac:dyDescent="0.35">
      <c r="A69" t="s">
        <v>466</v>
      </c>
      <c r="B69" s="19" t="s">
        <v>467</v>
      </c>
      <c r="C69" t="s">
        <v>468</v>
      </c>
      <c r="D69" t="s">
        <v>469</v>
      </c>
      <c r="E69" t="s">
        <v>264</v>
      </c>
      <c r="F69" t="s">
        <v>471</v>
      </c>
      <c r="G69" t="str">
        <f t="shared" si="5"/>
        <v>AMR</v>
      </c>
      <c r="H69">
        <v>2024</v>
      </c>
      <c r="I69">
        <v>10</v>
      </c>
      <c r="J69">
        <v>15</v>
      </c>
      <c r="K69">
        <f t="shared" si="6"/>
        <v>2034</v>
      </c>
      <c r="L69">
        <f t="shared" si="0"/>
        <v>2034</v>
      </c>
      <c r="M69" t="str">
        <f t="shared" si="1"/>
        <v>KY 2034</v>
      </c>
      <c r="N69" t="str">
        <f t="shared" si="7"/>
        <v>N</v>
      </c>
      <c r="O69">
        <f t="shared" si="2"/>
        <v>2034</v>
      </c>
      <c r="P69">
        <f t="shared" si="3"/>
        <v>10</v>
      </c>
      <c r="Q69" t="str">
        <f t="shared" si="8"/>
        <v>AMR</v>
      </c>
      <c r="R69" t="s">
        <v>266</v>
      </c>
      <c r="S69" t="str">
        <f t="shared" si="9"/>
        <v>KY</v>
      </c>
      <c r="T69">
        <f t="shared" si="4"/>
        <v>2034</v>
      </c>
      <c r="U69">
        <f t="shared" si="10"/>
        <v>10</v>
      </c>
      <c r="W69">
        <f t="shared" si="11"/>
        <v>2</v>
      </c>
      <c r="X69">
        <f t="shared" si="12"/>
        <v>0</v>
      </c>
      <c r="Y69">
        <f t="shared" si="13"/>
        <v>0</v>
      </c>
    </row>
    <row r="70" spans="1:25" hidden="1" x14ac:dyDescent="0.35">
      <c r="A70" t="s">
        <v>466</v>
      </c>
      <c r="B70" s="19" t="s">
        <v>467</v>
      </c>
      <c r="C70" t="s">
        <v>468</v>
      </c>
      <c r="D70" t="s">
        <v>469</v>
      </c>
      <c r="E70" t="s">
        <v>265</v>
      </c>
      <c r="F70" t="s">
        <v>474</v>
      </c>
      <c r="G70" t="str">
        <f t="shared" si="5"/>
        <v>AMI</v>
      </c>
      <c r="H70">
        <v>2024</v>
      </c>
      <c r="I70">
        <v>10</v>
      </c>
      <c r="J70">
        <v>5</v>
      </c>
      <c r="K70">
        <f t="shared" si="6"/>
        <v>2034</v>
      </c>
      <c r="L70">
        <f t="shared" ref="L70:L133" si="14">IF(K70&lt;YearOne,YearOne-1,K70)</f>
        <v>2034</v>
      </c>
      <c r="M70" t="str">
        <f t="shared" ref="M70:M133" si="15">(C70&amp; " "&amp;L70)</f>
        <v>KY 2034</v>
      </c>
      <c r="N70" t="str">
        <f t="shared" si="7"/>
        <v>Y</v>
      </c>
      <c r="O70">
        <f t="shared" ref="O70:O133" si="16">IF(K70&lt;=(YearOne-1),YearOne-1,K70)</f>
        <v>2034</v>
      </c>
      <c r="P70">
        <f t="shared" ref="P70:P133" si="17">O70-H70</f>
        <v>10</v>
      </c>
      <c r="Q70" t="str">
        <f t="shared" si="8"/>
        <v>AMI</v>
      </c>
      <c r="R70" t="s">
        <v>266</v>
      </c>
      <c r="S70" t="str">
        <f t="shared" si="9"/>
        <v>KY</v>
      </c>
      <c r="T70">
        <f t="shared" ref="T70:T133" si="18">IF(I70=15,IF(O70=(YearOne-1),O70,MAX(YearOne,O70-5)),O70)</f>
        <v>2034</v>
      </c>
      <c r="U70">
        <f t="shared" si="10"/>
        <v>10</v>
      </c>
      <c r="W70">
        <f t="shared" si="11"/>
        <v>2</v>
      </c>
      <c r="X70">
        <f t="shared" si="12"/>
        <v>0</v>
      </c>
      <c r="Y70">
        <f t="shared" si="13"/>
        <v>0</v>
      </c>
    </row>
    <row r="71" spans="1:25" x14ac:dyDescent="0.35">
      <c r="A71" t="s">
        <v>466</v>
      </c>
      <c r="B71" s="19" t="s">
        <v>467</v>
      </c>
      <c r="C71" t="s">
        <v>468</v>
      </c>
      <c r="D71" t="s">
        <v>475</v>
      </c>
      <c r="E71" t="s">
        <v>264</v>
      </c>
      <c r="F71" t="s">
        <v>473</v>
      </c>
      <c r="G71" t="str">
        <f t="shared" ref="G71:G134" si="19">IF(ISNUMBER(SEARCH("AMI",F71,1)),"AMI",IF(ISNUMBER(SEARCH("AMR",F71,1)),"AMR","Manual"))</f>
        <v>AMR</v>
      </c>
      <c r="H71">
        <v>2012</v>
      </c>
      <c r="I71">
        <v>10</v>
      </c>
      <c r="J71">
        <v>52</v>
      </c>
      <c r="K71">
        <f t="shared" ref="K71:K134" si="20">H71+I71</f>
        <v>2022</v>
      </c>
      <c r="L71">
        <f t="shared" si="14"/>
        <v>2025</v>
      </c>
      <c r="M71" t="str">
        <f t="shared" si="15"/>
        <v>KY 2025</v>
      </c>
      <c r="N71" t="str">
        <f t="shared" ref="N71:N134" si="21">IF(G71="AMI","Y","N")</f>
        <v>N</v>
      </c>
      <c r="O71">
        <f t="shared" si="16"/>
        <v>2025</v>
      </c>
      <c r="P71">
        <f t="shared" si="17"/>
        <v>13</v>
      </c>
      <c r="Q71" t="str">
        <f t="shared" ref="Q71:Q134" si="22">G71</f>
        <v>AMR</v>
      </c>
      <c r="R71" t="s">
        <v>266</v>
      </c>
      <c r="S71" t="str">
        <f t="shared" ref="S71:S134" si="23">C71</f>
        <v>KY</v>
      </c>
      <c r="T71">
        <f t="shared" si="18"/>
        <v>2025</v>
      </c>
      <c r="U71">
        <f t="shared" ref="U71:U134" si="24">IF(P71=15,"10**",P71)</f>
        <v>13</v>
      </c>
      <c r="W71">
        <f t="shared" ref="W71:W134" si="25">2026-H71</f>
        <v>14</v>
      </c>
      <c r="X71">
        <f t="shared" ref="X71:X134" si="26">IF(W71&gt;10,W71*J71,0)</f>
        <v>728</v>
      </c>
      <c r="Y71">
        <f t="shared" ref="Y71:Y134" si="27">IF(W71&gt;10,J71,0)</f>
        <v>52</v>
      </c>
    </row>
    <row r="72" spans="1:25" x14ac:dyDescent="0.35">
      <c r="A72" t="s">
        <v>466</v>
      </c>
      <c r="B72" s="19" t="s">
        <v>467</v>
      </c>
      <c r="C72" t="s">
        <v>468</v>
      </c>
      <c r="D72" t="s">
        <v>475</v>
      </c>
      <c r="E72" t="s">
        <v>264</v>
      </c>
      <c r="F72" t="s">
        <v>473</v>
      </c>
      <c r="G72" t="str">
        <f t="shared" si="19"/>
        <v>AMR</v>
      </c>
      <c r="H72">
        <v>2013</v>
      </c>
      <c r="I72">
        <v>10</v>
      </c>
      <c r="J72">
        <v>93</v>
      </c>
      <c r="K72">
        <f t="shared" si="20"/>
        <v>2023</v>
      </c>
      <c r="L72">
        <f t="shared" si="14"/>
        <v>2025</v>
      </c>
      <c r="M72" t="str">
        <f t="shared" si="15"/>
        <v>KY 2025</v>
      </c>
      <c r="N72" t="str">
        <f t="shared" si="21"/>
        <v>N</v>
      </c>
      <c r="O72">
        <f t="shared" si="16"/>
        <v>2025</v>
      </c>
      <c r="P72">
        <f t="shared" si="17"/>
        <v>12</v>
      </c>
      <c r="Q72" t="str">
        <f t="shared" si="22"/>
        <v>AMR</v>
      </c>
      <c r="R72" t="s">
        <v>266</v>
      </c>
      <c r="S72" t="str">
        <f t="shared" si="23"/>
        <v>KY</v>
      </c>
      <c r="T72">
        <f t="shared" si="18"/>
        <v>2025</v>
      </c>
      <c r="U72">
        <f t="shared" si="24"/>
        <v>12</v>
      </c>
      <c r="W72">
        <f t="shared" si="25"/>
        <v>13</v>
      </c>
      <c r="X72">
        <f t="shared" si="26"/>
        <v>1209</v>
      </c>
      <c r="Y72">
        <f t="shared" si="27"/>
        <v>93</v>
      </c>
    </row>
    <row r="73" spans="1:25" x14ac:dyDescent="0.35">
      <c r="A73" t="s">
        <v>466</v>
      </c>
      <c r="B73" s="19" t="s">
        <v>467</v>
      </c>
      <c r="C73" t="s">
        <v>468</v>
      </c>
      <c r="D73" t="s">
        <v>475</v>
      </c>
      <c r="E73" t="s">
        <v>264</v>
      </c>
      <c r="F73" t="s">
        <v>473</v>
      </c>
      <c r="G73" t="str">
        <f t="shared" si="19"/>
        <v>AMR</v>
      </c>
      <c r="H73">
        <v>2015</v>
      </c>
      <c r="I73">
        <v>10</v>
      </c>
      <c r="J73">
        <v>1</v>
      </c>
      <c r="K73">
        <f t="shared" si="20"/>
        <v>2025</v>
      </c>
      <c r="L73">
        <f t="shared" si="14"/>
        <v>2025</v>
      </c>
      <c r="M73" t="str">
        <f t="shared" si="15"/>
        <v>KY 2025</v>
      </c>
      <c r="N73" t="str">
        <f t="shared" si="21"/>
        <v>N</v>
      </c>
      <c r="O73">
        <f t="shared" si="16"/>
        <v>2025</v>
      </c>
      <c r="P73">
        <f t="shared" si="17"/>
        <v>10</v>
      </c>
      <c r="Q73" t="str">
        <f t="shared" si="22"/>
        <v>AMR</v>
      </c>
      <c r="R73" t="s">
        <v>266</v>
      </c>
      <c r="S73" t="str">
        <f t="shared" si="23"/>
        <v>KY</v>
      </c>
      <c r="T73">
        <f t="shared" si="18"/>
        <v>2025</v>
      </c>
      <c r="U73">
        <f t="shared" si="24"/>
        <v>10</v>
      </c>
      <c r="W73">
        <f t="shared" si="25"/>
        <v>11</v>
      </c>
      <c r="X73">
        <f t="shared" si="26"/>
        <v>11</v>
      </c>
      <c r="Y73">
        <f t="shared" si="27"/>
        <v>1</v>
      </c>
    </row>
    <row r="74" spans="1:25" x14ac:dyDescent="0.35">
      <c r="A74" t="s">
        <v>466</v>
      </c>
      <c r="B74" s="19" t="s">
        <v>467</v>
      </c>
      <c r="C74" t="s">
        <v>468</v>
      </c>
      <c r="D74" t="s">
        <v>475</v>
      </c>
      <c r="E74" t="s">
        <v>265</v>
      </c>
      <c r="F74" t="s">
        <v>473</v>
      </c>
      <c r="G74" t="str">
        <f t="shared" si="19"/>
        <v>AMR</v>
      </c>
      <c r="H74">
        <v>2012</v>
      </c>
      <c r="I74">
        <v>10</v>
      </c>
      <c r="J74">
        <v>7368</v>
      </c>
      <c r="K74">
        <f t="shared" si="20"/>
        <v>2022</v>
      </c>
      <c r="L74">
        <f t="shared" si="14"/>
        <v>2025</v>
      </c>
      <c r="M74" t="str">
        <f t="shared" si="15"/>
        <v>KY 2025</v>
      </c>
      <c r="N74" t="str">
        <f t="shared" si="21"/>
        <v>N</v>
      </c>
      <c r="O74">
        <f t="shared" si="16"/>
        <v>2025</v>
      </c>
      <c r="P74">
        <f t="shared" si="17"/>
        <v>13</v>
      </c>
      <c r="Q74" t="str">
        <f t="shared" si="22"/>
        <v>AMR</v>
      </c>
      <c r="R74" t="s">
        <v>266</v>
      </c>
      <c r="S74" t="str">
        <f t="shared" si="23"/>
        <v>KY</v>
      </c>
      <c r="T74">
        <f t="shared" si="18"/>
        <v>2025</v>
      </c>
      <c r="U74">
        <f t="shared" si="24"/>
        <v>13</v>
      </c>
      <c r="W74">
        <f t="shared" si="25"/>
        <v>14</v>
      </c>
      <c r="X74">
        <f t="shared" si="26"/>
        <v>103152</v>
      </c>
      <c r="Y74">
        <f t="shared" si="27"/>
        <v>7368</v>
      </c>
    </row>
    <row r="75" spans="1:25" x14ac:dyDescent="0.35">
      <c r="A75" t="s">
        <v>466</v>
      </c>
      <c r="B75" s="19" t="s">
        <v>467</v>
      </c>
      <c r="C75" t="s">
        <v>468</v>
      </c>
      <c r="D75" t="s">
        <v>475</v>
      </c>
      <c r="E75" t="s">
        <v>265</v>
      </c>
      <c r="F75" t="s">
        <v>473</v>
      </c>
      <c r="G75" t="str">
        <f t="shared" si="19"/>
        <v>AMR</v>
      </c>
      <c r="H75">
        <v>2013</v>
      </c>
      <c r="I75">
        <v>10</v>
      </c>
      <c r="J75">
        <v>11214</v>
      </c>
      <c r="K75">
        <f t="shared" si="20"/>
        <v>2023</v>
      </c>
      <c r="L75">
        <f t="shared" si="14"/>
        <v>2025</v>
      </c>
      <c r="M75" t="str">
        <f t="shared" si="15"/>
        <v>KY 2025</v>
      </c>
      <c r="N75" t="str">
        <f t="shared" si="21"/>
        <v>N</v>
      </c>
      <c r="O75">
        <f t="shared" si="16"/>
        <v>2025</v>
      </c>
      <c r="P75">
        <f t="shared" si="17"/>
        <v>12</v>
      </c>
      <c r="Q75" t="str">
        <f t="shared" si="22"/>
        <v>AMR</v>
      </c>
      <c r="R75" t="s">
        <v>266</v>
      </c>
      <c r="S75" t="str">
        <f t="shared" si="23"/>
        <v>KY</v>
      </c>
      <c r="T75">
        <f t="shared" si="18"/>
        <v>2025</v>
      </c>
      <c r="U75">
        <f t="shared" si="24"/>
        <v>12</v>
      </c>
      <c r="W75">
        <f t="shared" si="25"/>
        <v>13</v>
      </c>
      <c r="X75">
        <f t="shared" si="26"/>
        <v>145782</v>
      </c>
      <c r="Y75">
        <f t="shared" si="27"/>
        <v>11214</v>
      </c>
    </row>
    <row r="76" spans="1:25" x14ac:dyDescent="0.35">
      <c r="A76" t="s">
        <v>466</v>
      </c>
      <c r="B76" s="19" t="s">
        <v>467</v>
      </c>
      <c r="C76" t="s">
        <v>468</v>
      </c>
      <c r="D76" t="s">
        <v>475</v>
      </c>
      <c r="E76" t="s">
        <v>265</v>
      </c>
      <c r="F76" t="s">
        <v>473</v>
      </c>
      <c r="G76" t="str">
        <f t="shared" si="19"/>
        <v>AMR</v>
      </c>
      <c r="H76">
        <v>2014</v>
      </c>
      <c r="I76">
        <v>10</v>
      </c>
      <c r="J76">
        <v>4</v>
      </c>
      <c r="K76">
        <f t="shared" si="20"/>
        <v>2024</v>
      </c>
      <c r="L76">
        <f t="shared" si="14"/>
        <v>2025</v>
      </c>
      <c r="M76" t="str">
        <f t="shared" si="15"/>
        <v>KY 2025</v>
      </c>
      <c r="N76" t="str">
        <f t="shared" si="21"/>
        <v>N</v>
      </c>
      <c r="O76">
        <f t="shared" si="16"/>
        <v>2025</v>
      </c>
      <c r="P76">
        <f t="shared" si="17"/>
        <v>11</v>
      </c>
      <c r="Q76" t="str">
        <f t="shared" si="22"/>
        <v>AMR</v>
      </c>
      <c r="R76" t="s">
        <v>266</v>
      </c>
      <c r="S76" t="str">
        <f t="shared" si="23"/>
        <v>KY</v>
      </c>
      <c r="T76">
        <f t="shared" si="18"/>
        <v>2025</v>
      </c>
      <c r="U76">
        <f t="shared" si="24"/>
        <v>11</v>
      </c>
      <c r="W76">
        <f t="shared" si="25"/>
        <v>12</v>
      </c>
      <c r="X76">
        <f t="shared" si="26"/>
        <v>48</v>
      </c>
      <c r="Y76">
        <f t="shared" si="27"/>
        <v>4</v>
      </c>
    </row>
    <row r="77" spans="1:25" x14ac:dyDescent="0.35">
      <c r="A77" t="s">
        <v>466</v>
      </c>
      <c r="B77" s="19" t="s">
        <v>467</v>
      </c>
      <c r="C77" t="s">
        <v>468</v>
      </c>
      <c r="D77" t="s">
        <v>475</v>
      </c>
      <c r="E77" t="s">
        <v>265</v>
      </c>
      <c r="F77" t="s">
        <v>473</v>
      </c>
      <c r="G77" t="str">
        <f t="shared" si="19"/>
        <v>AMR</v>
      </c>
      <c r="H77">
        <v>2015</v>
      </c>
      <c r="I77">
        <v>10</v>
      </c>
      <c r="J77">
        <v>81</v>
      </c>
      <c r="K77">
        <f t="shared" si="20"/>
        <v>2025</v>
      </c>
      <c r="L77">
        <f t="shared" si="14"/>
        <v>2025</v>
      </c>
      <c r="M77" t="str">
        <f t="shared" si="15"/>
        <v>KY 2025</v>
      </c>
      <c r="N77" t="str">
        <f t="shared" si="21"/>
        <v>N</v>
      </c>
      <c r="O77">
        <f t="shared" si="16"/>
        <v>2025</v>
      </c>
      <c r="P77">
        <f t="shared" si="17"/>
        <v>10</v>
      </c>
      <c r="Q77" t="str">
        <f t="shared" si="22"/>
        <v>AMR</v>
      </c>
      <c r="R77" t="s">
        <v>266</v>
      </c>
      <c r="S77" t="str">
        <f t="shared" si="23"/>
        <v>KY</v>
      </c>
      <c r="T77">
        <f t="shared" si="18"/>
        <v>2025</v>
      </c>
      <c r="U77">
        <f t="shared" si="24"/>
        <v>10</v>
      </c>
      <c r="W77">
        <f t="shared" si="25"/>
        <v>11</v>
      </c>
      <c r="X77">
        <f t="shared" si="26"/>
        <v>891</v>
      </c>
      <c r="Y77">
        <f t="shared" si="27"/>
        <v>81</v>
      </c>
    </row>
    <row r="78" spans="1:25" hidden="1" x14ac:dyDescent="0.35">
      <c r="A78" t="s">
        <v>466</v>
      </c>
      <c r="B78" s="19" t="s">
        <v>467</v>
      </c>
      <c r="C78" t="s">
        <v>468</v>
      </c>
      <c r="D78" t="s">
        <v>475</v>
      </c>
      <c r="E78" t="s">
        <v>265</v>
      </c>
      <c r="F78" t="s">
        <v>473</v>
      </c>
      <c r="G78" t="str">
        <f t="shared" si="19"/>
        <v>AMR</v>
      </c>
      <c r="H78">
        <v>2016</v>
      </c>
      <c r="I78">
        <v>10</v>
      </c>
      <c r="J78">
        <v>11</v>
      </c>
      <c r="K78">
        <f t="shared" si="20"/>
        <v>2026</v>
      </c>
      <c r="L78">
        <f t="shared" si="14"/>
        <v>2026</v>
      </c>
      <c r="M78" t="str">
        <f t="shared" si="15"/>
        <v>KY 2026</v>
      </c>
      <c r="N78" t="str">
        <f t="shared" si="21"/>
        <v>N</v>
      </c>
      <c r="O78">
        <f t="shared" si="16"/>
        <v>2026</v>
      </c>
      <c r="P78">
        <f t="shared" si="17"/>
        <v>10</v>
      </c>
      <c r="Q78" t="str">
        <f t="shared" si="22"/>
        <v>AMR</v>
      </c>
      <c r="R78" t="s">
        <v>266</v>
      </c>
      <c r="S78" t="str">
        <f t="shared" si="23"/>
        <v>KY</v>
      </c>
      <c r="T78">
        <f t="shared" si="18"/>
        <v>2026</v>
      </c>
      <c r="U78">
        <f t="shared" si="24"/>
        <v>10</v>
      </c>
      <c r="W78">
        <f t="shared" si="25"/>
        <v>10</v>
      </c>
      <c r="X78">
        <f t="shared" si="26"/>
        <v>0</v>
      </c>
      <c r="Y78">
        <f t="shared" si="27"/>
        <v>0</v>
      </c>
    </row>
    <row r="79" spans="1:25" hidden="1" x14ac:dyDescent="0.35">
      <c r="A79" t="s">
        <v>466</v>
      </c>
      <c r="B79" s="19" t="s">
        <v>467</v>
      </c>
      <c r="C79" t="s">
        <v>468</v>
      </c>
      <c r="D79" t="s">
        <v>475</v>
      </c>
      <c r="E79" t="s">
        <v>265</v>
      </c>
      <c r="F79" t="s">
        <v>473</v>
      </c>
      <c r="G79" t="str">
        <f t="shared" si="19"/>
        <v>AMR</v>
      </c>
      <c r="H79">
        <v>2017</v>
      </c>
      <c r="I79">
        <v>10</v>
      </c>
      <c r="J79">
        <v>2</v>
      </c>
      <c r="K79">
        <f t="shared" si="20"/>
        <v>2027</v>
      </c>
      <c r="L79">
        <f t="shared" si="14"/>
        <v>2027</v>
      </c>
      <c r="M79" t="str">
        <f t="shared" si="15"/>
        <v>KY 2027</v>
      </c>
      <c r="N79" t="str">
        <f t="shared" si="21"/>
        <v>N</v>
      </c>
      <c r="O79">
        <f t="shared" si="16"/>
        <v>2027</v>
      </c>
      <c r="P79">
        <f t="shared" si="17"/>
        <v>10</v>
      </c>
      <c r="Q79" t="str">
        <f t="shared" si="22"/>
        <v>AMR</v>
      </c>
      <c r="R79" t="s">
        <v>266</v>
      </c>
      <c r="S79" t="str">
        <f t="shared" si="23"/>
        <v>KY</v>
      </c>
      <c r="T79">
        <f t="shared" si="18"/>
        <v>2027</v>
      </c>
      <c r="U79">
        <f t="shared" si="24"/>
        <v>10</v>
      </c>
      <c r="W79">
        <f t="shared" si="25"/>
        <v>9</v>
      </c>
      <c r="X79">
        <f t="shared" si="26"/>
        <v>0</v>
      </c>
      <c r="Y79">
        <f t="shared" si="27"/>
        <v>0</v>
      </c>
    </row>
    <row r="80" spans="1:25" hidden="1" x14ac:dyDescent="0.35">
      <c r="A80" t="s">
        <v>466</v>
      </c>
      <c r="B80" s="274" t="s">
        <v>467</v>
      </c>
      <c r="C80" t="s">
        <v>468</v>
      </c>
      <c r="D80" t="s">
        <v>475</v>
      </c>
      <c r="E80" t="s">
        <v>265</v>
      </c>
      <c r="F80" t="s">
        <v>473</v>
      </c>
      <c r="G80" t="str">
        <f t="shared" si="19"/>
        <v>AMR</v>
      </c>
      <c r="H80">
        <v>2023</v>
      </c>
      <c r="I80">
        <v>10</v>
      </c>
      <c r="J80">
        <v>1</v>
      </c>
      <c r="K80">
        <f t="shared" si="20"/>
        <v>2033</v>
      </c>
      <c r="L80">
        <f t="shared" si="14"/>
        <v>2033</v>
      </c>
      <c r="M80" t="str">
        <f t="shared" si="15"/>
        <v>KY 2033</v>
      </c>
      <c r="N80" t="str">
        <f t="shared" si="21"/>
        <v>N</v>
      </c>
      <c r="O80">
        <f t="shared" si="16"/>
        <v>2033</v>
      </c>
      <c r="P80">
        <f t="shared" si="17"/>
        <v>10</v>
      </c>
      <c r="Q80" t="str">
        <f t="shared" si="22"/>
        <v>AMR</v>
      </c>
      <c r="R80" t="s">
        <v>266</v>
      </c>
      <c r="S80" t="str">
        <f t="shared" si="23"/>
        <v>KY</v>
      </c>
      <c r="T80">
        <f t="shared" si="18"/>
        <v>2033</v>
      </c>
      <c r="U80">
        <f t="shared" si="24"/>
        <v>10</v>
      </c>
      <c r="W80">
        <f t="shared" si="25"/>
        <v>3</v>
      </c>
      <c r="X80">
        <f t="shared" si="26"/>
        <v>0</v>
      </c>
      <c r="Y80">
        <f t="shared" si="27"/>
        <v>0</v>
      </c>
    </row>
    <row r="81" spans="1:25" hidden="1" x14ac:dyDescent="0.35">
      <c r="A81" t="s">
        <v>466</v>
      </c>
      <c r="B81" s="19" t="s">
        <v>467</v>
      </c>
      <c r="C81" t="s">
        <v>468</v>
      </c>
      <c r="D81" t="s">
        <v>475</v>
      </c>
      <c r="E81" t="s">
        <v>265</v>
      </c>
      <c r="F81" t="s">
        <v>473</v>
      </c>
      <c r="G81" t="str">
        <f t="shared" si="19"/>
        <v>AMR</v>
      </c>
      <c r="H81">
        <v>2024</v>
      </c>
      <c r="I81">
        <v>10</v>
      </c>
      <c r="J81">
        <v>3</v>
      </c>
      <c r="K81">
        <f t="shared" si="20"/>
        <v>2034</v>
      </c>
      <c r="L81">
        <f t="shared" si="14"/>
        <v>2034</v>
      </c>
      <c r="M81" t="str">
        <f t="shared" si="15"/>
        <v>KY 2034</v>
      </c>
      <c r="N81" t="str">
        <f t="shared" si="21"/>
        <v>N</v>
      </c>
      <c r="O81">
        <f t="shared" si="16"/>
        <v>2034</v>
      </c>
      <c r="P81">
        <f t="shared" si="17"/>
        <v>10</v>
      </c>
      <c r="Q81" t="str">
        <f t="shared" si="22"/>
        <v>AMR</v>
      </c>
      <c r="R81" t="s">
        <v>266</v>
      </c>
      <c r="S81" t="str">
        <f t="shared" si="23"/>
        <v>KY</v>
      </c>
      <c r="T81">
        <f t="shared" si="18"/>
        <v>2034</v>
      </c>
      <c r="U81">
        <f t="shared" si="24"/>
        <v>10</v>
      </c>
      <c r="W81">
        <f t="shared" si="25"/>
        <v>2</v>
      </c>
      <c r="X81">
        <f t="shared" si="26"/>
        <v>0</v>
      </c>
      <c r="Y81">
        <f t="shared" si="27"/>
        <v>0</v>
      </c>
    </row>
    <row r="82" spans="1:25" x14ac:dyDescent="0.35">
      <c r="A82" t="s">
        <v>466</v>
      </c>
      <c r="B82" s="19" t="s">
        <v>467</v>
      </c>
      <c r="C82" t="s">
        <v>468</v>
      </c>
      <c r="D82" t="s">
        <v>475</v>
      </c>
      <c r="E82" t="s">
        <v>265</v>
      </c>
      <c r="F82" t="s">
        <v>471</v>
      </c>
      <c r="G82" t="str">
        <f t="shared" si="19"/>
        <v>AMR</v>
      </c>
      <c r="H82">
        <v>2013</v>
      </c>
      <c r="I82">
        <v>10</v>
      </c>
      <c r="J82">
        <v>3</v>
      </c>
      <c r="K82">
        <f t="shared" si="20"/>
        <v>2023</v>
      </c>
      <c r="L82">
        <f t="shared" si="14"/>
        <v>2025</v>
      </c>
      <c r="M82" t="str">
        <f t="shared" si="15"/>
        <v>KY 2025</v>
      </c>
      <c r="N82" t="str">
        <f t="shared" si="21"/>
        <v>N</v>
      </c>
      <c r="O82">
        <f t="shared" si="16"/>
        <v>2025</v>
      </c>
      <c r="P82">
        <f t="shared" si="17"/>
        <v>12</v>
      </c>
      <c r="Q82" t="str">
        <f t="shared" si="22"/>
        <v>AMR</v>
      </c>
      <c r="R82" t="s">
        <v>266</v>
      </c>
      <c r="S82" t="str">
        <f t="shared" si="23"/>
        <v>KY</v>
      </c>
      <c r="T82">
        <f t="shared" si="18"/>
        <v>2025</v>
      </c>
      <c r="U82">
        <f t="shared" si="24"/>
        <v>12</v>
      </c>
      <c r="W82">
        <f t="shared" si="25"/>
        <v>13</v>
      </c>
      <c r="X82">
        <f t="shared" si="26"/>
        <v>39</v>
      </c>
      <c r="Y82">
        <f t="shared" si="27"/>
        <v>3</v>
      </c>
    </row>
    <row r="83" spans="1:25" x14ac:dyDescent="0.35">
      <c r="A83" t="s">
        <v>466</v>
      </c>
      <c r="B83" s="19" t="s">
        <v>467</v>
      </c>
      <c r="C83" t="s">
        <v>468</v>
      </c>
      <c r="D83" t="s">
        <v>475</v>
      </c>
      <c r="E83" t="s">
        <v>265</v>
      </c>
      <c r="F83" t="s">
        <v>471</v>
      </c>
      <c r="G83" t="str">
        <f t="shared" si="19"/>
        <v>AMR</v>
      </c>
      <c r="H83">
        <v>2015</v>
      </c>
      <c r="I83">
        <v>10</v>
      </c>
      <c r="J83">
        <v>1</v>
      </c>
      <c r="K83">
        <f t="shared" si="20"/>
        <v>2025</v>
      </c>
      <c r="L83">
        <f t="shared" si="14"/>
        <v>2025</v>
      </c>
      <c r="M83" t="str">
        <f t="shared" si="15"/>
        <v>KY 2025</v>
      </c>
      <c r="N83" t="str">
        <f t="shared" si="21"/>
        <v>N</v>
      </c>
      <c r="O83">
        <f t="shared" si="16"/>
        <v>2025</v>
      </c>
      <c r="P83">
        <f t="shared" si="17"/>
        <v>10</v>
      </c>
      <c r="Q83" t="str">
        <f t="shared" si="22"/>
        <v>AMR</v>
      </c>
      <c r="R83" t="s">
        <v>266</v>
      </c>
      <c r="S83" t="str">
        <f t="shared" si="23"/>
        <v>KY</v>
      </c>
      <c r="T83">
        <f t="shared" si="18"/>
        <v>2025</v>
      </c>
      <c r="U83">
        <f t="shared" si="24"/>
        <v>10</v>
      </c>
      <c r="W83">
        <f t="shared" si="25"/>
        <v>11</v>
      </c>
      <c r="X83">
        <f t="shared" si="26"/>
        <v>11</v>
      </c>
      <c r="Y83">
        <f t="shared" si="27"/>
        <v>1</v>
      </c>
    </row>
    <row r="84" spans="1:25" x14ac:dyDescent="0.35">
      <c r="A84" t="s">
        <v>466</v>
      </c>
      <c r="B84" s="19" t="s">
        <v>467</v>
      </c>
      <c r="C84" t="s">
        <v>468</v>
      </c>
      <c r="D84" t="s">
        <v>476</v>
      </c>
      <c r="E84" t="s">
        <v>264</v>
      </c>
      <c r="F84" t="s">
        <v>473</v>
      </c>
      <c r="G84" t="str">
        <f t="shared" si="19"/>
        <v>AMR</v>
      </c>
      <c r="H84">
        <v>2014</v>
      </c>
      <c r="I84">
        <v>10</v>
      </c>
      <c r="J84">
        <v>2</v>
      </c>
      <c r="K84">
        <f t="shared" si="20"/>
        <v>2024</v>
      </c>
      <c r="L84">
        <f t="shared" si="14"/>
        <v>2025</v>
      </c>
      <c r="M84" t="str">
        <f t="shared" si="15"/>
        <v>KY 2025</v>
      </c>
      <c r="N84" t="str">
        <f t="shared" si="21"/>
        <v>N</v>
      </c>
      <c r="O84">
        <f t="shared" si="16"/>
        <v>2025</v>
      </c>
      <c r="P84">
        <f t="shared" si="17"/>
        <v>11</v>
      </c>
      <c r="Q84" t="str">
        <f t="shared" si="22"/>
        <v>AMR</v>
      </c>
      <c r="R84" t="s">
        <v>266</v>
      </c>
      <c r="S84" t="str">
        <f t="shared" si="23"/>
        <v>KY</v>
      </c>
      <c r="T84">
        <f t="shared" si="18"/>
        <v>2025</v>
      </c>
      <c r="U84">
        <f t="shared" si="24"/>
        <v>11</v>
      </c>
      <c r="W84">
        <f t="shared" si="25"/>
        <v>12</v>
      </c>
      <c r="X84">
        <f t="shared" si="26"/>
        <v>24</v>
      </c>
      <c r="Y84">
        <f t="shared" si="27"/>
        <v>2</v>
      </c>
    </row>
    <row r="85" spans="1:25" x14ac:dyDescent="0.35">
      <c r="A85" t="s">
        <v>466</v>
      </c>
      <c r="B85" s="19" t="s">
        <v>467</v>
      </c>
      <c r="C85" t="s">
        <v>468</v>
      </c>
      <c r="D85" t="s">
        <v>476</v>
      </c>
      <c r="E85" t="s">
        <v>264</v>
      </c>
      <c r="F85" t="s">
        <v>473</v>
      </c>
      <c r="G85" t="str">
        <f t="shared" si="19"/>
        <v>AMR</v>
      </c>
      <c r="H85">
        <v>2015</v>
      </c>
      <c r="I85">
        <v>10</v>
      </c>
      <c r="J85">
        <v>8</v>
      </c>
      <c r="K85">
        <f t="shared" si="20"/>
        <v>2025</v>
      </c>
      <c r="L85">
        <f t="shared" si="14"/>
        <v>2025</v>
      </c>
      <c r="M85" t="str">
        <f t="shared" si="15"/>
        <v>KY 2025</v>
      </c>
      <c r="N85" t="str">
        <f t="shared" si="21"/>
        <v>N</v>
      </c>
      <c r="O85">
        <f t="shared" si="16"/>
        <v>2025</v>
      </c>
      <c r="P85">
        <f t="shared" si="17"/>
        <v>10</v>
      </c>
      <c r="Q85" t="str">
        <f t="shared" si="22"/>
        <v>AMR</v>
      </c>
      <c r="R85" t="s">
        <v>266</v>
      </c>
      <c r="S85" t="str">
        <f t="shared" si="23"/>
        <v>KY</v>
      </c>
      <c r="T85">
        <f t="shared" si="18"/>
        <v>2025</v>
      </c>
      <c r="U85">
        <f t="shared" si="24"/>
        <v>10</v>
      </c>
      <c r="W85">
        <f t="shared" si="25"/>
        <v>11</v>
      </c>
      <c r="X85">
        <f t="shared" si="26"/>
        <v>88</v>
      </c>
      <c r="Y85">
        <f t="shared" si="27"/>
        <v>8</v>
      </c>
    </row>
    <row r="86" spans="1:25" x14ac:dyDescent="0.35">
      <c r="A86" t="s">
        <v>466</v>
      </c>
      <c r="B86" s="19" t="s">
        <v>467</v>
      </c>
      <c r="C86" t="s">
        <v>468</v>
      </c>
      <c r="D86" t="s">
        <v>476</v>
      </c>
      <c r="E86" t="s">
        <v>265</v>
      </c>
      <c r="F86" t="s">
        <v>473</v>
      </c>
      <c r="G86" t="str">
        <f t="shared" si="19"/>
        <v>AMR</v>
      </c>
      <c r="H86">
        <v>2012</v>
      </c>
      <c r="I86">
        <v>10</v>
      </c>
      <c r="J86">
        <v>1</v>
      </c>
      <c r="K86">
        <f t="shared" si="20"/>
        <v>2022</v>
      </c>
      <c r="L86">
        <f t="shared" si="14"/>
        <v>2025</v>
      </c>
      <c r="M86" t="str">
        <f t="shared" si="15"/>
        <v>KY 2025</v>
      </c>
      <c r="N86" t="str">
        <f t="shared" si="21"/>
        <v>N</v>
      </c>
      <c r="O86">
        <f t="shared" si="16"/>
        <v>2025</v>
      </c>
      <c r="P86">
        <f t="shared" si="17"/>
        <v>13</v>
      </c>
      <c r="Q86" t="str">
        <f t="shared" si="22"/>
        <v>AMR</v>
      </c>
      <c r="R86" t="s">
        <v>266</v>
      </c>
      <c r="S86" t="str">
        <f t="shared" si="23"/>
        <v>KY</v>
      </c>
      <c r="T86">
        <f t="shared" si="18"/>
        <v>2025</v>
      </c>
      <c r="U86">
        <f t="shared" si="24"/>
        <v>13</v>
      </c>
      <c r="W86">
        <f t="shared" si="25"/>
        <v>14</v>
      </c>
      <c r="X86">
        <f t="shared" si="26"/>
        <v>14</v>
      </c>
      <c r="Y86">
        <f t="shared" si="27"/>
        <v>1</v>
      </c>
    </row>
    <row r="87" spans="1:25" x14ac:dyDescent="0.35">
      <c r="A87" t="s">
        <v>466</v>
      </c>
      <c r="B87" s="19" t="s">
        <v>467</v>
      </c>
      <c r="C87" t="s">
        <v>468</v>
      </c>
      <c r="D87" t="s">
        <v>476</v>
      </c>
      <c r="E87" t="s">
        <v>265</v>
      </c>
      <c r="F87" t="s">
        <v>473</v>
      </c>
      <c r="G87" t="str">
        <f t="shared" si="19"/>
        <v>AMR</v>
      </c>
      <c r="H87">
        <v>2013</v>
      </c>
      <c r="I87">
        <v>10</v>
      </c>
      <c r="J87">
        <v>42</v>
      </c>
      <c r="K87">
        <f t="shared" si="20"/>
        <v>2023</v>
      </c>
      <c r="L87">
        <f t="shared" si="14"/>
        <v>2025</v>
      </c>
      <c r="M87" t="str">
        <f t="shared" si="15"/>
        <v>KY 2025</v>
      </c>
      <c r="N87" t="str">
        <f t="shared" si="21"/>
        <v>N</v>
      </c>
      <c r="O87">
        <f t="shared" si="16"/>
        <v>2025</v>
      </c>
      <c r="P87">
        <f t="shared" si="17"/>
        <v>12</v>
      </c>
      <c r="Q87" t="str">
        <f t="shared" si="22"/>
        <v>AMR</v>
      </c>
      <c r="R87" t="s">
        <v>266</v>
      </c>
      <c r="S87" t="str">
        <f t="shared" si="23"/>
        <v>KY</v>
      </c>
      <c r="T87">
        <f t="shared" si="18"/>
        <v>2025</v>
      </c>
      <c r="U87">
        <f t="shared" si="24"/>
        <v>12</v>
      </c>
      <c r="W87">
        <f t="shared" si="25"/>
        <v>13</v>
      </c>
      <c r="X87">
        <f t="shared" si="26"/>
        <v>546</v>
      </c>
      <c r="Y87">
        <f t="shared" si="27"/>
        <v>42</v>
      </c>
    </row>
    <row r="88" spans="1:25" x14ac:dyDescent="0.35">
      <c r="A88" t="s">
        <v>466</v>
      </c>
      <c r="B88" s="19" t="s">
        <v>467</v>
      </c>
      <c r="C88" t="s">
        <v>468</v>
      </c>
      <c r="D88" t="s">
        <v>476</v>
      </c>
      <c r="E88" t="s">
        <v>265</v>
      </c>
      <c r="F88" t="s">
        <v>473</v>
      </c>
      <c r="G88" t="str">
        <f t="shared" si="19"/>
        <v>AMR</v>
      </c>
      <c r="H88">
        <v>2014</v>
      </c>
      <c r="I88">
        <v>10</v>
      </c>
      <c r="J88">
        <v>623</v>
      </c>
      <c r="K88">
        <f t="shared" si="20"/>
        <v>2024</v>
      </c>
      <c r="L88">
        <f t="shared" si="14"/>
        <v>2025</v>
      </c>
      <c r="M88" t="str">
        <f t="shared" si="15"/>
        <v>KY 2025</v>
      </c>
      <c r="N88" t="str">
        <f t="shared" si="21"/>
        <v>N</v>
      </c>
      <c r="O88">
        <f t="shared" si="16"/>
        <v>2025</v>
      </c>
      <c r="P88">
        <f t="shared" si="17"/>
        <v>11</v>
      </c>
      <c r="Q88" t="str">
        <f t="shared" si="22"/>
        <v>AMR</v>
      </c>
      <c r="R88" t="s">
        <v>266</v>
      </c>
      <c r="S88" t="str">
        <f t="shared" si="23"/>
        <v>KY</v>
      </c>
      <c r="T88">
        <f t="shared" si="18"/>
        <v>2025</v>
      </c>
      <c r="U88">
        <f t="shared" si="24"/>
        <v>11</v>
      </c>
      <c r="W88">
        <f t="shared" si="25"/>
        <v>12</v>
      </c>
      <c r="X88">
        <f t="shared" si="26"/>
        <v>7476</v>
      </c>
      <c r="Y88">
        <f t="shared" si="27"/>
        <v>623</v>
      </c>
    </row>
    <row r="89" spans="1:25" x14ac:dyDescent="0.35">
      <c r="A89" t="s">
        <v>466</v>
      </c>
      <c r="B89" s="19" t="s">
        <v>467</v>
      </c>
      <c r="C89" t="s">
        <v>468</v>
      </c>
      <c r="D89" t="s">
        <v>476</v>
      </c>
      <c r="E89" t="s">
        <v>265</v>
      </c>
      <c r="F89" t="s">
        <v>473</v>
      </c>
      <c r="G89" t="str">
        <f t="shared" si="19"/>
        <v>AMR</v>
      </c>
      <c r="H89">
        <v>2015</v>
      </c>
      <c r="I89">
        <v>10</v>
      </c>
      <c r="J89">
        <v>573</v>
      </c>
      <c r="K89">
        <f t="shared" si="20"/>
        <v>2025</v>
      </c>
      <c r="L89">
        <f t="shared" si="14"/>
        <v>2025</v>
      </c>
      <c r="M89" t="str">
        <f t="shared" si="15"/>
        <v>KY 2025</v>
      </c>
      <c r="N89" t="str">
        <f t="shared" si="21"/>
        <v>N</v>
      </c>
      <c r="O89">
        <f t="shared" si="16"/>
        <v>2025</v>
      </c>
      <c r="P89">
        <f t="shared" si="17"/>
        <v>10</v>
      </c>
      <c r="Q89" t="str">
        <f t="shared" si="22"/>
        <v>AMR</v>
      </c>
      <c r="R89" t="s">
        <v>266</v>
      </c>
      <c r="S89" t="str">
        <f t="shared" si="23"/>
        <v>KY</v>
      </c>
      <c r="T89">
        <f t="shared" si="18"/>
        <v>2025</v>
      </c>
      <c r="U89">
        <f t="shared" si="24"/>
        <v>10</v>
      </c>
      <c r="W89">
        <f t="shared" si="25"/>
        <v>11</v>
      </c>
      <c r="X89">
        <f t="shared" si="26"/>
        <v>6303</v>
      </c>
      <c r="Y89">
        <f t="shared" si="27"/>
        <v>573</v>
      </c>
    </row>
    <row r="90" spans="1:25" hidden="1" x14ac:dyDescent="0.35">
      <c r="A90" t="s">
        <v>466</v>
      </c>
      <c r="B90" s="19" t="s">
        <v>467</v>
      </c>
      <c r="C90" t="s">
        <v>468</v>
      </c>
      <c r="D90" t="s">
        <v>476</v>
      </c>
      <c r="E90" t="s">
        <v>265</v>
      </c>
      <c r="F90" t="s">
        <v>473</v>
      </c>
      <c r="G90" t="str">
        <f t="shared" si="19"/>
        <v>AMR</v>
      </c>
      <c r="H90">
        <v>2016</v>
      </c>
      <c r="I90">
        <v>10</v>
      </c>
      <c r="J90">
        <v>2</v>
      </c>
      <c r="K90">
        <f t="shared" si="20"/>
        <v>2026</v>
      </c>
      <c r="L90">
        <f t="shared" si="14"/>
        <v>2026</v>
      </c>
      <c r="M90" t="str">
        <f t="shared" si="15"/>
        <v>KY 2026</v>
      </c>
      <c r="N90" t="str">
        <f t="shared" si="21"/>
        <v>N</v>
      </c>
      <c r="O90">
        <f t="shared" si="16"/>
        <v>2026</v>
      </c>
      <c r="P90">
        <f t="shared" si="17"/>
        <v>10</v>
      </c>
      <c r="Q90" t="str">
        <f t="shared" si="22"/>
        <v>AMR</v>
      </c>
      <c r="R90" t="s">
        <v>266</v>
      </c>
      <c r="S90" t="str">
        <f t="shared" si="23"/>
        <v>KY</v>
      </c>
      <c r="T90">
        <f t="shared" si="18"/>
        <v>2026</v>
      </c>
      <c r="U90">
        <f t="shared" si="24"/>
        <v>10</v>
      </c>
      <c r="W90">
        <f t="shared" si="25"/>
        <v>10</v>
      </c>
      <c r="X90">
        <f t="shared" si="26"/>
        <v>0</v>
      </c>
      <c r="Y90">
        <f t="shared" si="27"/>
        <v>0</v>
      </c>
    </row>
    <row r="91" spans="1:25" x14ac:dyDescent="0.35">
      <c r="A91" t="s">
        <v>466</v>
      </c>
      <c r="B91" s="19" t="s">
        <v>467</v>
      </c>
      <c r="C91" t="s">
        <v>468</v>
      </c>
      <c r="D91" t="s">
        <v>476</v>
      </c>
      <c r="E91" t="s">
        <v>265</v>
      </c>
      <c r="F91" t="s">
        <v>471</v>
      </c>
      <c r="G91" t="str">
        <f t="shared" si="19"/>
        <v>AMR</v>
      </c>
      <c r="H91">
        <v>2014</v>
      </c>
      <c r="I91">
        <v>10</v>
      </c>
      <c r="J91">
        <v>1</v>
      </c>
      <c r="K91">
        <f t="shared" si="20"/>
        <v>2024</v>
      </c>
      <c r="L91">
        <f t="shared" si="14"/>
        <v>2025</v>
      </c>
      <c r="M91" t="str">
        <f t="shared" si="15"/>
        <v>KY 2025</v>
      </c>
      <c r="N91" t="str">
        <f t="shared" si="21"/>
        <v>N</v>
      </c>
      <c r="O91">
        <f t="shared" si="16"/>
        <v>2025</v>
      </c>
      <c r="P91">
        <f t="shared" si="17"/>
        <v>11</v>
      </c>
      <c r="Q91" t="str">
        <f t="shared" si="22"/>
        <v>AMR</v>
      </c>
      <c r="R91" t="s">
        <v>266</v>
      </c>
      <c r="S91" t="str">
        <f t="shared" si="23"/>
        <v>KY</v>
      </c>
      <c r="T91">
        <f t="shared" si="18"/>
        <v>2025</v>
      </c>
      <c r="U91">
        <f t="shared" si="24"/>
        <v>11</v>
      </c>
      <c r="W91">
        <f t="shared" si="25"/>
        <v>12</v>
      </c>
      <c r="X91">
        <f t="shared" si="26"/>
        <v>12</v>
      </c>
      <c r="Y91">
        <f t="shared" si="27"/>
        <v>1</v>
      </c>
    </row>
    <row r="92" spans="1:25" x14ac:dyDescent="0.35">
      <c r="A92" t="s">
        <v>466</v>
      </c>
      <c r="B92" s="19" t="s">
        <v>467</v>
      </c>
      <c r="C92" t="s">
        <v>468</v>
      </c>
      <c r="D92" t="s">
        <v>476</v>
      </c>
      <c r="E92" t="s">
        <v>265</v>
      </c>
      <c r="F92" t="s">
        <v>471</v>
      </c>
      <c r="G92" t="str">
        <f t="shared" si="19"/>
        <v>AMR</v>
      </c>
      <c r="H92">
        <v>2015</v>
      </c>
      <c r="I92">
        <v>10</v>
      </c>
      <c r="J92">
        <v>2</v>
      </c>
      <c r="K92">
        <f t="shared" si="20"/>
        <v>2025</v>
      </c>
      <c r="L92">
        <f t="shared" si="14"/>
        <v>2025</v>
      </c>
      <c r="M92" t="str">
        <f t="shared" si="15"/>
        <v>KY 2025</v>
      </c>
      <c r="N92" t="str">
        <f t="shared" si="21"/>
        <v>N</v>
      </c>
      <c r="O92">
        <f t="shared" si="16"/>
        <v>2025</v>
      </c>
      <c r="P92">
        <f t="shared" si="17"/>
        <v>10</v>
      </c>
      <c r="Q92" t="str">
        <f t="shared" si="22"/>
        <v>AMR</v>
      </c>
      <c r="R92" t="s">
        <v>266</v>
      </c>
      <c r="S92" t="str">
        <f t="shared" si="23"/>
        <v>KY</v>
      </c>
      <c r="T92">
        <f t="shared" si="18"/>
        <v>2025</v>
      </c>
      <c r="U92">
        <f t="shared" si="24"/>
        <v>10</v>
      </c>
      <c r="W92">
        <f t="shared" si="25"/>
        <v>11</v>
      </c>
      <c r="X92">
        <f t="shared" si="26"/>
        <v>22</v>
      </c>
      <c r="Y92">
        <f t="shared" si="27"/>
        <v>2</v>
      </c>
    </row>
    <row r="93" spans="1:25" x14ac:dyDescent="0.35">
      <c r="A93" t="s">
        <v>466</v>
      </c>
      <c r="B93" s="19" t="s">
        <v>467</v>
      </c>
      <c r="C93" t="s">
        <v>468</v>
      </c>
      <c r="D93" t="s">
        <v>477</v>
      </c>
      <c r="E93" t="s">
        <v>264</v>
      </c>
      <c r="G93" t="str">
        <f t="shared" si="19"/>
        <v>Manual</v>
      </c>
      <c r="H93">
        <v>2010</v>
      </c>
      <c r="I93">
        <v>10</v>
      </c>
      <c r="J93">
        <v>1</v>
      </c>
      <c r="K93">
        <f t="shared" si="20"/>
        <v>2020</v>
      </c>
      <c r="L93">
        <f t="shared" si="14"/>
        <v>2025</v>
      </c>
      <c r="M93" t="str">
        <f t="shared" si="15"/>
        <v>KY 2025</v>
      </c>
      <c r="N93" t="str">
        <f t="shared" si="21"/>
        <v>N</v>
      </c>
      <c r="O93">
        <f t="shared" si="16"/>
        <v>2025</v>
      </c>
      <c r="P93">
        <f t="shared" si="17"/>
        <v>15</v>
      </c>
      <c r="Q93" t="str">
        <f t="shared" si="22"/>
        <v>Manual</v>
      </c>
      <c r="R93" t="s">
        <v>266</v>
      </c>
      <c r="S93" t="str">
        <f t="shared" si="23"/>
        <v>KY</v>
      </c>
      <c r="T93">
        <f t="shared" si="18"/>
        <v>2025</v>
      </c>
      <c r="U93" t="str">
        <f t="shared" si="24"/>
        <v>10**</v>
      </c>
      <c r="W93">
        <f t="shared" si="25"/>
        <v>16</v>
      </c>
      <c r="X93">
        <f t="shared" si="26"/>
        <v>16</v>
      </c>
      <c r="Y93">
        <f t="shared" si="27"/>
        <v>1</v>
      </c>
    </row>
    <row r="94" spans="1:25" hidden="1" x14ac:dyDescent="0.35">
      <c r="A94" t="s">
        <v>466</v>
      </c>
      <c r="B94" s="19" t="s">
        <v>467</v>
      </c>
      <c r="C94" t="s">
        <v>468</v>
      </c>
      <c r="D94" t="s">
        <v>477</v>
      </c>
      <c r="E94" t="s">
        <v>264</v>
      </c>
      <c r="G94" t="str">
        <f t="shared" si="19"/>
        <v>Manual</v>
      </c>
      <c r="H94">
        <v>2022</v>
      </c>
      <c r="I94">
        <v>10</v>
      </c>
      <c r="J94">
        <v>1</v>
      </c>
      <c r="K94">
        <f t="shared" si="20"/>
        <v>2032</v>
      </c>
      <c r="L94">
        <f t="shared" si="14"/>
        <v>2032</v>
      </c>
      <c r="M94" t="str">
        <f t="shared" si="15"/>
        <v>KY 2032</v>
      </c>
      <c r="N94" t="str">
        <f t="shared" si="21"/>
        <v>N</v>
      </c>
      <c r="O94">
        <f t="shared" si="16"/>
        <v>2032</v>
      </c>
      <c r="P94">
        <f t="shared" si="17"/>
        <v>10</v>
      </c>
      <c r="Q94" t="str">
        <f t="shared" si="22"/>
        <v>Manual</v>
      </c>
      <c r="R94" t="s">
        <v>266</v>
      </c>
      <c r="S94" t="str">
        <f t="shared" si="23"/>
        <v>KY</v>
      </c>
      <c r="T94">
        <f t="shared" si="18"/>
        <v>2032</v>
      </c>
      <c r="U94">
        <f t="shared" si="24"/>
        <v>10</v>
      </c>
      <c r="W94">
        <f t="shared" si="25"/>
        <v>4</v>
      </c>
      <c r="X94">
        <f t="shared" si="26"/>
        <v>0</v>
      </c>
      <c r="Y94">
        <f t="shared" si="27"/>
        <v>0</v>
      </c>
    </row>
    <row r="95" spans="1:25" hidden="1" x14ac:dyDescent="0.35">
      <c r="A95" t="s">
        <v>466</v>
      </c>
      <c r="B95" s="19" t="s">
        <v>467</v>
      </c>
      <c r="C95" t="s">
        <v>468</v>
      </c>
      <c r="D95" t="s">
        <v>477</v>
      </c>
      <c r="E95" t="s">
        <v>265</v>
      </c>
      <c r="G95" t="str">
        <f t="shared" si="19"/>
        <v>Manual</v>
      </c>
      <c r="H95">
        <v>2019</v>
      </c>
      <c r="I95">
        <v>10</v>
      </c>
      <c r="J95">
        <v>5</v>
      </c>
      <c r="K95">
        <f t="shared" si="20"/>
        <v>2029</v>
      </c>
      <c r="L95">
        <f t="shared" si="14"/>
        <v>2029</v>
      </c>
      <c r="M95" t="str">
        <f t="shared" si="15"/>
        <v>KY 2029</v>
      </c>
      <c r="N95" t="str">
        <f t="shared" si="21"/>
        <v>N</v>
      </c>
      <c r="O95">
        <f t="shared" si="16"/>
        <v>2029</v>
      </c>
      <c r="P95">
        <f t="shared" si="17"/>
        <v>10</v>
      </c>
      <c r="Q95" t="str">
        <f t="shared" si="22"/>
        <v>Manual</v>
      </c>
      <c r="R95" t="s">
        <v>266</v>
      </c>
      <c r="S95" t="str">
        <f t="shared" si="23"/>
        <v>KY</v>
      </c>
      <c r="T95">
        <f t="shared" si="18"/>
        <v>2029</v>
      </c>
      <c r="U95">
        <f t="shared" si="24"/>
        <v>10</v>
      </c>
      <c r="W95">
        <f t="shared" si="25"/>
        <v>7</v>
      </c>
      <c r="X95">
        <f t="shared" si="26"/>
        <v>0</v>
      </c>
      <c r="Y95">
        <f t="shared" si="27"/>
        <v>0</v>
      </c>
    </row>
    <row r="96" spans="1:25" hidden="1" x14ac:dyDescent="0.35">
      <c r="A96" t="s">
        <v>466</v>
      </c>
      <c r="B96" s="19" t="s">
        <v>467</v>
      </c>
      <c r="C96" t="s">
        <v>468</v>
      </c>
      <c r="D96" t="s">
        <v>477</v>
      </c>
      <c r="E96" t="s">
        <v>265</v>
      </c>
      <c r="G96" t="str">
        <f t="shared" si="19"/>
        <v>Manual</v>
      </c>
      <c r="H96">
        <v>2022</v>
      </c>
      <c r="I96">
        <v>10</v>
      </c>
      <c r="J96">
        <v>2</v>
      </c>
      <c r="K96">
        <f t="shared" si="20"/>
        <v>2032</v>
      </c>
      <c r="L96">
        <f t="shared" si="14"/>
        <v>2032</v>
      </c>
      <c r="M96" t="str">
        <f t="shared" si="15"/>
        <v>KY 2032</v>
      </c>
      <c r="N96" t="str">
        <f t="shared" si="21"/>
        <v>N</v>
      </c>
      <c r="O96">
        <f t="shared" si="16"/>
        <v>2032</v>
      </c>
      <c r="P96">
        <f t="shared" si="17"/>
        <v>10</v>
      </c>
      <c r="Q96" t="str">
        <f t="shared" si="22"/>
        <v>Manual</v>
      </c>
      <c r="R96" t="s">
        <v>266</v>
      </c>
      <c r="S96" t="str">
        <f t="shared" si="23"/>
        <v>KY</v>
      </c>
      <c r="T96">
        <f t="shared" si="18"/>
        <v>2032</v>
      </c>
      <c r="U96">
        <f t="shared" si="24"/>
        <v>10</v>
      </c>
      <c r="W96">
        <f t="shared" si="25"/>
        <v>4</v>
      </c>
      <c r="X96">
        <f t="shared" si="26"/>
        <v>0</v>
      </c>
      <c r="Y96">
        <f t="shared" si="27"/>
        <v>0</v>
      </c>
    </row>
    <row r="97" spans="1:25" hidden="1" x14ac:dyDescent="0.35">
      <c r="A97" t="s">
        <v>466</v>
      </c>
      <c r="B97" s="19" t="s">
        <v>467</v>
      </c>
      <c r="C97" t="s">
        <v>468</v>
      </c>
      <c r="D97" t="s">
        <v>477</v>
      </c>
      <c r="E97" t="s">
        <v>265</v>
      </c>
      <c r="F97" t="s">
        <v>471</v>
      </c>
      <c r="G97" t="str">
        <f t="shared" si="19"/>
        <v>AMR</v>
      </c>
      <c r="H97">
        <v>2023</v>
      </c>
      <c r="I97">
        <v>10</v>
      </c>
      <c r="J97">
        <v>1</v>
      </c>
      <c r="K97">
        <f t="shared" si="20"/>
        <v>2033</v>
      </c>
      <c r="L97">
        <f t="shared" si="14"/>
        <v>2033</v>
      </c>
      <c r="M97" t="str">
        <f t="shared" si="15"/>
        <v>KY 2033</v>
      </c>
      <c r="N97" t="str">
        <f t="shared" si="21"/>
        <v>N</v>
      </c>
      <c r="O97">
        <f t="shared" si="16"/>
        <v>2033</v>
      </c>
      <c r="P97">
        <f t="shared" si="17"/>
        <v>10</v>
      </c>
      <c r="Q97" t="str">
        <f t="shared" si="22"/>
        <v>AMR</v>
      </c>
      <c r="R97" t="s">
        <v>266</v>
      </c>
      <c r="S97" t="str">
        <f t="shared" si="23"/>
        <v>KY</v>
      </c>
      <c r="T97">
        <f t="shared" si="18"/>
        <v>2033</v>
      </c>
      <c r="U97">
        <f t="shared" si="24"/>
        <v>10</v>
      </c>
      <c r="W97">
        <f t="shared" si="25"/>
        <v>3</v>
      </c>
      <c r="X97">
        <f t="shared" si="26"/>
        <v>0</v>
      </c>
      <c r="Y97">
        <f t="shared" si="27"/>
        <v>0</v>
      </c>
    </row>
    <row r="98" spans="1:25" hidden="1" x14ac:dyDescent="0.35">
      <c r="A98" t="s">
        <v>466</v>
      </c>
      <c r="B98" s="19" t="s">
        <v>467</v>
      </c>
      <c r="C98" t="s">
        <v>468</v>
      </c>
      <c r="D98" t="s">
        <v>477</v>
      </c>
      <c r="E98" t="s">
        <v>264</v>
      </c>
      <c r="F98" t="s">
        <v>472</v>
      </c>
      <c r="G98" t="str">
        <f t="shared" si="19"/>
        <v>AMI</v>
      </c>
      <c r="H98">
        <v>2022</v>
      </c>
      <c r="I98">
        <v>10</v>
      </c>
      <c r="J98">
        <v>2</v>
      </c>
      <c r="K98">
        <f t="shared" si="20"/>
        <v>2032</v>
      </c>
      <c r="L98">
        <f t="shared" si="14"/>
        <v>2032</v>
      </c>
      <c r="M98" t="str">
        <f t="shared" si="15"/>
        <v>KY 2032</v>
      </c>
      <c r="N98" t="str">
        <f t="shared" si="21"/>
        <v>Y</v>
      </c>
      <c r="O98">
        <f t="shared" si="16"/>
        <v>2032</v>
      </c>
      <c r="P98">
        <f t="shared" si="17"/>
        <v>10</v>
      </c>
      <c r="Q98" t="str">
        <f t="shared" si="22"/>
        <v>AMI</v>
      </c>
      <c r="R98" t="s">
        <v>266</v>
      </c>
      <c r="S98" t="str">
        <f t="shared" si="23"/>
        <v>KY</v>
      </c>
      <c r="T98">
        <f t="shared" si="18"/>
        <v>2032</v>
      </c>
      <c r="U98">
        <f t="shared" si="24"/>
        <v>10</v>
      </c>
      <c r="W98">
        <f t="shared" si="25"/>
        <v>4</v>
      </c>
      <c r="X98">
        <f t="shared" si="26"/>
        <v>0</v>
      </c>
      <c r="Y98">
        <f t="shared" si="27"/>
        <v>0</v>
      </c>
    </row>
    <row r="99" spans="1:25" hidden="1" x14ac:dyDescent="0.35">
      <c r="A99" t="s">
        <v>466</v>
      </c>
      <c r="B99" s="19" t="s">
        <v>467</v>
      </c>
      <c r="C99" t="s">
        <v>468</v>
      </c>
      <c r="D99" t="s">
        <v>477</v>
      </c>
      <c r="E99" t="s">
        <v>264</v>
      </c>
      <c r="F99" t="s">
        <v>472</v>
      </c>
      <c r="G99" t="str">
        <f t="shared" si="19"/>
        <v>AMI</v>
      </c>
      <c r="H99">
        <v>2023</v>
      </c>
      <c r="I99">
        <v>10</v>
      </c>
      <c r="J99">
        <v>1</v>
      </c>
      <c r="K99">
        <f t="shared" si="20"/>
        <v>2033</v>
      </c>
      <c r="L99">
        <f t="shared" si="14"/>
        <v>2033</v>
      </c>
      <c r="M99" t="str">
        <f t="shared" si="15"/>
        <v>KY 2033</v>
      </c>
      <c r="N99" t="str">
        <f t="shared" si="21"/>
        <v>Y</v>
      </c>
      <c r="O99">
        <f t="shared" si="16"/>
        <v>2033</v>
      </c>
      <c r="P99">
        <f t="shared" si="17"/>
        <v>10</v>
      </c>
      <c r="Q99" t="str">
        <f t="shared" si="22"/>
        <v>AMI</v>
      </c>
      <c r="R99" t="s">
        <v>266</v>
      </c>
      <c r="S99" t="str">
        <f t="shared" si="23"/>
        <v>KY</v>
      </c>
      <c r="T99">
        <f t="shared" si="18"/>
        <v>2033</v>
      </c>
      <c r="U99">
        <f t="shared" si="24"/>
        <v>10</v>
      </c>
      <c r="W99">
        <f t="shared" si="25"/>
        <v>3</v>
      </c>
      <c r="X99">
        <f t="shared" si="26"/>
        <v>0</v>
      </c>
      <c r="Y99">
        <f t="shared" si="27"/>
        <v>0</v>
      </c>
    </row>
    <row r="100" spans="1:25" hidden="1" x14ac:dyDescent="0.35">
      <c r="A100" t="s">
        <v>466</v>
      </c>
      <c r="B100" s="19" t="s">
        <v>467</v>
      </c>
      <c r="C100" t="s">
        <v>468</v>
      </c>
      <c r="D100" t="s">
        <v>477</v>
      </c>
      <c r="E100" t="s">
        <v>265</v>
      </c>
      <c r="F100" t="s">
        <v>472</v>
      </c>
      <c r="G100" t="str">
        <f t="shared" si="19"/>
        <v>AMI</v>
      </c>
      <c r="H100">
        <v>2023</v>
      </c>
      <c r="I100">
        <v>10</v>
      </c>
      <c r="J100">
        <v>10</v>
      </c>
      <c r="K100">
        <f t="shared" si="20"/>
        <v>2033</v>
      </c>
      <c r="L100">
        <f t="shared" si="14"/>
        <v>2033</v>
      </c>
      <c r="M100" t="str">
        <f t="shared" si="15"/>
        <v>KY 2033</v>
      </c>
      <c r="N100" t="str">
        <f t="shared" si="21"/>
        <v>Y</v>
      </c>
      <c r="O100">
        <f t="shared" si="16"/>
        <v>2033</v>
      </c>
      <c r="P100">
        <f t="shared" si="17"/>
        <v>10</v>
      </c>
      <c r="Q100" t="str">
        <f t="shared" si="22"/>
        <v>AMI</v>
      </c>
      <c r="R100" t="s">
        <v>266</v>
      </c>
      <c r="S100" t="str">
        <f t="shared" si="23"/>
        <v>KY</v>
      </c>
      <c r="T100">
        <f t="shared" si="18"/>
        <v>2033</v>
      </c>
      <c r="U100">
        <f t="shared" si="24"/>
        <v>10</v>
      </c>
      <c r="W100">
        <f t="shared" si="25"/>
        <v>3</v>
      </c>
      <c r="X100">
        <f t="shared" si="26"/>
        <v>0</v>
      </c>
      <c r="Y100">
        <f t="shared" si="27"/>
        <v>0</v>
      </c>
    </row>
    <row r="101" spans="1:25" x14ac:dyDescent="0.35">
      <c r="A101" t="s">
        <v>466</v>
      </c>
      <c r="B101" s="19" t="s">
        <v>467</v>
      </c>
      <c r="C101" t="s">
        <v>468</v>
      </c>
      <c r="D101" t="s">
        <v>477</v>
      </c>
      <c r="E101" t="s">
        <v>265</v>
      </c>
      <c r="F101" t="s">
        <v>470</v>
      </c>
      <c r="G101" t="str">
        <f t="shared" si="19"/>
        <v>AMR</v>
      </c>
      <c r="H101">
        <v>2011</v>
      </c>
      <c r="I101">
        <v>10</v>
      </c>
      <c r="J101">
        <v>1</v>
      </c>
      <c r="K101">
        <f t="shared" si="20"/>
        <v>2021</v>
      </c>
      <c r="L101">
        <f t="shared" si="14"/>
        <v>2025</v>
      </c>
      <c r="M101" t="str">
        <f t="shared" si="15"/>
        <v>KY 2025</v>
      </c>
      <c r="N101" t="str">
        <f t="shared" si="21"/>
        <v>N</v>
      </c>
      <c r="O101">
        <f t="shared" si="16"/>
        <v>2025</v>
      </c>
      <c r="P101">
        <f t="shared" si="17"/>
        <v>14</v>
      </c>
      <c r="Q101" t="str">
        <f t="shared" si="22"/>
        <v>AMR</v>
      </c>
      <c r="R101" t="s">
        <v>266</v>
      </c>
      <c r="S101" t="str">
        <f t="shared" si="23"/>
        <v>KY</v>
      </c>
      <c r="T101">
        <f t="shared" si="18"/>
        <v>2025</v>
      </c>
      <c r="U101">
        <f t="shared" si="24"/>
        <v>14</v>
      </c>
      <c r="W101">
        <f t="shared" si="25"/>
        <v>15</v>
      </c>
      <c r="X101">
        <f t="shared" si="26"/>
        <v>15</v>
      </c>
      <c r="Y101">
        <f t="shared" si="27"/>
        <v>1</v>
      </c>
    </row>
    <row r="102" spans="1:25" hidden="1" x14ac:dyDescent="0.35">
      <c r="A102" t="s">
        <v>466</v>
      </c>
      <c r="B102" s="19" t="s">
        <v>467</v>
      </c>
      <c r="C102" t="s">
        <v>468</v>
      </c>
      <c r="D102" t="s">
        <v>477</v>
      </c>
      <c r="E102" t="s">
        <v>265</v>
      </c>
      <c r="F102" t="s">
        <v>470</v>
      </c>
      <c r="G102" t="str">
        <f t="shared" si="19"/>
        <v>AMR</v>
      </c>
      <c r="H102">
        <v>2023</v>
      </c>
      <c r="I102">
        <v>10</v>
      </c>
      <c r="J102">
        <v>1</v>
      </c>
      <c r="K102">
        <f t="shared" si="20"/>
        <v>2033</v>
      </c>
      <c r="L102">
        <f t="shared" si="14"/>
        <v>2033</v>
      </c>
      <c r="M102" t="str">
        <f t="shared" si="15"/>
        <v>KY 2033</v>
      </c>
      <c r="N102" t="str">
        <f t="shared" si="21"/>
        <v>N</v>
      </c>
      <c r="O102">
        <f t="shared" si="16"/>
        <v>2033</v>
      </c>
      <c r="P102">
        <f t="shared" si="17"/>
        <v>10</v>
      </c>
      <c r="Q102" t="str">
        <f t="shared" si="22"/>
        <v>AMR</v>
      </c>
      <c r="R102" t="s">
        <v>266</v>
      </c>
      <c r="S102" t="str">
        <f t="shared" si="23"/>
        <v>KY</v>
      </c>
      <c r="T102">
        <f t="shared" si="18"/>
        <v>2033</v>
      </c>
      <c r="U102">
        <f t="shared" si="24"/>
        <v>10</v>
      </c>
      <c r="W102">
        <f t="shared" si="25"/>
        <v>3</v>
      </c>
      <c r="X102">
        <f t="shared" si="26"/>
        <v>0</v>
      </c>
      <c r="Y102">
        <f t="shared" si="27"/>
        <v>0</v>
      </c>
    </row>
    <row r="103" spans="1:25" x14ac:dyDescent="0.35">
      <c r="A103" t="s">
        <v>466</v>
      </c>
      <c r="B103" s="19" t="s">
        <v>467</v>
      </c>
      <c r="C103" t="s">
        <v>468</v>
      </c>
      <c r="D103" t="s">
        <v>477</v>
      </c>
      <c r="E103" t="s">
        <v>265</v>
      </c>
      <c r="F103" t="s">
        <v>473</v>
      </c>
      <c r="G103" t="str">
        <f t="shared" si="19"/>
        <v>AMR</v>
      </c>
      <c r="H103">
        <v>2015</v>
      </c>
      <c r="I103">
        <v>10</v>
      </c>
      <c r="J103">
        <v>1</v>
      </c>
      <c r="K103">
        <f t="shared" si="20"/>
        <v>2025</v>
      </c>
      <c r="L103">
        <f t="shared" si="14"/>
        <v>2025</v>
      </c>
      <c r="M103" t="str">
        <f t="shared" si="15"/>
        <v>KY 2025</v>
      </c>
      <c r="N103" t="str">
        <f t="shared" si="21"/>
        <v>N</v>
      </c>
      <c r="O103">
        <f t="shared" si="16"/>
        <v>2025</v>
      </c>
      <c r="P103">
        <f t="shared" si="17"/>
        <v>10</v>
      </c>
      <c r="Q103" t="str">
        <f t="shared" si="22"/>
        <v>AMR</v>
      </c>
      <c r="R103" t="s">
        <v>266</v>
      </c>
      <c r="S103" t="str">
        <f t="shared" si="23"/>
        <v>KY</v>
      </c>
      <c r="T103">
        <f t="shared" si="18"/>
        <v>2025</v>
      </c>
      <c r="U103">
        <f t="shared" si="24"/>
        <v>10</v>
      </c>
      <c r="W103">
        <f t="shared" si="25"/>
        <v>11</v>
      </c>
      <c r="X103">
        <f t="shared" si="26"/>
        <v>11</v>
      </c>
      <c r="Y103">
        <f t="shared" si="27"/>
        <v>1</v>
      </c>
    </row>
    <row r="104" spans="1:25" x14ac:dyDescent="0.35">
      <c r="A104" t="s">
        <v>466</v>
      </c>
      <c r="B104" s="19" t="s">
        <v>467</v>
      </c>
      <c r="C104" t="s">
        <v>468</v>
      </c>
      <c r="D104" t="s">
        <v>477</v>
      </c>
      <c r="E104" t="s">
        <v>264</v>
      </c>
      <c r="F104" t="s">
        <v>471</v>
      </c>
      <c r="G104" t="str">
        <f t="shared" si="19"/>
        <v>AMR</v>
      </c>
      <c r="H104">
        <v>2009</v>
      </c>
      <c r="I104">
        <v>10</v>
      </c>
      <c r="J104">
        <v>18</v>
      </c>
      <c r="K104">
        <f t="shared" si="20"/>
        <v>2019</v>
      </c>
      <c r="L104">
        <f t="shared" si="14"/>
        <v>2025</v>
      </c>
      <c r="M104" t="str">
        <f t="shared" si="15"/>
        <v>KY 2025</v>
      </c>
      <c r="N104" t="str">
        <f t="shared" si="21"/>
        <v>N</v>
      </c>
      <c r="O104">
        <f t="shared" si="16"/>
        <v>2025</v>
      </c>
      <c r="P104">
        <f t="shared" si="17"/>
        <v>16</v>
      </c>
      <c r="Q104" t="str">
        <f t="shared" si="22"/>
        <v>AMR</v>
      </c>
      <c r="R104" t="s">
        <v>266</v>
      </c>
      <c r="S104" t="str">
        <f t="shared" si="23"/>
        <v>KY</v>
      </c>
      <c r="T104">
        <f t="shared" si="18"/>
        <v>2025</v>
      </c>
      <c r="U104">
        <f t="shared" si="24"/>
        <v>16</v>
      </c>
      <c r="W104">
        <f t="shared" si="25"/>
        <v>17</v>
      </c>
      <c r="X104">
        <f t="shared" si="26"/>
        <v>306</v>
      </c>
      <c r="Y104">
        <f t="shared" si="27"/>
        <v>18</v>
      </c>
    </row>
    <row r="105" spans="1:25" x14ac:dyDescent="0.35">
      <c r="A105" t="s">
        <v>466</v>
      </c>
      <c r="B105" s="19" t="s">
        <v>467</v>
      </c>
      <c r="C105" t="s">
        <v>468</v>
      </c>
      <c r="D105" t="s">
        <v>477</v>
      </c>
      <c r="E105" t="s">
        <v>264</v>
      </c>
      <c r="F105" t="s">
        <v>471</v>
      </c>
      <c r="G105" t="str">
        <f t="shared" si="19"/>
        <v>AMR</v>
      </c>
      <c r="H105">
        <v>2010</v>
      </c>
      <c r="I105">
        <v>10</v>
      </c>
      <c r="J105">
        <v>49</v>
      </c>
      <c r="K105">
        <f t="shared" si="20"/>
        <v>2020</v>
      </c>
      <c r="L105">
        <f t="shared" si="14"/>
        <v>2025</v>
      </c>
      <c r="M105" t="str">
        <f t="shared" si="15"/>
        <v>KY 2025</v>
      </c>
      <c r="N105" t="str">
        <f t="shared" si="21"/>
        <v>N</v>
      </c>
      <c r="O105">
        <f t="shared" si="16"/>
        <v>2025</v>
      </c>
      <c r="P105">
        <f t="shared" si="17"/>
        <v>15</v>
      </c>
      <c r="Q105" t="str">
        <f t="shared" si="22"/>
        <v>AMR</v>
      </c>
      <c r="R105" t="s">
        <v>266</v>
      </c>
      <c r="S105" t="str">
        <f t="shared" si="23"/>
        <v>KY</v>
      </c>
      <c r="T105">
        <f t="shared" si="18"/>
        <v>2025</v>
      </c>
      <c r="U105" t="str">
        <f t="shared" si="24"/>
        <v>10**</v>
      </c>
      <c r="W105">
        <f t="shared" si="25"/>
        <v>16</v>
      </c>
      <c r="X105">
        <f t="shared" si="26"/>
        <v>784</v>
      </c>
      <c r="Y105">
        <f t="shared" si="27"/>
        <v>49</v>
      </c>
    </row>
    <row r="106" spans="1:25" x14ac:dyDescent="0.35">
      <c r="A106" t="s">
        <v>466</v>
      </c>
      <c r="B106" s="19" t="s">
        <v>467</v>
      </c>
      <c r="C106" t="s">
        <v>468</v>
      </c>
      <c r="D106" t="s">
        <v>477</v>
      </c>
      <c r="E106" t="s">
        <v>264</v>
      </c>
      <c r="F106" t="s">
        <v>471</v>
      </c>
      <c r="G106" t="str">
        <f t="shared" si="19"/>
        <v>AMR</v>
      </c>
      <c r="H106">
        <v>2011</v>
      </c>
      <c r="I106">
        <v>10</v>
      </c>
      <c r="J106">
        <v>84</v>
      </c>
      <c r="K106">
        <f t="shared" si="20"/>
        <v>2021</v>
      </c>
      <c r="L106">
        <f t="shared" si="14"/>
        <v>2025</v>
      </c>
      <c r="M106" t="str">
        <f t="shared" si="15"/>
        <v>KY 2025</v>
      </c>
      <c r="N106" t="str">
        <f t="shared" si="21"/>
        <v>N</v>
      </c>
      <c r="O106">
        <f t="shared" si="16"/>
        <v>2025</v>
      </c>
      <c r="P106">
        <f t="shared" si="17"/>
        <v>14</v>
      </c>
      <c r="Q106" t="str">
        <f t="shared" si="22"/>
        <v>AMR</v>
      </c>
      <c r="R106" t="s">
        <v>266</v>
      </c>
      <c r="S106" t="str">
        <f t="shared" si="23"/>
        <v>KY</v>
      </c>
      <c r="T106">
        <f t="shared" si="18"/>
        <v>2025</v>
      </c>
      <c r="U106">
        <f t="shared" si="24"/>
        <v>14</v>
      </c>
      <c r="W106">
        <f t="shared" si="25"/>
        <v>15</v>
      </c>
      <c r="X106">
        <f t="shared" si="26"/>
        <v>1260</v>
      </c>
      <c r="Y106">
        <f t="shared" si="27"/>
        <v>84</v>
      </c>
    </row>
    <row r="107" spans="1:25" x14ac:dyDescent="0.35">
      <c r="A107" t="s">
        <v>466</v>
      </c>
      <c r="B107" s="19" t="s">
        <v>467</v>
      </c>
      <c r="C107" t="s">
        <v>468</v>
      </c>
      <c r="D107" t="s">
        <v>477</v>
      </c>
      <c r="E107" t="s">
        <v>264</v>
      </c>
      <c r="F107" t="s">
        <v>471</v>
      </c>
      <c r="G107" t="str">
        <f t="shared" si="19"/>
        <v>AMR</v>
      </c>
      <c r="H107">
        <v>2012</v>
      </c>
      <c r="I107">
        <v>10</v>
      </c>
      <c r="J107">
        <v>36</v>
      </c>
      <c r="K107">
        <f t="shared" si="20"/>
        <v>2022</v>
      </c>
      <c r="L107">
        <f t="shared" si="14"/>
        <v>2025</v>
      </c>
      <c r="M107" t="str">
        <f t="shared" si="15"/>
        <v>KY 2025</v>
      </c>
      <c r="N107" t="str">
        <f t="shared" si="21"/>
        <v>N</v>
      </c>
      <c r="O107">
        <f t="shared" si="16"/>
        <v>2025</v>
      </c>
      <c r="P107">
        <f t="shared" si="17"/>
        <v>13</v>
      </c>
      <c r="Q107" t="str">
        <f t="shared" si="22"/>
        <v>AMR</v>
      </c>
      <c r="R107" t="s">
        <v>266</v>
      </c>
      <c r="S107" t="str">
        <f t="shared" si="23"/>
        <v>KY</v>
      </c>
      <c r="T107">
        <f t="shared" si="18"/>
        <v>2025</v>
      </c>
      <c r="U107">
        <f t="shared" si="24"/>
        <v>13</v>
      </c>
      <c r="W107">
        <f t="shared" si="25"/>
        <v>14</v>
      </c>
      <c r="X107">
        <f t="shared" si="26"/>
        <v>504</v>
      </c>
      <c r="Y107">
        <f t="shared" si="27"/>
        <v>36</v>
      </c>
    </row>
    <row r="108" spans="1:25" x14ac:dyDescent="0.35">
      <c r="A108" t="s">
        <v>466</v>
      </c>
      <c r="B108" s="19" t="s">
        <v>467</v>
      </c>
      <c r="C108" t="s">
        <v>468</v>
      </c>
      <c r="D108" t="s">
        <v>477</v>
      </c>
      <c r="E108" t="s">
        <v>264</v>
      </c>
      <c r="F108" t="s">
        <v>471</v>
      </c>
      <c r="G108" t="str">
        <f t="shared" si="19"/>
        <v>AMR</v>
      </c>
      <c r="H108">
        <v>2013</v>
      </c>
      <c r="I108">
        <v>10</v>
      </c>
      <c r="J108">
        <v>5</v>
      </c>
      <c r="K108">
        <f t="shared" si="20"/>
        <v>2023</v>
      </c>
      <c r="L108">
        <f t="shared" si="14"/>
        <v>2025</v>
      </c>
      <c r="M108" t="str">
        <f t="shared" si="15"/>
        <v>KY 2025</v>
      </c>
      <c r="N108" t="str">
        <f t="shared" si="21"/>
        <v>N</v>
      </c>
      <c r="O108">
        <f t="shared" si="16"/>
        <v>2025</v>
      </c>
      <c r="P108">
        <f t="shared" si="17"/>
        <v>12</v>
      </c>
      <c r="Q108" t="str">
        <f t="shared" si="22"/>
        <v>AMR</v>
      </c>
      <c r="R108" t="s">
        <v>266</v>
      </c>
      <c r="S108" t="str">
        <f t="shared" si="23"/>
        <v>KY</v>
      </c>
      <c r="T108">
        <f t="shared" si="18"/>
        <v>2025</v>
      </c>
      <c r="U108">
        <f t="shared" si="24"/>
        <v>12</v>
      </c>
      <c r="W108">
        <f t="shared" si="25"/>
        <v>13</v>
      </c>
      <c r="X108">
        <f t="shared" si="26"/>
        <v>65</v>
      </c>
      <c r="Y108">
        <f t="shared" si="27"/>
        <v>5</v>
      </c>
    </row>
    <row r="109" spans="1:25" x14ac:dyDescent="0.35">
      <c r="A109" t="s">
        <v>466</v>
      </c>
      <c r="B109" s="19" t="s">
        <v>467</v>
      </c>
      <c r="C109" t="s">
        <v>468</v>
      </c>
      <c r="D109" t="s">
        <v>477</v>
      </c>
      <c r="E109" t="s">
        <v>264</v>
      </c>
      <c r="F109" t="s">
        <v>471</v>
      </c>
      <c r="G109" t="str">
        <f t="shared" si="19"/>
        <v>AMR</v>
      </c>
      <c r="H109">
        <v>2015</v>
      </c>
      <c r="I109">
        <v>10</v>
      </c>
      <c r="J109">
        <v>5</v>
      </c>
      <c r="K109">
        <f t="shared" si="20"/>
        <v>2025</v>
      </c>
      <c r="L109">
        <f t="shared" si="14"/>
        <v>2025</v>
      </c>
      <c r="M109" t="str">
        <f t="shared" si="15"/>
        <v>KY 2025</v>
      </c>
      <c r="N109" t="str">
        <f t="shared" si="21"/>
        <v>N</v>
      </c>
      <c r="O109">
        <f t="shared" si="16"/>
        <v>2025</v>
      </c>
      <c r="P109">
        <f t="shared" si="17"/>
        <v>10</v>
      </c>
      <c r="Q109" t="str">
        <f t="shared" si="22"/>
        <v>AMR</v>
      </c>
      <c r="R109" t="s">
        <v>266</v>
      </c>
      <c r="S109" t="str">
        <f t="shared" si="23"/>
        <v>KY</v>
      </c>
      <c r="T109">
        <f t="shared" si="18"/>
        <v>2025</v>
      </c>
      <c r="U109">
        <f t="shared" si="24"/>
        <v>10</v>
      </c>
      <c r="W109">
        <f t="shared" si="25"/>
        <v>11</v>
      </c>
      <c r="X109">
        <f t="shared" si="26"/>
        <v>55</v>
      </c>
      <c r="Y109">
        <f t="shared" si="27"/>
        <v>5</v>
      </c>
    </row>
    <row r="110" spans="1:25" hidden="1" x14ac:dyDescent="0.35">
      <c r="A110" t="s">
        <v>466</v>
      </c>
      <c r="B110" s="19" t="s">
        <v>467</v>
      </c>
      <c r="C110" t="s">
        <v>468</v>
      </c>
      <c r="D110" t="s">
        <v>477</v>
      </c>
      <c r="E110" t="s">
        <v>264</v>
      </c>
      <c r="F110" t="s">
        <v>471</v>
      </c>
      <c r="G110" t="str">
        <f t="shared" si="19"/>
        <v>AMR</v>
      </c>
      <c r="H110">
        <v>2016</v>
      </c>
      <c r="I110">
        <v>10</v>
      </c>
      <c r="J110">
        <v>3</v>
      </c>
      <c r="K110">
        <f t="shared" si="20"/>
        <v>2026</v>
      </c>
      <c r="L110">
        <f t="shared" si="14"/>
        <v>2026</v>
      </c>
      <c r="M110" t="str">
        <f t="shared" si="15"/>
        <v>KY 2026</v>
      </c>
      <c r="N110" t="str">
        <f t="shared" si="21"/>
        <v>N</v>
      </c>
      <c r="O110">
        <f t="shared" si="16"/>
        <v>2026</v>
      </c>
      <c r="P110">
        <f t="shared" si="17"/>
        <v>10</v>
      </c>
      <c r="Q110" t="str">
        <f t="shared" si="22"/>
        <v>AMR</v>
      </c>
      <c r="R110" t="s">
        <v>266</v>
      </c>
      <c r="S110" t="str">
        <f t="shared" si="23"/>
        <v>KY</v>
      </c>
      <c r="T110">
        <f t="shared" si="18"/>
        <v>2026</v>
      </c>
      <c r="U110">
        <f t="shared" si="24"/>
        <v>10</v>
      </c>
      <c r="W110">
        <f t="shared" si="25"/>
        <v>10</v>
      </c>
      <c r="X110">
        <f t="shared" si="26"/>
        <v>0</v>
      </c>
      <c r="Y110">
        <f t="shared" si="27"/>
        <v>0</v>
      </c>
    </row>
    <row r="111" spans="1:25" hidden="1" x14ac:dyDescent="0.35">
      <c r="A111" t="s">
        <v>466</v>
      </c>
      <c r="B111" s="19" t="s">
        <v>467</v>
      </c>
      <c r="C111" t="s">
        <v>468</v>
      </c>
      <c r="D111" t="s">
        <v>477</v>
      </c>
      <c r="E111" t="s">
        <v>264</v>
      </c>
      <c r="F111" t="s">
        <v>471</v>
      </c>
      <c r="G111" t="str">
        <f t="shared" si="19"/>
        <v>AMR</v>
      </c>
      <c r="H111">
        <v>2019</v>
      </c>
      <c r="I111">
        <v>10</v>
      </c>
      <c r="J111">
        <v>142</v>
      </c>
      <c r="K111">
        <f t="shared" si="20"/>
        <v>2029</v>
      </c>
      <c r="L111">
        <f t="shared" si="14"/>
        <v>2029</v>
      </c>
      <c r="M111" t="str">
        <f t="shared" si="15"/>
        <v>KY 2029</v>
      </c>
      <c r="N111" t="str">
        <f t="shared" si="21"/>
        <v>N</v>
      </c>
      <c r="O111">
        <f t="shared" si="16"/>
        <v>2029</v>
      </c>
      <c r="P111">
        <f t="shared" si="17"/>
        <v>10</v>
      </c>
      <c r="Q111" t="str">
        <f t="shared" si="22"/>
        <v>AMR</v>
      </c>
      <c r="R111" t="s">
        <v>266</v>
      </c>
      <c r="S111" t="str">
        <f t="shared" si="23"/>
        <v>KY</v>
      </c>
      <c r="T111">
        <f t="shared" si="18"/>
        <v>2029</v>
      </c>
      <c r="U111">
        <f t="shared" si="24"/>
        <v>10</v>
      </c>
      <c r="W111">
        <f t="shared" si="25"/>
        <v>7</v>
      </c>
      <c r="X111">
        <f t="shared" si="26"/>
        <v>0</v>
      </c>
      <c r="Y111">
        <f t="shared" si="27"/>
        <v>0</v>
      </c>
    </row>
    <row r="112" spans="1:25" hidden="1" x14ac:dyDescent="0.35">
      <c r="A112" t="s">
        <v>466</v>
      </c>
      <c r="B112" s="19" t="s">
        <v>467</v>
      </c>
      <c r="C112" t="s">
        <v>468</v>
      </c>
      <c r="D112" t="s">
        <v>477</v>
      </c>
      <c r="E112" t="s">
        <v>264</v>
      </c>
      <c r="F112" t="s">
        <v>471</v>
      </c>
      <c r="G112" t="str">
        <f t="shared" si="19"/>
        <v>AMR</v>
      </c>
      <c r="H112">
        <v>2021</v>
      </c>
      <c r="I112">
        <v>10</v>
      </c>
      <c r="J112">
        <v>5</v>
      </c>
      <c r="K112">
        <f t="shared" si="20"/>
        <v>2031</v>
      </c>
      <c r="L112">
        <f t="shared" si="14"/>
        <v>2031</v>
      </c>
      <c r="M112" t="str">
        <f t="shared" si="15"/>
        <v>KY 2031</v>
      </c>
      <c r="N112" t="str">
        <f t="shared" si="21"/>
        <v>N</v>
      </c>
      <c r="O112">
        <f t="shared" si="16"/>
        <v>2031</v>
      </c>
      <c r="P112">
        <f t="shared" si="17"/>
        <v>10</v>
      </c>
      <c r="Q112" t="str">
        <f t="shared" si="22"/>
        <v>AMR</v>
      </c>
      <c r="R112" t="s">
        <v>266</v>
      </c>
      <c r="S112" t="str">
        <f t="shared" si="23"/>
        <v>KY</v>
      </c>
      <c r="T112">
        <f t="shared" si="18"/>
        <v>2031</v>
      </c>
      <c r="U112">
        <f t="shared" si="24"/>
        <v>10</v>
      </c>
      <c r="W112">
        <f t="shared" si="25"/>
        <v>5</v>
      </c>
      <c r="X112">
        <f t="shared" si="26"/>
        <v>0</v>
      </c>
      <c r="Y112">
        <f t="shared" si="27"/>
        <v>0</v>
      </c>
    </row>
    <row r="113" spans="1:25" hidden="1" x14ac:dyDescent="0.35">
      <c r="A113" t="s">
        <v>466</v>
      </c>
      <c r="B113" s="19" t="s">
        <v>467</v>
      </c>
      <c r="C113" t="s">
        <v>468</v>
      </c>
      <c r="D113" t="s">
        <v>477</v>
      </c>
      <c r="E113" t="s">
        <v>264</v>
      </c>
      <c r="F113" t="s">
        <v>471</v>
      </c>
      <c r="G113" t="str">
        <f t="shared" si="19"/>
        <v>AMR</v>
      </c>
      <c r="H113">
        <v>2022</v>
      </c>
      <c r="I113">
        <v>10</v>
      </c>
      <c r="J113">
        <v>29</v>
      </c>
      <c r="K113">
        <f t="shared" si="20"/>
        <v>2032</v>
      </c>
      <c r="L113">
        <f t="shared" si="14"/>
        <v>2032</v>
      </c>
      <c r="M113" t="str">
        <f t="shared" si="15"/>
        <v>KY 2032</v>
      </c>
      <c r="N113" t="str">
        <f t="shared" si="21"/>
        <v>N</v>
      </c>
      <c r="O113">
        <f t="shared" si="16"/>
        <v>2032</v>
      </c>
      <c r="P113">
        <f t="shared" si="17"/>
        <v>10</v>
      </c>
      <c r="Q113" t="str">
        <f t="shared" si="22"/>
        <v>AMR</v>
      </c>
      <c r="R113" t="s">
        <v>266</v>
      </c>
      <c r="S113" t="str">
        <f t="shared" si="23"/>
        <v>KY</v>
      </c>
      <c r="T113">
        <f t="shared" si="18"/>
        <v>2032</v>
      </c>
      <c r="U113">
        <f t="shared" si="24"/>
        <v>10</v>
      </c>
      <c r="W113">
        <f t="shared" si="25"/>
        <v>4</v>
      </c>
      <c r="X113">
        <f t="shared" si="26"/>
        <v>0</v>
      </c>
      <c r="Y113">
        <f t="shared" si="27"/>
        <v>0</v>
      </c>
    </row>
    <row r="114" spans="1:25" hidden="1" x14ac:dyDescent="0.35">
      <c r="A114" t="s">
        <v>466</v>
      </c>
      <c r="B114" s="19" t="s">
        <v>467</v>
      </c>
      <c r="C114" t="s">
        <v>468</v>
      </c>
      <c r="D114" t="s">
        <v>477</v>
      </c>
      <c r="E114" t="s">
        <v>264</v>
      </c>
      <c r="F114" t="s">
        <v>471</v>
      </c>
      <c r="G114" t="str">
        <f t="shared" si="19"/>
        <v>AMR</v>
      </c>
      <c r="H114">
        <v>2023</v>
      </c>
      <c r="I114">
        <v>10</v>
      </c>
      <c r="J114">
        <v>17</v>
      </c>
      <c r="K114">
        <f t="shared" si="20"/>
        <v>2033</v>
      </c>
      <c r="L114">
        <f t="shared" si="14"/>
        <v>2033</v>
      </c>
      <c r="M114" t="str">
        <f t="shared" si="15"/>
        <v>KY 2033</v>
      </c>
      <c r="N114" t="str">
        <f t="shared" si="21"/>
        <v>N</v>
      </c>
      <c r="O114">
        <f t="shared" si="16"/>
        <v>2033</v>
      </c>
      <c r="P114">
        <f t="shared" si="17"/>
        <v>10</v>
      </c>
      <c r="Q114" t="str">
        <f t="shared" si="22"/>
        <v>AMR</v>
      </c>
      <c r="R114" t="s">
        <v>266</v>
      </c>
      <c r="S114" t="str">
        <f t="shared" si="23"/>
        <v>KY</v>
      </c>
      <c r="T114">
        <f t="shared" si="18"/>
        <v>2033</v>
      </c>
      <c r="U114">
        <f t="shared" si="24"/>
        <v>10</v>
      </c>
      <c r="W114">
        <f t="shared" si="25"/>
        <v>3</v>
      </c>
      <c r="X114">
        <f t="shared" si="26"/>
        <v>0</v>
      </c>
      <c r="Y114">
        <f t="shared" si="27"/>
        <v>0</v>
      </c>
    </row>
    <row r="115" spans="1:25" x14ac:dyDescent="0.35">
      <c r="A115" t="s">
        <v>466</v>
      </c>
      <c r="B115" s="19" t="s">
        <v>467</v>
      </c>
      <c r="C115" t="s">
        <v>468</v>
      </c>
      <c r="D115" t="s">
        <v>477</v>
      </c>
      <c r="E115" t="s">
        <v>265</v>
      </c>
      <c r="F115" t="s">
        <v>471</v>
      </c>
      <c r="G115" t="str">
        <f t="shared" si="19"/>
        <v>AMR</v>
      </c>
      <c r="H115">
        <v>2008</v>
      </c>
      <c r="I115">
        <v>10</v>
      </c>
      <c r="J115">
        <v>2</v>
      </c>
      <c r="K115">
        <f t="shared" si="20"/>
        <v>2018</v>
      </c>
      <c r="L115">
        <f t="shared" si="14"/>
        <v>2025</v>
      </c>
      <c r="M115" t="str">
        <f t="shared" si="15"/>
        <v>KY 2025</v>
      </c>
      <c r="N115" t="str">
        <f t="shared" si="21"/>
        <v>N</v>
      </c>
      <c r="O115">
        <f t="shared" si="16"/>
        <v>2025</v>
      </c>
      <c r="P115">
        <f t="shared" si="17"/>
        <v>17</v>
      </c>
      <c r="Q115" t="str">
        <f t="shared" si="22"/>
        <v>AMR</v>
      </c>
      <c r="R115" t="s">
        <v>266</v>
      </c>
      <c r="S115" t="str">
        <f t="shared" si="23"/>
        <v>KY</v>
      </c>
      <c r="T115">
        <f t="shared" si="18"/>
        <v>2025</v>
      </c>
      <c r="U115">
        <f t="shared" si="24"/>
        <v>17</v>
      </c>
      <c r="W115">
        <f t="shared" si="25"/>
        <v>18</v>
      </c>
      <c r="X115">
        <f t="shared" si="26"/>
        <v>36</v>
      </c>
      <c r="Y115">
        <f t="shared" si="27"/>
        <v>2</v>
      </c>
    </row>
    <row r="116" spans="1:25" x14ac:dyDescent="0.35">
      <c r="A116" t="s">
        <v>466</v>
      </c>
      <c r="B116" s="19" t="s">
        <v>467</v>
      </c>
      <c r="C116" t="s">
        <v>468</v>
      </c>
      <c r="D116" t="s">
        <v>477</v>
      </c>
      <c r="E116" t="s">
        <v>265</v>
      </c>
      <c r="F116" t="s">
        <v>471</v>
      </c>
      <c r="G116" t="str">
        <f t="shared" si="19"/>
        <v>AMR</v>
      </c>
      <c r="H116">
        <v>2009</v>
      </c>
      <c r="I116">
        <v>10</v>
      </c>
      <c r="J116">
        <v>276</v>
      </c>
      <c r="K116">
        <f t="shared" si="20"/>
        <v>2019</v>
      </c>
      <c r="L116">
        <f t="shared" si="14"/>
        <v>2025</v>
      </c>
      <c r="M116" t="str">
        <f t="shared" si="15"/>
        <v>KY 2025</v>
      </c>
      <c r="N116" t="str">
        <f t="shared" si="21"/>
        <v>N</v>
      </c>
      <c r="O116">
        <f t="shared" si="16"/>
        <v>2025</v>
      </c>
      <c r="P116">
        <f t="shared" si="17"/>
        <v>16</v>
      </c>
      <c r="Q116" t="str">
        <f t="shared" si="22"/>
        <v>AMR</v>
      </c>
      <c r="R116" t="s">
        <v>266</v>
      </c>
      <c r="S116" t="str">
        <f t="shared" si="23"/>
        <v>KY</v>
      </c>
      <c r="T116">
        <f t="shared" si="18"/>
        <v>2025</v>
      </c>
      <c r="U116">
        <f t="shared" si="24"/>
        <v>16</v>
      </c>
      <c r="W116">
        <f t="shared" si="25"/>
        <v>17</v>
      </c>
      <c r="X116">
        <f t="shared" si="26"/>
        <v>4692</v>
      </c>
      <c r="Y116">
        <f t="shared" si="27"/>
        <v>276</v>
      </c>
    </row>
    <row r="117" spans="1:25" x14ac:dyDescent="0.35">
      <c r="A117" t="s">
        <v>466</v>
      </c>
      <c r="B117" s="19" t="s">
        <v>467</v>
      </c>
      <c r="C117" t="s">
        <v>468</v>
      </c>
      <c r="D117" t="s">
        <v>477</v>
      </c>
      <c r="E117" t="s">
        <v>265</v>
      </c>
      <c r="F117" t="s">
        <v>471</v>
      </c>
      <c r="G117" t="str">
        <f t="shared" si="19"/>
        <v>AMR</v>
      </c>
      <c r="H117">
        <v>2010</v>
      </c>
      <c r="I117">
        <v>10</v>
      </c>
      <c r="J117">
        <v>658</v>
      </c>
      <c r="K117">
        <f t="shared" si="20"/>
        <v>2020</v>
      </c>
      <c r="L117">
        <f t="shared" si="14"/>
        <v>2025</v>
      </c>
      <c r="M117" t="str">
        <f t="shared" si="15"/>
        <v>KY 2025</v>
      </c>
      <c r="N117" t="str">
        <f t="shared" si="21"/>
        <v>N</v>
      </c>
      <c r="O117">
        <f t="shared" si="16"/>
        <v>2025</v>
      </c>
      <c r="P117">
        <f t="shared" si="17"/>
        <v>15</v>
      </c>
      <c r="Q117" t="str">
        <f t="shared" si="22"/>
        <v>AMR</v>
      </c>
      <c r="R117" t="s">
        <v>266</v>
      </c>
      <c r="S117" t="str">
        <f t="shared" si="23"/>
        <v>KY</v>
      </c>
      <c r="T117">
        <f t="shared" si="18"/>
        <v>2025</v>
      </c>
      <c r="U117" t="str">
        <f t="shared" si="24"/>
        <v>10**</v>
      </c>
      <c r="W117">
        <f t="shared" si="25"/>
        <v>16</v>
      </c>
      <c r="X117">
        <f t="shared" si="26"/>
        <v>10528</v>
      </c>
      <c r="Y117">
        <f t="shared" si="27"/>
        <v>658</v>
      </c>
    </row>
    <row r="118" spans="1:25" x14ac:dyDescent="0.35">
      <c r="A118" t="s">
        <v>466</v>
      </c>
      <c r="B118" s="19" t="s">
        <v>467</v>
      </c>
      <c r="C118" t="s">
        <v>468</v>
      </c>
      <c r="D118" t="s">
        <v>477</v>
      </c>
      <c r="E118" t="s">
        <v>265</v>
      </c>
      <c r="F118" t="s">
        <v>471</v>
      </c>
      <c r="G118" t="str">
        <f t="shared" si="19"/>
        <v>AMR</v>
      </c>
      <c r="H118">
        <v>2010</v>
      </c>
      <c r="I118">
        <v>15</v>
      </c>
      <c r="J118">
        <v>1</v>
      </c>
      <c r="K118">
        <f t="shared" si="20"/>
        <v>2025</v>
      </c>
      <c r="L118">
        <f t="shared" si="14"/>
        <v>2025</v>
      </c>
      <c r="M118" t="str">
        <f t="shared" si="15"/>
        <v>KY 2025</v>
      </c>
      <c r="N118" t="str">
        <f t="shared" si="21"/>
        <v>N</v>
      </c>
      <c r="O118">
        <f t="shared" si="16"/>
        <v>2025</v>
      </c>
      <c r="P118">
        <f t="shared" si="17"/>
        <v>15</v>
      </c>
      <c r="Q118" t="str">
        <f t="shared" si="22"/>
        <v>AMR</v>
      </c>
      <c r="R118" t="s">
        <v>266</v>
      </c>
      <c r="S118" t="str">
        <f t="shared" si="23"/>
        <v>KY</v>
      </c>
      <c r="T118">
        <f t="shared" si="18"/>
        <v>2025</v>
      </c>
      <c r="U118" t="str">
        <f t="shared" si="24"/>
        <v>10**</v>
      </c>
      <c r="W118">
        <f t="shared" si="25"/>
        <v>16</v>
      </c>
      <c r="X118">
        <f t="shared" si="26"/>
        <v>16</v>
      </c>
      <c r="Y118">
        <f t="shared" si="27"/>
        <v>1</v>
      </c>
    </row>
    <row r="119" spans="1:25" x14ac:dyDescent="0.35">
      <c r="A119" t="s">
        <v>466</v>
      </c>
      <c r="B119" s="19" t="s">
        <v>467</v>
      </c>
      <c r="C119" t="s">
        <v>468</v>
      </c>
      <c r="D119" t="s">
        <v>477</v>
      </c>
      <c r="E119" t="s">
        <v>265</v>
      </c>
      <c r="F119" t="s">
        <v>471</v>
      </c>
      <c r="G119" t="str">
        <f t="shared" si="19"/>
        <v>AMR</v>
      </c>
      <c r="H119">
        <v>2011</v>
      </c>
      <c r="I119">
        <v>10</v>
      </c>
      <c r="J119">
        <v>11811</v>
      </c>
      <c r="K119">
        <f t="shared" si="20"/>
        <v>2021</v>
      </c>
      <c r="L119">
        <f t="shared" si="14"/>
        <v>2025</v>
      </c>
      <c r="M119" t="str">
        <f t="shared" si="15"/>
        <v>KY 2025</v>
      </c>
      <c r="N119" t="str">
        <f t="shared" si="21"/>
        <v>N</v>
      </c>
      <c r="O119">
        <f t="shared" si="16"/>
        <v>2025</v>
      </c>
      <c r="P119">
        <f t="shared" si="17"/>
        <v>14</v>
      </c>
      <c r="Q119" t="str">
        <f t="shared" si="22"/>
        <v>AMR</v>
      </c>
      <c r="R119" t="s">
        <v>266</v>
      </c>
      <c r="S119" t="str">
        <f t="shared" si="23"/>
        <v>KY</v>
      </c>
      <c r="T119">
        <f t="shared" si="18"/>
        <v>2025</v>
      </c>
      <c r="U119">
        <f t="shared" si="24"/>
        <v>14</v>
      </c>
      <c r="W119">
        <f t="shared" si="25"/>
        <v>15</v>
      </c>
      <c r="X119">
        <f t="shared" si="26"/>
        <v>177165</v>
      </c>
      <c r="Y119">
        <f t="shared" si="27"/>
        <v>11811</v>
      </c>
    </row>
    <row r="120" spans="1:25" x14ac:dyDescent="0.35">
      <c r="A120" t="s">
        <v>466</v>
      </c>
      <c r="B120" s="19" t="s">
        <v>467</v>
      </c>
      <c r="C120" t="s">
        <v>468</v>
      </c>
      <c r="D120" t="s">
        <v>477</v>
      </c>
      <c r="E120" t="s">
        <v>265</v>
      </c>
      <c r="F120" t="s">
        <v>471</v>
      </c>
      <c r="G120" t="str">
        <f t="shared" si="19"/>
        <v>AMR</v>
      </c>
      <c r="H120">
        <v>2011</v>
      </c>
      <c r="I120">
        <v>15</v>
      </c>
      <c r="J120">
        <v>3</v>
      </c>
      <c r="K120">
        <f t="shared" si="20"/>
        <v>2026</v>
      </c>
      <c r="L120">
        <f t="shared" si="14"/>
        <v>2026</v>
      </c>
      <c r="M120" t="str">
        <f t="shared" si="15"/>
        <v>KY 2026</v>
      </c>
      <c r="N120" t="str">
        <f t="shared" si="21"/>
        <v>N</v>
      </c>
      <c r="O120">
        <f t="shared" si="16"/>
        <v>2026</v>
      </c>
      <c r="P120">
        <f t="shared" si="17"/>
        <v>15</v>
      </c>
      <c r="Q120" t="str">
        <f t="shared" si="22"/>
        <v>AMR</v>
      </c>
      <c r="R120" t="s">
        <v>266</v>
      </c>
      <c r="S120" t="str">
        <f t="shared" si="23"/>
        <v>KY</v>
      </c>
      <c r="T120">
        <f t="shared" si="18"/>
        <v>2026</v>
      </c>
      <c r="U120" t="str">
        <f t="shared" si="24"/>
        <v>10**</v>
      </c>
      <c r="W120">
        <f t="shared" si="25"/>
        <v>15</v>
      </c>
      <c r="X120">
        <f t="shared" si="26"/>
        <v>45</v>
      </c>
      <c r="Y120">
        <f t="shared" si="27"/>
        <v>3</v>
      </c>
    </row>
    <row r="121" spans="1:25" x14ac:dyDescent="0.35">
      <c r="A121" t="s">
        <v>466</v>
      </c>
      <c r="B121" s="19" t="s">
        <v>467</v>
      </c>
      <c r="C121" t="s">
        <v>468</v>
      </c>
      <c r="D121" t="s">
        <v>477</v>
      </c>
      <c r="E121" t="s">
        <v>265</v>
      </c>
      <c r="F121" t="s">
        <v>471</v>
      </c>
      <c r="G121" t="str">
        <f t="shared" si="19"/>
        <v>AMR</v>
      </c>
      <c r="H121">
        <v>2012</v>
      </c>
      <c r="I121">
        <v>10</v>
      </c>
      <c r="J121">
        <v>4621</v>
      </c>
      <c r="K121">
        <f t="shared" si="20"/>
        <v>2022</v>
      </c>
      <c r="L121">
        <f t="shared" si="14"/>
        <v>2025</v>
      </c>
      <c r="M121" t="str">
        <f t="shared" si="15"/>
        <v>KY 2025</v>
      </c>
      <c r="N121" t="str">
        <f t="shared" si="21"/>
        <v>N</v>
      </c>
      <c r="O121">
        <f t="shared" si="16"/>
        <v>2025</v>
      </c>
      <c r="P121">
        <f t="shared" si="17"/>
        <v>13</v>
      </c>
      <c r="Q121" t="str">
        <f t="shared" si="22"/>
        <v>AMR</v>
      </c>
      <c r="R121" t="s">
        <v>266</v>
      </c>
      <c r="S121" t="str">
        <f t="shared" si="23"/>
        <v>KY</v>
      </c>
      <c r="T121">
        <f t="shared" si="18"/>
        <v>2025</v>
      </c>
      <c r="U121">
        <f t="shared" si="24"/>
        <v>13</v>
      </c>
      <c r="W121">
        <f t="shared" si="25"/>
        <v>14</v>
      </c>
      <c r="X121">
        <f t="shared" si="26"/>
        <v>64694</v>
      </c>
      <c r="Y121">
        <f t="shared" si="27"/>
        <v>4621</v>
      </c>
    </row>
    <row r="122" spans="1:25" x14ac:dyDescent="0.35">
      <c r="A122" t="s">
        <v>466</v>
      </c>
      <c r="B122" s="19" t="s">
        <v>467</v>
      </c>
      <c r="C122" t="s">
        <v>468</v>
      </c>
      <c r="D122" t="s">
        <v>477</v>
      </c>
      <c r="E122" t="s">
        <v>265</v>
      </c>
      <c r="F122" t="s">
        <v>471</v>
      </c>
      <c r="G122" t="str">
        <f t="shared" si="19"/>
        <v>AMR</v>
      </c>
      <c r="H122">
        <v>2013</v>
      </c>
      <c r="I122">
        <v>10</v>
      </c>
      <c r="J122">
        <v>260</v>
      </c>
      <c r="K122">
        <f t="shared" si="20"/>
        <v>2023</v>
      </c>
      <c r="L122">
        <f t="shared" si="14"/>
        <v>2025</v>
      </c>
      <c r="M122" t="str">
        <f t="shared" si="15"/>
        <v>KY 2025</v>
      </c>
      <c r="N122" t="str">
        <f t="shared" si="21"/>
        <v>N</v>
      </c>
      <c r="O122">
        <f t="shared" si="16"/>
        <v>2025</v>
      </c>
      <c r="P122">
        <f t="shared" si="17"/>
        <v>12</v>
      </c>
      <c r="Q122" t="str">
        <f t="shared" si="22"/>
        <v>AMR</v>
      </c>
      <c r="R122" t="s">
        <v>266</v>
      </c>
      <c r="S122" t="str">
        <f t="shared" si="23"/>
        <v>KY</v>
      </c>
      <c r="T122">
        <f t="shared" si="18"/>
        <v>2025</v>
      </c>
      <c r="U122">
        <f t="shared" si="24"/>
        <v>12</v>
      </c>
      <c r="W122">
        <f t="shared" si="25"/>
        <v>13</v>
      </c>
      <c r="X122">
        <f t="shared" si="26"/>
        <v>3380</v>
      </c>
      <c r="Y122">
        <f t="shared" si="27"/>
        <v>260</v>
      </c>
    </row>
    <row r="123" spans="1:25" x14ac:dyDescent="0.35">
      <c r="A123" t="s">
        <v>466</v>
      </c>
      <c r="B123" s="19" t="s">
        <v>467</v>
      </c>
      <c r="C123" t="s">
        <v>468</v>
      </c>
      <c r="D123" t="s">
        <v>477</v>
      </c>
      <c r="E123" t="s">
        <v>265</v>
      </c>
      <c r="F123" t="s">
        <v>471</v>
      </c>
      <c r="G123" t="str">
        <f t="shared" si="19"/>
        <v>AMR</v>
      </c>
      <c r="H123">
        <v>2014</v>
      </c>
      <c r="I123">
        <v>10</v>
      </c>
      <c r="J123">
        <v>6</v>
      </c>
      <c r="K123">
        <f t="shared" si="20"/>
        <v>2024</v>
      </c>
      <c r="L123">
        <f t="shared" si="14"/>
        <v>2025</v>
      </c>
      <c r="M123" t="str">
        <f t="shared" si="15"/>
        <v>KY 2025</v>
      </c>
      <c r="N123" t="str">
        <f t="shared" si="21"/>
        <v>N</v>
      </c>
      <c r="O123">
        <f t="shared" si="16"/>
        <v>2025</v>
      </c>
      <c r="P123">
        <f t="shared" si="17"/>
        <v>11</v>
      </c>
      <c r="Q123" t="str">
        <f t="shared" si="22"/>
        <v>AMR</v>
      </c>
      <c r="R123" t="s">
        <v>266</v>
      </c>
      <c r="S123" t="str">
        <f t="shared" si="23"/>
        <v>KY</v>
      </c>
      <c r="T123">
        <f t="shared" si="18"/>
        <v>2025</v>
      </c>
      <c r="U123">
        <f t="shared" si="24"/>
        <v>11</v>
      </c>
      <c r="W123">
        <f t="shared" si="25"/>
        <v>12</v>
      </c>
      <c r="X123">
        <f t="shared" si="26"/>
        <v>72</v>
      </c>
      <c r="Y123">
        <f t="shared" si="27"/>
        <v>6</v>
      </c>
    </row>
    <row r="124" spans="1:25" x14ac:dyDescent="0.35">
      <c r="A124" t="s">
        <v>466</v>
      </c>
      <c r="B124" s="19" t="s">
        <v>467</v>
      </c>
      <c r="C124" t="s">
        <v>468</v>
      </c>
      <c r="D124" t="s">
        <v>477</v>
      </c>
      <c r="E124" t="s">
        <v>265</v>
      </c>
      <c r="F124" t="s">
        <v>471</v>
      </c>
      <c r="G124" t="str">
        <f t="shared" si="19"/>
        <v>AMR</v>
      </c>
      <c r="H124">
        <v>2015</v>
      </c>
      <c r="I124">
        <v>10</v>
      </c>
      <c r="J124">
        <v>808</v>
      </c>
      <c r="K124">
        <f t="shared" si="20"/>
        <v>2025</v>
      </c>
      <c r="L124">
        <f t="shared" si="14"/>
        <v>2025</v>
      </c>
      <c r="M124" t="str">
        <f t="shared" si="15"/>
        <v>KY 2025</v>
      </c>
      <c r="N124" t="str">
        <f t="shared" si="21"/>
        <v>N</v>
      </c>
      <c r="O124">
        <f t="shared" si="16"/>
        <v>2025</v>
      </c>
      <c r="P124">
        <f t="shared" si="17"/>
        <v>10</v>
      </c>
      <c r="Q124" t="str">
        <f t="shared" si="22"/>
        <v>AMR</v>
      </c>
      <c r="R124" t="s">
        <v>266</v>
      </c>
      <c r="S124" t="str">
        <f t="shared" si="23"/>
        <v>KY</v>
      </c>
      <c r="T124">
        <f t="shared" si="18"/>
        <v>2025</v>
      </c>
      <c r="U124">
        <f t="shared" si="24"/>
        <v>10</v>
      </c>
      <c r="W124">
        <f t="shared" si="25"/>
        <v>11</v>
      </c>
      <c r="X124">
        <f t="shared" si="26"/>
        <v>8888</v>
      </c>
      <c r="Y124">
        <f t="shared" si="27"/>
        <v>808</v>
      </c>
    </row>
    <row r="125" spans="1:25" hidden="1" x14ac:dyDescent="0.35">
      <c r="A125" t="s">
        <v>466</v>
      </c>
      <c r="B125" s="19" t="s">
        <v>467</v>
      </c>
      <c r="C125" t="s">
        <v>468</v>
      </c>
      <c r="D125" t="s">
        <v>477</v>
      </c>
      <c r="E125" t="s">
        <v>265</v>
      </c>
      <c r="F125" t="s">
        <v>471</v>
      </c>
      <c r="G125" t="str">
        <f t="shared" si="19"/>
        <v>AMR</v>
      </c>
      <c r="H125">
        <v>2016</v>
      </c>
      <c r="I125">
        <v>10</v>
      </c>
      <c r="J125">
        <v>191</v>
      </c>
      <c r="K125">
        <f t="shared" si="20"/>
        <v>2026</v>
      </c>
      <c r="L125">
        <f t="shared" si="14"/>
        <v>2026</v>
      </c>
      <c r="M125" t="str">
        <f t="shared" si="15"/>
        <v>KY 2026</v>
      </c>
      <c r="N125" t="str">
        <f t="shared" si="21"/>
        <v>N</v>
      </c>
      <c r="O125">
        <f t="shared" si="16"/>
        <v>2026</v>
      </c>
      <c r="P125">
        <f t="shared" si="17"/>
        <v>10</v>
      </c>
      <c r="Q125" t="str">
        <f t="shared" si="22"/>
        <v>AMR</v>
      </c>
      <c r="R125" t="s">
        <v>266</v>
      </c>
      <c r="S125" t="str">
        <f t="shared" si="23"/>
        <v>KY</v>
      </c>
      <c r="T125">
        <f t="shared" si="18"/>
        <v>2026</v>
      </c>
      <c r="U125">
        <f t="shared" si="24"/>
        <v>10</v>
      </c>
      <c r="W125">
        <f t="shared" si="25"/>
        <v>10</v>
      </c>
      <c r="X125">
        <f t="shared" si="26"/>
        <v>0</v>
      </c>
      <c r="Y125">
        <f t="shared" si="27"/>
        <v>0</v>
      </c>
    </row>
    <row r="126" spans="1:25" hidden="1" x14ac:dyDescent="0.35">
      <c r="A126" t="s">
        <v>466</v>
      </c>
      <c r="B126" s="19" t="s">
        <v>467</v>
      </c>
      <c r="C126" t="s">
        <v>468</v>
      </c>
      <c r="D126" t="s">
        <v>477</v>
      </c>
      <c r="E126" t="s">
        <v>265</v>
      </c>
      <c r="F126" t="s">
        <v>471</v>
      </c>
      <c r="G126" t="str">
        <f t="shared" si="19"/>
        <v>AMR</v>
      </c>
      <c r="H126">
        <v>2017</v>
      </c>
      <c r="I126">
        <v>10</v>
      </c>
      <c r="J126">
        <v>9</v>
      </c>
      <c r="K126">
        <f t="shared" si="20"/>
        <v>2027</v>
      </c>
      <c r="L126">
        <f t="shared" si="14"/>
        <v>2027</v>
      </c>
      <c r="M126" t="str">
        <f t="shared" si="15"/>
        <v>KY 2027</v>
      </c>
      <c r="N126" t="str">
        <f t="shared" si="21"/>
        <v>N</v>
      </c>
      <c r="O126">
        <f t="shared" si="16"/>
        <v>2027</v>
      </c>
      <c r="P126">
        <f t="shared" si="17"/>
        <v>10</v>
      </c>
      <c r="Q126" t="str">
        <f t="shared" si="22"/>
        <v>AMR</v>
      </c>
      <c r="R126" t="s">
        <v>266</v>
      </c>
      <c r="S126" t="str">
        <f t="shared" si="23"/>
        <v>KY</v>
      </c>
      <c r="T126">
        <f t="shared" si="18"/>
        <v>2027</v>
      </c>
      <c r="U126">
        <f t="shared" si="24"/>
        <v>10</v>
      </c>
      <c r="W126">
        <f t="shared" si="25"/>
        <v>9</v>
      </c>
      <c r="X126">
        <f t="shared" si="26"/>
        <v>0</v>
      </c>
      <c r="Y126">
        <f t="shared" si="27"/>
        <v>0</v>
      </c>
    </row>
    <row r="127" spans="1:25" hidden="1" x14ac:dyDescent="0.35">
      <c r="A127" t="s">
        <v>466</v>
      </c>
      <c r="B127" s="19" t="s">
        <v>467</v>
      </c>
      <c r="C127" t="s">
        <v>468</v>
      </c>
      <c r="D127" t="s">
        <v>477</v>
      </c>
      <c r="E127" t="s">
        <v>265</v>
      </c>
      <c r="F127" t="s">
        <v>471</v>
      </c>
      <c r="G127" t="str">
        <f t="shared" si="19"/>
        <v>AMR</v>
      </c>
      <c r="H127">
        <v>2019</v>
      </c>
      <c r="I127">
        <v>10</v>
      </c>
      <c r="J127">
        <v>11073</v>
      </c>
      <c r="K127">
        <f t="shared" si="20"/>
        <v>2029</v>
      </c>
      <c r="L127">
        <f t="shared" si="14"/>
        <v>2029</v>
      </c>
      <c r="M127" t="str">
        <f t="shared" si="15"/>
        <v>KY 2029</v>
      </c>
      <c r="N127" t="str">
        <f t="shared" si="21"/>
        <v>N</v>
      </c>
      <c r="O127">
        <f t="shared" si="16"/>
        <v>2029</v>
      </c>
      <c r="P127">
        <f t="shared" si="17"/>
        <v>10</v>
      </c>
      <c r="Q127" t="str">
        <f t="shared" si="22"/>
        <v>AMR</v>
      </c>
      <c r="R127" t="s">
        <v>266</v>
      </c>
      <c r="S127" t="str">
        <f t="shared" si="23"/>
        <v>KY</v>
      </c>
      <c r="T127">
        <f t="shared" si="18"/>
        <v>2029</v>
      </c>
      <c r="U127">
        <f t="shared" si="24"/>
        <v>10</v>
      </c>
      <c r="W127">
        <f t="shared" si="25"/>
        <v>7</v>
      </c>
      <c r="X127">
        <f t="shared" si="26"/>
        <v>0</v>
      </c>
      <c r="Y127">
        <f t="shared" si="27"/>
        <v>0</v>
      </c>
    </row>
    <row r="128" spans="1:25" hidden="1" x14ac:dyDescent="0.35">
      <c r="A128" t="s">
        <v>466</v>
      </c>
      <c r="B128" s="19" t="s">
        <v>467</v>
      </c>
      <c r="C128" t="s">
        <v>468</v>
      </c>
      <c r="D128" t="s">
        <v>477</v>
      </c>
      <c r="E128" t="s">
        <v>265</v>
      </c>
      <c r="F128" t="s">
        <v>471</v>
      </c>
      <c r="G128" t="str">
        <f t="shared" si="19"/>
        <v>AMR</v>
      </c>
      <c r="H128">
        <v>2021</v>
      </c>
      <c r="I128">
        <v>10</v>
      </c>
      <c r="J128">
        <v>178</v>
      </c>
      <c r="K128">
        <f t="shared" si="20"/>
        <v>2031</v>
      </c>
      <c r="L128">
        <f t="shared" si="14"/>
        <v>2031</v>
      </c>
      <c r="M128" t="str">
        <f t="shared" si="15"/>
        <v>KY 2031</v>
      </c>
      <c r="N128" t="str">
        <f t="shared" si="21"/>
        <v>N</v>
      </c>
      <c r="O128">
        <f t="shared" si="16"/>
        <v>2031</v>
      </c>
      <c r="P128">
        <f t="shared" si="17"/>
        <v>10</v>
      </c>
      <c r="Q128" t="str">
        <f t="shared" si="22"/>
        <v>AMR</v>
      </c>
      <c r="R128" t="s">
        <v>266</v>
      </c>
      <c r="S128" t="str">
        <f t="shared" si="23"/>
        <v>KY</v>
      </c>
      <c r="T128">
        <f t="shared" si="18"/>
        <v>2031</v>
      </c>
      <c r="U128">
        <f t="shared" si="24"/>
        <v>10</v>
      </c>
      <c r="W128">
        <f t="shared" si="25"/>
        <v>5</v>
      </c>
      <c r="X128">
        <f t="shared" si="26"/>
        <v>0</v>
      </c>
      <c r="Y128">
        <f t="shared" si="27"/>
        <v>0</v>
      </c>
    </row>
    <row r="129" spans="1:25" hidden="1" x14ac:dyDescent="0.35">
      <c r="A129" t="s">
        <v>466</v>
      </c>
      <c r="B129" s="19" t="s">
        <v>467</v>
      </c>
      <c r="C129" t="s">
        <v>468</v>
      </c>
      <c r="D129" t="s">
        <v>477</v>
      </c>
      <c r="E129" t="s">
        <v>265</v>
      </c>
      <c r="F129" t="s">
        <v>471</v>
      </c>
      <c r="G129" t="str">
        <f t="shared" si="19"/>
        <v>AMR</v>
      </c>
      <c r="H129">
        <v>2022</v>
      </c>
      <c r="I129">
        <v>10</v>
      </c>
      <c r="J129">
        <v>2064</v>
      </c>
      <c r="K129">
        <f t="shared" si="20"/>
        <v>2032</v>
      </c>
      <c r="L129">
        <f t="shared" si="14"/>
        <v>2032</v>
      </c>
      <c r="M129" t="str">
        <f t="shared" si="15"/>
        <v>KY 2032</v>
      </c>
      <c r="N129" t="str">
        <f t="shared" si="21"/>
        <v>N</v>
      </c>
      <c r="O129">
        <f t="shared" si="16"/>
        <v>2032</v>
      </c>
      <c r="P129">
        <f t="shared" si="17"/>
        <v>10</v>
      </c>
      <c r="Q129" t="str">
        <f t="shared" si="22"/>
        <v>AMR</v>
      </c>
      <c r="R129" t="s">
        <v>266</v>
      </c>
      <c r="S129" t="str">
        <f t="shared" si="23"/>
        <v>KY</v>
      </c>
      <c r="T129">
        <f t="shared" si="18"/>
        <v>2032</v>
      </c>
      <c r="U129">
        <f t="shared" si="24"/>
        <v>10</v>
      </c>
      <c r="W129">
        <f t="shared" si="25"/>
        <v>4</v>
      </c>
      <c r="X129">
        <f t="shared" si="26"/>
        <v>0</v>
      </c>
      <c r="Y129">
        <f t="shared" si="27"/>
        <v>0</v>
      </c>
    </row>
    <row r="130" spans="1:25" hidden="1" x14ac:dyDescent="0.35">
      <c r="A130" t="s">
        <v>466</v>
      </c>
      <c r="B130" s="19" t="s">
        <v>467</v>
      </c>
      <c r="C130" t="s">
        <v>468</v>
      </c>
      <c r="D130" t="s">
        <v>477</v>
      </c>
      <c r="E130" t="s">
        <v>265</v>
      </c>
      <c r="F130" t="s">
        <v>471</v>
      </c>
      <c r="G130" t="str">
        <f t="shared" si="19"/>
        <v>AMR</v>
      </c>
      <c r="H130">
        <v>2023</v>
      </c>
      <c r="I130">
        <v>10</v>
      </c>
      <c r="J130">
        <v>4822</v>
      </c>
      <c r="K130">
        <f t="shared" si="20"/>
        <v>2033</v>
      </c>
      <c r="L130">
        <f t="shared" si="14"/>
        <v>2033</v>
      </c>
      <c r="M130" t="str">
        <f t="shared" si="15"/>
        <v>KY 2033</v>
      </c>
      <c r="N130" t="str">
        <f t="shared" si="21"/>
        <v>N</v>
      </c>
      <c r="O130">
        <f t="shared" si="16"/>
        <v>2033</v>
      </c>
      <c r="P130">
        <f t="shared" si="17"/>
        <v>10</v>
      </c>
      <c r="Q130" t="str">
        <f t="shared" si="22"/>
        <v>AMR</v>
      </c>
      <c r="R130" t="s">
        <v>266</v>
      </c>
      <c r="S130" t="str">
        <f t="shared" si="23"/>
        <v>KY</v>
      </c>
      <c r="T130">
        <f t="shared" si="18"/>
        <v>2033</v>
      </c>
      <c r="U130">
        <f t="shared" si="24"/>
        <v>10</v>
      </c>
      <c r="W130">
        <f t="shared" si="25"/>
        <v>3</v>
      </c>
      <c r="X130">
        <f t="shared" si="26"/>
        <v>0</v>
      </c>
      <c r="Y130">
        <f t="shared" si="27"/>
        <v>0</v>
      </c>
    </row>
    <row r="131" spans="1:25" hidden="1" x14ac:dyDescent="0.35">
      <c r="A131" t="s">
        <v>466</v>
      </c>
      <c r="B131" s="19" t="s">
        <v>467</v>
      </c>
      <c r="C131" t="s">
        <v>468</v>
      </c>
      <c r="D131" t="s">
        <v>477</v>
      </c>
      <c r="E131" t="s">
        <v>265</v>
      </c>
      <c r="F131" t="s">
        <v>471</v>
      </c>
      <c r="G131" t="str">
        <f t="shared" si="19"/>
        <v>AMR</v>
      </c>
      <c r="H131">
        <v>2024</v>
      </c>
      <c r="I131">
        <v>10</v>
      </c>
      <c r="J131">
        <v>2</v>
      </c>
      <c r="K131">
        <f t="shared" si="20"/>
        <v>2034</v>
      </c>
      <c r="L131">
        <f t="shared" si="14"/>
        <v>2034</v>
      </c>
      <c r="M131" t="str">
        <f t="shared" si="15"/>
        <v>KY 2034</v>
      </c>
      <c r="N131" t="str">
        <f t="shared" si="21"/>
        <v>N</v>
      </c>
      <c r="O131">
        <f t="shared" si="16"/>
        <v>2034</v>
      </c>
      <c r="P131">
        <f t="shared" si="17"/>
        <v>10</v>
      </c>
      <c r="Q131" t="str">
        <f t="shared" si="22"/>
        <v>AMR</v>
      </c>
      <c r="R131" t="s">
        <v>266</v>
      </c>
      <c r="S131" t="str">
        <f t="shared" si="23"/>
        <v>KY</v>
      </c>
      <c r="T131">
        <f t="shared" si="18"/>
        <v>2034</v>
      </c>
      <c r="U131">
        <f t="shared" si="24"/>
        <v>10</v>
      </c>
      <c r="W131">
        <f t="shared" si="25"/>
        <v>2</v>
      </c>
      <c r="X131">
        <f t="shared" si="26"/>
        <v>0</v>
      </c>
      <c r="Y131">
        <f t="shared" si="27"/>
        <v>0</v>
      </c>
    </row>
    <row r="132" spans="1:25" hidden="1" x14ac:dyDescent="0.35">
      <c r="A132" t="s">
        <v>466</v>
      </c>
      <c r="B132" s="19" t="s">
        <v>467</v>
      </c>
      <c r="C132" t="s">
        <v>468</v>
      </c>
      <c r="D132" t="s">
        <v>477</v>
      </c>
      <c r="E132" t="s">
        <v>264</v>
      </c>
      <c r="F132" t="s">
        <v>471</v>
      </c>
      <c r="G132" t="str">
        <f t="shared" si="19"/>
        <v>AMR</v>
      </c>
      <c r="H132">
        <v>2019</v>
      </c>
      <c r="I132">
        <v>10</v>
      </c>
      <c r="J132">
        <v>1</v>
      </c>
      <c r="K132">
        <f t="shared" si="20"/>
        <v>2029</v>
      </c>
      <c r="L132">
        <f t="shared" si="14"/>
        <v>2029</v>
      </c>
      <c r="M132" t="str">
        <f t="shared" si="15"/>
        <v>KY 2029</v>
      </c>
      <c r="N132" t="str">
        <f t="shared" si="21"/>
        <v>N</v>
      </c>
      <c r="O132">
        <f t="shared" si="16"/>
        <v>2029</v>
      </c>
      <c r="P132">
        <f t="shared" si="17"/>
        <v>10</v>
      </c>
      <c r="Q132" t="str">
        <f t="shared" si="22"/>
        <v>AMR</v>
      </c>
      <c r="R132" t="s">
        <v>266</v>
      </c>
      <c r="S132" t="str">
        <f t="shared" si="23"/>
        <v>KY</v>
      </c>
      <c r="T132">
        <f t="shared" si="18"/>
        <v>2029</v>
      </c>
      <c r="U132">
        <f t="shared" si="24"/>
        <v>10</v>
      </c>
      <c r="W132">
        <f t="shared" si="25"/>
        <v>7</v>
      </c>
      <c r="X132">
        <f t="shared" si="26"/>
        <v>0</v>
      </c>
      <c r="Y132">
        <f t="shared" si="27"/>
        <v>0</v>
      </c>
    </row>
    <row r="133" spans="1:25" hidden="1" x14ac:dyDescent="0.35">
      <c r="A133" t="s">
        <v>466</v>
      </c>
      <c r="B133" s="19" t="s">
        <v>467</v>
      </c>
      <c r="C133" t="s">
        <v>468</v>
      </c>
      <c r="D133" t="s">
        <v>477</v>
      </c>
      <c r="E133" t="s">
        <v>264</v>
      </c>
      <c r="F133" t="s">
        <v>471</v>
      </c>
      <c r="G133" t="str">
        <f t="shared" si="19"/>
        <v>AMR</v>
      </c>
      <c r="H133">
        <v>2022</v>
      </c>
      <c r="I133">
        <v>10</v>
      </c>
      <c r="J133">
        <v>1</v>
      </c>
      <c r="K133">
        <f t="shared" si="20"/>
        <v>2032</v>
      </c>
      <c r="L133">
        <f t="shared" si="14"/>
        <v>2032</v>
      </c>
      <c r="M133" t="str">
        <f t="shared" si="15"/>
        <v>KY 2032</v>
      </c>
      <c r="N133" t="str">
        <f t="shared" si="21"/>
        <v>N</v>
      </c>
      <c r="O133">
        <f t="shared" si="16"/>
        <v>2032</v>
      </c>
      <c r="P133">
        <f t="shared" si="17"/>
        <v>10</v>
      </c>
      <c r="Q133" t="str">
        <f t="shared" si="22"/>
        <v>AMR</v>
      </c>
      <c r="R133" t="s">
        <v>266</v>
      </c>
      <c r="S133" t="str">
        <f t="shared" si="23"/>
        <v>KY</v>
      </c>
      <c r="T133">
        <f t="shared" si="18"/>
        <v>2032</v>
      </c>
      <c r="U133">
        <f t="shared" si="24"/>
        <v>10</v>
      </c>
      <c r="W133">
        <f t="shared" si="25"/>
        <v>4</v>
      </c>
      <c r="X133">
        <f t="shared" si="26"/>
        <v>0</v>
      </c>
      <c r="Y133">
        <f t="shared" si="27"/>
        <v>0</v>
      </c>
    </row>
    <row r="134" spans="1:25" hidden="1" x14ac:dyDescent="0.35">
      <c r="A134" t="s">
        <v>466</v>
      </c>
      <c r="B134" s="19" t="s">
        <v>467</v>
      </c>
      <c r="C134" t="s">
        <v>468</v>
      </c>
      <c r="D134" t="s">
        <v>477</v>
      </c>
      <c r="E134" t="s">
        <v>264</v>
      </c>
      <c r="F134" t="s">
        <v>471</v>
      </c>
      <c r="G134" t="str">
        <f t="shared" si="19"/>
        <v>AMR</v>
      </c>
      <c r="H134">
        <v>2023</v>
      </c>
      <c r="I134">
        <v>10</v>
      </c>
      <c r="J134">
        <v>1</v>
      </c>
      <c r="K134">
        <f t="shared" si="20"/>
        <v>2033</v>
      </c>
      <c r="L134">
        <f t="shared" ref="L134:L197" si="28">IF(K134&lt;YearOne,YearOne-1,K134)</f>
        <v>2033</v>
      </c>
      <c r="M134" t="str">
        <f t="shared" ref="M134:M197" si="29">(C134&amp; " "&amp;L134)</f>
        <v>KY 2033</v>
      </c>
      <c r="N134" t="str">
        <f t="shared" si="21"/>
        <v>N</v>
      </c>
      <c r="O134">
        <f t="shared" ref="O134:O197" si="30">IF(K134&lt;=(YearOne-1),YearOne-1,K134)</f>
        <v>2033</v>
      </c>
      <c r="P134">
        <f t="shared" ref="P134:P197" si="31">O134-H134</f>
        <v>10</v>
      </c>
      <c r="Q134" t="str">
        <f t="shared" si="22"/>
        <v>AMR</v>
      </c>
      <c r="R134" t="s">
        <v>266</v>
      </c>
      <c r="S134" t="str">
        <f t="shared" si="23"/>
        <v>KY</v>
      </c>
      <c r="T134">
        <f t="shared" ref="T134:T197" si="32">IF(I134=15,IF(O134=(YearOne-1),O134,MAX(YearOne,O134-5)),O134)</f>
        <v>2033</v>
      </c>
      <c r="U134">
        <f t="shared" si="24"/>
        <v>10</v>
      </c>
      <c r="W134">
        <f t="shared" si="25"/>
        <v>3</v>
      </c>
      <c r="X134">
        <f t="shared" si="26"/>
        <v>0</v>
      </c>
      <c r="Y134">
        <f t="shared" si="27"/>
        <v>0</v>
      </c>
    </row>
    <row r="135" spans="1:25" hidden="1" x14ac:dyDescent="0.35">
      <c r="A135" t="s">
        <v>466</v>
      </c>
      <c r="B135" s="19" t="s">
        <v>478</v>
      </c>
      <c r="C135" t="s">
        <v>468</v>
      </c>
      <c r="D135" t="s">
        <v>469</v>
      </c>
      <c r="E135" t="s">
        <v>265</v>
      </c>
      <c r="G135" t="str">
        <f t="shared" ref="G135:G198" si="33">IF(ISNUMBER(SEARCH("AMI",F135,1)),"AMI",IF(ISNUMBER(SEARCH("AMR",F135,1)),"AMR","Manual"))</f>
        <v>Manual</v>
      </c>
      <c r="H135">
        <v>2024</v>
      </c>
      <c r="I135">
        <v>4</v>
      </c>
      <c r="J135">
        <v>1</v>
      </c>
      <c r="K135">
        <f t="shared" ref="K135:K198" si="34">H135+I135</f>
        <v>2028</v>
      </c>
      <c r="L135">
        <f t="shared" si="28"/>
        <v>2028</v>
      </c>
      <c r="M135" t="str">
        <f t="shared" si="29"/>
        <v>KY 2028</v>
      </c>
      <c r="N135" t="str">
        <f t="shared" ref="N135:N198" si="35">IF(G135="AMI","Y","N")</f>
        <v>N</v>
      </c>
      <c r="O135">
        <f t="shared" si="30"/>
        <v>2028</v>
      </c>
      <c r="P135">
        <f t="shared" si="31"/>
        <v>4</v>
      </c>
      <c r="Q135" t="str">
        <f t="shared" ref="Q135:Q198" si="36">G135</f>
        <v>Manual</v>
      </c>
      <c r="R135" t="s">
        <v>266</v>
      </c>
      <c r="S135" t="str">
        <f t="shared" ref="S135:S198" si="37">C135</f>
        <v>KY</v>
      </c>
      <c r="T135">
        <f t="shared" si="32"/>
        <v>2028</v>
      </c>
      <c r="U135">
        <f t="shared" ref="U135:U198" si="38">IF(P135=15,"10**",P135)</f>
        <v>4</v>
      </c>
      <c r="W135">
        <f t="shared" ref="W135:W198" si="39">2026-H135</f>
        <v>2</v>
      </c>
      <c r="X135">
        <f t="shared" ref="X135:X198" si="40">IF(W135&gt;10,W135*J135,0)</f>
        <v>0</v>
      </c>
      <c r="Y135">
        <f t="shared" ref="Y135:Y198" si="41">IF(W135&gt;10,J135,0)</f>
        <v>0</v>
      </c>
    </row>
    <row r="136" spans="1:25" hidden="1" x14ac:dyDescent="0.35">
      <c r="A136" t="s">
        <v>466</v>
      </c>
      <c r="B136" s="19" t="s">
        <v>478</v>
      </c>
      <c r="C136" t="s">
        <v>468</v>
      </c>
      <c r="D136" t="s">
        <v>469</v>
      </c>
      <c r="E136" t="s">
        <v>265</v>
      </c>
      <c r="F136" t="s">
        <v>470</v>
      </c>
      <c r="G136" t="str">
        <f t="shared" si="33"/>
        <v>AMR</v>
      </c>
      <c r="H136">
        <v>2024</v>
      </c>
      <c r="I136">
        <v>4</v>
      </c>
      <c r="J136">
        <v>2</v>
      </c>
      <c r="K136">
        <f t="shared" si="34"/>
        <v>2028</v>
      </c>
      <c r="L136">
        <f t="shared" si="28"/>
        <v>2028</v>
      </c>
      <c r="M136" t="str">
        <f t="shared" si="29"/>
        <v>KY 2028</v>
      </c>
      <c r="N136" t="str">
        <f t="shared" si="35"/>
        <v>N</v>
      </c>
      <c r="O136">
        <f t="shared" si="30"/>
        <v>2028</v>
      </c>
      <c r="P136">
        <f t="shared" si="31"/>
        <v>4</v>
      </c>
      <c r="Q136" t="str">
        <f t="shared" si="36"/>
        <v>AMR</v>
      </c>
      <c r="R136" t="s">
        <v>266</v>
      </c>
      <c r="S136" t="str">
        <f t="shared" si="37"/>
        <v>KY</v>
      </c>
      <c r="T136">
        <f t="shared" si="32"/>
        <v>2028</v>
      </c>
      <c r="U136">
        <f t="shared" si="38"/>
        <v>4</v>
      </c>
      <c r="W136">
        <f t="shared" si="39"/>
        <v>2</v>
      </c>
      <c r="X136">
        <f t="shared" si="40"/>
        <v>0</v>
      </c>
      <c r="Y136">
        <f t="shared" si="41"/>
        <v>0</v>
      </c>
    </row>
    <row r="137" spans="1:25" hidden="1" x14ac:dyDescent="0.35">
      <c r="A137" t="s">
        <v>466</v>
      </c>
      <c r="B137" s="19" t="s">
        <v>478</v>
      </c>
      <c r="C137" t="s">
        <v>468</v>
      </c>
      <c r="D137" t="s">
        <v>469</v>
      </c>
      <c r="E137" t="s">
        <v>265</v>
      </c>
      <c r="F137" t="s">
        <v>470</v>
      </c>
      <c r="G137" t="str">
        <f t="shared" si="33"/>
        <v>AMR</v>
      </c>
      <c r="H137">
        <v>2025</v>
      </c>
      <c r="I137">
        <v>4</v>
      </c>
      <c r="J137">
        <v>2</v>
      </c>
      <c r="K137">
        <f t="shared" si="34"/>
        <v>2029</v>
      </c>
      <c r="L137">
        <f t="shared" si="28"/>
        <v>2029</v>
      </c>
      <c r="M137" t="str">
        <f t="shared" si="29"/>
        <v>KY 2029</v>
      </c>
      <c r="N137" t="str">
        <f t="shared" si="35"/>
        <v>N</v>
      </c>
      <c r="O137">
        <f t="shared" si="30"/>
        <v>2029</v>
      </c>
      <c r="P137">
        <f t="shared" si="31"/>
        <v>4</v>
      </c>
      <c r="Q137" t="str">
        <f t="shared" si="36"/>
        <v>AMR</v>
      </c>
      <c r="R137" t="s">
        <v>266</v>
      </c>
      <c r="S137" t="str">
        <f t="shared" si="37"/>
        <v>KY</v>
      </c>
      <c r="T137">
        <f t="shared" si="32"/>
        <v>2029</v>
      </c>
      <c r="U137">
        <f t="shared" si="38"/>
        <v>4</v>
      </c>
      <c r="W137">
        <f t="shared" si="39"/>
        <v>1</v>
      </c>
      <c r="X137">
        <f t="shared" si="40"/>
        <v>0</v>
      </c>
      <c r="Y137">
        <f t="shared" si="41"/>
        <v>0</v>
      </c>
    </row>
    <row r="138" spans="1:25" hidden="1" x14ac:dyDescent="0.35">
      <c r="A138" t="s">
        <v>466</v>
      </c>
      <c r="B138" s="19" t="s">
        <v>478</v>
      </c>
      <c r="C138" t="s">
        <v>468</v>
      </c>
      <c r="D138" t="s">
        <v>469</v>
      </c>
      <c r="E138" t="s">
        <v>264</v>
      </c>
      <c r="F138" t="s">
        <v>472</v>
      </c>
      <c r="G138" t="str">
        <f t="shared" si="33"/>
        <v>AMI</v>
      </c>
      <c r="H138">
        <v>2024</v>
      </c>
      <c r="I138">
        <v>4</v>
      </c>
      <c r="J138">
        <v>2</v>
      </c>
      <c r="K138">
        <f t="shared" si="34"/>
        <v>2028</v>
      </c>
      <c r="L138">
        <f t="shared" si="28"/>
        <v>2028</v>
      </c>
      <c r="M138" t="str">
        <f t="shared" si="29"/>
        <v>KY 2028</v>
      </c>
      <c r="N138" t="str">
        <f t="shared" si="35"/>
        <v>Y</v>
      </c>
      <c r="O138">
        <f t="shared" si="30"/>
        <v>2028</v>
      </c>
      <c r="P138">
        <f t="shared" si="31"/>
        <v>4</v>
      </c>
      <c r="Q138" t="str">
        <f t="shared" si="36"/>
        <v>AMI</v>
      </c>
      <c r="R138" t="s">
        <v>266</v>
      </c>
      <c r="S138" t="str">
        <f t="shared" si="37"/>
        <v>KY</v>
      </c>
      <c r="T138">
        <f t="shared" si="32"/>
        <v>2028</v>
      </c>
      <c r="U138">
        <f t="shared" si="38"/>
        <v>4</v>
      </c>
      <c r="W138">
        <f t="shared" si="39"/>
        <v>2</v>
      </c>
      <c r="X138">
        <f t="shared" si="40"/>
        <v>0</v>
      </c>
      <c r="Y138">
        <f t="shared" si="41"/>
        <v>0</v>
      </c>
    </row>
    <row r="139" spans="1:25" hidden="1" x14ac:dyDescent="0.35">
      <c r="A139" t="s">
        <v>466</v>
      </c>
      <c r="B139" s="19" t="s">
        <v>478</v>
      </c>
      <c r="C139" t="s">
        <v>468</v>
      </c>
      <c r="D139" t="s">
        <v>469</v>
      </c>
      <c r="E139" t="s">
        <v>265</v>
      </c>
      <c r="F139" t="s">
        <v>472</v>
      </c>
      <c r="G139" t="str">
        <f t="shared" si="33"/>
        <v>AMI</v>
      </c>
      <c r="H139">
        <v>2023</v>
      </c>
      <c r="I139">
        <v>4</v>
      </c>
      <c r="J139">
        <v>56</v>
      </c>
      <c r="K139">
        <f t="shared" si="34"/>
        <v>2027</v>
      </c>
      <c r="L139">
        <f t="shared" si="28"/>
        <v>2027</v>
      </c>
      <c r="M139" t="str">
        <f t="shared" si="29"/>
        <v>KY 2027</v>
      </c>
      <c r="N139" t="str">
        <f t="shared" si="35"/>
        <v>Y</v>
      </c>
      <c r="O139">
        <f t="shared" si="30"/>
        <v>2027</v>
      </c>
      <c r="P139">
        <f t="shared" si="31"/>
        <v>4</v>
      </c>
      <c r="Q139" t="str">
        <f t="shared" si="36"/>
        <v>AMI</v>
      </c>
      <c r="R139" t="s">
        <v>266</v>
      </c>
      <c r="S139" t="str">
        <f t="shared" si="37"/>
        <v>KY</v>
      </c>
      <c r="T139">
        <f t="shared" si="32"/>
        <v>2027</v>
      </c>
      <c r="U139">
        <f t="shared" si="38"/>
        <v>4</v>
      </c>
      <c r="W139">
        <f t="shared" si="39"/>
        <v>3</v>
      </c>
      <c r="X139">
        <f t="shared" si="40"/>
        <v>0</v>
      </c>
      <c r="Y139">
        <f t="shared" si="41"/>
        <v>0</v>
      </c>
    </row>
    <row r="140" spans="1:25" hidden="1" x14ac:dyDescent="0.35">
      <c r="A140" t="s">
        <v>466</v>
      </c>
      <c r="B140" s="19" t="s">
        <v>478</v>
      </c>
      <c r="C140" t="s">
        <v>468</v>
      </c>
      <c r="D140" t="s">
        <v>469</v>
      </c>
      <c r="E140" t="s">
        <v>265</v>
      </c>
      <c r="F140" t="s">
        <v>472</v>
      </c>
      <c r="G140" t="str">
        <f t="shared" si="33"/>
        <v>AMI</v>
      </c>
      <c r="H140">
        <v>2024</v>
      </c>
      <c r="I140">
        <v>4</v>
      </c>
      <c r="J140">
        <v>35</v>
      </c>
      <c r="K140">
        <f t="shared" si="34"/>
        <v>2028</v>
      </c>
      <c r="L140">
        <f t="shared" si="28"/>
        <v>2028</v>
      </c>
      <c r="M140" t="str">
        <f t="shared" si="29"/>
        <v>KY 2028</v>
      </c>
      <c r="N140" t="str">
        <f t="shared" si="35"/>
        <v>Y</v>
      </c>
      <c r="O140">
        <f t="shared" si="30"/>
        <v>2028</v>
      </c>
      <c r="P140">
        <f t="shared" si="31"/>
        <v>4</v>
      </c>
      <c r="Q140" t="str">
        <f t="shared" si="36"/>
        <v>AMI</v>
      </c>
      <c r="R140" t="s">
        <v>266</v>
      </c>
      <c r="S140" t="str">
        <f t="shared" si="37"/>
        <v>KY</v>
      </c>
      <c r="T140">
        <f t="shared" si="32"/>
        <v>2028</v>
      </c>
      <c r="U140">
        <f t="shared" si="38"/>
        <v>4</v>
      </c>
      <c r="W140">
        <f t="shared" si="39"/>
        <v>2</v>
      </c>
      <c r="X140">
        <f t="shared" si="40"/>
        <v>0</v>
      </c>
      <c r="Y140">
        <f t="shared" si="41"/>
        <v>0</v>
      </c>
    </row>
    <row r="141" spans="1:25" hidden="1" x14ac:dyDescent="0.35">
      <c r="A141" t="s">
        <v>466</v>
      </c>
      <c r="B141" s="19" t="s">
        <v>478</v>
      </c>
      <c r="C141" t="s">
        <v>468</v>
      </c>
      <c r="D141" t="s">
        <v>469</v>
      </c>
      <c r="E141" t="s">
        <v>264</v>
      </c>
      <c r="F141" t="s">
        <v>470</v>
      </c>
      <c r="G141" t="str">
        <f t="shared" si="33"/>
        <v>AMR</v>
      </c>
      <c r="H141">
        <v>2024</v>
      </c>
      <c r="I141">
        <v>4</v>
      </c>
      <c r="J141">
        <v>5</v>
      </c>
      <c r="K141">
        <f t="shared" si="34"/>
        <v>2028</v>
      </c>
      <c r="L141">
        <f t="shared" si="28"/>
        <v>2028</v>
      </c>
      <c r="M141" t="str">
        <f t="shared" si="29"/>
        <v>KY 2028</v>
      </c>
      <c r="N141" t="str">
        <f t="shared" si="35"/>
        <v>N</v>
      </c>
      <c r="O141">
        <f t="shared" si="30"/>
        <v>2028</v>
      </c>
      <c r="P141">
        <f t="shared" si="31"/>
        <v>4</v>
      </c>
      <c r="Q141" t="str">
        <f t="shared" si="36"/>
        <v>AMR</v>
      </c>
      <c r="R141" t="s">
        <v>266</v>
      </c>
      <c r="S141" t="str">
        <f t="shared" si="37"/>
        <v>KY</v>
      </c>
      <c r="T141">
        <f t="shared" si="32"/>
        <v>2028</v>
      </c>
      <c r="U141">
        <f t="shared" si="38"/>
        <v>4</v>
      </c>
      <c r="W141">
        <f t="shared" si="39"/>
        <v>2</v>
      </c>
      <c r="X141">
        <f t="shared" si="40"/>
        <v>0</v>
      </c>
      <c r="Y141">
        <f t="shared" si="41"/>
        <v>0</v>
      </c>
    </row>
    <row r="142" spans="1:25" hidden="1" x14ac:dyDescent="0.35">
      <c r="A142" t="s">
        <v>466</v>
      </c>
      <c r="B142" s="19" t="s">
        <v>478</v>
      </c>
      <c r="C142" t="s">
        <v>468</v>
      </c>
      <c r="D142" t="s">
        <v>469</v>
      </c>
      <c r="E142" t="s">
        <v>265</v>
      </c>
      <c r="F142" t="s">
        <v>470</v>
      </c>
      <c r="G142" t="str">
        <f t="shared" si="33"/>
        <v>AMR</v>
      </c>
      <c r="H142">
        <v>2024</v>
      </c>
      <c r="I142">
        <v>4</v>
      </c>
      <c r="J142">
        <v>365</v>
      </c>
      <c r="K142">
        <f t="shared" si="34"/>
        <v>2028</v>
      </c>
      <c r="L142">
        <f t="shared" si="28"/>
        <v>2028</v>
      </c>
      <c r="M142" t="str">
        <f t="shared" si="29"/>
        <v>KY 2028</v>
      </c>
      <c r="N142" t="str">
        <f t="shared" si="35"/>
        <v>N</v>
      </c>
      <c r="O142">
        <f t="shared" si="30"/>
        <v>2028</v>
      </c>
      <c r="P142">
        <f t="shared" si="31"/>
        <v>4</v>
      </c>
      <c r="Q142" t="str">
        <f t="shared" si="36"/>
        <v>AMR</v>
      </c>
      <c r="R142" t="s">
        <v>266</v>
      </c>
      <c r="S142" t="str">
        <f t="shared" si="37"/>
        <v>KY</v>
      </c>
      <c r="T142">
        <f t="shared" si="32"/>
        <v>2028</v>
      </c>
      <c r="U142">
        <f t="shared" si="38"/>
        <v>4</v>
      </c>
      <c r="W142">
        <f t="shared" si="39"/>
        <v>2</v>
      </c>
      <c r="X142">
        <f t="shared" si="40"/>
        <v>0</v>
      </c>
      <c r="Y142">
        <f t="shared" si="41"/>
        <v>0</v>
      </c>
    </row>
    <row r="143" spans="1:25" hidden="1" x14ac:dyDescent="0.35">
      <c r="A143" t="s">
        <v>466</v>
      </c>
      <c r="B143" s="19" t="s">
        <v>478</v>
      </c>
      <c r="C143" t="s">
        <v>468</v>
      </c>
      <c r="D143" t="s">
        <v>469</v>
      </c>
      <c r="E143" t="s">
        <v>265</v>
      </c>
      <c r="F143" t="s">
        <v>470</v>
      </c>
      <c r="G143" t="str">
        <f t="shared" si="33"/>
        <v>AMR</v>
      </c>
      <c r="H143">
        <v>2025</v>
      </c>
      <c r="I143">
        <v>4</v>
      </c>
      <c r="J143">
        <v>19</v>
      </c>
      <c r="K143">
        <f t="shared" si="34"/>
        <v>2029</v>
      </c>
      <c r="L143">
        <f t="shared" si="28"/>
        <v>2029</v>
      </c>
      <c r="M143" t="str">
        <f t="shared" si="29"/>
        <v>KY 2029</v>
      </c>
      <c r="N143" t="str">
        <f t="shared" si="35"/>
        <v>N</v>
      </c>
      <c r="O143">
        <f t="shared" si="30"/>
        <v>2029</v>
      </c>
      <c r="P143">
        <f t="shared" si="31"/>
        <v>4</v>
      </c>
      <c r="Q143" t="str">
        <f t="shared" si="36"/>
        <v>AMR</v>
      </c>
      <c r="R143" t="s">
        <v>266</v>
      </c>
      <c r="S143" t="str">
        <f t="shared" si="37"/>
        <v>KY</v>
      </c>
      <c r="T143">
        <f t="shared" si="32"/>
        <v>2029</v>
      </c>
      <c r="U143">
        <f t="shared" si="38"/>
        <v>4</v>
      </c>
      <c r="W143">
        <f t="shared" si="39"/>
        <v>1</v>
      </c>
      <c r="X143">
        <f t="shared" si="40"/>
        <v>0</v>
      </c>
      <c r="Y143">
        <f t="shared" si="41"/>
        <v>0</v>
      </c>
    </row>
    <row r="144" spans="1:25" hidden="1" x14ac:dyDescent="0.35">
      <c r="A144" t="s">
        <v>466</v>
      </c>
      <c r="B144" s="19" t="s">
        <v>478</v>
      </c>
      <c r="C144" t="s">
        <v>468</v>
      </c>
      <c r="D144" t="s">
        <v>469</v>
      </c>
      <c r="E144" t="s">
        <v>264</v>
      </c>
      <c r="F144" t="s">
        <v>471</v>
      </c>
      <c r="G144" t="str">
        <f t="shared" si="33"/>
        <v>AMR</v>
      </c>
      <c r="H144">
        <v>2023</v>
      </c>
      <c r="I144">
        <v>4</v>
      </c>
      <c r="J144">
        <v>5</v>
      </c>
      <c r="K144">
        <f t="shared" si="34"/>
        <v>2027</v>
      </c>
      <c r="L144">
        <f t="shared" si="28"/>
        <v>2027</v>
      </c>
      <c r="M144" t="str">
        <f t="shared" si="29"/>
        <v>KY 2027</v>
      </c>
      <c r="N144" t="str">
        <f t="shared" si="35"/>
        <v>N</v>
      </c>
      <c r="O144">
        <f t="shared" si="30"/>
        <v>2027</v>
      </c>
      <c r="P144">
        <f t="shared" si="31"/>
        <v>4</v>
      </c>
      <c r="Q144" t="str">
        <f t="shared" si="36"/>
        <v>AMR</v>
      </c>
      <c r="R144" t="s">
        <v>266</v>
      </c>
      <c r="S144" t="str">
        <f t="shared" si="37"/>
        <v>KY</v>
      </c>
      <c r="T144">
        <f t="shared" si="32"/>
        <v>2027</v>
      </c>
      <c r="U144">
        <f t="shared" si="38"/>
        <v>4</v>
      </c>
      <c r="W144">
        <f t="shared" si="39"/>
        <v>3</v>
      </c>
      <c r="X144">
        <f t="shared" si="40"/>
        <v>0</v>
      </c>
      <c r="Y144">
        <f t="shared" si="41"/>
        <v>0</v>
      </c>
    </row>
    <row r="145" spans="1:25" hidden="1" x14ac:dyDescent="0.35">
      <c r="A145" t="s">
        <v>466</v>
      </c>
      <c r="B145" s="19" t="s">
        <v>478</v>
      </c>
      <c r="C145" t="s">
        <v>468</v>
      </c>
      <c r="D145" t="s">
        <v>469</v>
      </c>
      <c r="E145" t="s">
        <v>264</v>
      </c>
      <c r="F145" t="s">
        <v>471</v>
      </c>
      <c r="G145" t="str">
        <f t="shared" si="33"/>
        <v>AMR</v>
      </c>
      <c r="H145">
        <v>2024</v>
      </c>
      <c r="I145">
        <v>4</v>
      </c>
      <c r="J145">
        <v>7</v>
      </c>
      <c r="K145">
        <f t="shared" si="34"/>
        <v>2028</v>
      </c>
      <c r="L145">
        <f t="shared" si="28"/>
        <v>2028</v>
      </c>
      <c r="M145" t="str">
        <f t="shared" si="29"/>
        <v>KY 2028</v>
      </c>
      <c r="N145" t="str">
        <f t="shared" si="35"/>
        <v>N</v>
      </c>
      <c r="O145">
        <f t="shared" si="30"/>
        <v>2028</v>
      </c>
      <c r="P145">
        <f t="shared" si="31"/>
        <v>4</v>
      </c>
      <c r="Q145" t="str">
        <f t="shared" si="36"/>
        <v>AMR</v>
      </c>
      <c r="R145" t="s">
        <v>266</v>
      </c>
      <c r="S145" t="str">
        <f t="shared" si="37"/>
        <v>KY</v>
      </c>
      <c r="T145">
        <f t="shared" si="32"/>
        <v>2028</v>
      </c>
      <c r="U145">
        <f t="shared" si="38"/>
        <v>4</v>
      </c>
      <c r="W145">
        <f t="shared" si="39"/>
        <v>2</v>
      </c>
      <c r="X145">
        <f t="shared" si="40"/>
        <v>0</v>
      </c>
      <c r="Y145">
        <f t="shared" si="41"/>
        <v>0</v>
      </c>
    </row>
    <row r="146" spans="1:25" hidden="1" x14ac:dyDescent="0.35">
      <c r="A146" t="s">
        <v>466</v>
      </c>
      <c r="B146" s="19" t="s">
        <v>478</v>
      </c>
      <c r="C146" t="s">
        <v>468</v>
      </c>
      <c r="D146" t="s">
        <v>469</v>
      </c>
      <c r="E146" t="s">
        <v>265</v>
      </c>
      <c r="F146" t="s">
        <v>471</v>
      </c>
      <c r="G146" t="str">
        <f t="shared" si="33"/>
        <v>AMR</v>
      </c>
      <c r="H146">
        <v>2023</v>
      </c>
      <c r="I146">
        <v>4</v>
      </c>
      <c r="J146">
        <v>368</v>
      </c>
      <c r="K146">
        <f t="shared" si="34"/>
        <v>2027</v>
      </c>
      <c r="L146">
        <f t="shared" si="28"/>
        <v>2027</v>
      </c>
      <c r="M146" t="str">
        <f t="shared" si="29"/>
        <v>KY 2027</v>
      </c>
      <c r="N146" t="str">
        <f t="shared" si="35"/>
        <v>N</v>
      </c>
      <c r="O146">
        <f t="shared" si="30"/>
        <v>2027</v>
      </c>
      <c r="P146">
        <f t="shared" si="31"/>
        <v>4</v>
      </c>
      <c r="Q146" t="str">
        <f t="shared" si="36"/>
        <v>AMR</v>
      </c>
      <c r="R146" t="s">
        <v>266</v>
      </c>
      <c r="S146" t="str">
        <f t="shared" si="37"/>
        <v>KY</v>
      </c>
      <c r="T146">
        <f t="shared" si="32"/>
        <v>2027</v>
      </c>
      <c r="U146">
        <f t="shared" si="38"/>
        <v>4</v>
      </c>
      <c r="W146">
        <f t="shared" si="39"/>
        <v>3</v>
      </c>
      <c r="X146">
        <f t="shared" si="40"/>
        <v>0</v>
      </c>
      <c r="Y146">
        <f t="shared" si="41"/>
        <v>0</v>
      </c>
    </row>
    <row r="147" spans="1:25" hidden="1" x14ac:dyDescent="0.35">
      <c r="A147" t="s">
        <v>466</v>
      </c>
      <c r="B147" s="19" t="s">
        <v>478</v>
      </c>
      <c r="C147" t="s">
        <v>468</v>
      </c>
      <c r="D147" t="s">
        <v>469</v>
      </c>
      <c r="E147" t="s">
        <v>265</v>
      </c>
      <c r="F147" t="s">
        <v>471</v>
      </c>
      <c r="G147" t="str">
        <f t="shared" si="33"/>
        <v>AMR</v>
      </c>
      <c r="H147">
        <v>2024</v>
      </c>
      <c r="I147">
        <v>4</v>
      </c>
      <c r="J147">
        <v>376</v>
      </c>
      <c r="K147">
        <f t="shared" si="34"/>
        <v>2028</v>
      </c>
      <c r="L147">
        <f t="shared" si="28"/>
        <v>2028</v>
      </c>
      <c r="M147" t="str">
        <f t="shared" si="29"/>
        <v>KY 2028</v>
      </c>
      <c r="N147" t="str">
        <f t="shared" si="35"/>
        <v>N</v>
      </c>
      <c r="O147">
        <f t="shared" si="30"/>
        <v>2028</v>
      </c>
      <c r="P147">
        <f t="shared" si="31"/>
        <v>4</v>
      </c>
      <c r="Q147" t="str">
        <f t="shared" si="36"/>
        <v>AMR</v>
      </c>
      <c r="R147" t="s">
        <v>266</v>
      </c>
      <c r="S147" t="str">
        <f t="shared" si="37"/>
        <v>KY</v>
      </c>
      <c r="T147">
        <f t="shared" si="32"/>
        <v>2028</v>
      </c>
      <c r="U147">
        <f t="shared" si="38"/>
        <v>4</v>
      </c>
      <c r="W147">
        <f t="shared" si="39"/>
        <v>2</v>
      </c>
      <c r="X147">
        <f t="shared" si="40"/>
        <v>0</v>
      </c>
      <c r="Y147">
        <f t="shared" si="41"/>
        <v>0</v>
      </c>
    </row>
    <row r="148" spans="1:25" hidden="1" x14ac:dyDescent="0.35">
      <c r="A148" t="s">
        <v>466</v>
      </c>
      <c r="B148" s="274" t="s">
        <v>478</v>
      </c>
      <c r="C148" t="s">
        <v>468</v>
      </c>
      <c r="D148" t="s">
        <v>479</v>
      </c>
      <c r="E148" t="s">
        <v>265</v>
      </c>
      <c r="F148" t="s">
        <v>471</v>
      </c>
      <c r="G148" t="str">
        <f t="shared" si="33"/>
        <v>AMR</v>
      </c>
      <c r="H148">
        <v>2020</v>
      </c>
      <c r="I148">
        <v>4</v>
      </c>
      <c r="J148">
        <v>1</v>
      </c>
      <c r="K148">
        <f t="shared" si="34"/>
        <v>2024</v>
      </c>
      <c r="L148">
        <f t="shared" si="28"/>
        <v>2025</v>
      </c>
      <c r="M148" t="str">
        <f t="shared" si="29"/>
        <v>KY 2025</v>
      </c>
      <c r="N148" t="str">
        <f t="shared" si="35"/>
        <v>N</v>
      </c>
      <c r="O148">
        <f t="shared" si="30"/>
        <v>2025</v>
      </c>
      <c r="P148">
        <f t="shared" si="31"/>
        <v>5</v>
      </c>
      <c r="Q148" t="str">
        <f t="shared" si="36"/>
        <v>AMR</v>
      </c>
      <c r="R148" t="s">
        <v>266</v>
      </c>
      <c r="S148" t="str">
        <f t="shared" si="37"/>
        <v>KY</v>
      </c>
      <c r="T148">
        <f t="shared" si="32"/>
        <v>2025</v>
      </c>
      <c r="U148">
        <f t="shared" si="38"/>
        <v>5</v>
      </c>
      <c r="W148">
        <f t="shared" si="39"/>
        <v>6</v>
      </c>
      <c r="X148">
        <f t="shared" si="40"/>
        <v>0</v>
      </c>
      <c r="Y148">
        <f t="shared" si="41"/>
        <v>0</v>
      </c>
    </row>
    <row r="149" spans="1:25" hidden="1" x14ac:dyDescent="0.35">
      <c r="A149" t="s">
        <v>466</v>
      </c>
      <c r="B149" s="19" t="s">
        <v>478</v>
      </c>
      <c r="C149" t="s">
        <v>468</v>
      </c>
      <c r="D149" t="s">
        <v>479</v>
      </c>
      <c r="E149" t="s">
        <v>264</v>
      </c>
      <c r="F149" t="s">
        <v>472</v>
      </c>
      <c r="G149" t="str">
        <f t="shared" si="33"/>
        <v>AMI</v>
      </c>
      <c r="H149">
        <v>2022</v>
      </c>
      <c r="I149">
        <v>4</v>
      </c>
      <c r="J149">
        <v>2</v>
      </c>
      <c r="K149">
        <f t="shared" si="34"/>
        <v>2026</v>
      </c>
      <c r="L149">
        <f t="shared" si="28"/>
        <v>2026</v>
      </c>
      <c r="M149" t="str">
        <f t="shared" si="29"/>
        <v>KY 2026</v>
      </c>
      <c r="N149" t="str">
        <f t="shared" si="35"/>
        <v>Y</v>
      </c>
      <c r="O149">
        <f t="shared" si="30"/>
        <v>2026</v>
      </c>
      <c r="P149">
        <f t="shared" si="31"/>
        <v>4</v>
      </c>
      <c r="Q149" t="str">
        <f t="shared" si="36"/>
        <v>AMI</v>
      </c>
      <c r="R149" t="s">
        <v>266</v>
      </c>
      <c r="S149" t="str">
        <f t="shared" si="37"/>
        <v>KY</v>
      </c>
      <c r="T149">
        <f t="shared" si="32"/>
        <v>2026</v>
      </c>
      <c r="U149">
        <f t="shared" si="38"/>
        <v>4</v>
      </c>
      <c r="W149">
        <f t="shared" si="39"/>
        <v>4</v>
      </c>
      <c r="X149">
        <f t="shared" si="40"/>
        <v>0</v>
      </c>
      <c r="Y149">
        <f t="shared" si="41"/>
        <v>0</v>
      </c>
    </row>
    <row r="150" spans="1:25" hidden="1" x14ac:dyDescent="0.35">
      <c r="A150" t="s">
        <v>466</v>
      </c>
      <c r="B150" s="19" t="s">
        <v>478</v>
      </c>
      <c r="C150" t="s">
        <v>468</v>
      </c>
      <c r="D150" t="s">
        <v>479</v>
      </c>
      <c r="E150" t="s">
        <v>265</v>
      </c>
      <c r="F150" t="s">
        <v>472</v>
      </c>
      <c r="G150" t="str">
        <f t="shared" si="33"/>
        <v>AMI</v>
      </c>
      <c r="H150">
        <v>2020</v>
      </c>
      <c r="I150">
        <v>4</v>
      </c>
      <c r="J150">
        <v>1</v>
      </c>
      <c r="K150">
        <f t="shared" si="34"/>
        <v>2024</v>
      </c>
      <c r="L150">
        <f t="shared" si="28"/>
        <v>2025</v>
      </c>
      <c r="M150" t="str">
        <f t="shared" si="29"/>
        <v>KY 2025</v>
      </c>
      <c r="N150" t="str">
        <f t="shared" si="35"/>
        <v>Y</v>
      </c>
      <c r="O150">
        <f t="shared" si="30"/>
        <v>2025</v>
      </c>
      <c r="P150">
        <f t="shared" si="31"/>
        <v>5</v>
      </c>
      <c r="Q150" t="str">
        <f t="shared" si="36"/>
        <v>AMI</v>
      </c>
      <c r="R150" t="s">
        <v>266</v>
      </c>
      <c r="S150" t="str">
        <f t="shared" si="37"/>
        <v>KY</v>
      </c>
      <c r="T150">
        <f t="shared" si="32"/>
        <v>2025</v>
      </c>
      <c r="U150">
        <f t="shared" si="38"/>
        <v>5</v>
      </c>
      <c r="W150">
        <f t="shared" si="39"/>
        <v>6</v>
      </c>
      <c r="X150">
        <f t="shared" si="40"/>
        <v>0</v>
      </c>
      <c r="Y150">
        <f t="shared" si="41"/>
        <v>0</v>
      </c>
    </row>
    <row r="151" spans="1:25" hidden="1" x14ac:dyDescent="0.35">
      <c r="A151" t="s">
        <v>466</v>
      </c>
      <c r="B151" s="19" t="s">
        <v>478</v>
      </c>
      <c r="C151" t="s">
        <v>468</v>
      </c>
      <c r="D151" t="s">
        <v>479</v>
      </c>
      <c r="E151" t="s">
        <v>265</v>
      </c>
      <c r="F151" t="s">
        <v>472</v>
      </c>
      <c r="G151" t="str">
        <f t="shared" si="33"/>
        <v>AMI</v>
      </c>
      <c r="H151">
        <v>2021</v>
      </c>
      <c r="I151">
        <v>4</v>
      </c>
      <c r="J151">
        <v>2</v>
      </c>
      <c r="K151">
        <f t="shared" si="34"/>
        <v>2025</v>
      </c>
      <c r="L151">
        <f t="shared" si="28"/>
        <v>2025</v>
      </c>
      <c r="M151" t="str">
        <f t="shared" si="29"/>
        <v>KY 2025</v>
      </c>
      <c r="N151" t="str">
        <f t="shared" si="35"/>
        <v>Y</v>
      </c>
      <c r="O151">
        <f t="shared" si="30"/>
        <v>2025</v>
      </c>
      <c r="P151">
        <f t="shared" si="31"/>
        <v>4</v>
      </c>
      <c r="Q151" t="str">
        <f t="shared" si="36"/>
        <v>AMI</v>
      </c>
      <c r="R151" t="s">
        <v>266</v>
      </c>
      <c r="S151" t="str">
        <f t="shared" si="37"/>
        <v>KY</v>
      </c>
      <c r="T151">
        <f t="shared" si="32"/>
        <v>2025</v>
      </c>
      <c r="U151">
        <f t="shared" si="38"/>
        <v>4</v>
      </c>
      <c r="W151">
        <f t="shared" si="39"/>
        <v>5</v>
      </c>
      <c r="X151">
        <f t="shared" si="40"/>
        <v>0</v>
      </c>
      <c r="Y151">
        <f t="shared" si="41"/>
        <v>0</v>
      </c>
    </row>
    <row r="152" spans="1:25" hidden="1" x14ac:dyDescent="0.35">
      <c r="A152" t="s">
        <v>466</v>
      </c>
      <c r="B152" s="19" t="s">
        <v>478</v>
      </c>
      <c r="C152" t="s">
        <v>468</v>
      </c>
      <c r="D152" t="s">
        <v>479</v>
      </c>
      <c r="E152" t="s">
        <v>265</v>
      </c>
      <c r="F152" t="s">
        <v>472</v>
      </c>
      <c r="G152" t="str">
        <f t="shared" si="33"/>
        <v>AMI</v>
      </c>
      <c r="H152">
        <v>2022</v>
      </c>
      <c r="I152">
        <v>4</v>
      </c>
      <c r="J152">
        <v>11</v>
      </c>
      <c r="K152">
        <f t="shared" si="34"/>
        <v>2026</v>
      </c>
      <c r="L152">
        <f t="shared" si="28"/>
        <v>2026</v>
      </c>
      <c r="M152" t="str">
        <f t="shared" si="29"/>
        <v>KY 2026</v>
      </c>
      <c r="N152" t="str">
        <f t="shared" si="35"/>
        <v>Y</v>
      </c>
      <c r="O152">
        <f t="shared" si="30"/>
        <v>2026</v>
      </c>
      <c r="P152">
        <f t="shared" si="31"/>
        <v>4</v>
      </c>
      <c r="Q152" t="str">
        <f t="shared" si="36"/>
        <v>AMI</v>
      </c>
      <c r="R152" t="s">
        <v>266</v>
      </c>
      <c r="S152" t="str">
        <f t="shared" si="37"/>
        <v>KY</v>
      </c>
      <c r="T152">
        <f t="shared" si="32"/>
        <v>2026</v>
      </c>
      <c r="U152">
        <f t="shared" si="38"/>
        <v>4</v>
      </c>
      <c r="W152">
        <f t="shared" si="39"/>
        <v>4</v>
      </c>
      <c r="X152">
        <f t="shared" si="40"/>
        <v>0</v>
      </c>
      <c r="Y152">
        <f t="shared" si="41"/>
        <v>0</v>
      </c>
    </row>
    <row r="153" spans="1:25" hidden="1" x14ac:dyDescent="0.35">
      <c r="A153" t="s">
        <v>466</v>
      </c>
      <c r="B153" s="19" t="s">
        <v>478</v>
      </c>
      <c r="C153" t="s">
        <v>468</v>
      </c>
      <c r="D153" t="s">
        <v>479</v>
      </c>
      <c r="E153" t="s">
        <v>265</v>
      </c>
      <c r="F153" t="s">
        <v>470</v>
      </c>
      <c r="G153" t="str">
        <f t="shared" si="33"/>
        <v>AMR</v>
      </c>
      <c r="H153">
        <v>2021</v>
      </c>
      <c r="I153">
        <v>4</v>
      </c>
      <c r="J153">
        <v>1</v>
      </c>
      <c r="K153">
        <f t="shared" si="34"/>
        <v>2025</v>
      </c>
      <c r="L153">
        <f t="shared" si="28"/>
        <v>2025</v>
      </c>
      <c r="M153" t="str">
        <f t="shared" si="29"/>
        <v>KY 2025</v>
      </c>
      <c r="N153" t="str">
        <f t="shared" si="35"/>
        <v>N</v>
      </c>
      <c r="O153">
        <f t="shared" si="30"/>
        <v>2025</v>
      </c>
      <c r="P153">
        <f t="shared" si="31"/>
        <v>4</v>
      </c>
      <c r="Q153" t="str">
        <f t="shared" si="36"/>
        <v>AMR</v>
      </c>
      <c r="R153" t="s">
        <v>266</v>
      </c>
      <c r="S153" t="str">
        <f t="shared" si="37"/>
        <v>KY</v>
      </c>
      <c r="T153">
        <f t="shared" si="32"/>
        <v>2025</v>
      </c>
      <c r="U153">
        <f t="shared" si="38"/>
        <v>4</v>
      </c>
      <c r="W153">
        <f t="shared" si="39"/>
        <v>5</v>
      </c>
      <c r="X153">
        <f t="shared" si="40"/>
        <v>0</v>
      </c>
      <c r="Y153">
        <f t="shared" si="41"/>
        <v>0</v>
      </c>
    </row>
    <row r="154" spans="1:25" hidden="1" x14ac:dyDescent="0.35">
      <c r="A154" t="s">
        <v>466</v>
      </c>
      <c r="B154" s="19" t="s">
        <v>478</v>
      </c>
      <c r="C154" t="s">
        <v>468</v>
      </c>
      <c r="D154" t="s">
        <v>479</v>
      </c>
      <c r="E154" t="s">
        <v>265</v>
      </c>
      <c r="F154" t="s">
        <v>480</v>
      </c>
      <c r="G154" t="str">
        <f t="shared" si="33"/>
        <v>AMI</v>
      </c>
      <c r="H154">
        <v>2022</v>
      </c>
      <c r="I154">
        <v>4</v>
      </c>
      <c r="J154">
        <v>1</v>
      </c>
      <c r="K154">
        <f t="shared" si="34"/>
        <v>2026</v>
      </c>
      <c r="L154">
        <f t="shared" si="28"/>
        <v>2026</v>
      </c>
      <c r="M154" t="str">
        <f t="shared" si="29"/>
        <v>KY 2026</v>
      </c>
      <c r="N154" t="str">
        <f t="shared" si="35"/>
        <v>Y</v>
      </c>
      <c r="O154">
        <f t="shared" si="30"/>
        <v>2026</v>
      </c>
      <c r="P154">
        <f t="shared" si="31"/>
        <v>4</v>
      </c>
      <c r="Q154" t="str">
        <f t="shared" si="36"/>
        <v>AMI</v>
      </c>
      <c r="R154" t="s">
        <v>266</v>
      </c>
      <c r="S154" t="str">
        <f t="shared" si="37"/>
        <v>KY</v>
      </c>
      <c r="T154">
        <f t="shared" si="32"/>
        <v>2026</v>
      </c>
      <c r="U154">
        <f t="shared" si="38"/>
        <v>4</v>
      </c>
      <c r="W154">
        <f t="shared" si="39"/>
        <v>4</v>
      </c>
      <c r="X154">
        <f t="shared" si="40"/>
        <v>0</v>
      </c>
      <c r="Y154">
        <f t="shared" si="41"/>
        <v>0</v>
      </c>
    </row>
    <row r="155" spans="1:25" hidden="1" x14ac:dyDescent="0.35">
      <c r="A155" t="s">
        <v>466</v>
      </c>
      <c r="B155" s="19" t="s">
        <v>478</v>
      </c>
      <c r="C155" t="s">
        <v>468</v>
      </c>
      <c r="D155" t="s">
        <v>479</v>
      </c>
      <c r="E155" t="s">
        <v>264</v>
      </c>
      <c r="F155" t="s">
        <v>471</v>
      </c>
      <c r="G155" t="str">
        <f t="shared" si="33"/>
        <v>AMR</v>
      </c>
      <c r="H155">
        <v>2022</v>
      </c>
      <c r="I155">
        <v>4</v>
      </c>
      <c r="J155">
        <v>2</v>
      </c>
      <c r="K155">
        <f t="shared" si="34"/>
        <v>2026</v>
      </c>
      <c r="L155">
        <f t="shared" si="28"/>
        <v>2026</v>
      </c>
      <c r="M155" t="str">
        <f t="shared" si="29"/>
        <v>KY 2026</v>
      </c>
      <c r="N155" t="str">
        <f t="shared" si="35"/>
        <v>N</v>
      </c>
      <c r="O155">
        <f t="shared" si="30"/>
        <v>2026</v>
      </c>
      <c r="P155">
        <f t="shared" si="31"/>
        <v>4</v>
      </c>
      <c r="Q155" t="str">
        <f t="shared" si="36"/>
        <v>AMR</v>
      </c>
      <c r="R155" t="s">
        <v>266</v>
      </c>
      <c r="S155" t="str">
        <f t="shared" si="37"/>
        <v>KY</v>
      </c>
      <c r="T155">
        <f t="shared" si="32"/>
        <v>2026</v>
      </c>
      <c r="U155">
        <f t="shared" si="38"/>
        <v>4</v>
      </c>
      <c r="W155">
        <f t="shared" si="39"/>
        <v>4</v>
      </c>
      <c r="X155">
        <f t="shared" si="40"/>
        <v>0</v>
      </c>
      <c r="Y155">
        <f t="shared" si="41"/>
        <v>0</v>
      </c>
    </row>
    <row r="156" spans="1:25" hidden="1" x14ac:dyDescent="0.35">
      <c r="A156" t="s">
        <v>466</v>
      </c>
      <c r="B156" s="19" t="s">
        <v>478</v>
      </c>
      <c r="C156" t="s">
        <v>468</v>
      </c>
      <c r="D156" t="s">
        <v>479</v>
      </c>
      <c r="E156" t="s">
        <v>265</v>
      </c>
      <c r="F156" t="s">
        <v>471</v>
      </c>
      <c r="G156" t="str">
        <f t="shared" si="33"/>
        <v>AMR</v>
      </c>
      <c r="H156">
        <v>2019</v>
      </c>
      <c r="I156">
        <v>4</v>
      </c>
      <c r="J156">
        <v>1</v>
      </c>
      <c r="K156">
        <f t="shared" si="34"/>
        <v>2023</v>
      </c>
      <c r="L156">
        <f t="shared" si="28"/>
        <v>2025</v>
      </c>
      <c r="M156" t="str">
        <f t="shared" si="29"/>
        <v>KY 2025</v>
      </c>
      <c r="N156" t="str">
        <f t="shared" si="35"/>
        <v>N</v>
      </c>
      <c r="O156">
        <f t="shared" si="30"/>
        <v>2025</v>
      </c>
      <c r="P156">
        <f t="shared" si="31"/>
        <v>6</v>
      </c>
      <c r="Q156" t="str">
        <f t="shared" si="36"/>
        <v>AMR</v>
      </c>
      <c r="R156" t="s">
        <v>266</v>
      </c>
      <c r="S156" t="str">
        <f t="shared" si="37"/>
        <v>KY</v>
      </c>
      <c r="T156">
        <f t="shared" si="32"/>
        <v>2025</v>
      </c>
      <c r="U156">
        <f t="shared" si="38"/>
        <v>6</v>
      </c>
      <c r="W156">
        <f t="shared" si="39"/>
        <v>7</v>
      </c>
      <c r="X156">
        <f t="shared" si="40"/>
        <v>0</v>
      </c>
      <c r="Y156">
        <f t="shared" si="41"/>
        <v>0</v>
      </c>
    </row>
    <row r="157" spans="1:25" hidden="1" x14ac:dyDescent="0.35">
      <c r="A157" t="s">
        <v>466</v>
      </c>
      <c r="B157" s="19" t="s">
        <v>478</v>
      </c>
      <c r="C157" t="s">
        <v>468</v>
      </c>
      <c r="D157" t="s">
        <v>479</v>
      </c>
      <c r="E157" t="s">
        <v>265</v>
      </c>
      <c r="F157" t="s">
        <v>471</v>
      </c>
      <c r="G157" t="str">
        <f t="shared" si="33"/>
        <v>AMR</v>
      </c>
      <c r="H157">
        <v>2020</v>
      </c>
      <c r="I157">
        <v>4</v>
      </c>
      <c r="J157">
        <v>13</v>
      </c>
      <c r="K157">
        <f t="shared" si="34"/>
        <v>2024</v>
      </c>
      <c r="L157">
        <f t="shared" si="28"/>
        <v>2025</v>
      </c>
      <c r="M157" t="str">
        <f t="shared" si="29"/>
        <v>KY 2025</v>
      </c>
      <c r="N157" t="str">
        <f t="shared" si="35"/>
        <v>N</v>
      </c>
      <c r="O157">
        <f t="shared" si="30"/>
        <v>2025</v>
      </c>
      <c r="P157">
        <f t="shared" si="31"/>
        <v>5</v>
      </c>
      <c r="Q157" t="str">
        <f t="shared" si="36"/>
        <v>AMR</v>
      </c>
      <c r="R157" t="s">
        <v>266</v>
      </c>
      <c r="S157" t="str">
        <f t="shared" si="37"/>
        <v>KY</v>
      </c>
      <c r="T157">
        <f t="shared" si="32"/>
        <v>2025</v>
      </c>
      <c r="U157">
        <f t="shared" si="38"/>
        <v>5</v>
      </c>
      <c r="W157">
        <f t="shared" si="39"/>
        <v>6</v>
      </c>
      <c r="X157">
        <f t="shared" si="40"/>
        <v>0</v>
      </c>
      <c r="Y157">
        <f t="shared" si="41"/>
        <v>0</v>
      </c>
    </row>
    <row r="158" spans="1:25" hidden="1" x14ac:dyDescent="0.35">
      <c r="A158" t="s">
        <v>466</v>
      </c>
      <c r="B158" s="19" t="s">
        <v>478</v>
      </c>
      <c r="C158" t="s">
        <v>468</v>
      </c>
      <c r="D158" t="s">
        <v>479</v>
      </c>
      <c r="E158" t="s">
        <v>265</v>
      </c>
      <c r="F158" t="s">
        <v>471</v>
      </c>
      <c r="G158" t="str">
        <f t="shared" si="33"/>
        <v>AMR</v>
      </c>
      <c r="H158">
        <v>2021</v>
      </c>
      <c r="I158">
        <v>4</v>
      </c>
      <c r="J158">
        <v>5</v>
      </c>
      <c r="K158">
        <f t="shared" si="34"/>
        <v>2025</v>
      </c>
      <c r="L158">
        <f t="shared" si="28"/>
        <v>2025</v>
      </c>
      <c r="M158" t="str">
        <f t="shared" si="29"/>
        <v>KY 2025</v>
      </c>
      <c r="N158" t="str">
        <f t="shared" si="35"/>
        <v>N</v>
      </c>
      <c r="O158">
        <f t="shared" si="30"/>
        <v>2025</v>
      </c>
      <c r="P158">
        <f t="shared" si="31"/>
        <v>4</v>
      </c>
      <c r="Q158" t="str">
        <f t="shared" si="36"/>
        <v>AMR</v>
      </c>
      <c r="R158" t="s">
        <v>266</v>
      </c>
      <c r="S158" t="str">
        <f t="shared" si="37"/>
        <v>KY</v>
      </c>
      <c r="T158">
        <f t="shared" si="32"/>
        <v>2025</v>
      </c>
      <c r="U158">
        <f t="shared" si="38"/>
        <v>4</v>
      </c>
      <c r="W158">
        <f t="shared" si="39"/>
        <v>5</v>
      </c>
      <c r="X158">
        <f t="shared" si="40"/>
        <v>0</v>
      </c>
      <c r="Y158">
        <f t="shared" si="41"/>
        <v>0</v>
      </c>
    </row>
    <row r="159" spans="1:25" hidden="1" x14ac:dyDescent="0.35">
      <c r="A159" t="s">
        <v>466</v>
      </c>
      <c r="B159" s="19" t="s">
        <v>478</v>
      </c>
      <c r="C159" t="s">
        <v>468</v>
      </c>
      <c r="D159" t="s">
        <v>479</v>
      </c>
      <c r="E159" t="s">
        <v>265</v>
      </c>
      <c r="F159" t="s">
        <v>471</v>
      </c>
      <c r="G159" t="str">
        <f t="shared" si="33"/>
        <v>AMR</v>
      </c>
      <c r="H159">
        <v>2022</v>
      </c>
      <c r="I159">
        <v>4</v>
      </c>
      <c r="J159">
        <v>15</v>
      </c>
      <c r="K159">
        <f t="shared" si="34"/>
        <v>2026</v>
      </c>
      <c r="L159">
        <f t="shared" si="28"/>
        <v>2026</v>
      </c>
      <c r="M159" t="str">
        <f t="shared" si="29"/>
        <v>KY 2026</v>
      </c>
      <c r="N159" t="str">
        <f t="shared" si="35"/>
        <v>N</v>
      </c>
      <c r="O159">
        <f t="shared" si="30"/>
        <v>2026</v>
      </c>
      <c r="P159">
        <f t="shared" si="31"/>
        <v>4</v>
      </c>
      <c r="Q159" t="str">
        <f t="shared" si="36"/>
        <v>AMR</v>
      </c>
      <c r="R159" t="s">
        <v>266</v>
      </c>
      <c r="S159" t="str">
        <f t="shared" si="37"/>
        <v>KY</v>
      </c>
      <c r="T159">
        <f t="shared" si="32"/>
        <v>2026</v>
      </c>
      <c r="U159">
        <f t="shared" si="38"/>
        <v>4</v>
      </c>
      <c r="W159">
        <f t="shared" si="39"/>
        <v>4</v>
      </c>
      <c r="X159">
        <f t="shared" si="40"/>
        <v>0</v>
      </c>
      <c r="Y159">
        <f t="shared" si="41"/>
        <v>0</v>
      </c>
    </row>
    <row r="160" spans="1:25" hidden="1" x14ac:dyDescent="0.35">
      <c r="A160" t="s">
        <v>466</v>
      </c>
      <c r="B160" s="19" t="s">
        <v>478</v>
      </c>
      <c r="C160" t="s">
        <v>468</v>
      </c>
      <c r="D160" t="s">
        <v>479</v>
      </c>
      <c r="E160" t="s">
        <v>265</v>
      </c>
      <c r="F160" t="s">
        <v>471</v>
      </c>
      <c r="G160" t="str">
        <f t="shared" si="33"/>
        <v>AMR</v>
      </c>
      <c r="H160">
        <v>2023</v>
      </c>
      <c r="I160">
        <v>4</v>
      </c>
      <c r="J160">
        <v>4</v>
      </c>
      <c r="K160">
        <f t="shared" si="34"/>
        <v>2027</v>
      </c>
      <c r="L160">
        <f t="shared" si="28"/>
        <v>2027</v>
      </c>
      <c r="M160" t="str">
        <f t="shared" si="29"/>
        <v>KY 2027</v>
      </c>
      <c r="N160" t="str">
        <f t="shared" si="35"/>
        <v>N</v>
      </c>
      <c r="O160">
        <f t="shared" si="30"/>
        <v>2027</v>
      </c>
      <c r="P160">
        <f t="shared" si="31"/>
        <v>4</v>
      </c>
      <c r="Q160" t="str">
        <f t="shared" si="36"/>
        <v>AMR</v>
      </c>
      <c r="R160" t="s">
        <v>266</v>
      </c>
      <c r="S160" t="str">
        <f t="shared" si="37"/>
        <v>KY</v>
      </c>
      <c r="T160">
        <f t="shared" si="32"/>
        <v>2027</v>
      </c>
      <c r="U160">
        <f t="shared" si="38"/>
        <v>4</v>
      </c>
      <c r="W160">
        <f t="shared" si="39"/>
        <v>3</v>
      </c>
      <c r="X160">
        <f t="shared" si="40"/>
        <v>0</v>
      </c>
      <c r="Y160">
        <f t="shared" si="41"/>
        <v>0</v>
      </c>
    </row>
    <row r="161" spans="1:25" hidden="1" x14ac:dyDescent="0.35">
      <c r="A161" t="s">
        <v>466</v>
      </c>
      <c r="B161" s="19" t="s">
        <v>478</v>
      </c>
      <c r="C161" t="s">
        <v>468</v>
      </c>
      <c r="D161" t="s">
        <v>477</v>
      </c>
      <c r="E161" t="s">
        <v>265</v>
      </c>
      <c r="G161" t="str">
        <f t="shared" si="33"/>
        <v>Manual</v>
      </c>
      <c r="H161">
        <v>2022</v>
      </c>
      <c r="I161">
        <v>4</v>
      </c>
      <c r="J161">
        <v>1</v>
      </c>
      <c r="K161">
        <f t="shared" si="34"/>
        <v>2026</v>
      </c>
      <c r="L161">
        <f t="shared" si="28"/>
        <v>2026</v>
      </c>
      <c r="M161" t="str">
        <f t="shared" si="29"/>
        <v>KY 2026</v>
      </c>
      <c r="N161" t="str">
        <f t="shared" si="35"/>
        <v>N</v>
      </c>
      <c r="O161">
        <f t="shared" si="30"/>
        <v>2026</v>
      </c>
      <c r="P161">
        <f t="shared" si="31"/>
        <v>4</v>
      </c>
      <c r="Q161" t="str">
        <f t="shared" si="36"/>
        <v>Manual</v>
      </c>
      <c r="R161" t="s">
        <v>266</v>
      </c>
      <c r="S161" t="str">
        <f t="shared" si="37"/>
        <v>KY</v>
      </c>
      <c r="T161">
        <f t="shared" si="32"/>
        <v>2026</v>
      </c>
      <c r="U161">
        <f t="shared" si="38"/>
        <v>4</v>
      </c>
      <c r="W161">
        <f t="shared" si="39"/>
        <v>4</v>
      </c>
      <c r="X161">
        <f t="shared" si="40"/>
        <v>0</v>
      </c>
      <c r="Y161">
        <f t="shared" si="41"/>
        <v>0</v>
      </c>
    </row>
    <row r="162" spans="1:25" hidden="1" x14ac:dyDescent="0.35">
      <c r="A162" t="s">
        <v>466</v>
      </c>
      <c r="B162" s="19" t="s">
        <v>478</v>
      </c>
      <c r="C162" t="s">
        <v>468</v>
      </c>
      <c r="D162" t="s">
        <v>477</v>
      </c>
      <c r="E162" t="s">
        <v>265</v>
      </c>
      <c r="F162" t="s">
        <v>470</v>
      </c>
      <c r="G162" t="str">
        <f t="shared" si="33"/>
        <v>AMR</v>
      </c>
      <c r="H162">
        <v>2025</v>
      </c>
      <c r="I162">
        <v>4</v>
      </c>
      <c r="J162">
        <v>1</v>
      </c>
      <c r="K162">
        <f t="shared" si="34"/>
        <v>2029</v>
      </c>
      <c r="L162">
        <f t="shared" si="28"/>
        <v>2029</v>
      </c>
      <c r="M162" t="str">
        <f t="shared" si="29"/>
        <v>KY 2029</v>
      </c>
      <c r="N162" t="str">
        <f t="shared" si="35"/>
        <v>N</v>
      </c>
      <c r="O162">
        <f t="shared" si="30"/>
        <v>2029</v>
      </c>
      <c r="P162">
        <f t="shared" si="31"/>
        <v>4</v>
      </c>
      <c r="Q162" t="str">
        <f t="shared" si="36"/>
        <v>AMR</v>
      </c>
      <c r="R162" t="s">
        <v>266</v>
      </c>
      <c r="S162" t="str">
        <f t="shared" si="37"/>
        <v>KY</v>
      </c>
      <c r="T162">
        <f t="shared" si="32"/>
        <v>2029</v>
      </c>
      <c r="U162">
        <f t="shared" si="38"/>
        <v>4</v>
      </c>
      <c r="W162">
        <f t="shared" si="39"/>
        <v>1</v>
      </c>
      <c r="X162">
        <f t="shared" si="40"/>
        <v>0</v>
      </c>
      <c r="Y162">
        <f t="shared" si="41"/>
        <v>0</v>
      </c>
    </row>
    <row r="163" spans="1:25" hidden="1" x14ac:dyDescent="0.35">
      <c r="A163" t="s">
        <v>466</v>
      </c>
      <c r="B163" s="19" t="s">
        <v>478</v>
      </c>
      <c r="C163" t="s">
        <v>468</v>
      </c>
      <c r="D163" t="s">
        <v>477</v>
      </c>
      <c r="E163" t="s">
        <v>265</v>
      </c>
      <c r="F163" t="s">
        <v>471</v>
      </c>
      <c r="G163" t="str">
        <f t="shared" si="33"/>
        <v>AMR</v>
      </c>
      <c r="H163">
        <v>2018</v>
      </c>
      <c r="I163">
        <v>4</v>
      </c>
      <c r="J163">
        <v>1</v>
      </c>
      <c r="K163">
        <f t="shared" si="34"/>
        <v>2022</v>
      </c>
      <c r="L163">
        <f t="shared" si="28"/>
        <v>2025</v>
      </c>
      <c r="M163" t="str">
        <f t="shared" si="29"/>
        <v>KY 2025</v>
      </c>
      <c r="N163" t="str">
        <f t="shared" si="35"/>
        <v>N</v>
      </c>
      <c r="O163">
        <f t="shared" si="30"/>
        <v>2025</v>
      </c>
      <c r="P163">
        <f t="shared" si="31"/>
        <v>7</v>
      </c>
      <c r="Q163" t="str">
        <f t="shared" si="36"/>
        <v>AMR</v>
      </c>
      <c r="R163" t="s">
        <v>266</v>
      </c>
      <c r="S163" t="str">
        <f t="shared" si="37"/>
        <v>KY</v>
      </c>
      <c r="T163">
        <f t="shared" si="32"/>
        <v>2025</v>
      </c>
      <c r="U163">
        <f t="shared" si="38"/>
        <v>7</v>
      </c>
      <c r="W163">
        <f t="shared" si="39"/>
        <v>8</v>
      </c>
      <c r="X163">
        <f t="shared" si="40"/>
        <v>0</v>
      </c>
      <c r="Y163">
        <f t="shared" si="41"/>
        <v>0</v>
      </c>
    </row>
    <row r="164" spans="1:25" hidden="1" x14ac:dyDescent="0.35">
      <c r="A164" t="s">
        <v>466</v>
      </c>
      <c r="B164" s="19" t="s">
        <v>478</v>
      </c>
      <c r="C164" t="s">
        <v>468</v>
      </c>
      <c r="D164" t="s">
        <v>477</v>
      </c>
      <c r="E164" t="s">
        <v>265</v>
      </c>
      <c r="F164" t="s">
        <v>471</v>
      </c>
      <c r="G164" t="str">
        <f t="shared" si="33"/>
        <v>AMR</v>
      </c>
      <c r="H164">
        <v>2022</v>
      </c>
      <c r="I164">
        <v>4</v>
      </c>
      <c r="J164">
        <v>3</v>
      </c>
      <c r="K164">
        <f t="shared" si="34"/>
        <v>2026</v>
      </c>
      <c r="L164">
        <f t="shared" si="28"/>
        <v>2026</v>
      </c>
      <c r="M164" t="str">
        <f t="shared" si="29"/>
        <v>KY 2026</v>
      </c>
      <c r="N164" t="str">
        <f t="shared" si="35"/>
        <v>N</v>
      </c>
      <c r="O164">
        <f t="shared" si="30"/>
        <v>2026</v>
      </c>
      <c r="P164">
        <f t="shared" si="31"/>
        <v>4</v>
      </c>
      <c r="Q164" t="str">
        <f t="shared" si="36"/>
        <v>AMR</v>
      </c>
      <c r="R164" t="s">
        <v>266</v>
      </c>
      <c r="S164" t="str">
        <f t="shared" si="37"/>
        <v>KY</v>
      </c>
      <c r="T164">
        <f t="shared" si="32"/>
        <v>2026</v>
      </c>
      <c r="U164">
        <f t="shared" si="38"/>
        <v>4</v>
      </c>
      <c r="W164">
        <f t="shared" si="39"/>
        <v>4</v>
      </c>
      <c r="X164">
        <f t="shared" si="40"/>
        <v>0</v>
      </c>
      <c r="Y164">
        <f t="shared" si="41"/>
        <v>0</v>
      </c>
    </row>
    <row r="165" spans="1:25" hidden="1" x14ac:dyDescent="0.35">
      <c r="A165" t="s">
        <v>466</v>
      </c>
      <c r="B165" s="19" t="s">
        <v>478</v>
      </c>
      <c r="C165" t="s">
        <v>468</v>
      </c>
      <c r="D165" t="s">
        <v>477</v>
      </c>
      <c r="E165" t="s">
        <v>265</v>
      </c>
      <c r="F165" t="s">
        <v>472</v>
      </c>
      <c r="G165" t="str">
        <f t="shared" si="33"/>
        <v>AMI</v>
      </c>
      <c r="H165">
        <v>2018</v>
      </c>
      <c r="I165">
        <v>4</v>
      </c>
      <c r="J165">
        <v>1</v>
      </c>
      <c r="K165">
        <f t="shared" si="34"/>
        <v>2022</v>
      </c>
      <c r="L165">
        <f t="shared" si="28"/>
        <v>2025</v>
      </c>
      <c r="M165" t="str">
        <f t="shared" si="29"/>
        <v>KY 2025</v>
      </c>
      <c r="N165" t="str">
        <f t="shared" si="35"/>
        <v>Y</v>
      </c>
      <c r="O165">
        <f t="shared" si="30"/>
        <v>2025</v>
      </c>
      <c r="P165">
        <f t="shared" si="31"/>
        <v>7</v>
      </c>
      <c r="Q165" t="str">
        <f t="shared" si="36"/>
        <v>AMI</v>
      </c>
      <c r="R165" t="s">
        <v>266</v>
      </c>
      <c r="S165" t="str">
        <f t="shared" si="37"/>
        <v>KY</v>
      </c>
      <c r="T165">
        <f t="shared" si="32"/>
        <v>2025</v>
      </c>
      <c r="U165">
        <f t="shared" si="38"/>
        <v>7</v>
      </c>
      <c r="W165">
        <f t="shared" si="39"/>
        <v>8</v>
      </c>
      <c r="X165">
        <f t="shared" si="40"/>
        <v>0</v>
      </c>
      <c r="Y165">
        <f t="shared" si="41"/>
        <v>0</v>
      </c>
    </row>
    <row r="166" spans="1:25" hidden="1" x14ac:dyDescent="0.35">
      <c r="A166" t="s">
        <v>466</v>
      </c>
      <c r="B166" s="19" t="s">
        <v>478</v>
      </c>
      <c r="C166" t="s">
        <v>468</v>
      </c>
      <c r="D166" t="s">
        <v>477</v>
      </c>
      <c r="E166" t="s">
        <v>265</v>
      </c>
      <c r="F166" t="s">
        <v>472</v>
      </c>
      <c r="G166" t="str">
        <f t="shared" si="33"/>
        <v>AMI</v>
      </c>
      <c r="H166">
        <v>2019</v>
      </c>
      <c r="I166">
        <v>4</v>
      </c>
      <c r="J166">
        <v>7</v>
      </c>
      <c r="K166">
        <f t="shared" si="34"/>
        <v>2023</v>
      </c>
      <c r="L166">
        <f t="shared" si="28"/>
        <v>2025</v>
      </c>
      <c r="M166" t="str">
        <f t="shared" si="29"/>
        <v>KY 2025</v>
      </c>
      <c r="N166" t="str">
        <f t="shared" si="35"/>
        <v>Y</v>
      </c>
      <c r="O166">
        <f t="shared" si="30"/>
        <v>2025</v>
      </c>
      <c r="P166">
        <f t="shared" si="31"/>
        <v>6</v>
      </c>
      <c r="Q166" t="str">
        <f t="shared" si="36"/>
        <v>AMI</v>
      </c>
      <c r="R166" t="s">
        <v>266</v>
      </c>
      <c r="S166" t="str">
        <f t="shared" si="37"/>
        <v>KY</v>
      </c>
      <c r="T166">
        <f t="shared" si="32"/>
        <v>2025</v>
      </c>
      <c r="U166">
        <f t="shared" si="38"/>
        <v>6</v>
      </c>
      <c r="W166">
        <f t="shared" si="39"/>
        <v>7</v>
      </c>
      <c r="X166">
        <f t="shared" si="40"/>
        <v>0</v>
      </c>
      <c r="Y166">
        <f t="shared" si="41"/>
        <v>0</v>
      </c>
    </row>
    <row r="167" spans="1:25" hidden="1" x14ac:dyDescent="0.35">
      <c r="A167" t="s">
        <v>466</v>
      </c>
      <c r="B167" s="19" t="s">
        <v>478</v>
      </c>
      <c r="C167" t="s">
        <v>468</v>
      </c>
      <c r="D167" t="s">
        <v>477</v>
      </c>
      <c r="E167" t="s">
        <v>265</v>
      </c>
      <c r="F167" t="s">
        <v>472</v>
      </c>
      <c r="G167" t="str">
        <f t="shared" si="33"/>
        <v>AMI</v>
      </c>
      <c r="H167">
        <v>2021</v>
      </c>
      <c r="I167">
        <v>4</v>
      </c>
      <c r="J167">
        <v>2</v>
      </c>
      <c r="K167">
        <f t="shared" si="34"/>
        <v>2025</v>
      </c>
      <c r="L167">
        <f t="shared" si="28"/>
        <v>2025</v>
      </c>
      <c r="M167" t="str">
        <f t="shared" si="29"/>
        <v>KY 2025</v>
      </c>
      <c r="N167" t="str">
        <f t="shared" si="35"/>
        <v>Y</v>
      </c>
      <c r="O167">
        <f t="shared" si="30"/>
        <v>2025</v>
      </c>
      <c r="P167">
        <f t="shared" si="31"/>
        <v>4</v>
      </c>
      <c r="Q167" t="str">
        <f t="shared" si="36"/>
        <v>AMI</v>
      </c>
      <c r="R167" t="s">
        <v>266</v>
      </c>
      <c r="S167" t="str">
        <f t="shared" si="37"/>
        <v>KY</v>
      </c>
      <c r="T167">
        <f t="shared" si="32"/>
        <v>2025</v>
      </c>
      <c r="U167">
        <f t="shared" si="38"/>
        <v>4</v>
      </c>
      <c r="W167">
        <f t="shared" si="39"/>
        <v>5</v>
      </c>
      <c r="X167">
        <f t="shared" si="40"/>
        <v>0</v>
      </c>
      <c r="Y167">
        <f t="shared" si="41"/>
        <v>0</v>
      </c>
    </row>
    <row r="168" spans="1:25" hidden="1" x14ac:dyDescent="0.35">
      <c r="A168" t="s">
        <v>466</v>
      </c>
      <c r="B168" s="19" t="s">
        <v>478</v>
      </c>
      <c r="C168" t="s">
        <v>468</v>
      </c>
      <c r="D168" t="s">
        <v>477</v>
      </c>
      <c r="E168" t="s">
        <v>265</v>
      </c>
      <c r="F168" t="s">
        <v>472</v>
      </c>
      <c r="G168" t="str">
        <f t="shared" si="33"/>
        <v>AMI</v>
      </c>
      <c r="H168">
        <v>2022</v>
      </c>
      <c r="I168">
        <v>4</v>
      </c>
      <c r="J168">
        <v>3</v>
      </c>
      <c r="K168">
        <f t="shared" si="34"/>
        <v>2026</v>
      </c>
      <c r="L168">
        <f t="shared" si="28"/>
        <v>2026</v>
      </c>
      <c r="M168" t="str">
        <f t="shared" si="29"/>
        <v>KY 2026</v>
      </c>
      <c r="N168" t="str">
        <f t="shared" si="35"/>
        <v>Y</v>
      </c>
      <c r="O168">
        <f t="shared" si="30"/>
        <v>2026</v>
      </c>
      <c r="P168">
        <f t="shared" si="31"/>
        <v>4</v>
      </c>
      <c r="Q168" t="str">
        <f t="shared" si="36"/>
        <v>AMI</v>
      </c>
      <c r="R168" t="s">
        <v>266</v>
      </c>
      <c r="S168" t="str">
        <f t="shared" si="37"/>
        <v>KY</v>
      </c>
      <c r="T168">
        <f t="shared" si="32"/>
        <v>2026</v>
      </c>
      <c r="U168">
        <f t="shared" si="38"/>
        <v>4</v>
      </c>
      <c r="W168">
        <f t="shared" si="39"/>
        <v>4</v>
      </c>
      <c r="X168">
        <f t="shared" si="40"/>
        <v>0</v>
      </c>
      <c r="Y168">
        <f t="shared" si="41"/>
        <v>0</v>
      </c>
    </row>
    <row r="169" spans="1:25" hidden="1" x14ac:dyDescent="0.35">
      <c r="A169" t="s">
        <v>466</v>
      </c>
      <c r="B169" s="19" t="s">
        <v>478</v>
      </c>
      <c r="C169" t="s">
        <v>468</v>
      </c>
      <c r="D169" t="s">
        <v>477</v>
      </c>
      <c r="E169" t="s">
        <v>265</v>
      </c>
      <c r="F169" t="s">
        <v>472</v>
      </c>
      <c r="G169" t="str">
        <f t="shared" si="33"/>
        <v>AMI</v>
      </c>
      <c r="H169">
        <v>2023</v>
      </c>
      <c r="I169">
        <v>4</v>
      </c>
      <c r="J169">
        <v>1</v>
      </c>
      <c r="K169">
        <f t="shared" si="34"/>
        <v>2027</v>
      </c>
      <c r="L169">
        <f t="shared" si="28"/>
        <v>2027</v>
      </c>
      <c r="M169" t="str">
        <f t="shared" si="29"/>
        <v>KY 2027</v>
      </c>
      <c r="N169" t="str">
        <f t="shared" si="35"/>
        <v>Y</v>
      </c>
      <c r="O169">
        <f t="shared" si="30"/>
        <v>2027</v>
      </c>
      <c r="P169">
        <f t="shared" si="31"/>
        <v>4</v>
      </c>
      <c r="Q169" t="str">
        <f t="shared" si="36"/>
        <v>AMI</v>
      </c>
      <c r="R169" t="s">
        <v>266</v>
      </c>
      <c r="S169" t="str">
        <f t="shared" si="37"/>
        <v>KY</v>
      </c>
      <c r="T169">
        <f t="shared" si="32"/>
        <v>2027</v>
      </c>
      <c r="U169">
        <f t="shared" si="38"/>
        <v>4</v>
      </c>
      <c r="W169">
        <f t="shared" si="39"/>
        <v>3</v>
      </c>
      <c r="X169">
        <f t="shared" si="40"/>
        <v>0</v>
      </c>
      <c r="Y169">
        <f t="shared" si="41"/>
        <v>0</v>
      </c>
    </row>
    <row r="170" spans="1:25" hidden="1" x14ac:dyDescent="0.35">
      <c r="A170" t="s">
        <v>466</v>
      </c>
      <c r="B170" s="19" t="s">
        <v>478</v>
      </c>
      <c r="C170" t="s">
        <v>468</v>
      </c>
      <c r="D170" t="s">
        <v>477</v>
      </c>
      <c r="E170" t="s">
        <v>265</v>
      </c>
      <c r="F170" t="s">
        <v>470</v>
      </c>
      <c r="G170" t="str">
        <f t="shared" si="33"/>
        <v>AMR</v>
      </c>
      <c r="H170">
        <v>2020</v>
      </c>
      <c r="I170">
        <v>4</v>
      </c>
      <c r="J170">
        <v>1</v>
      </c>
      <c r="K170">
        <f t="shared" si="34"/>
        <v>2024</v>
      </c>
      <c r="L170">
        <f t="shared" si="28"/>
        <v>2025</v>
      </c>
      <c r="M170" t="str">
        <f t="shared" si="29"/>
        <v>KY 2025</v>
      </c>
      <c r="N170" t="str">
        <f t="shared" si="35"/>
        <v>N</v>
      </c>
      <c r="O170">
        <f t="shared" si="30"/>
        <v>2025</v>
      </c>
      <c r="P170">
        <f t="shared" si="31"/>
        <v>5</v>
      </c>
      <c r="Q170" t="str">
        <f t="shared" si="36"/>
        <v>AMR</v>
      </c>
      <c r="R170" t="s">
        <v>266</v>
      </c>
      <c r="S170" t="str">
        <f t="shared" si="37"/>
        <v>KY</v>
      </c>
      <c r="T170">
        <f t="shared" si="32"/>
        <v>2025</v>
      </c>
      <c r="U170">
        <f t="shared" si="38"/>
        <v>5</v>
      </c>
      <c r="W170">
        <f t="shared" si="39"/>
        <v>6</v>
      </c>
      <c r="X170">
        <f t="shared" si="40"/>
        <v>0</v>
      </c>
      <c r="Y170">
        <f t="shared" si="41"/>
        <v>0</v>
      </c>
    </row>
    <row r="171" spans="1:25" hidden="1" x14ac:dyDescent="0.35">
      <c r="A171" t="s">
        <v>466</v>
      </c>
      <c r="B171" s="19" t="s">
        <v>478</v>
      </c>
      <c r="C171" t="s">
        <v>468</v>
      </c>
      <c r="D171" t="s">
        <v>477</v>
      </c>
      <c r="E171" t="s">
        <v>265</v>
      </c>
      <c r="F171" t="s">
        <v>470</v>
      </c>
      <c r="G171" t="str">
        <f t="shared" si="33"/>
        <v>AMR</v>
      </c>
      <c r="H171">
        <v>2022</v>
      </c>
      <c r="I171">
        <v>4</v>
      </c>
      <c r="J171">
        <v>9</v>
      </c>
      <c r="K171">
        <f t="shared" si="34"/>
        <v>2026</v>
      </c>
      <c r="L171">
        <f t="shared" si="28"/>
        <v>2026</v>
      </c>
      <c r="M171" t="str">
        <f t="shared" si="29"/>
        <v>KY 2026</v>
      </c>
      <c r="N171" t="str">
        <f t="shared" si="35"/>
        <v>N</v>
      </c>
      <c r="O171">
        <f t="shared" si="30"/>
        <v>2026</v>
      </c>
      <c r="P171">
        <f t="shared" si="31"/>
        <v>4</v>
      </c>
      <c r="Q171" t="str">
        <f t="shared" si="36"/>
        <v>AMR</v>
      </c>
      <c r="R171" t="s">
        <v>266</v>
      </c>
      <c r="S171" t="str">
        <f t="shared" si="37"/>
        <v>KY</v>
      </c>
      <c r="T171">
        <f t="shared" si="32"/>
        <v>2026</v>
      </c>
      <c r="U171">
        <f t="shared" si="38"/>
        <v>4</v>
      </c>
      <c r="W171">
        <f t="shared" si="39"/>
        <v>4</v>
      </c>
      <c r="X171">
        <f t="shared" si="40"/>
        <v>0</v>
      </c>
      <c r="Y171">
        <f t="shared" si="41"/>
        <v>0</v>
      </c>
    </row>
    <row r="172" spans="1:25" hidden="1" x14ac:dyDescent="0.35">
      <c r="A172" t="s">
        <v>466</v>
      </c>
      <c r="B172" s="19" t="s">
        <v>478</v>
      </c>
      <c r="C172" t="s">
        <v>468</v>
      </c>
      <c r="D172" t="s">
        <v>477</v>
      </c>
      <c r="E172" t="s">
        <v>265</v>
      </c>
      <c r="F172" t="s">
        <v>470</v>
      </c>
      <c r="G172" t="str">
        <f t="shared" si="33"/>
        <v>AMR</v>
      </c>
      <c r="H172">
        <v>2023</v>
      </c>
      <c r="I172">
        <v>4</v>
      </c>
      <c r="J172">
        <v>7</v>
      </c>
      <c r="K172">
        <f t="shared" si="34"/>
        <v>2027</v>
      </c>
      <c r="L172">
        <f t="shared" si="28"/>
        <v>2027</v>
      </c>
      <c r="M172" t="str">
        <f t="shared" si="29"/>
        <v>KY 2027</v>
      </c>
      <c r="N172" t="str">
        <f t="shared" si="35"/>
        <v>N</v>
      </c>
      <c r="O172">
        <f t="shared" si="30"/>
        <v>2027</v>
      </c>
      <c r="P172">
        <f t="shared" si="31"/>
        <v>4</v>
      </c>
      <c r="Q172" t="str">
        <f t="shared" si="36"/>
        <v>AMR</v>
      </c>
      <c r="R172" t="s">
        <v>266</v>
      </c>
      <c r="S172" t="str">
        <f t="shared" si="37"/>
        <v>KY</v>
      </c>
      <c r="T172">
        <f t="shared" si="32"/>
        <v>2027</v>
      </c>
      <c r="U172">
        <f t="shared" si="38"/>
        <v>4</v>
      </c>
      <c r="W172">
        <f t="shared" si="39"/>
        <v>3</v>
      </c>
      <c r="X172">
        <f t="shared" si="40"/>
        <v>0</v>
      </c>
      <c r="Y172">
        <f t="shared" si="41"/>
        <v>0</v>
      </c>
    </row>
    <row r="173" spans="1:25" hidden="1" x14ac:dyDescent="0.35">
      <c r="A173" t="s">
        <v>466</v>
      </c>
      <c r="B173" s="19" t="s">
        <v>478</v>
      </c>
      <c r="C173" t="s">
        <v>468</v>
      </c>
      <c r="D173" t="s">
        <v>477</v>
      </c>
      <c r="E173" t="s">
        <v>265</v>
      </c>
      <c r="F173" t="s">
        <v>470</v>
      </c>
      <c r="G173" t="str">
        <f t="shared" si="33"/>
        <v>AMR</v>
      </c>
      <c r="H173">
        <v>2025</v>
      </c>
      <c r="I173">
        <v>4</v>
      </c>
      <c r="J173">
        <v>2</v>
      </c>
      <c r="K173">
        <f t="shared" si="34"/>
        <v>2029</v>
      </c>
      <c r="L173">
        <f t="shared" si="28"/>
        <v>2029</v>
      </c>
      <c r="M173" t="str">
        <f t="shared" si="29"/>
        <v>KY 2029</v>
      </c>
      <c r="N173" t="str">
        <f t="shared" si="35"/>
        <v>N</v>
      </c>
      <c r="O173">
        <f t="shared" si="30"/>
        <v>2029</v>
      </c>
      <c r="P173">
        <f t="shared" si="31"/>
        <v>4</v>
      </c>
      <c r="Q173" t="str">
        <f t="shared" si="36"/>
        <v>AMR</v>
      </c>
      <c r="R173" t="s">
        <v>266</v>
      </c>
      <c r="S173" t="str">
        <f t="shared" si="37"/>
        <v>KY</v>
      </c>
      <c r="T173">
        <f t="shared" si="32"/>
        <v>2029</v>
      </c>
      <c r="U173">
        <f t="shared" si="38"/>
        <v>4</v>
      </c>
      <c r="W173">
        <f t="shared" si="39"/>
        <v>1</v>
      </c>
      <c r="X173">
        <f t="shared" si="40"/>
        <v>0</v>
      </c>
      <c r="Y173">
        <f t="shared" si="41"/>
        <v>0</v>
      </c>
    </row>
    <row r="174" spans="1:25" hidden="1" x14ac:dyDescent="0.35">
      <c r="A174" t="s">
        <v>466</v>
      </c>
      <c r="B174" s="19" t="s">
        <v>478</v>
      </c>
      <c r="C174" t="s">
        <v>468</v>
      </c>
      <c r="D174" t="s">
        <v>477</v>
      </c>
      <c r="E174" t="s">
        <v>264</v>
      </c>
      <c r="F174" t="s">
        <v>471</v>
      </c>
      <c r="G174" t="str">
        <f t="shared" si="33"/>
        <v>AMR</v>
      </c>
      <c r="H174">
        <v>2018</v>
      </c>
      <c r="I174">
        <v>4</v>
      </c>
      <c r="J174">
        <v>1</v>
      </c>
      <c r="K174">
        <f t="shared" si="34"/>
        <v>2022</v>
      </c>
      <c r="L174">
        <f t="shared" si="28"/>
        <v>2025</v>
      </c>
      <c r="M174" t="str">
        <f t="shared" si="29"/>
        <v>KY 2025</v>
      </c>
      <c r="N174" t="str">
        <f t="shared" si="35"/>
        <v>N</v>
      </c>
      <c r="O174">
        <f t="shared" si="30"/>
        <v>2025</v>
      </c>
      <c r="P174">
        <f t="shared" si="31"/>
        <v>7</v>
      </c>
      <c r="Q174" t="str">
        <f t="shared" si="36"/>
        <v>AMR</v>
      </c>
      <c r="R174" t="s">
        <v>266</v>
      </c>
      <c r="S174" t="str">
        <f t="shared" si="37"/>
        <v>KY</v>
      </c>
      <c r="T174">
        <f t="shared" si="32"/>
        <v>2025</v>
      </c>
      <c r="U174">
        <f t="shared" si="38"/>
        <v>7</v>
      </c>
      <c r="W174">
        <f t="shared" si="39"/>
        <v>8</v>
      </c>
      <c r="X174">
        <f t="shared" si="40"/>
        <v>0</v>
      </c>
      <c r="Y174">
        <f t="shared" si="41"/>
        <v>0</v>
      </c>
    </row>
    <row r="175" spans="1:25" hidden="1" x14ac:dyDescent="0.35">
      <c r="A175" t="s">
        <v>466</v>
      </c>
      <c r="B175" s="19" t="s">
        <v>478</v>
      </c>
      <c r="C175" t="s">
        <v>468</v>
      </c>
      <c r="D175" t="s">
        <v>477</v>
      </c>
      <c r="E175" t="s">
        <v>264</v>
      </c>
      <c r="F175" t="s">
        <v>471</v>
      </c>
      <c r="G175" t="str">
        <f t="shared" si="33"/>
        <v>AMR</v>
      </c>
      <c r="H175">
        <v>2020</v>
      </c>
      <c r="I175">
        <v>4</v>
      </c>
      <c r="J175">
        <v>4</v>
      </c>
      <c r="K175">
        <f t="shared" si="34"/>
        <v>2024</v>
      </c>
      <c r="L175">
        <f t="shared" si="28"/>
        <v>2025</v>
      </c>
      <c r="M175" t="str">
        <f t="shared" si="29"/>
        <v>KY 2025</v>
      </c>
      <c r="N175" t="str">
        <f t="shared" si="35"/>
        <v>N</v>
      </c>
      <c r="O175">
        <f t="shared" si="30"/>
        <v>2025</v>
      </c>
      <c r="P175">
        <f t="shared" si="31"/>
        <v>5</v>
      </c>
      <c r="Q175" t="str">
        <f t="shared" si="36"/>
        <v>AMR</v>
      </c>
      <c r="R175" t="s">
        <v>266</v>
      </c>
      <c r="S175" t="str">
        <f t="shared" si="37"/>
        <v>KY</v>
      </c>
      <c r="T175">
        <f t="shared" si="32"/>
        <v>2025</v>
      </c>
      <c r="U175">
        <f t="shared" si="38"/>
        <v>5</v>
      </c>
      <c r="W175">
        <f t="shared" si="39"/>
        <v>6</v>
      </c>
      <c r="X175">
        <f t="shared" si="40"/>
        <v>0</v>
      </c>
      <c r="Y175">
        <f t="shared" si="41"/>
        <v>0</v>
      </c>
    </row>
    <row r="176" spans="1:25" hidden="1" x14ac:dyDescent="0.35">
      <c r="A176" t="s">
        <v>466</v>
      </c>
      <c r="B176" s="19" t="s">
        <v>478</v>
      </c>
      <c r="C176" t="s">
        <v>468</v>
      </c>
      <c r="D176" t="s">
        <v>477</v>
      </c>
      <c r="E176" t="s">
        <v>264</v>
      </c>
      <c r="F176" t="s">
        <v>471</v>
      </c>
      <c r="G176" t="str">
        <f t="shared" si="33"/>
        <v>AMR</v>
      </c>
      <c r="H176">
        <v>2022</v>
      </c>
      <c r="I176">
        <v>4</v>
      </c>
      <c r="J176">
        <v>4</v>
      </c>
      <c r="K176">
        <f t="shared" si="34"/>
        <v>2026</v>
      </c>
      <c r="L176">
        <f t="shared" si="28"/>
        <v>2026</v>
      </c>
      <c r="M176" t="str">
        <f t="shared" si="29"/>
        <v>KY 2026</v>
      </c>
      <c r="N176" t="str">
        <f t="shared" si="35"/>
        <v>N</v>
      </c>
      <c r="O176">
        <f t="shared" si="30"/>
        <v>2026</v>
      </c>
      <c r="P176">
        <f t="shared" si="31"/>
        <v>4</v>
      </c>
      <c r="Q176" t="str">
        <f t="shared" si="36"/>
        <v>AMR</v>
      </c>
      <c r="R176" t="s">
        <v>266</v>
      </c>
      <c r="S176" t="str">
        <f t="shared" si="37"/>
        <v>KY</v>
      </c>
      <c r="T176">
        <f t="shared" si="32"/>
        <v>2026</v>
      </c>
      <c r="U176">
        <f t="shared" si="38"/>
        <v>4</v>
      </c>
      <c r="W176">
        <f t="shared" si="39"/>
        <v>4</v>
      </c>
      <c r="X176">
        <f t="shared" si="40"/>
        <v>0</v>
      </c>
      <c r="Y176">
        <f t="shared" si="41"/>
        <v>0</v>
      </c>
    </row>
    <row r="177" spans="1:25" hidden="1" x14ac:dyDescent="0.35">
      <c r="A177" t="s">
        <v>466</v>
      </c>
      <c r="B177" s="19" t="s">
        <v>478</v>
      </c>
      <c r="C177" t="s">
        <v>468</v>
      </c>
      <c r="D177" t="s">
        <v>477</v>
      </c>
      <c r="E177" t="s">
        <v>264</v>
      </c>
      <c r="F177" t="s">
        <v>471</v>
      </c>
      <c r="G177" t="str">
        <f t="shared" si="33"/>
        <v>AMR</v>
      </c>
      <c r="H177">
        <v>2023</v>
      </c>
      <c r="I177">
        <v>4</v>
      </c>
      <c r="J177">
        <v>17</v>
      </c>
      <c r="K177">
        <f t="shared" si="34"/>
        <v>2027</v>
      </c>
      <c r="L177">
        <f t="shared" si="28"/>
        <v>2027</v>
      </c>
      <c r="M177" t="str">
        <f t="shared" si="29"/>
        <v>KY 2027</v>
      </c>
      <c r="N177" t="str">
        <f t="shared" si="35"/>
        <v>N</v>
      </c>
      <c r="O177">
        <f t="shared" si="30"/>
        <v>2027</v>
      </c>
      <c r="P177">
        <f t="shared" si="31"/>
        <v>4</v>
      </c>
      <c r="Q177" t="str">
        <f t="shared" si="36"/>
        <v>AMR</v>
      </c>
      <c r="R177" t="s">
        <v>266</v>
      </c>
      <c r="S177" t="str">
        <f t="shared" si="37"/>
        <v>KY</v>
      </c>
      <c r="T177">
        <f t="shared" si="32"/>
        <v>2027</v>
      </c>
      <c r="U177">
        <f t="shared" si="38"/>
        <v>4</v>
      </c>
      <c r="W177">
        <f t="shared" si="39"/>
        <v>3</v>
      </c>
      <c r="X177">
        <f t="shared" si="40"/>
        <v>0</v>
      </c>
      <c r="Y177">
        <f t="shared" si="41"/>
        <v>0</v>
      </c>
    </row>
    <row r="178" spans="1:25" x14ac:dyDescent="0.35">
      <c r="A178" t="s">
        <v>466</v>
      </c>
      <c r="B178" s="19" t="s">
        <v>478</v>
      </c>
      <c r="C178" t="s">
        <v>468</v>
      </c>
      <c r="D178" t="s">
        <v>477</v>
      </c>
      <c r="E178" t="s">
        <v>265</v>
      </c>
      <c r="F178" t="s">
        <v>471</v>
      </c>
      <c r="G178" t="str">
        <f t="shared" si="33"/>
        <v>AMR</v>
      </c>
      <c r="H178">
        <v>2015</v>
      </c>
      <c r="I178">
        <v>4</v>
      </c>
      <c r="J178">
        <v>2</v>
      </c>
      <c r="K178">
        <f t="shared" si="34"/>
        <v>2019</v>
      </c>
      <c r="L178">
        <f t="shared" si="28"/>
        <v>2025</v>
      </c>
      <c r="M178" t="str">
        <f t="shared" si="29"/>
        <v>KY 2025</v>
      </c>
      <c r="N178" t="str">
        <f t="shared" si="35"/>
        <v>N</v>
      </c>
      <c r="O178">
        <f t="shared" si="30"/>
        <v>2025</v>
      </c>
      <c r="P178">
        <f t="shared" si="31"/>
        <v>10</v>
      </c>
      <c r="Q178" t="str">
        <f t="shared" si="36"/>
        <v>AMR</v>
      </c>
      <c r="R178" t="s">
        <v>266</v>
      </c>
      <c r="S178" t="str">
        <f t="shared" si="37"/>
        <v>KY</v>
      </c>
      <c r="T178">
        <f t="shared" si="32"/>
        <v>2025</v>
      </c>
      <c r="U178">
        <f t="shared" si="38"/>
        <v>10</v>
      </c>
      <c r="W178">
        <f t="shared" si="39"/>
        <v>11</v>
      </c>
      <c r="X178">
        <f t="shared" si="40"/>
        <v>22</v>
      </c>
      <c r="Y178">
        <f t="shared" si="41"/>
        <v>2</v>
      </c>
    </row>
    <row r="179" spans="1:25" hidden="1" x14ac:dyDescent="0.35">
      <c r="A179" t="s">
        <v>466</v>
      </c>
      <c r="B179" s="19" t="s">
        <v>478</v>
      </c>
      <c r="C179" t="s">
        <v>468</v>
      </c>
      <c r="D179" t="s">
        <v>477</v>
      </c>
      <c r="E179" t="s">
        <v>265</v>
      </c>
      <c r="F179" t="s">
        <v>471</v>
      </c>
      <c r="G179" t="str">
        <f t="shared" si="33"/>
        <v>AMR</v>
      </c>
      <c r="H179">
        <v>2016</v>
      </c>
      <c r="I179">
        <v>4</v>
      </c>
      <c r="J179">
        <v>3</v>
      </c>
      <c r="K179">
        <f t="shared" si="34"/>
        <v>2020</v>
      </c>
      <c r="L179">
        <f t="shared" si="28"/>
        <v>2025</v>
      </c>
      <c r="M179" t="str">
        <f t="shared" si="29"/>
        <v>KY 2025</v>
      </c>
      <c r="N179" t="str">
        <f t="shared" si="35"/>
        <v>N</v>
      </c>
      <c r="O179">
        <f t="shared" si="30"/>
        <v>2025</v>
      </c>
      <c r="P179">
        <f t="shared" si="31"/>
        <v>9</v>
      </c>
      <c r="Q179" t="str">
        <f t="shared" si="36"/>
        <v>AMR</v>
      </c>
      <c r="R179" t="s">
        <v>266</v>
      </c>
      <c r="S179" t="str">
        <f t="shared" si="37"/>
        <v>KY</v>
      </c>
      <c r="T179">
        <f t="shared" si="32"/>
        <v>2025</v>
      </c>
      <c r="U179">
        <f t="shared" si="38"/>
        <v>9</v>
      </c>
      <c r="W179">
        <f t="shared" si="39"/>
        <v>10</v>
      </c>
      <c r="X179">
        <f t="shared" si="40"/>
        <v>0</v>
      </c>
      <c r="Y179">
        <f t="shared" si="41"/>
        <v>0</v>
      </c>
    </row>
    <row r="180" spans="1:25" hidden="1" x14ac:dyDescent="0.35">
      <c r="A180" t="s">
        <v>466</v>
      </c>
      <c r="B180" s="19" t="s">
        <v>478</v>
      </c>
      <c r="C180" t="s">
        <v>468</v>
      </c>
      <c r="D180" t="s">
        <v>477</v>
      </c>
      <c r="E180" t="s">
        <v>265</v>
      </c>
      <c r="F180" t="s">
        <v>471</v>
      </c>
      <c r="G180" t="str">
        <f t="shared" si="33"/>
        <v>AMR</v>
      </c>
      <c r="H180">
        <v>2017</v>
      </c>
      <c r="I180">
        <v>4</v>
      </c>
      <c r="J180">
        <v>7</v>
      </c>
      <c r="K180">
        <f t="shared" si="34"/>
        <v>2021</v>
      </c>
      <c r="L180">
        <f t="shared" si="28"/>
        <v>2025</v>
      </c>
      <c r="M180" t="str">
        <f t="shared" si="29"/>
        <v>KY 2025</v>
      </c>
      <c r="N180" t="str">
        <f t="shared" si="35"/>
        <v>N</v>
      </c>
      <c r="O180">
        <f t="shared" si="30"/>
        <v>2025</v>
      </c>
      <c r="P180">
        <f t="shared" si="31"/>
        <v>8</v>
      </c>
      <c r="Q180" t="str">
        <f t="shared" si="36"/>
        <v>AMR</v>
      </c>
      <c r="R180" t="s">
        <v>266</v>
      </c>
      <c r="S180" t="str">
        <f t="shared" si="37"/>
        <v>KY</v>
      </c>
      <c r="T180">
        <f t="shared" si="32"/>
        <v>2025</v>
      </c>
      <c r="U180">
        <f t="shared" si="38"/>
        <v>8</v>
      </c>
      <c r="W180">
        <f t="shared" si="39"/>
        <v>9</v>
      </c>
      <c r="X180">
        <f t="shared" si="40"/>
        <v>0</v>
      </c>
      <c r="Y180">
        <f t="shared" si="41"/>
        <v>0</v>
      </c>
    </row>
    <row r="181" spans="1:25" hidden="1" x14ac:dyDescent="0.35">
      <c r="A181" t="s">
        <v>466</v>
      </c>
      <c r="B181" s="19" t="s">
        <v>478</v>
      </c>
      <c r="C181" t="s">
        <v>468</v>
      </c>
      <c r="D181" t="s">
        <v>477</v>
      </c>
      <c r="E181" t="s">
        <v>265</v>
      </c>
      <c r="F181" t="s">
        <v>471</v>
      </c>
      <c r="G181" t="str">
        <f t="shared" si="33"/>
        <v>AMR</v>
      </c>
      <c r="H181">
        <v>2018</v>
      </c>
      <c r="I181">
        <v>4</v>
      </c>
      <c r="J181">
        <v>35</v>
      </c>
      <c r="K181">
        <f t="shared" si="34"/>
        <v>2022</v>
      </c>
      <c r="L181">
        <f t="shared" si="28"/>
        <v>2025</v>
      </c>
      <c r="M181" t="str">
        <f t="shared" si="29"/>
        <v>KY 2025</v>
      </c>
      <c r="N181" t="str">
        <f t="shared" si="35"/>
        <v>N</v>
      </c>
      <c r="O181">
        <f t="shared" si="30"/>
        <v>2025</v>
      </c>
      <c r="P181">
        <f t="shared" si="31"/>
        <v>7</v>
      </c>
      <c r="Q181" t="str">
        <f t="shared" si="36"/>
        <v>AMR</v>
      </c>
      <c r="R181" t="s">
        <v>266</v>
      </c>
      <c r="S181" t="str">
        <f t="shared" si="37"/>
        <v>KY</v>
      </c>
      <c r="T181">
        <f t="shared" si="32"/>
        <v>2025</v>
      </c>
      <c r="U181">
        <f t="shared" si="38"/>
        <v>7</v>
      </c>
      <c r="W181">
        <f t="shared" si="39"/>
        <v>8</v>
      </c>
      <c r="X181">
        <f t="shared" si="40"/>
        <v>0</v>
      </c>
      <c r="Y181">
        <f t="shared" si="41"/>
        <v>0</v>
      </c>
    </row>
    <row r="182" spans="1:25" hidden="1" x14ac:dyDescent="0.35">
      <c r="A182" t="s">
        <v>466</v>
      </c>
      <c r="B182" s="19" t="s">
        <v>478</v>
      </c>
      <c r="C182" t="s">
        <v>468</v>
      </c>
      <c r="D182" t="s">
        <v>477</v>
      </c>
      <c r="E182" t="s">
        <v>265</v>
      </c>
      <c r="F182" t="s">
        <v>471</v>
      </c>
      <c r="G182" t="str">
        <f t="shared" si="33"/>
        <v>AMR</v>
      </c>
      <c r="H182">
        <v>2019</v>
      </c>
      <c r="I182">
        <v>4</v>
      </c>
      <c r="J182">
        <v>73</v>
      </c>
      <c r="K182">
        <f t="shared" si="34"/>
        <v>2023</v>
      </c>
      <c r="L182">
        <f t="shared" si="28"/>
        <v>2025</v>
      </c>
      <c r="M182" t="str">
        <f t="shared" si="29"/>
        <v>KY 2025</v>
      </c>
      <c r="N182" t="str">
        <f t="shared" si="35"/>
        <v>N</v>
      </c>
      <c r="O182">
        <f t="shared" si="30"/>
        <v>2025</v>
      </c>
      <c r="P182">
        <f t="shared" si="31"/>
        <v>6</v>
      </c>
      <c r="Q182" t="str">
        <f t="shared" si="36"/>
        <v>AMR</v>
      </c>
      <c r="R182" t="s">
        <v>266</v>
      </c>
      <c r="S182" t="str">
        <f t="shared" si="37"/>
        <v>KY</v>
      </c>
      <c r="T182">
        <f t="shared" si="32"/>
        <v>2025</v>
      </c>
      <c r="U182">
        <f t="shared" si="38"/>
        <v>6</v>
      </c>
      <c r="W182">
        <f t="shared" si="39"/>
        <v>7</v>
      </c>
      <c r="X182">
        <f t="shared" si="40"/>
        <v>0</v>
      </c>
      <c r="Y182">
        <f t="shared" si="41"/>
        <v>0</v>
      </c>
    </row>
    <row r="183" spans="1:25" hidden="1" x14ac:dyDescent="0.35">
      <c r="A183" t="s">
        <v>466</v>
      </c>
      <c r="B183" s="19" t="s">
        <v>478</v>
      </c>
      <c r="C183" t="s">
        <v>468</v>
      </c>
      <c r="D183" t="s">
        <v>477</v>
      </c>
      <c r="E183" t="s">
        <v>265</v>
      </c>
      <c r="F183" t="s">
        <v>471</v>
      </c>
      <c r="G183" t="str">
        <f t="shared" si="33"/>
        <v>AMR</v>
      </c>
      <c r="H183">
        <v>2020</v>
      </c>
      <c r="I183">
        <v>4</v>
      </c>
      <c r="J183">
        <v>47</v>
      </c>
      <c r="K183">
        <f t="shared" si="34"/>
        <v>2024</v>
      </c>
      <c r="L183">
        <f t="shared" si="28"/>
        <v>2025</v>
      </c>
      <c r="M183" t="str">
        <f t="shared" si="29"/>
        <v>KY 2025</v>
      </c>
      <c r="N183" t="str">
        <f t="shared" si="35"/>
        <v>N</v>
      </c>
      <c r="O183">
        <f t="shared" si="30"/>
        <v>2025</v>
      </c>
      <c r="P183">
        <f t="shared" si="31"/>
        <v>5</v>
      </c>
      <c r="Q183" t="str">
        <f t="shared" si="36"/>
        <v>AMR</v>
      </c>
      <c r="R183" t="s">
        <v>266</v>
      </c>
      <c r="S183" t="str">
        <f t="shared" si="37"/>
        <v>KY</v>
      </c>
      <c r="T183">
        <f t="shared" si="32"/>
        <v>2025</v>
      </c>
      <c r="U183">
        <f t="shared" si="38"/>
        <v>5</v>
      </c>
      <c r="W183">
        <f t="shared" si="39"/>
        <v>6</v>
      </c>
      <c r="X183">
        <f t="shared" si="40"/>
        <v>0</v>
      </c>
      <c r="Y183">
        <f t="shared" si="41"/>
        <v>0</v>
      </c>
    </row>
    <row r="184" spans="1:25" hidden="1" x14ac:dyDescent="0.35">
      <c r="A184" t="s">
        <v>466</v>
      </c>
      <c r="B184" s="19" t="s">
        <v>478</v>
      </c>
      <c r="C184" t="s">
        <v>468</v>
      </c>
      <c r="D184" t="s">
        <v>477</v>
      </c>
      <c r="E184" t="s">
        <v>265</v>
      </c>
      <c r="F184" t="s">
        <v>471</v>
      </c>
      <c r="G184" t="str">
        <f t="shared" si="33"/>
        <v>AMR</v>
      </c>
      <c r="H184">
        <v>2021</v>
      </c>
      <c r="I184">
        <v>4</v>
      </c>
      <c r="J184">
        <v>6</v>
      </c>
      <c r="K184">
        <f t="shared" si="34"/>
        <v>2025</v>
      </c>
      <c r="L184">
        <f t="shared" si="28"/>
        <v>2025</v>
      </c>
      <c r="M184" t="str">
        <f t="shared" si="29"/>
        <v>KY 2025</v>
      </c>
      <c r="N184" t="str">
        <f t="shared" si="35"/>
        <v>N</v>
      </c>
      <c r="O184">
        <f t="shared" si="30"/>
        <v>2025</v>
      </c>
      <c r="P184">
        <f t="shared" si="31"/>
        <v>4</v>
      </c>
      <c r="Q184" t="str">
        <f t="shared" si="36"/>
        <v>AMR</v>
      </c>
      <c r="R184" t="s">
        <v>266</v>
      </c>
      <c r="S184" t="str">
        <f t="shared" si="37"/>
        <v>KY</v>
      </c>
      <c r="T184">
        <f t="shared" si="32"/>
        <v>2025</v>
      </c>
      <c r="U184">
        <f t="shared" si="38"/>
        <v>4</v>
      </c>
      <c r="W184">
        <f t="shared" si="39"/>
        <v>5</v>
      </c>
      <c r="X184">
        <f t="shared" si="40"/>
        <v>0</v>
      </c>
      <c r="Y184">
        <f t="shared" si="41"/>
        <v>0</v>
      </c>
    </row>
    <row r="185" spans="1:25" hidden="1" x14ac:dyDescent="0.35">
      <c r="A185" t="s">
        <v>466</v>
      </c>
      <c r="B185" s="19" t="s">
        <v>478</v>
      </c>
      <c r="C185" t="s">
        <v>468</v>
      </c>
      <c r="D185" t="s">
        <v>477</v>
      </c>
      <c r="E185" t="s">
        <v>265</v>
      </c>
      <c r="F185" t="s">
        <v>471</v>
      </c>
      <c r="G185" t="str">
        <f t="shared" si="33"/>
        <v>AMR</v>
      </c>
      <c r="H185">
        <v>2022</v>
      </c>
      <c r="I185">
        <v>4</v>
      </c>
      <c r="J185">
        <v>918</v>
      </c>
      <c r="K185">
        <f t="shared" si="34"/>
        <v>2026</v>
      </c>
      <c r="L185">
        <f t="shared" si="28"/>
        <v>2026</v>
      </c>
      <c r="M185" t="str">
        <f t="shared" si="29"/>
        <v>KY 2026</v>
      </c>
      <c r="N185" t="str">
        <f t="shared" si="35"/>
        <v>N</v>
      </c>
      <c r="O185">
        <f t="shared" si="30"/>
        <v>2026</v>
      </c>
      <c r="P185">
        <f t="shared" si="31"/>
        <v>4</v>
      </c>
      <c r="Q185" t="str">
        <f t="shared" si="36"/>
        <v>AMR</v>
      </c>
      <c r="R185" t="s">
        <v>266</v>
      </c>
      <c r="S185" t="str">
        <f t="shared" si="37"/>
        <v>KY</v>
      </c>
      <c r="T185">
        <f t="shared" si="32"/>
        <v>2026</v>
      </c>
      <c r="U185">
        <f t="shared" si="38"/>
        <v>4</v>
      </c>
      <c r="W185">
        <f t="shared" si="39"/>
        <v>4</v>
      </c>
      <c r="X185">
        <f t="shared" si="40"/>
        <v>0</v>
      </c>
      <c r="Y185">
        <f t="shared" si="41"/>
        <v>0</v>
      </c>
    </row>
    <row r="186" spans="1:25" hidden="1" x14ac:dyDescent="0.35">
      <c r="A186" t="s">
        <v>466</v>
      </c>
      <c r="B186" s="19" t="s">
        <v>478</v>
      </c>
      <c r="C186" t="s">
        <v>468</v>
      </c>
      <c r="D186" t="s">
        <v>477</v>
      </c>
      <c r="E186" t="s">
        <v>265</v>
      </c>
      <c r="F186" t="s">
        <v>471</v>
      </c>
      <c r="G186" t="str">
        <f t="shared" si="33"/>
        <v>AMR</v>
      </c>
      <c r="H186">
        <v>2023</v>
      </c>
      <c r="I186">
        <v>4</v>
      </c>
      <c r="J186">
        <v>367</v>
      </c>
      <c r="K186">
        <f t="shared" si="34"/>
        <v>2027</v>
      </c>
      <c r="L186">
        <f t="shared" si="28"/>
        <v>2027</v>
      </c>
      <c r="M186" t="str">
        <f t="shared" si="29"/>
        <v>KY 2027</v>
      </c>
      <c r="N186" t="str">
        <f t="shared" si="35"/>
        <v>N</v>
      </c>
      <c r="O186">
        <f t="shared" si="30"/>
        <v>2027</v>
      </c>
      <c r="P186">
        <f t="shared" si="31"/>
        <v>4</v>
      </c>
      <c r="Q186" t="str">
        <f t="shared" si="36"/>
        <v>AMR</v>
      </c>
      <c r="R186" t="s">
        <v>266</v>
      </c>
      <c r="S186" t="str">
        <f t="shared" si="37"/>
        <v>KY</v>
      </c>
      <c r="T186">
        <f t="shared" si="32"/>
        <v>2027</v>
      </c>
      <c r="U186">
        <f t="shared" si="38"/>
        <v>4</v>
      </c>
      <c r="W186">
        <f t="shared" si="39"/>
        <v>3</v>
      </c>
      <c r="X186">
        <f t="shared" si="40"/>
        <v>0</v>
      </c>
      <c r="Y186">
        <f t="shared" si="41"/>
        <v>0</v>
      </c>
    </row>
    <row r="187" spans="1:25" hidden="1" x14ac:dyDescent="0.35">
      <c r="A187" t="s">
        <v>466</v>
      </c>
      <c r="B187" s="19" t="s">
        <v>478</v>
      </c>
      <c r="C187" t="s">
        <v>468</v>
      </c>
      <c r="D187" t="s">
        <v>481</v>
      </c>
      <c r="E187" t="s">
        <v>265</v>
      </c>
      <c r="F187" t="s">
        <v>473</v>
      </c>
      <c r="G187" t="str">
        <f t="shared" si="33"/>
        <v>AMR</v>
      </c>
      <c r="H187">
        <v>2021</v>
      </c>
      <c r="I187">
        <v>4</v>
      </c>
      <c r="J187">
        <v>1</v>
      </c>
      <c r="K187">
        <f t="shared" si="34"/>
        <v>2025</v>
      </c>
      <c r="L187">
        <f t="shared" si="28"/>
        <v>2025</v>
      </c>
      <c r="M187" t="str">
        <f t="shared" si="29"/>
        <v>KY 2025</v>
      </c>
      <c r="N187" t="str">
        <f t="shared" si="35"/>
        <v>N</v>
      </c>
      <c r="O187">
        <f t="shared" si="30"/>
        <v>2025</v>
      </c>
      <c r="P187">
        <f t="shared" si="31"/>
        <v>4</v>
      </c>
      <c r="Q187" t="str">
        <f t="shared" si="36"/>
        <v>AMR</v>
      </c>
      <c r="R187" t="s">
        <v>266</v>
      </c>
      <c r="S187" t="str">
        <f t="shared" si="37"/>
        <v>KY</v>
      </c>
      <c r="T187">
        <f t="shared" si="32"/>
        <v>2025</v>
      </c>
      <c r="U187">
        <f t="shared" si="38"/>
        <v>4</v>
      </c>
      <c r="W187">
        <f t="shared" si="39"/>
        <v>5</v>
      </c>
      <c r="X187">
        <f t="shared" si="40"/>
        <v>0</v>
      </c>
      <c r="Y187">
        <f t="shared" si="41"/>
        <v>0</v>
      </c>
    </row>
    <row r="188" spans="1:25" hidden="1" x14ac:dyDescent="0.35">
      <c r="A188" t="s">
        <v>466</v>
      </c>
      <c r="B188" s="19" t="s">
        <v>478</v>
      </c>
      <c r="C188" t="s">
        <v>468</v>
      </c>
      <c r="D188" t="s">
        <v>481</v>
      </c>
      <c r="E188" t="s">
        <v>265</v>
      </c>
      <c r="F188" t="s">
        <v>471</v>
      </c>
      <c r="G188" t="str">
        <f t="shared" si="33"/>
        <v>AMR</v>
      </c>
      <c r="H188">
        <v>2016</v>
      </c>
      <c r="I188">
        <v>4</v>
      </c>
      <c r="J188">
        <v>1</v>
      </c>
      <c r="K188">
        <f t="shared" si="34"/>
        <v>2020</v>
      </c>
      <c r="L188">
        <f t="shared" si="28"/>
        <v>2025</v>
      </c>
      <c r="M188" t="str">
        <f t="shared" si="29"/>
        <v>KY 2025</v>
      </c>
      <c r="N188" t="str">
        <f t="shared" si="35"/>
        <v>N</v>
      </c>
      <c r="O188">
        <f t="shared" si="30"/>
        <v>2025</v>
      </c>
      <c r="P188">
        <f t="shared" si="31"/>
        <v>9</v>
      </c>
      <c r="Q188" t="str">
        <f t="shared" si="36"/>
        <v>AMR</v>
      </c>
      <c r="R188" t="s">
        <v>266</v>
      </c>
      <c r="S188" t="str">
        <f t="shared" si="37"/>
        <v>KY</v>
      </c>
      <c r="T188">
        <f t="shared" si="32"/>
        <v>2025</v>
      </c>
      <c r="U188">
        <f t="shared" si="38"/>
        <v>9</v>
      </c>
      <c r="W188">
        <f t="shared" si="39"/>
        <v>10</v>
      </c>
      <c r="X188">
        <f t="shared" si="40"/>
        <v>0</v>
      </c>
      <c r="Y188">
        <f t="shared" si="41"/>
        <v>0</v>
      </c>
    </row>
    <row r="189" spans="1:25" hidden="1" x14ac:dyDescent="0.35">
      <c r="A189" t="s">
        <v>466</v>
      </c>
      <c r="B189" s="19" t="s">
        <v>478</v>
      </c>
      <c r="C189" t="s">
        <v>468</v>
      </c>
      <c r="D189" t="s">
        <v>481</v>
      </c>
      <c r="E189" t="s">
        <v>265</v>
      </c>
      <c r="F189" t="s">
        <v>471</v>
      </c>
      <c r="G189" t="str">
        <f t="shared" si="33"/>
        <v>AMR</v>
      </c>
      <c r="H189">
        <v>2017</v>
      </c>
      <c r="I189">
        <v>4</v>
      </c>
      <c r="J189">
        <v>2</v>
      </c>
      <c r="K189">
        <f t="shared" si="34"/>
        <v>2021</v>
      </c>
      <c r="L189">
        <f t="shared" si="28"/>
        <v>2025</v>
      </c>
      <c r="M189" t="str">
        <f t="shared" si="29"/>
        <v>KY 2025</v>
      </c>
      <c r="N189" t="str">
        <f t="shared" si="35"/>
        <v>N</v>
      </c>
      <c r="O189">
        <f t="shared" si="30"/>
        <v>2025</v>
      </c>
      <c r="P189">
        <f t="shared" si="31"/>
        <v>8</v>
      </c>
      <c r="Q189" t="str">
        <f t="shared" si="36"/>
        <v>AMR</v>
      </c>
      <c r="R189" t="s">
        <v>266</v>
      </c>
      <c r="S189" t="str">
        <f t="shared" si="37"/>
        <v>KY</v>
      </c>
      <c r="T189">
        <f t="shared" si="32"/>
        <v>2025</v>
      </c>
      <c r="U189">
        <f t="shared" si="38"/>
        <v>8</v>
      </c>
      <c r="W189">
        <f t="shared" si="39"/>
        <v>9</v>
      </c>
      <c r="X189">
        <f t="shared" si="40"/>
        <v>0</v>
      </c>
      <c r="Y189">
        <f t="shared" si="41"/>
        <v>0</v>
      </c>
    </row>
    <row r="190" spans="1:25" hidden="1" x14ac:dyDescent="0.35">
      <c r="A190" t="s">
        <v>466</v>
      </c>
      <c r="B190" s="19" t="s">
        <v>478</v>
      </c>
      <c r="C190" t="s">
        <v>468</v>
      </c>
      <c r="D190" t="s">
        <v>481</v>
      </c>
      <c r="E190" t="s">
        <v>265</v>
      </c>
      <c r="F190" t="s">
        <v>471</v>
      </c>
      <c r="G190" t="str">
        <f t="shared" si="33"/>
        <v>AMR</v>
      </c>
      <c r="H190">
        <v>2018</v>
      </c>
      <c r="I190">
        <v>4</v>
      </c>
      <c r="J190">
        <v>2</v>
      </c>
      <c r="K190">
        <f t="shared" si="34"/>
        <v>2022</v>
      </c>
      <c r="L190">
        <f t="shared" si="28"/>
        <v>2025</v>
      </c>
      <c r="M190" t="str">
        <f t="shared" si="29"/>
        <v>KY 2025</v>
      </c>
      <c r="N190" t="str">
        <f t="shared" si="35"/>
        <v>N</v>
      </c>
      <c r="O190">
        <f t="shared" si="30"/>
        <v>2025</v>
      </c>
      <c r="P190">
        <f t="shared" si="31"/>
        <v>7</v>
      </c>
      <c r="Q190" t="str">
        <f t="shared" si="36"/>
        <v>AMR</v>
      </c>
      <c r="R190" t="s">
        <v>266</v>
      </c>
      <c r="S190" t="str">
        <f t="shared" si="37"/>
        <v>KY</v>
      </c>
      <c r="T190">
        <f t="shared" si="32"/>
        <v>2025</v>
      </c>
      <c r="U190">
        <f t="shared" si="38"/>
        <v>7</v>
      </c>
      <c r="W190">
        <f t="shared" si="39"/>
        <v>8</v>
      </c>
      <c r="X190">
        <f t="shared" si="40"/>
        <v>0</v>
      </c>
      <c r="Y190">
        <f t="shared" si="41"/>
        <v>0</v>
      </c>
    </row>
    <row r="191" spans="1:25" hidden="1" x14ac:dyDescent="0.35">
      <c r="A191" t="s">
        <v>466</v>
      </c>
      <c r="B191" s="19" t="s">
        <v>478</v>
      </c>
      <c r="C191" t="s">
        <v>468</v>
      </c>
      <c r="D191" t="s">
        <v>481</v>
      </c>
      <c r="E191" t="s">
        <v>265</v>
      </c>
      <c r="F191" t="s">
        <v>471</v>
      </c>
      <c r="G191" t="str">
        <f t="shared" si="33"/>
        <v>AMR</v>
      </c>
      <c r="H191">
        <v>2019</v>
      </c>
      <c r="I191">
        <v>4</v>
      </c>
      <c r="J191">
        <v>3</v>
      </c>
      <c r="K191">
        <f t="shared" si="34"/>
        <v>2023</v>
      </c>
      <c r="L191">
        <f t="shared" si="28"/>
        <v>2025</v>
      </c>
      <c r="M191" t="str">
        <f t="shared" si="29"/>
        <v>KY 2025</v>
      </c>
      <c r="N191" t="str">
        <f t="shared" si="35"/>
        <v>N</v>
      </c>
      <c r="O191">
        <f t="shared" si="30"/>
        <v>2025</v>
      </c>
      <c r="P191">
        <f t="shared" si="31"/>
        <v>6</v>
      </c>
      <c r="Q191" t="str">
        <f t="shared" si="36"/>
        <v>AMR</v>
      </c>
      <c r="R191" t="s">
        <v>266</v>
      </c>
      <c r="S191" t="str">
        <f t="shared" si="37"/>
        <v>KY</v>
      </c>
      <c r="T191">
        <f t="shared" si="32"/>
        <v>2025</v>
      </c>
      <c r="U191">
        <f t="shared" si="38"/>
        <v>6</v>
      </c>
      <c r="W191">
        <f t="shared" si="39"/>
        <v>7</v>
      </c>
      <c r="X191">
        <f t="shared" si="40"/>
        <v>0</v>
      </c>
      <c r="Y191">
        <f t="shared" si="41"/>
        <v>0</v>
      </c>
    </row>
    <row r="192" spans="1:25" hidden="1" x14ac:dyDescent="0.35">
      <c r="A192" t="s">
        <v>466</v>
      </c>
      <c r="B192" s="19" t="s">
        <v>478</v>
      </c>
      <c r="C192" t="s">
        <v>468</v>
      </c>
      <c r="D192" t="s">
        <v>481</v>
      </c>
      <c r="E192" t="s">
        <v>265</v>
      </c>
      <c r="F192" t="s">
        <v>471</v>
      </c>
      <c r="G192" t="str">
        <f t="shared" si="33"/>
        <v>AMR</v>
      </c>
      <c r="H192">
        <v>2021</v>
      </c>
      <c r="I192">
        <v>4</v>
      </c>
      <c r="J192">
        <v>3</v>
      </c>
      <c r="K192">
        <f t="shared" si="34"/>
        <v>2025</v>
      </c>
      <c r="L192">
        <f t="shared" si="28"/>
        <v>2025</v>
      </c>
      <c r="M192" t="str">
        <f t="shared" si="29"/>
        <v>KY 2025</v>
      </c>
      <c r="N192" t="str">
        <f t="shared" si="35"/>
        <v>N</v>
      </c>
      <c r="O192">
        <f t="shared" si="30"/>
        <v>2025</v>
      </c>
      <c r="P192">
        <f t="shared" si="31"/>
        <v>4</v>
      </c>
      <c r="Q192" t="str">
        <f t="shared" si="36"/>
        <v>AMR</v>
      </c>
      <c r="R192" t="s">
        <v>266</v>
      </c>
      <c r="S192" t="str">
        <f t="shared" si="37"/>
        <v>KY</v>
      </c>
      <c r="T192">
        <f t="shared" si="32"/>
        <v>2025</v>
      </c>
      <c r="U192">
        <f t="shared" si="38"/>
        <v>4</v>
      </c>
      <c r="W192">
        <f t="shared" si="39"/>
        <v>5</v>
      </c>
      <c r="X192">
        <f t="shared" si="40"/>
        <v>0</v>
      </c>
      <c r="Y192">
        <f t="shared" si="41"/>
        <v>0</v>
      </c>
    </row>
    <row r="193" spans="1:25" hidden="1" x14ac:dyDescent="0.35">
      <c r="A193" t="s">
        <v>466</v>
      </c>
      <c r="B193" s="19" t="s">
        <v>478</v>
      </c>
      <c r="C193" t="s">
        <v>468</v>
      </c>
      <c r="D193" t="s">
        <v>481</v>
      </c>
      <c r="E193" t="s">
        <v>265</v>
      </c>
      <c r="F193" t="s">
        <v>471</v>
      </c>
      <c r="G193" t="str">
        <f t="shared" si="33"/>
        <v>AMR</v>
      </c>
      <c r="H193">
        <v>2022</v>
      </c>
      <c r="I193">
        <v>4</v>
      </c>
      <c r="J193">
        <v>1</v>
      </c>
      <c r="K193">
        <f t="shared" si="34"/>
        <v>2026</v>
      </c>
      <c r="L193">
        <f t="shared" si="28"/>
        <v>2026</v>
      </c>
      <c r="M193" t="str">
        <f t="shared" si="29"/>
        <v>KY 2026</v>
      </c>
      <c r="N193" t="str">
        <f t="shared" si="35"/>
        <v>N</v>
      </c>
      <c r="O193">
        <f t="shared" si="30"/>
        <v>2026</v>
      </c>
      <c r="P193">
        <f t="shared" si="31"/>
        <v>4</v>
      </c>
      <c r="Q193" t="str">
        <f t="shared" si="36"/>
        <v>AMR</v>
      </c>
      <c r="R193" t="s">
        <v>266</v>
      </c>
      <c r="S193" t="str">
        <f t="shared" si="37"/>
        <v>KY</v>
      </c>
      <c r="T193">
        <f t="shared" si="32"/>
        <v>2026</v>
      </c>
      <c r="U193">
        <f t="shared" si="38"/>
        <v>4</v>
      </c>
      <c r="W193">
        <f t="shared" si="39"/>
        <v>4</v>
      </c>
      <c r="X193">
        <f t="shared" si="40"/>
        <v>0</v>
      </c>
      <c r="Y193">
        <f t="shared" si="41"/>
        <v>0</v>
      </c>
    </row>
    <row r="194" spans="1:25" hidden="1" x14ac:dyDescent="0.35">
      <c r="A194" t="s">
        <v>466</v>
      </c>
      <c r="B194" s="19" t="s">
        <v>478</v>
      </c>
      <c r="C194" t="s">
        <v>468</v>
      </c>
      <c r="D194" t="s">
        <v>481</v>
      </c>
      <c r="E194" t="s">
        <v>265</v>
      </c>
      <c r="F194" t="s">
        <v>471</v>
      </c>
      <c r="G194" t="str">
        <f t="shared" si="33"/>
        <v>AMR</v>
      </c>
      <c r="H194">
        <v>2023</v>
      </c>
      <c r="I194">
        <v>4</v>
      </c>
      <c r="J194">
        <v>1</v>
      </c>
      <c r="K194">
        <f t="shared" si="34"/>
        <v>2027</v>
      </c>
      <c r="L194">
        <f t="shared" si="28"/>
        <v>2027</v>
      </c>
      <c r="M194" t="str">
        <f t="shared" si="29"/>
        <v>KY 2027</v>
      </c>
      <c r="N194" t="str">
        <f t="shared" si="35"/>
        <v>N</v>
      </c>
      <c r="O194">
        <f t="shared" si="30"/>
        <v>2027</v>
      </c>
      <c r="P194">
        <f t="shared" si="31"/>
        <v>4</v>
      </c>
      <c r="Q194" t="str">
        <f t="shared" si="36"/>
        <v>AMR</v>
      </c>
      <c r="R194" t="s">
        <v>266</v>
      </c>
      <c r="S194" t="str">
        <f t="shared" si="37"/>
        <v>KY</v>
      </c>
      <c r="T194">
        <f t="shared" si="32"/>
        <v>2027</v>
      </c>
      <c r="U194">
        <f t="shared" si="38"/>
        <v>4</v>
      </c>
      <c r="W194">
        <f t="shared" si="39"/>
        <v>3</v>
      </c>
      <c r="X194">
        <f t="shared" si="40"/>
        <v>0</v>
      </c>
      <c r="Y194">
        <f t="shared" si="41"/>
        <v>0</v>
      </c>
    </row>
    <row r="195" spans="1:25" hidden="1" x14ac:dyDescent="0.35">
      <c r="A195" t="s">
        <v>466</v>
      </c>
      <c r="B195" s="19" t="s">
        <v>482</v>
      </c>
      <c r="C195" t="s">
        <v>468</v>
      </c>
      <c r="D195" t="s">
        <v>477</v>
      </c>
      <c r="E195" t="s">
        <v>265</v>
      </c>
      <c r="F195" t="s">
        <v>472</v>
      </c>
      <c r="G195" t="str">
        <f t="shared" si="33"/>
        <v>AMI</v>
      </c>
      <c r="H195">
        <v>2023</v>
      </c>
      <c r="I195">
        <v>4</v>
      </c>
      <c r="J195">
        <v>1</v>
      </c>
      <c r="K195">
        <f t="shared" si="34"/>
        <v>2027</v>
      </c>
      <c r="L195">
        <f t="shared" si="28"/>
        <v>2027</v>
      </c>
      <c r="M195" t="str">
        <f t="shared" si="29"/>
        <v>KY 2027</v>
      </c>
      <c r="N195" t="str">
        <f t="shared" si="35"/>
        <v>Y</v>
      </c>
      <c r="O195">
        <f t="shared" si="30"/>
        <v>2027</v>
      </c>
      <c r="P195">
        <f t="shared" si="31"/>
        <v>4</v>
      </c>
      <c r="Q195" t="str">
        <f t="shared" si="36"/>
        <v>AMI</v>
      </c>
      <c r="R195" t="s">
        <v>266</v>
      </c>
      <c r="S195" t="str">
        <f t="shared" si="37"/>
        <v>KY</v>
      </c>
      <c r="T195">
        <f t="shared" si="32"/>
        <v>2027</v>
      </c>
      <c r="U195">
        <f t="shared" si="38"/>
        <v>4</v>
      </c>
      <c r="W195">
        <f t="shared" si="39"/>
        <v>3</v>
      </c>
      <c r="X195">
        <f t="shared" si="40"/>
        <v>0</v>
      </c>
      <c r="Y195">
        <f t="shared" si="41"/>
        <v>0</v>
      </c>
    </row>
    <row r="196" spans="1:25" hidden="1" x14ac:dyDescent="0.35">
      <c r="A196" t="s">
        <v>466</v>
      </c>
      <c r="B196" s="19" t="s">
        <v>482</v>
      </c>
      <c r="C196" t="s">
        <v>468</v>
      </c>
      <c r="D196" t="s">
        <v>477</v>
      </c>
      <c r="E196" t="s">
        <v>265</v>
      </c>
      <c r="F196" t="s">
        <v>470</v>
      </c>
      <c r="G196" t="str">
        <f t="shared" si="33"/>
        <v>AMR</v>
      </c>
      <c r="H196">
        <v>2019</v>
      </c>
      <c r="I196">
        <v>4</v>
      </c>
      <c r="J196">
        <v>1</v>
      </c>
      <c r="K196">
        <f t="shared" si="34"/>
        <v>2023</v>
      </c>
      <c r="L196">
        <f t="shared" si="28"/>
        <v>2025</v>
      </c>
      <c r="M196" t="str">
        <f t="shared" si="29"/>
        <v>KY 2025</v>
      </c>
      <c r="N196" t="str">
        <f t="shared" si="35"/>
        <v>N</v>
      </c>
      <c r="O196">
        <f t="shared" si="30"/>
        <v>2025</v>
      </c>
      <c r="P196">
        <f t="shared" si="31"/>
        <v>6</v>
      </c>
      <c r="Q196" t="str">
        <f t="shared" si="36"/>
        <v>AMR</v>
      </c>
      <c r="R196" t="s">
        <v>266</v>
      </c>
      <c r="S196" t="str">
        <f t="shared" si="37"/>
        <v>KY</v>
      </c>
      <c r="T196">
        <f t="shared" si="32"/>
        <v>2025</v>
      </c>
      <c r="U196">
        <f t="shared" si="38"/>
        <v>6</v>
      </c>
      <c r="W196">
        <f t="shared" si="39"/>
        <v>7</v>
      </c>
      <c r="X196">
        <f t="shared" si="40"/>
        <v>0</v>
      </c>
      <c r="Y196">
        <f t="shared" si="41"/>
        <v>0</v>
      </c>
    </row>
    <row r="197" spans="1:25" hidden="1" x14ac:dyDescent="0.35">
      <c r="A197" t="s">
        <v>466</v>
      </c>
      <c r="B197" s="19" t="s">
        <v>482</v>
      </c>
      <c r="C197" t="s">
        <v>468</v>
      </c>
      <c r="D197" t="s">
        <v>477</v>
      </c>
      <c r="E197" t="s">
        <v>265</v>
      </c>
      <c r="F197" t="s">
        <v>470</v>
      </c>
      <c r="G197" t="str">
        <f t="shared" si="33"/>
        <v>AMR</v>
      </c>
      <c r="H197">
        <v>2023</v>
      </c>
      <c r="I197">
        <v>4</v>
      </c>
      <c r="J197">
        <v>24</v>
      </c>
      <c r="K197">
        <f t="shared" si="34"/>
        <v>2027</v>
      </c>
      <c r="L197">
        <f t="shared" si="28"/>
        <v>2027</v>
      </c>
      <c r="M197" t="str">
        <f t="shared" si="29"/>
        <v>KY 2027</v>
      </c>
      <c r="N197" t="str">
        <f t="shared" si="35"/>
        <v>N</v>
      </c>
      <c r="O197">
        <f t="shared" si="30"/>
        <v>2027</v>
      </c>
      <c r="P197">
        <f t="shared" si="31"/>
        <v>4</v>
      </c>
      <c r="Q197" t="str">
        <f t="shared" si="36"/>
        <v>AMR</v>
      </c>
      <c r="R197" t="s">
        <v>266</v>
      </c>
      <c r="S197" t="str">
        <f t="shared" si="37"/>
        <v>KY</v>
      </c>
      <c r="T197">
        <f t="shared" si="32"/>
        <v>2027</v>
      </c>
      <c r="U197">
        <f t="shared" si="38"/>
        <v>4</v>
      </c>
      <c r="W197">
        <f t="shared" si="39"/>
        <v>3</v>
      </c>
      <c r="X197">
        <f t="shared" si="40"/>
        <v>0</v>
      </c>
      <c r="Y197">
        <f t="shared" si="41"/>
        <v>0</v>
      </c>
    </row>
    <row r="198" spans="1:25" hidden="1" x14ac:dyDescent="0.35">
      <c r="A198" t="s">
        <v>466</v>
      </c>
      <c r="B198" s="19" t="s">
        <v>482</v>
      </c>
      <c r="C198" t="s">
        <v>468</v>
      </c>
      <c r="D198" t="s">
        <v>477</v>
      </c>
      <c r="E198" t="s">
        <v>265</v>
      </c>
      <c r="F198" t="s">
        <v>470</v>
      </c>
      <c r="G198" t="str">
        <f t="shared" si="33"/>
        <v>AMR</v>
      </c>
      <c r="H198">
        <v>2025</v>
      </c>
      <c r="I198">
        <v>4</v>
      </c>
      <c r="J198">
        <v>3</v>
      </c>
      <c r="K198">
        <f t="shared" si="34"/>
        <v>2029</v>
      </c>
      <c r="L198">
        <f t="shared" ref="L198:L261" si="42">IF(K198&lt;YearOne,YearOne-1,K198)</f>
        <v>2029</v>
      </c>
      <c r="M198" t="str">
        <f t="shared" ref="M198:M261" si="43">(C198&amp; " "&amp;L198)</f>
        <v>KY 2029</v>
      </c>
      <c r="N198" t="str">
        <f t="shared" si="35"/>
        <v>N</v>
      </c>
      <c r="O198">
        <f t="shared" ref="O198:O261" si="44">IF(K198&lt;=(YearOne-1),YearOne-1,K198)</f>
        <v>2029</v>
      </c>
      <c r="P198">
        <f t="shared" ref="P198:P261" si="45">O198-H198</f>
        <v>4</v>
      </c>
      <c r="Q198" t="str">
        <f t="shared" si="36"/>
        <v>AMR</v>
      </c>
      <c r="R198" t="s">
        <v>266</v>
      </c>
      <c r="S198" t="str">
        <f t="shared" si="37"/>
        <v>KY</v>
      </c>
      <c r="T198">
        <f t="shared" ref="T198:T261" si="46">IF(I198=15,IF(O198=(YearOne-1),O198,MAX(YearOne,O198-5)),O198)</f>
        <v>2029</v>
      </c>
      <c r="U198">
        <f t="shared" si="38"/>
        <v>4</v>
      </c>
      <c r="W198">
        <f t="shared" si="39"/>
        <v>1</v>
      </c>
      <c r="X198">
        <f t="shared" si="40"/>
        <v>0</v>
      </c>
      <c r="Y198">
        <f t="shared" si="41"/>
        <v>0</v>
      </c>
    </row>
    <row r="199" spans="1:25" x14ac:dyDescent="0.35">
      <c r="A199" t="s">
        <v>466</v>
      </c>
      <c r="B199" s="19" t="s">
        <v>482</v>
      </c>
      <c r="C199" t="s">
        <v>468</v>
      </c>
      <c r="D199" t="s">
        <v>477</v>
      </c>
      <c r="E199" t="s">
        <v>264</v>
      </c>
      <c r="F199" t="s">
        <v>471</v>
      </c>
      <c r="G199" t="str">
        <f t="shared" ref="G199:G262" si="47">IF(ISNUMBER(SEARCH("AMI",F199,1)),"AMI",IF(ISNUMBER(SEARCH("AMR",F199,1)),"AMR","Manual"))</f>
        <v>AMR</v>
      </c>
      <c r="H199">
        <v>2015</v>
      </c>
      <c r="I199">
        <v>4</v>
      </c>
      <c r="J199">
        <v>1</v>
      </c>
      <c r="K199">
        <f t="shared" ref="K199:K234" si="48">H199+I199</f>
        <v>2019</v>
      </c>
      <c r="L199">
        <f t="shared" si="42"/>
        <v>2025</v>
      </c>
      <c r="M199" t="str">
        <f t="shared" si="43"/>
        <v>KY 2025</v>
      </c>
      <c r="N199" t="str">
        <f t="shared" ref="N199:N262" si="49">IF(G199="AMI","Y","N")</f>
        <v>N</v>
      </c>
      <c r="O199">
        <f t="shared" si="44"/>
        <v>2025</v>
      </c>
      <c r="P199">
        <f t="shared" si="45"/>
        <v>10</v>
      </c>
      <c r="Q199" t="str">
        <f t="shared" ref="Q199:Q234" si="50">G199</f>
        <v>AMR</v>
      </c>
      <c r="R199" t="s">
        <v>266</v>
      </c>
      <c r="S199" t="str">
        <f t="shared" ref="S199:S262" si="51">C199</f>
        <v>KY</v>
      </c>
      <c r="T199">
        <f t="shared" si="46"/>
        <v>2025</v>
      </c>
      <c r="U199">
        <f t="shared" ref="U199:U262" si="52">IF(P199=15,"10**",P199)</f>
        <v>10</v>
      </c>
      <c r="W199">
        <f t="shared" ref="W199:W262" si="53">2026-H199</f>
        <v>11</v>
      </c>
      <c r="X199">
        <f t="shared" ref="X199:X262" si="54">IF(W199&gt;10,W199*J199,0)</f>
        <v>11</v>
      </c>
      <c r="Y199">
        <f t="shared" ref="Y199:Y262" si="55">IF(W199&gt;10,J199,0)</f>
        <v>1</v>
      </c>
    </row>
    <row r="200" spans="1:25" hidden="1" x14ac:dyDescent="0.35">
      <c r="A200" t="s">
        <v>466</v>
      </c>
      <c r="B200" s="19" t="s">
        <v>482</v>
      </c>
      <c r="C200" t="s">
        <v>468</v>
      </c>
      <c r="D200" t="s">
        <v>477</v>
      </c>
      <c r="E200" t="s">
        <v>264</v>
      </c>
      <c r="F200" t="s">
        <v>471</v>
      </c>
      <c r="G200" t="str">
        <f t="shared" si="47"/>
        <v>AMR</v>
      </c>
      <c r="H200">
        <v>2019</v>
      </c>
      <c r="I200">
        <v>4</v>
      </c>
      <c r="J200">
        <v>2</v>
      </c>
      <c r="K200">
        <f t="shared" si="48"/>
        <v>2023</v>
      </c>
      <c r="L200">
        <f t="shared" si="42"/>
        <v>2025</v>
      </c>
      <c r="M200" t="str">
        <f t="shared" si="43"/>
        <v>KY 2025</v>
      </c>
      <c r="N200" t="str">
        <f t="shared" si="49"/>
        <v>N</v>
      </c>
      <c r="O200">
        <f t="shared" si="44"/>
        <v>2025</v>
      </c>
      <c r="P200">
        <f t="shared" si="45"/>
        <v>6</v>
      </c>
      <c r="Q200" t="str">
        <f t="shared" si="50"/>
        <v>AMR</v>
      </c>
      <c r="R200" t="s">
        <v>266</v>
      </c>
      <c r="S200" t="str">
        <f t="shared" si="51"/>
        <v>KY</v>
      </c>
      <c r="T200">
        <f t="shared" si="46"/>
        <v>2025</v>
      </c>
      <c r="U200">
        <f t="shared" si="52"/>
        <v>6</v>
      </c>
      <c r="W200">
        <f t="shared" si="53"/>
        <v>7</v>
      </c>
      <c r="X200">
        <f t="shared" si="54"/>
        <v>0</v>
      </c>
      <c r="Y200">
        <f t="shared" si="55"/>
        <v>0</v>
      </c>
    </row>
    <row r="201" spans="1:25" hidden="1" x14ac:dyDescent="0.35">
      <c r="A201" t="s">
        <v>466</v>
      </c>
      <c r="B201" s="19" t="s">
        <v>482</v>
      </c>
      <c r="C201" t="s">
        <v>468</v>
      </c>
      <c r="D201" t="s">
        <v>477</v>
      </c>
      <c r="E201" t="s">
        <v>264</v>
      </c>
      <c r="F201" t="s">
        <v>471</v>
      </c>
      <c r="G201" t="str">
        <f t="shared" si="47"/>
        <v>AMR</v>
      </c>
      <c r="H201">
        <v>2022</v>
      </c>
      <c r="I201">
        <v>4</v>
      </c>
      <c r="J201">
        <v>1</v>
      </c>
      <c r="K201">
        <f t="shared" si="48"/>
        <v>2026</v>
      </c>
      <c r="L201">
        <f t="shared" si="42"/>
        <v>2026</v>
      </c>
      <c r="M201" t="str">
        <f t="shared" si="43"/>
        <v>KY 2026</v>
      </c>
      <c r="N201" t="str">
        <f t="shared" si="49"/>
        <v>N</v>
      </c>
      <c r="O201">
        <f t="shared" si="44"/>
        <v>2026</v>
      </c>
      <c r="P201">
        <f t="shared" si="45"/>
        <v>4</v>
      </c>
      <c r="Q201" t="str">
        <f t="shared" si="50"/>
        <v>AMR</v>
      </c>
      <c r="R201" t="s">
        <v>266</v>
      </c>
      <c r="S201" t="str">
        <f t="shared" si="51"/>
        <v>KY</v>
      </c>
      <c r="T201">
        <f t="shared" si="46"/>
        <v>2026</v>
      </c>
      <c r="U201">
        <f t="shared" si="52"/>
        <v>4</v>
      </c>
      <c r="W201">
        <f t="shared" si="53"/>
        <v>4</v>
      </c>
      <c r="X201">
        <f t="shared" si="54"/>
        <v>0</v>
      </c>
      <c r="Y201">
        <f t="shared" si="55"/>
        <v>0</v>
      </c>
    </row>
    <row r="202" spans="1:25" hidden="1" x14ac:dyDescent="0.35">
      <c r="A202" t="s">
        <v>466</v>
      </c>
      <c r="B202" s="19" t="s">
        <v>482</v>
      </c>
      <c r="C202" t="s">
        <v>468</v>
      </c>
      <c r="D202" t="s">
        <v>477</v>
      </c>
      <c r="E202" t="s">
        <v>264</v>
      </c>
      <c r="F202" t="s">
        <v>471</v>
      </c>
      <c r="G202" t="str">
        <f t="shared" si="47"/>
        <v>AMR</v>
      </c>
      <c r="H202">
        <v>2023</v>
      </c>
      <c r="I202">
        <v>4</v>
      </c>
      <c r="J202">
        <v>1</v>
      </c>
      <c r="K202">
        <f t="shared" si="48"/>
        <v>2027</v>
      </c>
      <c r="L202">
        <f t="shared" si="42"/>
        <v>2027</v>
      </c>
      <c r="M202" t="str">
        <f t="shared" si="43"/>
        <v>KY 2027</v>
      </c>
      <c r="N202" t="str">
        <f t="shared" si="49"/>
        <v>N</v>
      </c>
      <c r="O202">
        <f t="shared" si="44"/>
        <v>2027</v>
      </c>
      <c r="P202">
        <f t="shared" si="45"/>
        <v>4</v>
      </c>
      <c r="Q202" t="str">
        <f t="shared" si="50"/>
        <v>AMR</v>
      </c>
      <c r="R202" t="s">
        <v>266</v>
      </c>
      <c r="S202" t="str">
        <f t="shared" si="51"/>
        <v>KY</v>
      </c>
      <c r="T202">
        <f t="shared" si="46"/>
        <v>2027</v>
      </c>
      <c r="U202">
        <f t="shared" si="52"/>
        <v>4</v>
      </c>
      <c r="W202">
        <f t="shared" si="53"/>
        <v>3</v>
      </c>
      <c r="X202">
        <f t="shared" si="54"/>
        <v>0</v>
      </c>
      <c r="Y202">
        <f t="shared" si="55"/>
        <v>0</v>
      </c>
    </row>
    <row r="203" spans="1:25" x14ac:dyDescent="0.35">
      <c r="A203" t="s">
        <v>466</v>
      </c>
      <c r="B203" s="19" t="s">
        <v>482</v>
      </c>
      <c r="C203" t="s">
        <v>468</v>
      </c>
      <c r="D203" t="s">
        <v>477</v>
      </c>
      <c r="E203" t="s">
        <v>265</v>
      </c>
      <c r="F203" t="s">
        <v>471</v>
      </c>
      <c r="G203" t="str">
        <f t="shared" si="47"/>
        <v>AMR</v>
      </c>
      <c r="H203">
        <v>2015</v>
      </c>
      <c r="I203">
        <v>4</v>
      </c>
      <c r="J203">
        <v>2</v>
      </c>
      <c r="K203">
        <f t="shared" si="48"/>
        <v>2019</v>
      </c>
      <c r="L203">
        <f t="shared" si="42"/>
        <v>2025</v>
      </c>
      <c r="M203" t="str">
        <f t="shared" si="43"/>
        <v>KY 2025</v>
      </c>
      <c r="N203" t="str">
        <f t="shared" si="49"/>
        <v>N</v>
      </c>
      <c r="O203">
        <f t="shared" si="44"/>
        <v>2025</v>
      </c>
      <c r="P203">
        <f t="shared" si="45"/>
        <v>10</v>
      </c>
      <c r="Q203" t="str">
        <f t="shared" si="50"/>
        <v>AMR</v>
      </c>
      <c r="R203" t="s">
        <v>266</v>
      </c>
      <c r="S203" t="str">
        <f t="shared" si="51"/>
        <v>KY</v>
      </c>
      <c r="T203">
        <f t="shared" si="46"/>
        <v>2025</v>
      </c>
      <c r="U203">
        <f t="shared" si="52"/>
        <v>10</v>
      </c>
      <c r="W203">
        <f t="shared" si="53"/>
        <v>11</v>
      </c>
      <c r="X203">
        <f t="shared" si="54"/>
        <v>22</v>
      </c>
      <c r="Y203">
        <f t="shared" si="55"/>
        <v>2</v>
      </c>
    </row>
    <row r="204" spans="1:25" hidden="1" x14ac:dyDescent="0.35">
      <c r="A204" t="s">
        <v>466</v>
      </c>
      <c r="B204" s="19" t="s">
        <v>482</v>
      </c>
      <c r="C204" t="s">
        <v>468</v>
      </c>
      <c r="D204" t="s">
        <v>477</v>
      </c>
      <c r="E204" t="s">
        <v>265</v>
      </c>
      <c r="F204" t="s">
        <v>471</v>
      </c>
      <c r="G204" t="str">
        <f t="shared" si="47"/>
        <v>AMR</v>
      </c>
      <c r="H204">
        <v>2016</v>
      </c>
      <c r="I204">
        <v>4</v>
      </c>
      <c r="J204">
        <v>2</v>
      </c>
      <c r="K204">
        <f t="shared" si="48"/>
        <v>2020</v>
      </c>
      <c r="L204">
        <f t="shared" si="42"/>
        <v>2025</v>
      </c>
      <c r="M204" t="str">
        <f t="shared" si="43"/>
        <v>KY 2025</v>
      </c>
      <c r="N204" t="str">
        <f t="shared" si="49"/>
        <v>N</v>
      </c>
      <c r="O204">
        <f t="shared" si="44"/>
        <v>2025</v>
      </c>
      <c r="P204">
        <f t="shared" si="45"/>
        <v>9</v>
      </c>
      <c r="Q204" t="str">
        <f t="shared" si="50"/>
        <v>AMR</v>
      </c>
      <c r="R204" t="s">
        <v>266</v>
      </c>
      <c r="S204" t="str">
        <f t="shared" si="51"/>
        <v>KY</v>
      </c>
      <c r="T204">
        <f t="shared" si="46"/>
        <v>2025</v>
      </c>
      <c r="U204">
        <f t="shared" si="52"/>
        <v>9</v>
      </c>
      <c r="W204">
        <f t="shared" si="53"/>
        <v>10</v>
      </c>
      <c r="X204">
        <f t="shared" si="54"/>
        <v>0</v>
      </c>
      <c r="Y204">
        <f t="shared" si="55"/>
        <v>0</v>
      </c>
    </row>
    <row r="205" spans="1:25" hidden="1" x14ac:dyDescent="0.35">
      <c r="A205" t="s">
        <v>466</v>
      </c>
      <c r="B205" s="19" t="s">
        <v>482</v>
      </c>
      <c r="C205" t="s">
        <v>468</v>
      </c>
      <c r="D205" t="s">
        <v>477</v>
      </c>
      <c r="E205" t="s">
        <v>265</v>
      </c>
      <c r="F205" t="s">
        <v>471</v>
      </c>
      <c r="G205" t="str">
        <f t="shared" si="47"/>
        <v>AMR</v>
      </c>
      <c r="H205">
        <v>2017</v>
      </c>
      <c r="I205">
        <v>4</v>
      </c>
      <c r="J205">
        <v>3</v>
      </c>
      <c r="K205">
        <f t="shared" si="48"/>
        <v>2021</v>
      </c>
      <c r="L205">
        <f t="shared" si="42"/>
        <v>2025</v>
      </c>
      <c r="M205" t="str">
        <f t="shared" si="43"/>
        <v>KY 2025</v>
      </c>
      <c r="N205" t="str">
        <f t="shared" si="49"/>
        <v>N</v>
      </c>
      <c r="O205">
        <f t="shared" si="44"/>
        <v>2025</v>
      </c>
      <c r="P205">
        <f t="shared" si="45"/>
        <v>8</v>
      </c>
      <c r="Q205" t="str">
        <f t="shared" si="50"/>
        <v>AMR</v>
      </c>
      <c r="R205" t="s">
        <v>266</v>
      </c>
      <c r="S205" t="str">
        <f t="shared" si="51"/>
        <v>KY</v>
      </c>
      <c r="T205">
        <f t="shared" si="46"/>
        <v>2025</v>
      </c>
      <c r="U205">
        <f t="shared" si="52"/>
        <v>8</v>
      </c>
      <c r="W205">
        <f t="shared" si="53"/>
        <v>9</v>
      </c>
      <c r="X205">
        <f t="shared" si="54"/>
        <v>0</v>
      </c>
      <c r="Y205">
        <f t="shared" si="55"/>
        <v>0</v>
      </c>
    </row>
    <row r="206" spans="1:25" hidden="1" x14ac:dyDescent="0.35">
      <c r="A206" t="s">
        <v>466</v>
      </c>
      <c r="B206" s="19" t="s">
        <v>482</v>
      </c>
      <c r="C206" t="s">
        <v>468</v>
      </c>
      <c r="D206" t="s">
        <v>477</v>
      </c>
      <c r="E206" t="s">
        <v>265</v>
      </c>
      <c r="F206" t="s">
        <v>471</v>
      </c>
      <c r="G206" t="str">
        <f t="shared" si="47"/>
        <v>AMR</v>
      </c>
      <c r="H206">
        <v>2018</v>
      </c>
      <c r="I206">
        <v>4</v>
      </c>
      <c r="J206">
        <v>2</v>
      </c>
      <c r="K206">
        <f t="shared" si="48"/>
        <v>2022</v>
      </c>
      <c r="L206">
        <f t="shared" si="42"/>
        <v>2025</v>
      </c>
      <c r="M206" t="str">
        <f t="shared" si="43"/>
        <v>KY 2025</v>
      </c>
      <c r="N206" t="str">
        <f t="shared" si="49"/>
        <v>N</v>
      </c>
      <c r="O206">
        <f t="shared" si="44"/>
        <v>2025</v>
      </c>
      <c r="P206">
        <f t="shared" si="45"/>
        <v>7</v>
      </c>
      <c r="Q206" t="str">
        <f t="shared" si="50"/>
        <v>AMR</v>
      </c>
      <c r="R206" t="s">
        <v>266</v>
      </c>
      <c r="S206" t="str">
        <f t="shared" si="51"/>
        <v>KY</v>
      </c>
      <c r="T206">
        <f t="shared" si="46"/>
        <v>2025</v>
      </c>
      <c r="U206">
        <f t="shared" si="52"/>
        <v>7</v>
      </c>
      <c r="W206">
        <f t="shared" si="53"/>
        <v>8</v>
      </c>
      <c r="X206">
        <f t="shared" si="54"/>
        <v>0</v>
      </c>
      <c r="Y206">
        <f t="shared" si="55"/>
        <v>0</v>
      </c>
    </row>
    <row r="207" spans="1:25" hidden="1" x14ac:dyDescent="0.35">
      <c r="A207" t="s">
        <v>466</v>
      </c>
      <c r="B207" s="19" t="s">
        <v>482</v>
      </c>
      <c r="C207" t="s">
        <v>468</v>
      </c>
      <c r="D207" t="s">
        <v>477</v>
      </c>
      <c r="E207" t="s">
        <v>265</v>
      </c>
      <c r="F207" t="s">
        <v>471</v>
      </c>
      <c r="G207" t="str">
        <f t="shared" si="47"/>
        <v>AMR</v>
      </c>
      <c r="H207">
        <v>2019</v>
      </c>
      <c r="I207">
        <v>4</v>
      </c>
      <c r="J207">
        <v>26</v>
      </c>
      <c r="K207">
        <f t="shared" si="48"/>
        <v>2023</v>
      </c>
      <c r="L207">
        <f t="shared" si="42"/>
        <v>2025</v>
      </c>
      <c r="M207" t="str">
        <f t="shared" si="43"/>
        <v>KY 2025</v>
      </c>
      <c r="N207" t="str">
        <f t="shared" si="49"/>
        <v>N</v>
      </c>
      <c r="O207">
        <f t="shared" si="44"/>
        <v>2025</v>
      </c>
      <c r="P207">
        <f t="shared" si="45"/>
        <v>6</v>
      </c>
      <c r="Q207" t="str">
        <f t="shared" si="50"/>
        <v>AMR</v>
      </c>
      <c r="R207" t="s">
        <v>266</v>
      </c>
      <c r="S207" t="str">
        <f t="shared" si="51"/>
        <v>KY</v>
      </c>
      <c r="T207">
        <f t="shared" si="46"/>
        <v>2025</v>
      </c>
      <c r="U207">
        <f t="shared" si="52"/>
        <v>6</v>
      </c>
      <c r="W207">
        <f t="shared" si="53"/>
        <v>7</v>
      </c>
      <c r="X207">
        <f t="shared" si="54"/>
        <v>0</v>
      </c>
      <c r="Y207">
        <f t="shared" si="55"/>
        <v>0</v>
      </c>
    </row>
    <row r="208" spans="1:25" hidden="1" x14ac:dyDescent="0.35">
      <c r="A208" t="s">
        <v>466</v>
      </c>
      <c r="B208" s="19" t="s">
        <v>482</v>
      </c>
      <c r="C208" t="s">
        <v>468</v>
      </c>
      <c r="D208" t="s">
        <v>477</v>
      </c>
      <c r="E208" t="s">
        <v>265</v>
      </c>
      <c r="F208" t="s">
        <v>471</v>
      </c>
      <c r="G208" t="str">
        <f t="shared" si="47"/>
        <v>AMR</v>
      </c>
      <c r="H208">
        <v>2020</v>
      </c>
      <c r="I208">
        <v>4</v>
      </c>
      <c r="J208">
        <v>13</v>
      </c>
      <c r="K208">
        <f t="shared" si="48"/>
        <v>2024</v>
      </c>
      <c r="L208">
        <f t="shared" si="42"/>
        <v>2025</v>
      </c>
      <c r="M208" t="str">
        <f t="shared" si="43"/>
        <v>KY 2025</v>
      </c>
      <c r="N208" t="str">
        <f t="shared" si="49"/>
        <v>N</v>
      </c>
      <c r="O208">
        <f t="shared" si="44"/>
        <v>2025</v>
      </c>
      <c r="P208">
        <f t="shared" si="45"/>
        <v>5</v>
      </c>
      <c r="Q208" t="str">
        <f t="shared" si="50"/>
        <v>AMR</v>
      </c>
      <c r="R208" t="s">
        <v>266</v>
      </c>
      <c r="S208" t="str">
        <f t="shared" si="51"/>
        <v>KY</v>
      </c>
      <c r="T208">
        <f t="shared" si="46"/>
        <v>2025</v>
      </c>
      <c r="U208">
        <f t="shared" si="52"/>
        <v>5</v>
      </c>
      <c r="W208">
        <f t="shared" si="53"/>
        <v>6</v>
      </c>
      <c r="X208">
        <f t="shared" si="54"/>
        <v>0</v>
      </c>
      <c r="Y208">
        <f t="shared" si="55"/>
        <v>0</v>
      </c>
    </row>
    <row r="209" spans="1:25" hidden="1" x14ac:dyDescent="0.35">
      <c r="A209" t="s">
        <v>466</v>
      </c>
      <c r="B209" s="19" t="s">
        <v>482</v>
      </c>
      <c r="C209" t="s">
        <v>468</v>
      </c>
      <c r="D209" t="s">
        <v>477</v>
      </c>
      <c r="E209" t="s">
        <v>265</v>
      </c>
      <c r="F209" t="s">
        <v>471</v>
      </c>
      <c r="G209" t="str">
        <f t="shared" si="47"/>
        <v>AMR</v>
      </c>
      <c r="H209">
        <v>2022</v>
      </c>
      <c r="I209">
        <v>4</v>
      </c>
      <c r="J209">
        <v>2</v>
      </c>
      <c r="K209">
        <f t="shared" si="48"/>
        <v>2026</v>
      </c>
      <c r="L209">
        <f t="shared" si="42"/>
        <v>2026</v>
      </c>
      <c r="M209" t="str">
        <f t="shared" si="43"/>
        <v>KY 2026</v>
      </c>
      <c r="N209" t="str">
        <f t="shared" si="49"/>
        <v>N</v>
      </c>
      <c r="O209">
        <f t="shared" si="44"/>
        <v>2026</v>
      </c>
      <c r="P209">
        <f t="shared" si="45"/>
        <v>4</v>
      </c>
      <c r="Q209" t="str">
        <f t="shared" si="50"/>
        <v>AMR</v>
      </c>
      <c r="R209" t="s">
        <v>266</v>
      </c>
      <c r="S209" t="str">
        <f t="shared" si="51"/>
        <v>KY</v>
      </c>
      <c r="T209">
        <f t="shared" si="46"/>
        <v>2026</v>
      </c>
      <c r="U209">
        <f t="shared" si="52"/>
        <v>4</v>
      </c>
      <c r="W209">
        <f t="shared" si="53"/>
        <v>4</v>
      </c>
      <c r="X209">
        <f t="shared" si="54"/>
        <v>0</v>
      </c>
      <c r="Y209">
        <f t="shared" si="55"/>
        <v>0</v>
      </c>
    </row>
    <row r="210" spans="1:25" hidden="1" x14ac:dyDescent="0.35">
      <c r="A210" t="s">
        <v>466</v>
      </c>
      <c r="B210" s="19" t="s">
        <v>482</v>
      </c>
      <c r="C210" t="s">
        <v>468</v>
      </c>
      <c r="D210" t="s">
        <v>477</v>
      </c>
      <c r="E210" t="s">
        <v>265</v>
      </c>
      <c r="F210" t="s">
        <v>471</v>
      </c>
      <c r="G210" t="str">
        <f t="shared" si="47"/>
        <v>AMR</v>
      </c>
      <c r="H210">
        <v>2023</v>
      </c>
      <c r="I210">
        <v>4</v>
      </c>
      <c r="J210">
        <v>168</v>
      </c>
      <c r="K210">
        <f t="shared" si="48"/>
        <v>2027</v>
      </c>
      <c r="L210">
        <f t="shared" si="42"/>
        <v>2027</v>
      </c>
      <c r="M210" t="str">
        <f t="shared" si="43"/>
        <v>KY 2027</v>
      </c>
      <c r="N210" t="str">
        <f t="shared" si="49"/>
        <v>N</v>
      </c>
      <c r="O210">
        <f t="shared" si="44"/>
        <v>2027</v>
      </c>
      <c r="P210">
        <f t="shared" si="45"/>
        <v>4</v>
      </c>
      <c r="Q210" t="str">
        <f t="shared" si="50"/>
        <v>AMR</v>
      </c>
      <c r="R210" t="s">
        <v>266</v>
      </c>
      <c r="S210" t="str">
        <f t="shared" si="51"/>
        <v>KY</v>
      </c>
      <c r="T210">
        <f t="shared" si="46"/>
        <v>2027</v>
      </c>
      <c r="U210">
        <f t="shared" si="52"/>
        <v>4</v>
      </c>
      <c r="W210">
        <f t="shared" si="53"/>
        <v>3</v>
      </c>
      <c r="X210">
        <f t="shared" si="54"/>
        <v>0</v>
      </c>
      <c r="Y210">
        <f t="shared" si="55"/>
        <v>0</v>
      </c>
    </row>
    <row r="211" spans="1:25" hidden="1" x14ac:dyDescent="0.35">
      <c r="A211" t="s">
        <v>466</v>
      </c>
      <c r="B211" s="19" t="s">
        <v>482</v>
      </c>
      <c r="C211" t="s">
        <v>468</v>
      </c>
      <c r="D211" t="s">
        <v>477</v>
      </c>
      <c r="E211" t="s">
        <v>265</v>
      </c>
      <c r="F211" t="s">
        <v>471</v>
      </c>
      <c r="G211" t="str">
        <f t="shared" si="47"/>
        <v>AMR</v>
      </c>
      <c r="H211">
        <v>2024</v>
      </c>
      <c r="I211">
        <v>4</v>
      </c>
      <c r="J211">
        <v>1</v>
      </c>
      <c r="K211">
        <f t="shared" si="48"/>
        <v>2028</v>
      </c>
      <c r="L211">
        <f t="shared" si="42"/>
        <v>2028</v>
      </c>
      <c r="M211" t="str">
        <f t="shared" si="43"/>
        <v>KY 2028</v>
      </c>
      <c r="N211" t="str">
        <f t="shared" si="49"/>
        <v>N</v>
      </c>
      <c r="O211">
        <f t="shared" si="44"/>
        <v>2028</v>
      </c>
      <c r="P211">
        <f t="shared" si="45"/>
        <v>4</v>
      </c>
      <c r="Q211" t="str">
        <f t="shared" si="50"/>
        <v>AMR</v>
      </c>
      <c r="R211" t="s">
        <v>266</v>
      </c>
      <c r="S211" t="str">
        <f t="shared" si="51"/>
        <v>KY</v>
      </c>
      <c r="T211">
        <f t="shared" si="46"/>
        <v>2028</v>
      </c>
      <c r="U211">
        <f t="shared" si="52"/>
        <v>4</v>
      </c>
      <c r="W211">
        <f t="shared" si="53"/>
        <v>2</v>
      </c>
      <c r="X211">
        <f t="shared" si="54"/>
        <v>0</v>
      </c>
      <c r="Y211">
        <f t="shared" si="55"/>
        <v>0</v>
      </c>
    </row>
    <row r="212" spans="1:25" hidden="1" x14ac:dyDescent="0.35">
      <c r="A212" t="s">
        <v>466</v>
      </c>
      <c r="B212" s="19" t="s">
        <v>482</v>
      </c>
      <c r="C212" t="s">
        <v>468</v>
      </c>
      <c r="D212" t="s">
        <v>477</v>
      </c>
      <c r="E212" t="s">
        <v>265</v>
      </c>
      <c r="F212" t="s">
        <v>471</v>
      </c>
      <c r="G212" t="str">
        <f t="shared" si="47"/>
        <v>AMR</v>
      </c>
      <c r="H212">
        <v>2025</v>
      </c>
      <c r="I212">
        <v>4</v>
      </c>
      <c r="J212">
        <v>1</v>
      </c>
      <c r="K212">
        <f t="shared" si="48"/>
        <v>2029</v>
      </c>
      <c r="L212">
        <f t="shared" si="42"/>
        <v>2029</v>
      </c>
      <c r="M212" t="str">
        <f t="shared" si="43"/>
        <v>KY 2029</v>
      </c>
      <c r="N212" t="str">
        <f t="shared" si="49"/>
        <v>N</v>
      </c>
      <c r="O212">
        <f t="shared" si="44"/>
        <v>2029</v>
      </c>
      <c r="P212">
        <f t="shared" si="45"/>
        <v>4</v>
      </c>
      <c r="Q212" t="str">
        <f t="shared" si="50"/>
        <v>AMR</v>
      </c>
      <c r="R212" t="s">
        <v>266</v>
      </c>
      <c r="S212" t="str">
        <f t="shared" si="51"/>
        <v>KY</v>
      </c>
      <c r="T212">
        <f t="shared" si="46"/>
        <v>2029</v>
      </c>
      <c r="U212">
        <f t="shared" si="52"/>
        <v>4</v>
      </c>
      <c r="W212">
        <f t="shared" si="53"/>
        <v>1</v>
      </c>
      <c r="X212">
        <f t="shared" si="54"/>
        <v>0</v>
      </c>
      <c r="Y212">
        <f t="shared" si="55"/>
        <v>0</v>
      </c>
    </row>
    <row r="213" spans="1:25" hidden="1" x14ac:dyDescent="0.35">
      <c r="A213" t="s">
        <v>466</v>
      </c>
      <c r="B213" s="19" t="s">
        <v>483</v>
      </c>
      <c r="C213" t="s">
        <v>468</v>
      </c>
      <c r="D213" t="s">
        <v>469</v>
      </c>
      <c r="E213" t="s">
        <v>265</v>
      </c>
      <c r="G213" t="str">
        <f t="shared" si="47"/>
        <v>Manual</v>
      </c>
      <c r="H213">
        <v>2020</v>
      </c>
      <c r="I213">
        <v>10</v>
      </c>
      <c r="J213">
        <v>2</v>
      </c>
      <c r="K213">
        <f t="shared" si="48"/>
        <v>2030</v>
      </c>
      <c r="L213">
        <f t="shared" si="42"/>
        <v>2030</v>
      </c>
      <c r="M213" t="str">
        <f t="shared" si="43"/>
        <v>KY 2030</v>
      </c>
      <c r="N213" t="str">
        <f t="shared" si="49"/>
        <v>N</v>
      </c>
      <c r="O213">
        <f t="shared" si="44"/>
        <v>2030</v>
      </c>
      <c r="P213">
        <f t="shared" si="45"/>
        <v>10</v>
      </c>
      <c r="Q213" t="str">
        <f t="shared" si="50"/>
        <v>Manual</v>
      </c>
      <c r="R213" t="s">
        <v>266</v>
      </c>
      <c r="S213" t="str">
        <f t="shared" si="51"/>
        <v>KY</v>
      </c>
      <c r="T213">
        <f t="shared" si="46"/>
        <v>2030</v>
      </c>
      <c r="U213">
        <f t="shared" si="52"/>
        <v>10</v>
      </c>
      <c r="W213">
        <f t="shared" si="53"/>
        <v>6</v>
      </c>
      <c r="X213">
        <f t="shared" si="54"/>
        <v>0</v>
      </c>
      <c r="Y213">
        <f t="shared" si="55"/>
        <v>0</v>
      </c>
    </row>
    <row r="214" spans="1:25" hidden="1" x14ac:dyDescent="0.35">
      <c r="A214" t="s">
        <v>466</v>
      </c>
      <c r="B214" s="19" t="s">
        <v>483</v>
      </c>
      <c r="C214" t="s">
        <v>468</v>
      </c>
      <c r="D214" t="s">
        <v>469</v>
      </c>
      <c r="E214" t="s">
        <v>264</v>
      </c>
      <c r="F214" t="s">
        <v>472</v>
      </c>
      <c r="G214" t="str">
        <f t="shared" si="47"/>
        <v>AMI</v>
      </c>
      <c r="H214">
        <v>2018</v>
      </c>
      <c r="I214">
        <v>10</v>
      </c>
      <c r="J214">
        <v>1</v>
      </c>
      <c r="K214">
        <f t="shared" si="48"/>
        <v>2028</v>
      </c>
      <c r="L214">
        <f t="shared" si="42"/>
        <v>2028</v>
      </c>
      <c r="M214" t="str">
        <f t="shared" si="43"/>
        <v>KY 2028</v>
      </c>
      <c r="N214" t="str">
        <f t="shared" si="49"/>
        <v>Y</v>
      </c>
      <c r="O214">
        <f t="shared" si="44"/>
        <v>2028</v>
      </c>
      <c r="P214">
        <f t="shared" si="45"/>
        <v>10</v>
      </c>
      <c r="Q214" t="str">
        <f t="shared" si="50"/>
        <v>AMI</v>
      </c>
      <c r="R214" t="s">
        <v>266</v>
      </c>
      <c r="S214" t="str">
        <f t="shared" si="51"/>
        <v>KY</v>
      </c>
      <c r="T214">
        <f t="shared" si="46"/>
        <v>2028</v>
      </c>
      <c r="U214">
        <f t="shared" si="52"/>
        <v>10</v>
      </c>
      <c r="W214">
        <f t="shared" si="53"/>
        <v>8</v>
      </c>
      <c r="X214">
        <f t="shared" si="54"/>
        <v>0</v>
      </c>
      <c r="Y214">
        <f t="shared" si="55"/>
        <v>0</v>
      </c>
    </row>
    <row r="215" spans="1:25" hidden="1" x14ac:dyDescent="0.35">
      <c r="A215" t="s">
        <v>466</v>
      </c>
      <c r="B215" s="19" t="s">
        <v>483</v>
      </c>
      <c r="C215" t="s">
        <v>468</v>
      </c>
      <c r="D215" t="s">
        <v>469</v>
      </c>
      <c r="E215" t="s">
        <v>264</v>
      </c>
      <c r="F215" t="s">
        <v>472</v>
      </c>
      <c r="G215" t="str">
        <f t="shared" si="47"/>
        <v>AMI</v>
      </c>
      <c r="H215">
        <v>2020</v>
      </c>
      <c r="I215">
        <v>10</v>
      </c>
      <c r="J215">
        <v>1</v>
      </c>
      <c r="K215">
        <f t="shared" si="48"/>
        <v>2030</v>
      </c>
      <c r="L215">
        <f t="shared" si="42"/>
        <v>2030</v>
      </c>
      <c r="M215" t="str">
        <f t="shared" si="43"/>
        <v>KY 2030</v>
      </c>
      <c r="N215" t="str">
        <f t="shared" si="49"/>
        <v>Y</v>
      </c>
      <c r="O215">
        <f t="shared" si="44"/>
        <v>2030</v>
      </c>
      <c r="P215">
        <f t="shared" si="45"/>
        <v>10</v>
      </c>
      <c r="Q215" t="str">
        <f t="shared" si="50"/>
        <v>AMI</v>
      </c>
      <c r="R215" t="s">
        <v>266</v>
      </c>
      <c r="S215" t="str">
        <f t="shared" si="51"/>
        <v>KY</v>
      </c>
      <c r="T215">
        <f t="shared" si="46"/>
        <v>2030</v>
      </c>
      <c r="U215">
        <f t="shared" si="52"/>
        <v>10</v>
      </c>
      <c r="W215">
        <f t="shared" si="53"/>
        <v>6</v>
      </c>
      <c r="X215">
        <f t="shared" si="54"/>
        <v>0</v>
      </c>
      <c r="Y215">
        <f t="shared" si="55"/>
        <v>0</v>
      </c>
    </row>
    <row r="216" spans="1:25" hidden="1" x14ac:dyDescent="0.35">
      <c r="A216" t="s">
        <v>466</v>
      </c>
      <c r="B216" s="19" t="s">
        <v>483</v>
      </c>
      <c r="C216" t="s">
        <v>468</v>
      </c>
      <c r="D216" t="s">
        <v>469</v>
      </c>
      <c r="E216" t="s">
        <v>265</v>
      </c>
      <c r="F216" t="s">
        <v>472</v>
      </c>
      <c r="G216" t="str">
        <f t="shared" si="47"/>
        <v>AMI</v>
      </c>
      <c r="H216">
        <v>2017</v>
      </c>
      <c r="I216">
        <v>10</v>
      </c>
      <c r="J216">
        <v>12</v>
      </c>
      <c r="K216">
        <f t="shared" si="48"/>
        <v>2027</v>
      </c>
      <c r="L216">
        <f t="shared" si="42"/>
        <v>2027</v>
      </c>
      <c r="M216" t="str">
        <f t="shared" si="43"/>
        <v>KY 2027</v>
      </c>
      <c r="N216" t="str">
        <f t="shared" si="49"/>
        <v>Y</v>
      </c>
      <c r="O216">
        <f t="shared" si="44"/>
        <v>2027</v>
      </c>
      <c r="P216">
        <f t="shared" si="45"/>
        <v>10</v>
      </c>
      <c r="Q216" t="str">
        <f t="shared" si="50"/>
        <v>AMI</v>
      </c>
      <c r="R216" t="s">
        <v>266</v>
      </c>
      <c r="S216" t="str">
        <f t="shared" si="51"/>
        <v>KY</v>
      </c>
      <c r="T216">
        <f t="shared" si="46"/>
        <v>2027</v>
      </c>
      <c r="U216">
        <f t="shared" si="52"/>
        <v>10</v>
      </c>
      <c r="W216">
        <f t="shared" si="53"/>
        <v>9</v>
      </c>
      <c r="X216">
        <f t="shared" si="54"/>
        <v>0</v>
      </c>
      <c r="Y216">
        <f t="shared" si="55"/>
        <v>0</v>
      </c>
    </row>
    <row r="217" spans="1:25" hidden="1" x14ac:dyDescent="0.35">
      <c r="A217" t="s">
        <v>466</v>
      </c>
      <c r="B217" s="19" t="s">
        <v>483</v>
      </c>
      <c r="C217" t="s">
        <v>468</v>
      </c>
      <c r="D217" t="s">
        <v>469</v>
      </c>
      <c r="E217" t="s">
        <v>265</v>
      </c>
      <c r="F217" t="s">
        <v>472</v>
      </c>
      <c r="G217" t="str">
        <f t="shared" si="47"/>
        <v>AMI</v>
      </c>
      <c r="H217">
        <v>2018</v>
      </c>
      <c r="I217">
        <v>10</v>
      </c>
      <c r="J217">
        <v>4</v>
      </c>
      <c r="K217">
        <f t="shared" si="48"/>
        <v>2028</v>
      </c>
      <c r="L217">
        <f t="shared" si="42"/>
        <v>2028</v>
      </c>
      <c r="M217" t="str">
        <f t="shared" si="43"/>
        <v>KY 2028</v>
      </c>
      <c r="N217" t="str">
        <f t="shared" si="49"/>
        <v>Y</v>
      </c>
      <c r="O217">
        <f t="shared" si="44"/>
        <v>2028</v>
      </c>
      <c r="P217">
        <f t="shared" si="45"/>
        <v>10</v>
      </c>
      <c r="Q217" t="str">
        <f t="shared" si="50"/>
        <v>AMI</v>
      </c>
      <c r="R217" t="s">
        <v>266</v>
      </c>
      <c r="S217" t="str">
        <f t="shared" si="51"/>
        <v>KY</v>
      </c>
      <c r="T217">
        <f t="shared" si="46"/>
        <v>2028</v>
      </c>
      <c r="U217">
        <f t="shared" si="52"/>
        <v>10</v>
      </c>
      <c r="W217">
        <f t="shared" si="53"/>
        <v>8</v>
      </c>
      <c r="X217">
        <f t="shared" si="54"/>
        <v>0</v>
      </c>
      <c r="Y217">
        <f t="shared" si="55"/>
        <v>0</v>
      </c>
    </row>
    <row r="218" spans="1:25" hidden="1" x14ac:dyDescent="0.35">
      <c r="A218" t="s">
        <v>466</v>
      </c>
      <c r="B218" s="19" t="s">
        <v>483</v>
      </c>
      <c r="C218" t="s">
        <v>468</v>
      </c>
      <c r="D218" t="s">
        <v>469</v>
      </c>
      <c r="E218" t="s">
        <v>265</v>
      </c>
      <c r="F218" t="s">
        <v>472</v>
      </c>
      <c r="G218" t="str">
        <f t="shared" si="47"/>
        <v>AMI</v>
      </c>
      <c r="H218">
        <v>2019</v>
      </c>
      <c r="I218">
        <v>10</v>
      </c>
      <c r="J218">
        <v>2</v>
      </c>
      <c r="K218">
        <f t="shared" si="48"/>
        <v>2029</v>
      </c>
      <c r="L218">
        <f t="shared" si="42"/>
        <v>2029</v>
      </c>
      <c r="M218" t="str">
        <f t="shared" si="43"/>
        <v>KY 2029</v>
      </c>
      <c r="N218" t="str">
        <f t="shared" si="49"/>
        <v>Y</v>
      </c>
      <c r="O218">
        <f t="shared" si="44"/>
        <v>2029</v>
      </c>
      <c r="P218">
        <f t="shared" si="45"/>
        <v>10</v>
      </c>
      <c r="Q218" t="str">
        <f t="shared" si="50"/>
        <v>AMI</v>
      </c>
      <c r="R218" t="s">
        <v>266</v>
      </c>
      <c r="S218" t="str">
        <f t="shared" si="51"/>
        <v>KY</v>
      </c>
      <c r="T218">
        <f t="shared" si="46"/>
        <v>2029</v>
      </c>
      <c r="U218">
        <f t="shared" si="52"/>
        <v>10</v>
      </c>
      <c r="W218">
        <f t="shared" si="53"/>
        <v>7</v>
      </c>
      <c r="X218">
        <f t="shared" si="54"/>
        <v>0</v>
      </c>
      <c r="Y218">
        <f t="shared" si="55"/>
        <v>0</v>
      </c>
    </row>
    <row r="219" spans="1:25" hidden="1" x14ac:dyDescent="0.35">
      <c r="A219" t="s">
        <v>466</v>
      </c>
      <c r="B219" s="19" t="s">
        <v>483</v>
      </c>
      <c r="C219" t="s">
        <v>468</v>
      </c>
      <c r="D219" t="s">
        <v>469</v>
      </c>
      <c r="E219" t="s">
        <v>265</v>
      </c>
      <c r="F219" t="s">
        <v>472</v>
      </c>
      <c r="G219" t="str">
        <f t="shared" si="47"/>
        <v>AMI</v>
      </c>
      <c r="H219">
        <v>2020</v>
      </c>
      <c r="I219">
        <v>10</v>
      </c>
      <c r="J219">
        <v>2</v>
      </c>
      <c r="K219">
        <f t="shared" si="48"/>
        <v>2030</v>
      </c>
      <c r="L219">
        <f t="shared" si="42"/>
        <v>2030</v>
      </c>
      <c r="M219" t="str">
        <f t="shared" si="43"/>
        <v>KY 2030</v>
      </c>
      <c r="N219" t="str">
        <f t="shared" si="49"/>
        <v>Y</v>
      </c>
      <c r="O219">
        <f t="shared" si="44"/>
        <v>2030</v>
      </c>
      <c r="P219">
        <f t="shared" si="45"/>
        <v>10</v>
      </c>
      <c r="Q219" t="str">
        <f t="shared" si="50"/>
        <v>AMI</v>
      </c>
      <c r="R219" t="s">
        <v>266</v>
      </c>
      <c r="S219" t="str">
        <f t="shared" si="51"/>
        <v>KY</v>
      </c>
      <c r="T219">
        <f t="shared" si="46"/>
        <v>2030</v>
      </c>
      <c r="U219">
        <f t="shared" si="52"/>
        <v>10</v>
      </c>
      <c r="W219">
        <f t="shared" si="53"/>
        <v>6</v>
      </c>
      <c r="X219">
        <f t="shared" si="54"/>
        <v>0</v>
      </c>
      <c r="Y219">
        <f t="shared" si="55"/>
        <v>0</v>
      </c>
    </row>
    <row r="220" spans="1:25" hidden="1" x14ac:dyDescent="0.35">
      <c r="A220" t="s">
        <v>466</v>
      </c>
      <c r="B220" s="19" t="s">
        <v>483</v>
      </c>
      <c r="C220" t="s">
        <v>468</v>
      </c>
      <c r="D220" t="s">
        <v>469</v>
      </c>
      <c r="E220" t="s">
        <v>265</v>
      </c>
      <c r="F220" t="s">
        <v>472</v>
      </c>
      <c r="G220" t="str">
        <f t="shared" si="47"/>
        <v>AMI</v>
      </c>
      <c r="H220">
        <v>2022</v>
      </c>
      <c r="I220">
        <v>10</v>
      </c>
      <c r="J220">
        <v>3</v>
      </c>
      <c r="K220">
        <f t="shared" si="48"/>
        <v>2032</v>
      </c>
      <c r="L220">
        <f t="shared" si="42"/>
        <v>2032</v>
      </c>
      <c r="M220" t="str">
        <f t="shared" si="43"/>
        <v>KY 2032</v>
      </c>
      <c r="N220" t="str">
        <f t="shared" si="49"/>
        <v>Y</v>
      </c>
      <c r="O220">
        <f t="shared" si="44"/>
        <v>2032</v>
      </c>
      <c r="P220">
        <f t="shared" si="45"/>
        <v>10</v>
      </c>
      <c r="Q220" t="str">
        <f t="shared" si="50"/>
        <v>AMI</v>
      </c>
      <c r="R220" t="s">
        <v>266</v>
      </c>
      <c r="S220" t="str">
        <f t="shared" si="51"/>
        <v>KY</v>
      </c>
      <c r="T220">
        <f t="shared" si="46"/>
        <v>2032</v>
      </c>
      <c r="U220">
        <f t="shared" si="52"/>
        <v>10</v>
      </c>
      <c r="W220">
        <f t="shared" si="53"/>
        <v>4</v>
      </c>
      <c r="X220">
        <f t="shared" si="54"/>
        <v>0</v>
      </c>
      <c r="Y220">
        <f t="shared" si="55"/>
        <v>0</v>
      </c>
    </row>
    <row r="221" spans="1:25" hidden="1" x14ac:dyDescent="0.35">
      <c r="A221" t="s">
        <v>466</v>
      </c>
      <c r="B221" s="19" t="s">
        <v>483</v>
      </c>
      <c r="C221" t="s">
        <v>468</v>
      </c>
      <c r="D221" t="s">
        <v>469</v>
      </c>
      <c r="E221" t="s">
        <v>265</v>
      </c>
      <c r="F221" t="s">
        <v>472</v>
      </c>
      <c r="G221" t="str">
        <f t="shared" si="47"/>
        <v>AMI</v>
      </c>
      <c r="H221">
        <v>2023</v>
      </c>
      <c r="I221">
        <v>10</v>
      </c>
      <c r="J221">
        <v>1</v>
      </c>
      <c r="K221">
        <f t="shared" si="48"/>
        <v>2033</v>
      </c>
      <c r="L221">
        <f t="shared" si="42"/>
        <v>2033</v>
      </c>
      <c r="M221" t="str">
        <f t="shared" si="43"/>
        <v>KY 2033</v>
      </c>
      <c r="N221" t="str">
        <f t="shared" si="49"/>
        <v>Y</v>
      </c>
      <c r="O221">
        <f t="shared" si="44"/>
        <v>2033</v>
      </c>
      <c r="P221">
        <f t="shared" si="45"/>
        <v>10</v>
      </c>
      <c r="Q221" t="str">
        <f t="shared" si="50"/>
        <v>AMI</v>
      </c>
      <c r="R221" t="s">
        <v>266</v>
      </c>
      <c r="S221" t="str">
        <f t="shared" si="51"/>
        <v>KY</v>
      </c>
      <c r="T221">
        <f t="shared" si="46"/>
        <v>2033</v>
      </c>
      <c r="U221">
        <f t="shared" si="52"/>
        <v>10</v>
      </c>
      <c r="W221">
        <f t="shared" si="53"/>
        <v>3</v>
      </c>
      <c r="X221">
        <f t="shared" si="54"/>
        <v>0</v>
      </c>
      <c r="Y221">
        <f t="shared" si="55"/>
        <v>0</v>
      </c>
    </row>
    <row r="222" spans="1:25" hidden="1" x14ac:dyDescent="0.35">
      <c r="A222" t="s">
        <v>466</v>
      </c>
      <c r="B222" s="19" t="s">
        <v>483</v>
      </c>
      <c r="C222" t="s">
        <v>468</v>
      </c>
      <c r="D222" t="s">
        <v>469</v>
      </c>
      <c r="E222" t="s">
        <v>264</v>
      </c>
      <c r="F222" t="s">
        <v>472</v>
      </c>
      <c r="G222" t="str">
        <f t="shared" si="47"/>
        <v>AMI</v>
      </c>
      <c r="H222">
        <v>2022</v>
      </c>
      <c r="I222">
        <v>10</v>
      </c>
      <c r="J222">
        <v>1</v>
      </c>
      <c r="K222">
        <f t="shared" si="48"/>
        <v>2032</v>
      </c>
      <c r="L222">
        <f t="shared" si="42"/>
        <v>2032</v>
      </c>
      <c r="M222" t="str">
        <f t="shared" si="43"/>
        <v>KY 2032</v>
      </c>
      <c r="N222" t="str">
        <f t="shared" si="49"/>
        <v>Y</v>
      </c>
      <c r="O222">
        <f t="shared" si="44"/>
        <v>2032</v>
      </c>
      <c r="P222">
        <f t="shared" si="45"/>
        <v>10</v>
      </c>
      <c r="Q222" t="str">
        <f t="shared" si="50"/>
        <v>AMI</v>
      </c>
      <c r="R222" t="s">
        <v>266</v>
      </c>
      <c r="S222" t="str">
        <f t="shared" si="51"/>
        <v>KY</v>
      </c>
      <c r="T222">
        <f t="shared" si="46"/>
        <v>2032</v>
      </c>
      <c r="U222">
        <f t="shared" si="52"/>
        <v>10</v>
      </c>
      <c r="W222">
        <f t="shared" si="53"/>
        <v>4</v>
      </c>
      <c r="X222">
        <f t="shared" si="54"/>
        <v>0</v>
      </c>
      <c r="Y222">
        <f t="shared" si="55"/>
        <v>0</v>
      </c>
    </row>
    <row r="223" spans="1:25" hidden="1" x14ac:dyDescent="0.35">
      <c r="A223" t="s">
        <v>466</v>
      </c>
      <c r="B223" s="19" t="s">
        <v>483</v>
      </c>
      <c r="C223" t="s">
        <v>468</v>
      </c>
      <c r="D223" t="s">
        <v>469</v>
      </c>
      <c r="E223" t="s">
        <v>265</v>
      </c>
      <c r="F223" t="s">
        <v>470</v>
      </c>
      <c r="G223" t="str">
        <f t="shared" si="47"/>
        <v>AMR</v>
      </c>
      <c r="H223">
        <v>2017</v>
      </c>
      <c r="I223">
        <v>10</v>
      </c>
      <c r="J223">
        <v>1</v>
      </c>
      <c r="K223">
        <f t="shared" si="48"/>
        <v>2027</v>
      </c>
      <c r="L223">
        <f t="shared" si="42"/>
        <v>2027</v>
      </c>
      <c r="M223" t="str">
        <f t="shared" si="43"/>
        <v>KY 2027</v>
      </c>
      <c r="N223" t="str">
        <f t="shared" si="49"/>
        <v>N</v>
      </c>
      <c r="O223">
        <f t="shared" si="44"/>
        <v>2027</v>
      </c>
      <c r="P223">
        <f t="shared" si="45"/>
        <v>10</v>
      </c>
      <c r="Q223" t="str">
        <f t="shared" si="50"/>
        <v>AMR</v>
      </c>
      <c r="R223" t="s">
        <v>266</v>
      </c>
      <c r="S223" t="str">
        <f t="shared" si="51"/>
        <v>KY</v>
      </c>
      <c r="T223">
        <f t="shared" si="46"/>
        <v>2027</v>
      </c>
      <c r="U223">
        <f t="shared" si="52"/>
        <v>10</v>
      </c>
      <c r="W223">
        <f t="shared" si="53"/>
        <v>9</v>
      </c>
      <c r="X223">
        <f t="shared" si="54"/>
        <v>0</v>
      </c>
      <c r="Y223">
        <f t="shared" si="55"/>
        <v>0</v>
      </c>
    </row>
    <row r="224" spans="1:25" hidden="1" x14ac:dyDescent="0.35">
      <c r="A224" t="s">
        <v>466</v>
      </c>
      <c r="B224" s="19" t="s">
        <v>483</v>
      </c>
      <c r="C224" t="s">
        <v>468</v>
      </c>
      <c r="D224" t="s">
        <v>469</v>
      </c>
      <c r="E224" t="s">
        <v>265</v>
      </c>
      <c r="F224" t="s">
        <v>470</v>
      </c>
      <c r="G224" t="str">
        <f t="shared" si="47"/>
        <v>AMR</v>
      </c>
      <c r="H224">
        <v>2022</v>
      </c>
      <c r="I224">
        <v>10</v>
      </c>
      <c r="J224">
        <v>1</v>
      </c>
      <c r="K224">
        <f t="shared" si="48"/>
        <v>2032</v>
      </c>
      <c r="L224">
        <f t="shared" si="42"/>
        <v>2032</v>
      </c>
      <c r="M224" t="str">
        <f t="shared" si="43"/>
        <v>KY 2032</v>
      </c>
      <c r="N224" t="str">
        <f t="shared" si="49"/>
        <v>N</v>
      </c>
      <c r="O224">
        <f t="shared" si="44"/>
        <v>2032</v>
      </c>
      <c r="P224">
        <f t="shared" si="45"/>
        <v>10</v>
      </c>
      <c r="Q224" t="str">
        <f t="shared" si="50"/>
        <v>AMR</v>
      </c>
      <c r="R224" t="s">
        <v>266</v>
      </c>
      <c r="S224" t="str">
        <f t="shared" si="51"/>
        <v>KY</v>
      </c>
      <c r="T224">
        <f t="shared" si="46"/>
        <v>2032</v>
      </c>
      <c r="U224">
        <f t="shared" si="52"/>
        <v>10</v>
      </c>
      <c r="W224">
        <f t="shared" si="53"/>
        <v>4</v>
      </c>
      <c r="X224">
        <f t="shared" si="54"/>
        <v>0</v>
      </c>
      <c r="Y224">
        <f t="shared" si="55"/>
        <v>0</v>
      </c>
    </row>
    <row r="225" spans="1:25" hidden="1" x14ac:dyDescent="0.35">
      <c r="A225" t="s">
        <v>466</v>
      </c>
      <c r="B225" s="19" t="s">
        <v>483</v>
      </c>
      <c r="C225" t="s">
        <v>468</v>
      </c>
      <c r="D225" t="s">
        <v>469</v>
      </c>
      <c r="E225" t="s">
        <v>265</v>
      </c>
      <c r="F225" t="s">
        <v>470</v>
      </c>
      <c r="G225" t="str">
        <f t="shared" si="47"/>
        <v>AMR</v>
      </c>
      <c r="H225">
        <v>2023</v>
      </c>
      <c r="I225">
        <v>10</v>
      </c>
      <c r="J225">
        <v>3</v>
      </c>
      <c r="K225">
        <f t="shared" si="48"/>
        <v>2033</v>
      </c>
      <c r="L225">
        <f t="shared" si="42"/>
        <v>2033</v>
      </c>
      <c r="M225" t="str">
        <f t="shared" si="43"/>
        <v>KY 2033</v>
      </c>
      <c r="N225" t="str">
        <f t="shared" si="49"/>
        <v>N</v>
      </c>
      <c r="O225">
        <f t="shared" si="44"/>
        <v>2033</v>
      </c>
      <c r="P225">
        <f t="shared" si="45"/>
        <v>10</v>
      </c>
      <c r="Q225" t="str">
        <f t="shared" si="50"/>
        <v>AMR</v>
      </c>
      <c r="R225" t="s">
        <v>266</v>
      </c>
      <c r="S225" t="str">
        <f t="shared" si="51"/>
        <v>KY</v>
      </c>
      <c r="T225">
        <f t="shared" si="46"/>
        <v>2033</v>
      </c>
      <c r="U225">
        <f t="shared" si="52"/>
        <v>10</v>
      </c>
      <c r="W225">
        <f t="shared" si="53"/>
        <v>3</v>
      </c>
      <c r="X225">
        <f t="shared" si="54"/>
        <v>0</v>
      </c>
      <c r="Y225">
        <f t="shared" si="55"/>
        <v>0</v>
      </c>
    </row>
    <row r="226" spans="1:25" hidden="1" x14ac:dyDescent="0.35">
      <c r="A226" t="s">
        <v>466</v>
      </c>
      <c r="B226" s="19" t="s">
        <v>483</v>
      </c>
      <c r="C226" t="s">
        <v>468</v>
      </c>
      <c r="D226" t="s">
        <v>469</v>
      </c>
      <c r="E226" t="s">
        <v>265</v>
      </c>
      <c r="F226" t="s">
        <v>470</v>
      </c>
      <c r="G226" t="str">
        <f t="shared" si="47"/>
        <v>AMR</v>
      </c>
      <c r="H226">
        <v>2024</v>
      </c>
      <c r="I226">
        <v>10</v>
      </c>
      <c r="J226">
        <v>10</v>
      </c>
      <c r="K226">
        <f t="shared" si="48"/>
        <v>2034</v>
      </c>
      <c r="L226">
        <f t="shared" si="42"/>
        <v>2034</v>
      </c>
      <c r="M226" t="str">
        <f t="shared" si="43"/>
        <v>KY 2034</v>
      </c>
      <c r="N226" t="str">
        <f t="shared" si="49"/>
        <v>N</v>
      </c>
      <c r="O226">
        <f t="shared" si="44"/>
        <v>2034</v>
      </c>
      <c r="P226">
        <f t="shared" si="45"/>
        <v>10</v>
      </c>
      <c r="Q226" t="str">
        <f t="shared" si="50"/>
        <v>AMR</v>
      </c>
      <c r="R226" t="s">
        <v>266</v>
      </c>
      <c r="S226" t="str">
        <f t="shared" si="51"/>
        <v>KY</v>
      </c>
      <c r="T226">
        <f t="shared" si="46"/>
        <v>2034</v>
      </c>
      <c r="U226">
        <f t="shared" si="52"/>
        <v>10</v>
      </c>
      <c r="W226">
        <f t="shared" si="53"/>
        <v>2</v>
      </c>
      <c r="X226">
        <f t="shared" si="54"/>
        <v>0</v>
      </c>
      <c r="Y226">
        <f t="shared" si="55"/>
        <v>0</v>
      </c>
    </row>
    <row r="227" spans="1:25" hidden="1" x14ac:dyDescent="0.35">
      <c r="A227" t="s">
        <v>466</v>
      </c>
      <c r="B227" s="19" t="s">
        <v>483</v>
      </c>
      <c r="C227" t="s">
        <v>468</v>
      </c>
      <c r="D227" t="s">
        <v>469</v>
      </c>
      <c r="E227" t="s">
        <v>264</v>
      </c>
      <c r="F227" t="s">
        <v>471</v>
      </c>
      <c r="G227" t="str">
        <f t="shared" si="47"/>
        <v>AMR</v>
      </c>
      <c r="H227">
        <v>2017</v>
      </c>
      <c r="I227">
        <v>10</v>
      </c>
      <c r="J227">
        <v>8</v>
      </c>
      <c r="K227">
        <f t="shared" si="48"/>
        <v>2027</v>
      </c>
      <c r="L227">
        <f t="shared" si="42"/>
        <v>2027</v>
      </c>
      <c r="M227" t="str">
        <f t="shared" si="43"/>
        <v>KY 2027</v>
      </c>
      <c r="N227" t="str">
        <f t="shared" si="49"/>
        <v>N</v>
      </c>
      <c r="O227">
        <f t="shared" si="44"/>
        <v>2027</v>
      </c>
      <c r="P227">
        <f t="shared" si="45"/>
        <v>10</v>
      </c>
      <c r="Q227" t="str">
        <f t="shared" si="50"/>
        <v>AMR</v>
      </c>
      <c r="R227" t="s">
        <v>266</v>
      </c>
      <c r="S227" t="str">
        <f t="shared" si="51"/>
        <v>KY</v>
      </c>
      <c r="T227">
        <f t="shared" si="46"/>
        <v>2027</v>
      </c>
      <c r="U227">
        <f t="shared" si="52"/>
        <v>10</v>
      </c>
      <c r="W227">
        <f t="shared" si="53"/>
        <v>9</v>
      </c>
      <c r="X227">
        <f t="shared" si="54"/>
        <v>0</v>
      </c>
      <c r="Y227">
        <f t="shared" si="55"/>
        <v>0</v>
      </c>
    </row>
    <row r="228" spans="1:25" hidden="1" x14ac:dyDescent="0.35">
      <c r="A228" t="s">
        <v>466</v>
      </c>
      <c r="B228" s="19" t="s">
        <v>483</v>
      </c>
      <c r="C228" t="s">
        <v>468</v>
      </c>
      <c r="D228" t="s">
        <v>469</v>
      </c>
      <c r="E228" t="s">
        <v>264</v>
      </c>
      <c r="F228" t="s">
        <v>471</v>
      </c>
      <c r="G228" t="str">
        <f t="shared" si="47"/>
        <v>AMR</v>
      </c>
      <c r="H228">
        <v>2018</v>
      </c>
      <c r="I228">
        <v>10</v>
      </c>
      <c r="J228">
        <v>8</v>
      </c>
      <c r="K228">
        <f t="shared" si="48"/>
        <v>2028</v>
      </c>
      <c r="L228">
        <f t="shared" si="42"/>
        <v>2028</v>
      </c>
      <c r="M228" t="str">
        <f t="shared" si="43"/>
        <v>KY 2028</v>
      </c>
      <c r="N228" t="str">
        <f t="shared" si="49"/>
        <v>N</v>
      </c>
      <c r="O228">
        <f t="shared" si="44"/>
        <v>2028</v>
      </c>
      <c r="P228">
        <f t="shared" si="45"/>
        <v>10</v>
      </c>
      <c r="Q228" t="str">
        <f t="shared" si="50"/>
        <v>AMR</v>
      </c>
      <c r="R228" t="s">
        <v>266</v>
      </c>
      <c r="S228" t="str">
        <f t="shared" si="51"/>
        <v>KY</v>
      </c>
      <c r="T228">
        <f t="shared" si="46"/>
        <v>2028</v>
      </c>
      <c r="U228">
        <f t="shared" si="52"/>
        <v>10</v>
      </c>
      <c r="W228">
        <f t="shared" si="53"/>
        <v>8</v>
      </c>
      <c r="X228">
        <f t="shared" si="54"/>
        <v>0</v>
      </c>
      <c r="Y228">
        <f t="shared" si="55"/>
        <v>0</v>
      </c>
    </row>
    <row r="229" spans="1:25" hidden="1" x14ac:dyDescent="0.35">
      <c r="A229" t="s">
        <v>466</v>
      </c>
      <c r="B229" s="19" t="s">
        <v>483</v>
      </c>
      <c r="C229" t="s">
        <v>468</v>
      </c>
      <c r="D229" t="s">
        <v>469</v>
      </c>
      <c r="E229" t="s">
        <v>264</v>
      </c>
      <c r="F229" t="s">
        <v>471</v>
      </c>
      <c r="G229" t="str">
        <f t="shared" si="47"/>
        <v>AMR</v>
      </c>
      <c r="H229">
        <v>2019</v>
      </c>
      <c r="I229">
        <v>10</v>
      </c>
      <c r="J229">
        <v>7</v>
      </c>
      <c r="K229">
        <f t="shared" si="48"/>
        <v>2029</v>
      </c>
      <c r="L229">
        <f t="shared" si="42"/>
        <v>2029</v>
      </c>
      <c r="M229" t="str">
        <f t="shared" si="43"/>
        <v>KY 2029</v>
      </c>
      <c r="N229" t="str">
        <f t="shared" si="49"/>
        <v>N</v>
      </c>
      <c r="O229">
        <f t="shared" si="44"/>
        <v>2029</v>
      </c>
      <c r="P229">
        <f t="shared" si="45"/>
        <v>10</v>
      </c>
      <c r="Q229" t="str">
        <f t="shared" si="50"/>
        <v>AMR</v>
      </c>
      <c r="R229" t="s">
        <v>266</v>
      </c>
      <c r="S229" t="str">
        <f t="shared" si="51"/>
        <v>KY</v>
      </c>
      <c r="T229">
        <f t="shared" si="46"/>
        <v>2029</v>
      </c>
      <c r="U229">
        <f t="shared" si="52"/>
        <v>10</v>
      </c>
      <c r="W229">
        <f t="shared" si="53"/>
        <v>7</v>
      </c>
      <c r="X229">
        <f t="shared" si="54"/>
        <v>0</v>
      </c>
      <c r="Y229">
        <f t="shared" si="55"/>
        <v>0</v>
      </c>
    </row>
    <row r="230" spans="1:25" hidden="1" x14ac:dyDescent="0.35">
      <c r="A230" t="s">
        <v>466</v>
      </c>
      <c r="B230" s="19" t="s">
        <v>483</v>
      </c>
      <c r="C230" t="s">
        <v>468</v>
      </c>
      <c r="D230" t="s">
        <v>469</v>
      </c>
      <c r="E230" t="s">
        <v>264</v>
      </c>
      <c r="F230" t="s">
        <v>471</v>
      </c>
      <c r="G230" t="str">
        <f t="shared" si="47"/>
        <v>AMR</v>
      </c>
      <c r="H230">
        <v>2020</v>
      </c>
      <c r="I230">
        <v>10</v>
      </c>
      <c r="J230">
        <v>3</v>
      </c>
      <c r="K230">
        <f t="shared" si="48"/>
        <v>2030</v>
      </c>
      <c r="L230">
        <f t="shared" si="42"/>
        <v>2030</v>
      </c>
      <c r="M230" t="str">
        <f t="shared" si="43"/>
        <v>KY 2030</v>
      </c>
      <c r="N230" t="str">
        <f t="shared" si="49"/>
        <v>N</v>
      </c>
      <c r="O230">
        <f t="shared" si="44"/>
        <v>2030</v>
      </c>
      <c r="P230">
        <f t="shared" si="45"/>
        <v>10</v>
      </c>
      <c r="Q230" t="str">
        <f t="shared" si="50"/>
        <v>AMR</v>
      </c>
      <c r="R230" t="s">
        <v>266</v>
      </c>
      <c r="S230" t="str">
        <f t="shared" si="51"/>
        <v>KY</v>
      </c>
      <c r="T230">
        <f t="shared" si="46"/>
        <v>2030</v>
      </c>
      <c r="U230">
        <f t="shared" si="52"/>
        <v>10</v>
      </c>
      <c r="W230">
        <f t="shared" si="53"/>
        <v>6</v>
      </c>
      <c r="X230">
        <f t="shared" si="54"/>
        <v>0</v>
      </c>
      <c r="Y230">
        <f t="shared" si="55"/>
        <v>0</v>
      </c>
    </row>
    <row r="231" spans="1:25" hidden="1" x14ac:dyDescent="0.35">
      <c r="A231" t="s">
        <v>466</v>
      </c>
      <c r="B231" s="19" t="s">
        <v>483</v>
      </c>
      <c r="C231" t="s">
        <v>468</v>
      </c>
      <c r="D231" t="s">
        <v>469</v>
      </c>
      <c r="E231" t="s">
        <v>264</v>
      </c>
      <c r="F231" t="s">
        <v>471</v>
      </c>
      <c r="G231" t="str">
        <f t="shared" si="47"/>
        <v>AMR</v>
      </c>
      <c r="H231">
        <v>2022</v>
      </c>
      <c r="I231">
        <v>10</v>
      </c>
      <c r="J231">
        <v>4</v>
      </c>
      <c r="K231">
        <f t="shared" si="48"/>
        <v>2032</v>
      </c>
      <c r="L231">
        <f t="shared" si="42"/>
        <v>2032</v>
      </c>
      <c r="M231" t="str">
        <f t="shared" si="43"/>
        <v>KY 2032</v>
      </c>
      <c r="N231" t="str">
        <f t="shared" si="49"/>
        <v>N</v>
      </c>
      <c r="O231">
        <f t="shared" si="44"/>
        <v>2032</v>
      </c>
      <c r="P231">
        <f t="shared" si="45"/>
        <v>10</v>
      </c>
      <c r="Q231" t="str">
        <f t="shared" si="50"/>
        <v>AMR</v>
      </c>
      <c r="R231" t="s">
        <v>266</v>
      </c>
      <c r="S231" t="str">
        <f t="shared" si="51"/>
        <v>KY</v>
      </c>
      <c r="T231">
        <f t="shared" si="46"/>
        <v>2032</v>
      </c>
      <c r="U231">
        <f t="shared" si="52"/>
        <v>10</v>
      </c>
      <c r="W231">
        <f t="shared" si="53"/>
        <v>4</v>
      </c>
      <c r="X231">
        <f t="shared" si="54"/>
        <v>0</v>
      </c>
      <c r="Y231">
        <f t="shared" si="55"/>
        <v>0</v>
      </c>
    </row>
    <row r="232" spans="1:25" hidden="1" x14ac:dyDescent="0.35">
      <c r="A232" t="s">
        <v>466</v>
      </c>
      <c r="B232" s="19" t="s">
        <v>483</v>
      </c>
      <c r="C232" t="s">
        <v>468</v>
      </c>
      <c r="D232" t="s">
        <v>469</v>
      </c>
      <c r="E232" t="s">
        <v>264</v>
      </c>
      <c r="F232" t="s">
        <v>471</v>
      </c>
      <c r="G232" t="str">
        <f t="shared" si="47"/>
        <v>AMR</v>
      </c>
      <c r="H232">
        <v>2023</v>
      </c>
      <c r="I232">
        <v>10</v>
      </c>
      <c r="J232">
        <v>3</v>
      </c>
      <c r="K232">
        <f t="shared" si="48"/>
        <v>2033</v>
      </c>
      <c r="L232">
        <f t="shared" si="42"/>
        <v>2033</v>
      </c>
      <c r="M232" t="str">
        <f t="shared" si="43"/>
        <v>KY 2033</v>
      </c>
      <c r="N232" t="str">
        <f t="shared" si="49"/>
        <v>N</v>
      </c>
      <c r="O232">
        <f t="shared" si="44"/>
        <v>2033</v>
      </c>
      <c r="P232">
        <f t="shared" si="45"/>
        <v>10</v>
      </c>
      <c r="Q232" t="str">
        <f t="shared" si="50"/>
        <v>AMR</v>
      </c>
      <c r="R232" t="s">
        <v>266</v>
      </c>
      <c r="S232" t="str">
        <f t="shared" si="51"/>
        <v>KY</v>
      </c>
      <c r="T232">
        <f t="shared" si="46"/>
        <v>2033</v>
      </c>
      <c r="U232">
        <f t="shared" si="52"/>
        <v>10</v>
      </c>
      <c r="W232">
        <f t="shared" si="53"/>
        <v>3</v>
      </c>
      <c r="X232">
        <f t="shared" si="54"/>
        <v>0</v>
      </c>
      <c r="Y232">
        <f t="shared" si="55"/>
        <v>0</v>
      </c>
    </row>
    <row r="233" spans="1:25" hidden="1" x14ac:dyDescent="0.35">
      <c r="A233" t="s">
        <v>466</v>
      </c>
      <c r="B233" s="19" t="s">
        <v>483</v>
      </c>
      <c r="C233" t="s">
        <v>468</v>
      </c>
      <c r="D233" t="s">
        <v>469</v>
      </c>
      <c r="E233" t="s">
        <v>265</v>
      </c>
      <c r="F233" t="s">
        <v>471</v>
      </c>
      <c r="G233" t="str">
        <f t="shared" si="47"/>
        <v>AMR</v>
      </c>
      <c r="H233">
        <v>2016</v>
      </c>
      <c r="I233">
        <v>10</v>
      </c>
      <c r="J233">
        <v>54</v>
      </c>
      <c r="K233">
        <f t="shared" si="48"/>
        <v>2026</v>
      </c>
      <c r="L233">
        <f t="shared" si="42"/>
        <v>2026</v>
      </c>
      <c r="M233" t="str">
        <f t="shared" si="43"/>
        <v>KY 2026</v>
      </c>
      <c r="N233" t="str">
        <f t="shared" si="49"/>
        <v>N</v>
      </c>
      <c r="O233">
        <f t="shared" si="44"/>
        <v>2026</v>
      </c>
      <c r="P233">
        <f t="shared" si="45"/>
        <v>10</v>
      </c>
      <c r="Q233" t="str">
        <f t="shared" si="50"/>
        <v>AMR</v>
      </c>
      <c r="R233" t="s">
        <v>266</v>
      </c>
      <c r="S233" t="str">
        <f t="shared" si="51"/>
        <v>KY</v>
      </c>
      <c r="T233">
        <f t="shared" si="46"/>
        <v>2026</v>
      </c>
      <c r="U233">
        <f t="shared" si="52"/>
        <v>10</v>
      </c>
      <c r="W233">
        <f t="shared" si="53"/>
        <v>10</v>
      </c>
      <c r="X233">
        <f t="shared" si="54"/>
        <v>0</v>
      </c>
      <c r="Y233">
        <f t="shared" si="55"/>
        <v>0</v>
      </c>
    </row>
    <row r="234" spans="1:25" hidden="1" x14ac:dyDescent="0.35">
      <c r="A234" s="239" t="s">
        <v>466</v>
      </c>
      <c r="B234" s="19" t="s">
        <v>483</v>
      </c>
      <c r="C234" t="s">
        <v>468</v>
      </c>
      <c r="D234" t="s">
        <v>469</v>
      </c>
      <c r="E234" t="s">
        <v>265</v>
      </c>
      <c r="F234" t="s">
        <v>471</v>
      </c>
      <c r="G234" t="str">
        <f t="shared" si="47"/>
        <v>AMR</v>
      </c>
      <c r="H234">
        <v>2017</v>
      </c>
      <c r="I234">
        <v>10</v>
      </c>
      <c r="J234">
        <v>1170</v>
      </c>
      <c r="K234">
        <f t="shared" si="48"/>
        <v>2027</v>
      </c>
      <c r="L234">
        <f t="shared" si="42"/>
        <v>2027</v>
      </c>
      <c r="M234" t="str">
        <f t="shared" si="43"/>
        <v>KY 2027</v>
      </c>
      <c r="N234" t="str">
        <f t="shared" si="49"/>
        <v>N</v>
      </c>
      <c r="O234">
        <f t="shared" si="44"/>
        <v>2027</v>
      </c>
      <c r="P234">
        <f t="shared" si="45"/>
        <v>10</v>
      </c>
      <c r="Q234" t="str">
        <f t="shared" si="50"/>
        <v>AMR</v>
      </c>
      <c r="R234" t="s">
        <v>266</v>
      </c>
      <c r="S234" t="str">
        <f t="shared" si="51"/>
        <v>KY</v>
      </c>
      <c r="T234">
        <f t="shared" si="46"/>
        <v>2027</v>
      </c>
      <c r="U234">
        <f t="shared" si="52"/>
        <v>10</v>
      </c>
      <c r="W234">
        <f t="shared" si="53"/>
        <v>9</v>
      </c>
      <c r="X234">
        <f t="shared" si="54"/>
        <v>0</v>
      </c>
      <c r="Y234">
        <f t="shared" si="55"/>
        <v>0</v>
      </c>
    </row>
    <row r="235" spans="1:25" hidden="1" x14ac:dyDescent="0.35">
      <c r="A235" t="s">
        <v>466</v>
      </c>
      <c r="B235" s="19" t="s">
        <v>483</v>
      </c>
      <c r="C235" t="s">
        <v>468</v>
      </c>
      <c r="D235" t="s">
        <v>469</v>
      </c>
      <c r="E235" t="s">
        <v>265</v>
      </c>
      <c r="F235" t="s">
        <v>471</v>
      </c>
      <c r="G235" t="str">
        <f t="shared" si="47"/>
        <v>AMR</v>
      </c>
      <c r="H235">
        <v>2018</v>
      </c>
      <c r="I235">
        <v>10</v>
      </c>
      <c r="J235">
        <v>911</v>
      </c>
      <c r="K235">
        <f>H235+I235</f>
        <v>2028</v>
      </c>
      <c r="L235">
        <f t="shared" si="42"/>
        <v>2028</v>
      </c>
      <c r="M235" t="str">
        <f t="shared" si="43"/>
        <v>KY 2028</v>
      </c>
      <c r="N235" t="str">
        <f t="shared" si="49"/>
        <v>N</v>
      </c>
      <c r="O235">
        <f t="shared" si="44"/>
        <v>2028</v>
      </c>
      <c r="P235">
        <f t="shared" si="45"/>
        <v>10</v>
      </c>
      <c r="Q235" t="str">
        <f>G235</f>
        <v>AMR</v>
      </c>
      <c r="R235" t="s">
        <v>266</v>
      </c>
      <c r="S235" t="str">
        <f t="shared" si="51"/>
        <v>KY</v>
      </c>
      <c r="T235">
        <f t="shared" si="46"/>
        <v>2028</v>
      </c>
      <c r="U235">
        <f t="shared" si="52"/>
        <v>10</v>
      </c>
      <c r="W235">
        <f t="shared" si="53"/>
        <v>8</v>
      </c>
      <c r="X235">
        <f t="shared" si="54"/>
        <v>0</v>
      </c>
      <c r="Y235">
        <f t="shared" si="55"/>
        <v>0</v>
      </c>
    </row>
    <row r="236" spans="1:25" hidden="1" x14ac:dyDescent="0.35">
      <c r="A236" s="239" t="s">
        <v>466</v>
      </c>
      <c r="B236" s="19" t="s">
        <v>483</v>
      </c>
      <c r="C236" t="s">
        <v>468</v>
      </c>
      <c r="D236" t="s">
        <v>469</v>
      </c>
      <c r="E236" t="s">
        <v>265</v>
      </c>
      <c r="F236" t="s">
        <v>471</v>
      </c>
      <c r="G236" t="str">
        <f t="shared" si="47"/>
        <v>AMR</v>
      </c>
      <c r="H236">
        <v>2019</v>
      </c>
      <c r="I236">
        <v>10</v>
      </c>
      <c r="J236">
        <v>798</v>
      </c>
      <c r="K236">
        <f t="shared" ref="K236:K270" si="56">H236+I236</f>
        <v>2029</v>
      </c>
      <c r="L236">
        <f t="shared" si="42"/>
        <v>2029</v>
      </c>
      <c r="M236" t="str">
        <f t="shared" si="43"/>
        <v>KY 2029</v>
      </c>
      <c r="N236" t="str">
        <f t="shared" si="49"/>
        <v>N</v>
      </c>
      <c r="O236">
        <f t="shared" si="44"/>
        <v>2029</v>
      </c>
      <c r="P236">
        <f t="shared" si="45"/>
        <v>10</v>
      </c>
      <c r="Q236" t="str">
        <f t="shared" ref="Q236:Q270" si="57">G236</f>
        <v>AMR</v>
      </c>
      <c r="R236" t="s">
        <v>266</v>
      </c>
      <c r="S236" t="str">
        <f t="shared" si="51"/>
        <v>KY</v>
      </c>
      <c r="T236">
        <f t="shared" si="46"/>
        <v>2029</v>
      </c>
      <c r="U236">
        <f t="shared" si="52"/>
        <v>10</v>
      </c>
      <c r="W236">
        <f t="shared" si="53"/>
        <v>7</v>
      </c>
      <c r="X236">
        <f t="shared" si="54"/>
        <v>0</v>
      </c>
      <c r="Y236">
        <f t="shared" si="55"/>
        <v>0</v>
      </c>
    </row>
    <row r="237" spans="1:25" hidden="1" x14ac:dyDescent="0.35">
      <c r="A237" t="s">
        <v>466</v>
      </c>
      <c r="B237" s="19" t="s">
        <v>483</v>
      </c>
      <c r="C237" t="s">
        <v>468</v>
      </c>
      <c r="D237" t="s">
        <v>469</v>
      </c>
      <c r="E237" t="s">
        <v>265</v>
      </c>
      <c r="F237" t="s">
        <v>471</v>
      </c>
      <c r="G237" t="str">
        <f t="shared" si="47"/>
        <v>AMR</v>
      </c>
      <c r="H237">
        <v>2020</v>
      </c>
      <c r="I237">
        <v>10</v>
      </c>
      <c r="J237">
        <v>334</v>
      </c>
      <c r="K237">
        <f t="shared" si="56"/>
        <v>2030</v>
      </c>
      <c r="L237">
        <f t="shared" si="42"/>
        <v>2030</v>
      </c>
      <c r="M237" t="str">
        <f t="shared" si="43"/>
        <v>KY 2030</v>
      </c>
      <c r="N237" t="str">
        <f t="shared" si="49"/>
        <v>N</v>
      </c>
      <c r="O237">
        <f t="shared" si="44"/>
        <v>2030</v>
      </c>
      <c r="P237">
        <f t="shared" si="45"/>
        <v>10</v>
      </c>
      <c r="Q237" t="str">
        <f t="shared" si="57"/>
        <v>AMR</v>
      </c>
      <c r="R237" t="s">
        <v>266</v>
      </c>
      <c r="S237" t="str">
        <f t="shared" si="51"/>
        <v>KY</v>
      </c>
      <c r="T237">
        <f t="shared" si="46"/>
        <v>2030</v>
      </c>
      <c r="U237">
        <f t="shared" si="52"/>
        <v>10</v>
      </c>
      <c r="W237">
        <f t="shared" si="53"/>
        <v>6</v>
      </c>
      <c r="X237">
        <f t="shared" si="54"/>
        <v>0</v>
      </c>
      <c r="Y237">
        <f t="shared" si="55"/>
        <v>0</v>
      </c>
    </row>
    <row r="238" spans="1:25" hidden="1" x14ac:dyDescent="0.35">
      <c r="A238" s="239" t="s">
        <v>466</v>
      </c>
      <c r="B238" s="19" t="s">
        <v>483</v>
      </c>
      <c r="C238" t="s">
        <v>468</v>
      </c>
      <c r="D238" t="s">
        <v>469</v>
      </c>
      <c r="E238" t="s">
        <v>265</v>
      </c>
      <c r="F238" t="s">
        <v>471</v>
      </c>
      <c r="G238" t="str">
        <f t="shared" si="47"/>
        <v>AMR</v>
      </c>
      <c r="H238">
        <v>2022</v>
      </c>
      <c r="I238">
        <v>10</v>
      </c>
      <c r="J238">
        <v>452</v>
      </c>
      <c r="K238">
        <f t="shared" si="56"/>
        <v>2032</v>
      </c>
      <c r="L238">
        <f t="shared" si="42"/>
        <v>2032</v>
      </c>
      <c r="M238" t="str">
        <f t="shared" si="43"/>
        <v>KY 2032</v>
      </c>
      <c r="N238" t="str">
        <f t="shared" si="49"/>
        <v>N</v>
      </c>
      <c r="O238">
        <f t="shared" si="44"/>
        <v>2032</v>
      </c>
      <c r="P238">
        <f t="shared" si="45"/>
        <v>10</v>
      </c>
      <c r="Q238" t="str">
        <f t="shared" si="57"/>
        <v>AMR</v>
      </c>
      <c r="R238" t="s">
        <v>266</v>
      </c>
      <c r="S238" t="str">
        <f t="shared" si="51"/>
        <v>KY</v>
      </c>
      <c r="T238">
        <f t="shared" si="46"/>
        <v>2032</v>
      </c>
      <c r="U238">
        <f t="shared" si="52"/>
        <v>10</v>
      </c>
      <c r="W238">
        <f t="shared" si="53"/>
        <v>4</v>
      </c>
      <c r="X238">
        <f t="shared" si="54"/>
        <v>0</v>
      </c>
      <c r="Y238">
        <f t="shared" si="55"/>
        <v>0</v>
      </c>
    </row>
    <row r="239" spans="1:25" hidden="1" x14ac:dyDescent="0.35">
      <c r="A239" t="s">
        <v>466</v>
      </c>
      <c r="B239" s="19" t="s">
        <v>483</v>
      </c>
      <c r="C239" t="s">
        <v>468</v>
      </c>
      <c r="D239" t="s">
        <v>469</v>
      </c>
      <c r="E239" t="s">
        <v>265</v>
      </c>
      <c r="F239" t="s">
        <v>471</v>
      </c>
      <c r="G239" t="str">
        <f t="shared" si="47"/>
        <v>AMR</v>
      </c>
      <c r="H239">
        <v>2023</v>
      </c>
      <c r="I239">
        <v>10</v>
      </c>
      <c r="J239">
        <v>432</v>
      </c>
      <c r="K239">
        <f t="shared" si="56"/>
        <v>2033</v>
      </c>
      <c r="L239">
        <f t="shared" si="42"/>
        <v>2033</v>
      </c>
      <c r="M239" t="str">
        <f t="shared" si="43"/>
        <v>KY 2033</v>
      </c>
      <c r="N239" t="str">
        <f t="shared" si="49"/>
        <v>N</v>
      </c>
      <c r="O239">
        <f t="shared" si="44"/>
        <v>2033</v>
      </c>
      <c r="P239">
        <f t="shared" si="45"/>
        <v>10</v>
      </c>
      <c r="Q239" t="str">
        <f t="shared" si="57"/>
        <v>AMR</v>
      </c>
      <c r="R239" t="s">
        <v>266</v>
      </c>
      <c r="S239" t="str">
        <f t="shared" si="51"/>
        <v>KY</v>
      </c>
      <c r="T239">
        <f t="shared" si="46"/>
        <v>2033</v>
      </c>
      <c r="U239">
        <f t="shared" si="52"/>
        <v>10</v>
      </c>
      <c r="W239">
        <f t="shared" si="53"/>
        <v>3</v>
      </c>
      <c r="X239">
        <f t="shared" si="54"/>
        <v>0</v>
      </c>
      <c r="Y239">
        <f t="shared" si="55"/>
        <v>0</v>
      </c>
    </row>
    <row r="240" spans="1:25" hidden="1" x14ac:dyDescent="0.35">
      <c r="A240" s="239" t="s">
        <v>466</v>
      </c>
      <c r="B240" s="19" t="s">
        <v>483</v>
      </c>
      <c r="C240" t="s">
        <v>468</v>
      </c>
      <c r="D240" t="s">
        <v>469</v>
      </c>
      <c r="E240" t="s">
        <v>265</v>
      </c>
      <c r="F240" t="s">
        <v>471</v>
      </c>
      <c r="G240" t="str">
        <f t="shared" si="47"/>
        <v>AMR</v>
      </c>
      <c r="H240">
        <v>2024</v>
      </c>
      <c r="I240">
        <v>10</v>
      </c>
      <c r="J240">
        <v>12</v>
      </c>
      <c r="K240">
        <f t="shared" si="56"/>
        <v>2034</v>
      </c>
      <c r="L240">
        <f t="shared" si="42"/>
        <v>2034</v>
      </c>
      <c r="M240" t="str">
        <f t="shared" si="43"/>
        <v>KY 2034</v>
      </c>
      <c r="N240" t="str">
        <f t="shared" si="49"/>
        <v>N</v>
      </c>
      <c r="O240">
        <f t="shared" si="44"/>
        <v>2034</v>
      </c>
      <c r="P240">
        <f t="shared" si="45"/>
        <v>10</v>
      </c>
      <c r="Q240" t="str">
        <f t="shared" si="57"/>
        <v>AMR</v>
      </c>
      <c r="R240" t="s">
        <v>266</v>
      </c>
      <c r="S240" t="str">
        <f t="shared" si="51"/>
        <v>KY</v>
      </c>
      <c r="T240">
        <f t="shared" si="46"/>
        <v>2034</v>
      </c>
      <c r="U240">
        <f t="shared" si="52"/>
        <v>10</v>
      </c>
      <c r="W240">
        <f t="shared" si="53"/>
        <v>2</v>
      </c>
      <c r="X240">
        <f t="shared" si="54"/>
        <v>0</v>
      </c>
      <c r="Y240">
        <f t="shared" si="55"/>
        <v>0</v>
      </c>
    </row>
    <row r="241" spans="1:25" x14ac:dyDescent="0.35">
      <c r="A241" t="s">
        <v>466</v>
      </c>
      <c r="B241" s="19" t="s">
        <v>483</v>
      </c>
      <c r="C241" t="s">
        <v>468</v>
      </c>
      <c r="D241" t="s">
        <v>476</v>
      </c>
      <c r="E241" t="s">
        <v>265</v>
      </c>
      <c r="G241" t="str">
        <f t="shared" si="47"/>
        <v>Manual</v>
      </c>
      <c r="H241">
        <v>2014</v>
      </c>
      <c r="I241">
        <v>10</v>
      </c>
      <c r="J241">
        <v>1</v>
      </c>
      <c r="K241">
        <f t="shared" si="56"/>
        <v>2024</v>
      </c>
      <c r="L241">
        <f t="shared" si="42"/>
        <v>2025</v>
      </c>
      <c r="M241" t="str">
        <f t="shared" si="43"/>
        <v>KY 2025</v>
      </c>
      <c r="N241" t="str">
        <f t="shared" si="49"/>
        <v>N</v>
      </c>
      <c r="O241">
        <f t="shared" si="44"/>
        <v>2025</v>
      </c>
      <c r="P241">
        <f t="shared" si="45"/>
        <v>11</v>
      </c>
      <c r="Q241" t="str">
        <f t="shared" si="57"/>
        <v>Manual</v>
      </c>
      <c r="R241" t="s">
        <v>266</v>
      </c>
      <c r="S241" t="str">
        <f t="shared" si="51"/>
        <v>KY</v>
      </c>
      <c r="T241">
        <f t="shared" si="46"/>
        <v>2025</v>
      </c>
      <c r="U241">
        <f t="shared" si="52"/>
        <v>11</v>
      </c>
      <c r="W241">
        <f t="shared" si="53"/>
        <v>12</v>
      </c>
      <c r="X241">
        <f t="shared" si="54"/>
        <v>12</v>
      </c>
      <c r="Y241">
        <f t="shared" si="55"/>
        <v>1</v>
      </c>
    </row>
    <row r="242" spans="1:25" x14ac:dyDescent="0.35">
      <c r="A242" s="239" t="s">
        <v>466</v>
      </c>
      <c r="B242" s="19" t="s">
        <v>483</v>
      </c>
      <c r="C242" t="s">
        <v>468</v>
      </c>
      <c r="D242" t="s">
        <v>476</v>
      </c>
      <c r="E242" t="s">
        <v>265</v>
      </c>
      <c r="F242" t="s">
        <v>472</v>
      </c>
      <c r="G242" t="str">
        <f t="shared" si="47"/>
        <v>AMI</v>
      </c>
      <c r="H242">
        <v>2014</v>
      </c>
      <c r="I242">
        <v>10</v>
      </c>
      <c r="J242">
        <v>1</v>
      </c>
      <c r="K242">
        <f t="shared" si="56"/>
        <v>2024</v>
      </c>
      <c r="L242">
        <f t="shared" si="42"/>
        <v>2025</v>
      </c>
      <c r="M242" t="str">
        <f t="shared" si="43"/>
        <v>KY 2025</v>
      </c>
      <c r="N242" t="str">
        <f t="shared" si="49"/>
        <v>Y</v>
      </c>
      <c r="O242">
        <f t="shared" si="44"/>
        <v>2025</v>
      </c>
      <c r="P242">
        <f t="shared" si="45"/>
        <v>11</v>
      </c>
      <c r="Q242" t="str">
        <f t="shared" si="57"/>
        <v>AMI</v>
      </c>
      <c r="R242" t="s">
        <v>266</v>
      </c>
      <c r="S242" t="str">
        <f t="shared" si="51"/>
        <v>KY</v>
      </c>
      <c r="T242">
        <f t="shared" si="46"/>
        <v>2025</v>
      </c>
      <c r="U242">
        <f t="shared" si="52"/>
        <v>11</v>
      </c>
      <c r="W242">
        <f t="shared" si="53"/>
        <v>12</v>
      </c>
      <c r="X242">
        <f t="shared" si="54"/>
        <v>12</v>
      </c>
      <c r="Y242">
        <f t="shared" si="55"/>
        <v>1</v>
      </c>
    </row>
    <row r="243" spans="1:25" x14ac:dyDescent="0.35">
      <c r="A243" t="s">
        <v>466</v>
      </c>
      <c r="B243" s="19" t="s">
        <v>483</v>
      </c>
      <c r="C243" t="s">
        <v>468</v>
      </c>
      <c r="D243" t="s">
        <v>476</v>
      </c>
      <c r="E243" t="s">
        <v>264</v>
      </c>
      <c r="F243" t="s">
        <v>473</v>
      </c>
      <c r="G243" t="str">
        <f t="shared" si="47"/>
        <v>AMR</v>
      </c>
      <c r="H243">
        <v>2014</v>
      </c>
      <c r="I243">
        <v>10</v>
      </c>
      <c r="J243">
        <v>1</v>
      </c>
      <c r="K243">
        <f t="shared" si="56"/>
        <v>2024</v>
      </c>
      <c r="L243">
        <f t="shared" si="42"/>
        <v>2025</v>
      </c>
      <c r="M243" t="str">
        <f t="shared" si="43"/>
        <v>KY 2025</v>
      </c>
      <c r="N243" t="str">
        <f t="shared" si="49"/>
        <v>N</v>
      </c>
      <c r="O243">
        <f t="shared" si="44"/>
        <v>2025</v>
      </c>
      <c r="P243">
        <f t="shared" si="45"/>
        <v>11</v>
      </c>
      <c r="Q243" t="str">
        <f t="shared" si="57"/>
        <v>AMR</v>
      </c>
      <c r="R243" t="s">
        <v>266</v>
      </c>
      <c r="S243" t="str">
        <f t="shared" si="51"/>
        <v>KY</v>
      </c>
      <c r="T243">
        <f t="shared" si="46"/>
        <v>2025</v>
      </c>
      <c r="U243">
        <f t="shared" si="52"/>
        <v>11</v>
      </c>
      <c r="W243">
        <f t="shared" si="53"/>
        <v>12</v>
      </c>
      <c r="X243">
        <f t="shared" si="54"/>
        <v>12</v>
      </c>
      <c r="Y243">
        <f t="shared" si="55"/>
        <v>1</v>
      </c>
    </row>
    <row r="244" spans="1:25" x14ac:dyDescent="0.35">
      <c r="A244" s="239" t="s">
        <v>466</v>
      </c>
      <c r="B244" s="19" t="s">
        <v>483</v>
      </c>
      <c r="C244" t="s">
        <v>468</v>
      </c>
      <c r="D244" t="s">
        <v>476</v>
      </c>
      <c r="E244" t="s">
        <v>265</v>
      </c>
      <c r="F244" t="s">
        <v>473</v>
      </c>
      <c r="G244" t="str">
        <f t="shared" si="47"/>
        <v>AMR</v>
      </c>
      <c r="H244">
        <v>2014</v>
      </c>
      <c r="I244">
        <v>10</v>
      </c>
      <c r="J244">
        <v>116</v>
      </c>
      <c r="K244">
        <f t="shared" si="56"/>
        <v>2024</v>
      </c>
      <c r="L244">
        <f t="shared" si="42"/>
        <v>2025</v>
      </c>
      <c r="M244" t="str">
        <f t="shared" si="43"/>
        <v>KY 2025</v>
      </c>
      <c r="N244" t="str">
        <f t="shared" si="49"/>
        <v>N</v>
      </c>
      <c r="O244">
        <f t="shared" si="44"/>
        <v>2025</v>
      </c>
      <c r="P244">
        <f t="shared" si="45"/>
        <v>11</v>
      </c>
      <c r="Q244" t="str">
        <f t="shared" si="57"/>
        <v>AMR</v>
      </c>
      <c r="R244" t="s">
        <v>266</v>
      </c>
      <c r="S244" t="str">
        <f t="shared" si="51"/>
        <v>KY</v>
      </c>
      <c r="T244">
        <f t="shared" si="46"/>
        <v>2025</v>
      </c>
      <c r="U244">
        <f t="shared" si="52"/>
        <v>11</v>
      </c>
      <c r="W244">
        <f t="shared" si="53"/>
        <v>12</v>
      </c>
      <c r="X244">
        <f t="shared" si="54"/>
        <v>1392</v>
      </c>
      <c r="Y244">
        <f t="shared" si="55"/>
        <v>116</v>
      </c>
    </row>
    <row r="245" spans="1:25" x14ac:dyDescent="0.35">
      <c r="A245" t="s">
        <v>466</v>
      </c>
      <c r="B245" s="19" t="s">
        <v>483</v>
      </c>
      <c r="C245" t="s">
        <v>468</v>
      </c>
      <c r="D245" t="s">
        <v>477</v>
      </c>
      <c r="E245" t="s">
        <v>265</v>
      </c>
      <c r="F245" t="s">
        <v>471</v>
      </c>
      <c r="G245" t="str">
        <f t="shared" si="47"/>
        <v>AMR</v>
      </c>
      <c r="H245">
        <v>2011</v>
      </c>
      <c r="I245">
        <v>10</v>
      </c>
      <c r="J245">
        <v>1</v>
      </c>
      <c r="K245">
        <f t="shared" si="56"/>
        <v>2021</v>
      </c>
      <c r="L245">
        <f t="shared" si="42"/>
        <v>2025</v>
      </c>
      <c r="M245" t="str">
        <f t="shared" si="43"/>
        <v>KY 2025</v>
      </c>
      <c r="N245" t="str">
        <f t="shared" si="49"/>
        <v>N</v>
      </c>
      <c r="O245">
        <f t="shared" si="44"/>
        <v>2025</v>
      </c>
      <c r="P245">
        <f t="shared" si="45"/>
        <v>14</v>
      </c>
      <c r="Q245" t="str">
        <f t="shared" si="57"/>
        <v>AMR</v>
      </c>
      <c r="R245" t="s">
        <v>266</v>
      </c>
      <c r="S245" t="str">
        <f t="shared" si="51"/>
        <v>KY</v>
      </c>
      <c r="T245">
        <f t="shared" si="46"/>
        <v>2025</v>
      </c>
      <c r="U245">
        <f t="shared" si="52"/>
        <v>14</v>
      </c>
      <c r="W245">
        <f t="shared" si="53"/>
        <v>15</v>
      </c>
      <c r="X245">
        <f t="shared" si="54"/>
        <v>15</v>
      </c>
      <c r="Y245">
        <f t="shared" si="55"/>
        <v>1</v>
      </c>
    </row>
    <row r="246" spans="1:25" hidden="1" x14ac:dyDescent="0.35">
      <c r="A246" s="239" t="s">
        <v>466</v>
      </c>
      <c r="B246" s="19" t="s">
        <v>483</v>
      </c>
      <c r="C246" t="s">
        <v>468</v>
      </c>
      <c r="D246" t="s">
        <v>477</v>
      </c>
      <c r="E246" t="s">
        <v>264</v>
      </c>
      <c r="F246" t="s">
        <v>472</v>
      </c>
      <c r="G246" t="str">
        <f t="shared" si="47"/>
        <v>AMI</v>
      </c>
      <c r="H246">
        <v>2024</v>
      </c>
      <c r="I246">
        <v>10</v>
      </c>
      <c r="J246">
        <v>1</v>
      </c>
      <c r="K246">
        <f t="shared" si="56"/>
        <v>2034</v>
      </c>
      <c r="L246">
        <f t="shared" si="42"/>
        <v>2034</v>
      </c>
      <c r="M246" t="str">
        <f t="shared" si="43"/>
        <v>KY 2034</v>
      </c>
      <c r="N246" t="str">
        <f t="shared" si="49"/>
        <v>Y</v>
      </c>
      <c r="O246">
        <f t="shared" si="44"/>
        <v>2034</v>
      </c>
      <c r="P246">
        <f t="shared" si="45"/>
        <v>10</v>
      </c>
      <c r="Q246" t="str">
        <f t="shared" si="57"/>
        <v>AMI</v>
      </c>
      <c r="R246" t="s">
        <v>266</v>
      </c>
      <c r="S246" t="str">
        <f t="shared" si="51"/>
        <v>KY</v>
      </c>
      <c r="T246">
        <f t="shared" si="46"/>
        <v>2034</v>
      </c>
      <c r="U246">
        <f t="shared" si="52"/>
        <v>10</v>
      </c>
      <c r="W246">
        <f t="shared" si="53"/>
        <v>2</v>
      </c>
      <c r="X246">
        <f t="shared" si="54"/>
        <v>0</v>
      </c>
      <c r="Y246">
        <f t="shared" si="55"/>
        <v>0</v>
      </c>
    </row>
    <row r="247" spans="1:25" hidden="1" x14ac:dyDescent="0.35">
      <c r="A247" t="s">
        <v>466</v>
      </c>
      <c r="B247" s="19" t="s">
        <v>483</v>
      </c>
      <c r="C247" t="s">
        <v>468</v>
      </c>
      <c r="D247" t="s">
        <v>477</v>
      </c>
      <c r="E247" t="s">
        <v>265</v>
      </c>
      <c r="F247" t="s">
        <v>472</v>
      </c>
      <c r="G247" t="str">
        <f t="shared" si="47"/>
        <v>AMI</v>
      </c>
      <c r="H247">
        <v>2023</v>
      </c>
      <c r="I247">
        <v>10</v>
      </c>
      <c r="J247">
        <v>1</v>
      </c>
      <c r="K247">
        <f t="shared" si="56"/>
        <v>2033</v>
      </c>
      <c r="L247">
        <f t="shared" si="42"/>
        <v>2033</v>
      </c>
      <c r="M247" t="str">
        <f t="shared" si="43"/>
        <v>KY 2033</v>
      </c>
      <c r="N247" t="str">
        <f t="shared" si="49"/>
        <v>Y</v>
      </c>
      <c r="O247">
        <f t="shared" si="44"/>
        <v>2033</v>
      </c>
      <c r="P247">
        <f t="shared" si="45"/>
        <v>10</v>
      </c>
      <c r="Q247" t="str">
        <f t="shared" si="57"/>
        <v>AMI</v>
      </c>
      <c r="R247" t="s">
        <v>266</v>
      </c>
      <c r="S247" t="str">
        <f t="shared" si="51"/>
        <v>KY</v>
      </c>
      <c r="T247">
        <f t="shared" si="46"/>
        <v>2033</v>
      </c>
      <c r="U247">
        <f t="shared" si="52"/>
        <v>10</v>
      </c>
      <c r="W247">
        <f t="shared" si="53"/>
        <v>3</v>
      </c>
      <c r="X247">
        <f t="shared" si="54"/>
        <v>0</v>
      </c>
      <c r="Y247">
        <f t="shared" si="55"/>
        <v>0</v>
      </c>
    </row>
    <row r="248" spans="1:25" hidden="1" x14ac:dyDescent="0.35">
      <c r="A248" s="239" t="s">
        <v>466</v>
      </c>
      <c r="B248" s="19" t="s">
        <v>483</v>
      </c>
      <c r="C248" t="s">
        <v>468</v>
      </c>
      <c r="D248" t="s">
        <v>477</v>
      </c>
      <c r="E248" t="s">
        <v>264</v>
      </c>
      <c r="F248" t="s">
        <v>470</v>
      </c>
      <c r="G248" t="str">
        <f t="shared" si="47"/>
        <v>AMR</v>
      </c>
      <c r="H248">
        <v>2024</v>
      </c>
      <c r="I248">
        <v>10</v>
      </c>
      <c r="J248">
        <v>1</v>
      </c>
      <c r="K248">
        <f t="shared" si="56"/>
        <v>2034</v>
      </c>
      <c r="L248">
        <f t="shared" si="42"/>
        <v>2034</v>
      </c>
      <c r="M248" t="str">
        <f t="shared" si="43"/>
        <v>KY 2034</v>
      </c>
      <c r="N248" t="str">
        <f t="shared" si="49"/>
        <v>N</v>
      </c>
      <c r="O248">
        <f t="shared" si="44"/>
        <v>2034</v>
      </c>
      <c r="P248">
        <f t="shared" si="45"/>
        <v>10</v>
      </c>
      <c r="Q248" t="str">
        <f t="shared" si="57"/>
        <v>AMR</v>
      </c>
      <c r="R248" t="s">
        <v>266</v>
      </c>
      <c r="S248" t="str">
        <f t="shared" si="51"/>
        <v>KY</v>
      </c>
      <c r="T248">
        <f t="shared" si="46"/>
        <v>2034</v>
      </c>
      <c r="U248">
        <f t="shared" si="52"/>
        <v>10</v>
      </c>
      <c r="W248">
        <f t="shared" si="53"/>
        <v>2</v>
      </c>
      <c r="X248">
        <f t="shared" si="54"/>
        <v>0</v>
      </c>
      <c r="Y248">
        <f t="shared" si="55"/>
        <v>0</v>
      </c>
    </row>
    <row r="249" spans="1:25" hidden="1" x14ac:dyDescent="0.35">
      <c r="A249" t="s">
        <v>466</v>
      </c>
      <c r="B249" s="19" t="s">
        <v>483</v>
      </c>
      <c r="C249" t="s">
        <v>468</v>
      </c>
      <c r="D249" t="s">
        <v>477</v>
      </c>
      <c r="E249" t="s">
        <v>265</v>
      </c>
      <c r="F249" t="s">
        <v>470</v>
      </c>
      <c r="G249" t="str">
        <f t="shared" si="47"/>
        <v>AMR</v>
      </c>
      <c r="H249">
        <v>2023</v>
      </c>
      <c r="I249">
        <v>10</v>
      </c>
      <c r="J249">
        <v>1</v>
      </c>
      <c r="K249">
        <f t="shared" si="56"/>
        <v>2033</v>
      </c>
      <c r="L249">
        <f t="shared" si="42"/>
        <v>2033</v>
      </c>
      <c r="M249" t="str">
        <f t="shared" si="43"/>
        <v>KY 2033</v>
      </c>
      <c r="N249" t="str">
        <f t="shared" si="49"/>
        <v>N</v>
      </c>
      <c r="O249">
        <f t="shared" si="44"/>
        <v>2033</v>
      </c>
      <c r="P249">
        <f t="shared" si="45"/>
        <v>10</v>
      </c>
      <c r="Q249" t="str">
        <f t="shared" si="57"/>
        <v>AMR</v>
      </c>
      <c r="R249" t="s">
        <v>266</v>
      </c>
      <c r="S249" t="str">
        <f t="shared" si="51"/>
        <v>KY</v>
      </c>
      <c r="T249">
        <f t="shared" si="46"/>
        <v>2033</v>
      </c>
      <c r="U249">
        <f t="shared" si="52"/>
        <v>10</v>
      </c>
      <c r="W249">
        <f t="shared" si="53"/>
        <v>3</v>
      </c>
      <c r="X249">
        <f t="shared" si="54"/>
        <v>0</v>
      </c>
      <c r="Y249">
        <f t="shared" si="55"/>
        <v>0</v>
      </c>
    </row>
    <row r="250" spans="1:25" hidden="1" x14ac:dyDescent="0.35">
      <c r="A250" s="239" t="s">
        <v>466</v>
      </c>
      <c r="B250" s="19" t="s">
        <v>483</v>
      </c>
      <c r="C250" t="s">
        <v>468</v>
      </c>
      <c r="D250" t="s">
        <v>477</v>
      </c>
      <c r="E250" t="s">
        <v>265</v>
      </c>
      <c r="F250" t="s">
        <v>470</v>
      </c>
      <c r="G250" t="str">
        <f t="shared" si="47"/>
        <v>AMR</v>
      </c>
      <c r="H250">
        <v>2024</v>
      </c>
      <c r="I250">
        <v>10</v>
      </c>
      <c r="J250">
        <v>119</v>
      </c>
      <c r="K250">
        <f t="shared" si="56"/>
        <v>2034</v>
      </c>
      <c r="L250">
        <f t="shared" si="42"/>
        <v>2034</v>
      </c>
      <c r="M250" t="str">
        <f t="shared" si="43"/>
        <v>KY 2034</v>
      </c>
      <c r="N250" t="str">
        <f t="shared" si="49"/>
        <v>N</v>
      </c>
      <c r="O250">
        <f t="shared" si="44"/>
        <v>2034</v>
      </c>
      <c r="P250">
        <f t="shared" si="45"/>
        <v>10</v>
      </c>
      <c r="Q250" t="str">
        <f t="shared" si="57"/>
        <v>AMR</v>
      </c>
      <c r="R250" t="s">
        <v>266</v>
      </c>
      <c r="S250" t="str">
        <f t="shared" si="51"/>
        <v>KY</v>
      </c>
      <c r="T250">
        <f t="shared" si="46"/>
        <v>2034</v>
      </c>
      <c r="U250">
        <f t="shared" si="52"/>
        <v>10</v>
      </c>
      <c r="W250">
        <f t="shared" si="53"/>
        <v>2</v>
      </c>
      <c r="X250">
        <f t="shared" si="54"/>
        <v>0</v>
      </c>
      <c r="Y250">
        <f t="shared" si="55"/>
        <v>0</v>
      </c>
    </row>
    <row r="251" spans="1:25" x14ac:dyDescent="0.35">
      <c r="A251" t="s">
        <v>466</v>
      </c>
      <c r="B251" s="19" t="s">
        <v>483</v>
      </c>
      <c r="C251" t="s">
        <v>468</v>
      </c>
      <c r="D251" t="s">
        <v>477</v>
      </c>
      <c r="E251" t="s">
        <v>264</v>
      </c>
      <c r="F251" t="s">
        <v>471</v>
      </c>
      <c r="G251" t="str">
        <f t="shared" si="47"/>
        <v>AMR</v>
      </c>
      <c r="H251">
        <v>2010</v>
      </c>
      <c r="I251">
        <v>10</v>
      </c>
      <c r="J251">
        <v>2</v>
      </c>
      <c r="K251">
        <f t="shared" si="56"/>
        <v>2020</v>
      </c>
      <c r="L251">
        <f t="shared" si="42"/>
        <v>2025</v>
      </c>
      <c r="M251" t="str">
        <f t="shared" si="43"/>
        <v>KY 2025</v>
      </c>
      <c r="N251" t="str">
        <f t="shared" si="49"/>
        <v>N</v>
      </c>
      <c r="O251">
        <f t="shared" si="44"/>
        <v>2025</v>
      </c>
      <c r="P251">
        <f t="shared" si="45"/>
        <v>15</v>
      </c>
      <c r="Q251" t="str">
        <f t="shared" si="57"/>
        <v>AMR</v>
      </c>
      <c r="R251" t="s">
        <v>266</v>
      </c>
      <c r="S251" t="str">
        <f t="shared" si="51"/>
        <v>KY</v>
      </c>
      <c r="T251">
        <f t="shared" si="46"/>
        <v>2025</v>
      </c>
      <c r="U251" t="str">
        <f t="shared" si="52"/>
        <v>10**</v>
      </c>
      <c r="W251">
        <f t="shared" si="53"/>
        <v>16</v>
      </c>
      <c r="X251">
        <f t="shared" si="54"/>
        <v>32</v>
      </c>
      <c r="Y251">
        <f t="shared" si="55"/>
        <v>2</v>
      </c>
    </row>
    <row r="252" spans="1:25" x14ac:dyDescent="0.35">
      <c r="A252" s="239" t="s">
        <v>466</v>
      </c>
      <c r="B252" s="19" t="s">
        <v>483</v>
      </c>
      <c r="C252" t="s">
        <v>468</v>
      </c>
      <c r="D252" t="s">
        <v>477</v>
      </c>
      <c r="E252" t="s">
        <v>264</v>
      </c>
      <c r="F252" t="s">
        <v>471</v>
      </c>
      <c r="G252" t="str">
        <f t="shared" si="47"/>
        <v>AMR</v>
      </c>
      <c r="H252">
        <v>2011</v>
      </c>
      <c r="I252">
        <v>10</v>
      </c>
      <c r="J252">
        <v>2</v>
      </c>
      <c r="K252">
        <f t="shared" si="56"/>
        <v>2021</v>
      </c>
      <c r="L252">
        <f t="shared" si="42"/>
        <v>2025</v>
      </c>
      <c r="M252" t="str">
        <f t="shared" si="43"/>
        <v>KY 2025</v>
      </c>
      <c r="N252" t="str">
        <f t="shared" si="49"/>
        <v>N</v>
      </c>
      <c r="O252">
        <f t="shared" si="44"/>
        <v>2025</v>
      </c>
      <c r="P252">
        <f t="shared" si="45"/>
        <v>14</v>
      </c>
      <c r="Q252" t="str">
        <f t="shared" si="57"/>
        <v>AMR</v>
      </c>
      <c r="R252" t="s">
        <v>266</v>
      </c>
      <c r="S252" t="str">
        <f t="shared" si="51"/>
        <v>KY</v>
      </c>
      <c r="T252">
        <f t="shared" si="46"/>
        <v>2025</v>
      </c>
      <c r="U252">
        <f t="shared" si="52"/>
        <v>14</v>
      </c>
      <c r="W252">
        <f t="shared" si="53"/>
        <v>15</v>
      </c>
      <c r="X252">
        <f t="shared" si="54"/>
        <v>30</v>
      </c>
      <c r="Y252">
        <f t="shared" si="55"/>
        <v>2</v>
      </c>
    </row>
    <row r="253" spans="1:25" x14ac:dyDescent="0.35">
      <c r="A253" t="s">
        <v>466</v>
      </c>
      <c r="B253" s="19" t="s">
        <v>483</v>
      </c>
      <c r="C253" t="s">
        <v>468</v>
      </c>
      <c r="D253" t="s">
        <v>477</v>
      </c>
      <c r="E253" t="s">
        <v>264</v>
      </c>
      <c r="F253" t="s">
        <v>471</v>
      </c>
      <c r="G253" t="str">
        <f t="shared" si="47"/>
        <v>AMR</v>
      </c>
      <c r="H253">
        <v>2012</v>
      </c>
      <c r="I253">
        <v>10</v>
      </c>
      <c r="J253">
        <v>2</v>
      </c>
      <c r="K253">
        <f t="shared" si="56"/>
        <v>2022</v>
      </c>
      <c r="L253">
        <f t="shared" si="42"/>
        <v>2025</v>
      </c>
      <c r="M253" t="str">
        <f t="shared" si="43"/>
        <v>KY 2025</v>
      </c>
      <c r="N253" t="str">
        <f t="shared" si="49"/>
        <v>N</v>
      </c>
      <c r="O253">
        <f t="shared" si="44"/>
        <v>2025</v>
      </c>
      <c r="P253">
        <f t="shared" si="45"/>
        <v>13</v>
      </c>
      <c r="Q253" t="str">
        <f t="shared" si="57"/>
        <v>AMR</v>
      </c>
      <c r="R253" t="s">
        <v>266</v>
      </c>
      <c r="S253" t="str">
        <f t="shared" si="51"/>
        <v>KY</v>
      </c>
      <c r="T253">
        <f t="shared" si="46"/>
        <v>2025</v>
      </c>
      <c r="U253">
        <f t="shared" si="52"/>
        <v>13</v>
      </c>
      <c r="W253">
        <f t="shared" si="53"/>
        <v>14</v>
      </c>
      <c r="X253">
        <f t="shared" si="54"/>
        <v>28</v>
      </c>
      <c r="Y253">
        <f t="shared" si="55"/>
        <v>2</v>
      </c>
    </row>
    <row r="254" spans="1:25" x14ac:dyDescent="0.35">
      <c r="A254" s="239" t="s">
        <v>466</v>
      </c>
      <c r="B254" s="19" t="s">
        <v>483</v>
      </c>
      <c r="C254" t="s">
        <v>468</v>
      </c>
      <c r="D254" t="s">
        <v>477</v>
      </c>
      <c r="E254" t="s">
        <v>264</v>
      </c>
      <c r="F254" t="s">
        <v>471</v>
      </c>
      <c r="G254" t="str">
        <f t="shared" si="47"/>
        <v>AMR</v>
      </c>
      <c r="H254">
        <v>2013</v>
      </c>
      <c r="I254">
        <v>10</v>
      </c>
      <c r="J254">
        <v>1</v>
      </c>
      <c r="K254">
        <f t="shared" si="56"/>
        <v>2023</v>
      </c>
      <c r="L254">
        <f t="shared" si="42"/>
        <v>2025</v>
      </c>
      <c r="M254" t="str">
        <f t="shared" si="43"/>
        <v>KY 2025</v>
      </c>
      <c r="N254" t="str">
        <f t="shared" si="49"/>
        <v>N</v>
      </c>
      <c r="O254">
        <f t="shared" si="44"/>
        <v>2025</v>
      </c>
      <c r="P254">
        <f t="shared" si="45"/>
        <v>12</v>
      </c>
      <c r="Q254" t="str">
        <f t="shared" si="57"/>
        <v>AMR</v>
      </c>
      <c r="R254" t="s">
        <v>266</v>
      </c>
      <c r="S254" t="str">
        <f t="shared" si="51"/>
        <v>KY</v>
      </c>
      <c r="T254">
        <f t="shared" si="46"/>
        <v>2025</v>
      </c>
      <c r="U254">
        <f t="shared" si="52"/>
        <v>12</v>
      </c>
      <c r="W254">
        <f t="shared" si="53"/>
        <v>13</v>
      </c>
      <c r="X254">
        <f t="shared" si="54"/>
        <v>13</v>
      </c>
      <c r="Y254">
        <f t="shared" si="55"/>
        <v>1</v>
      </c>
    </row>
    <row r="255" spans="1:25" hidden="1" x14ac:dyDescent="0.35">
      <c r="A255" t="s">
        <v>466</v>
      </c>
      <c r="B255" s="19" t="s">
        <v>483</v>
      </c>
      <c r="C255" t="s">
        <v>468</v>
      </c>
      <c r="D255" t="s">
        <v>477</v>
      </c>
      <c r="E255" t="s">
        <v>264</v>
      </c>
      <c r="F255" t="s">
        <v>471</v>
      </c>
      <c r="G255" t="str">
        <f t="shared" si="47"/>
        <v>AMR</v>
      </c>
      <c r="H255">
        <v>2016</v>
      </c>
      <c r="I255">
        <v>10</v>
      </c>
      <c r="J255">
        <v>1</v>
      </c>
      <c r="K255">
        <f t="shared" si="56"/>
        <v>2026</v>
      </c>
      <c r="L255">
        <f t="shared" si="42"/>
        <v>2026</v>
      </c>
      <c r="M255" t="str">
        <f t="shared" si="43"/>
        <v>KY 2026</v>
      </c>
      <c r="N255" t="str">
        <f t="shared" si="49"/>
        <v>N</v>
      </c>
      <c r="O255">
        <f t="shared" si="44"/>
        <v>2026</v>
      </c>
      <c r="P255">
        <f t="shared" si="45"/>
        <v>10</v>
      </c>
      <c r="Q255" t="str">
        <f t="shared" si="57"/>
        <v>AMR</v>
      </c>
      <c r="R255" t="s">
        <v>266</v>
      </c>
      <c r="S255" t="str">
        <f t="shared" si="51"/>
        <v>KY</v>
      </c>
      <c r="T255">
        <f t="shared" si="46"/>
        <v>2026</v>
      </c>
      <c r="U255">
        <f t="shared" si="52"/>
        <v>10</v>
      </c>
      <c r="W255">
        <f t="shared" si="53"/>
        <v>10</v>
      </c>
      <c r="X255">
        <f t="shared" si="54"/>
        <v>0</v>
      </c>
      <c r="Y255">
        <f t="shared" si="55"/>
        <v>0</v>
      </c>
    </row>
    <row r="256" spans="1:25" hidden="1" x14ac:dyDescent="0.35">
      <c r="A256" s="239" t="s">
        <v>466</v>
      </c>
      <c r="B256" s="19" t="s">
        <v>483</v>
      </c>
      <c r="C256" t="s">
        <v>468</v>
      </c>
      <c r="D256" t="s">
        <v>477</v>
      </c>
      <c r="E256" t="s">
        <v>264</v>
      </c>
      <c r="F256" t="s">
        <v>471</v>
      </c>
      <c r="G256" t="str">
        <f t="shared" si="47"/>
        <v>AMR</v>
      </c>
      <c r="H256">
        <v>2023</v>
      </c>
      <c r="I256">
        <v>10</v>
      </c>
      <c r="J256">
        <v>1</v>
      </c>
      <c r="K256">
        <f t="shared" si="56"/>
        <v>2033</v>
      </c>
      <c r="L256">
        <f t="shared" si="42"/>
        <v>2033</v>
      </c>
      <c r="M256" t="str">
        <f t="shared" si="43"/>
        <v>KY 2033</v>
      </c>
      <c r="N256" t="str">
        <f t="shared" si="49"/>
        <v>N</v>
      </c>
      <c r="O256">
        <f t="shared" si="44"/>
        <v>2033</v>
      </c>
      <c r="P256">
        <f t="shared" si="45"/>
        <v>10</v>
      </c>
      <c r="Q256" t="str">
        <f t="shared" si="57"/>
        <v>AMR</v>
      </c>
      <c r="R256" t="s">
        <v>266</v>
      </c>
      <c r="S256" t="str">
        <f t="shared" si="51"/>
        <v>KY</v>
      </c>
      <c r="T256">
        <f t="shared" si="46"/>
        <v>2033</v>
      </c>
      <c r="U256">
        <f t="shared" si="52"/>
        <v>10</v>
      </c>
      <c r="W256">
        <f t="shared" si="53"/>
        <v>3</v>
      </c>
      <c r="X256">
        <f t="shared" si="54"/>
        <v>0</v>
      </c>
      <c r="Y256">
        <f t="shared" si="55"/>
        <v>0</v>
      </c>
    </row>
    <row r="257" spans="1:25" x14ac:dyDescent="0.35">
      <c r="A257" t="s">
        <v>466</v>
      </c>
      <c r="B257" s="19" t="s">
        <v>483</v>
      </c>
      <c r="C257" t="s">
        <v>468</v>
      </c>
      <c r="D257" t="s">
        <v>477</v>
      </c>
      <c r="E257" t="s">
        <v>265</v>
      </c>
      <c r="F257" t="s">
        <v>471</v>
      </c>
      <c r="G257" t="str">
        <f t="shared" si="47"/>
        <v>AMR</v>
      </c>
      <c r="H257">
        <v>2009</v>
      </c>
      <c r="I257">
        <v>10</v>
      </c>
      <c r="J257">
        <v>3</v>
      </c>
      <c r="K257">
        <f t="shared" si="56"/>
        <v>2019</v>
      </c>
      <c r="L257">
        <f t="shared" si="42"/>
        <v>2025</v>
      </c>
      <c r="M257" t="str">
        <f t="shared" si="43"/>
        <v>KY 2025</v>
      </c>
      <c r="N257" t="str">
        <f t="shared" si="49"/>
        <v>N</v>
      </c>
      <c r="O257">
        <f t="shared" si="44"/>
        <v>2025</v>
      </c>
      <c r="P257">
        <f t="shared" si="45"/>
        <v>16</v>
      </c>
      <c r="Q257" t="str">
        <f t="shared" si="57"/>
        <v>AMR</v>
      </c>
      <c r="R257" t="s">
        <v>266</v>
      </c>
      <c r="S257" t="str">
        <f t="shared" si="51"/>
        <v>KY</v>
      </c>
      <c r="T257">
        <f t="shared" si="46"/>
        <v>2025</v>
      </c>
      <c r="U257">
        <f t="shared" si="52"/>
        <v>16</v>
      </c>
      <c r="W257">
        <f t="shared" si="53"/>
        <v>17</v>
      </c>
      <c r="X257">
        <f t="shared" si="54"/>
        <v>51</v>
      </c>
      <c r="Y257">
        <f t="shared" si="55"/>
        <v>3</v>
      </c>
    </row>
    <row r="258" spans="1:25" x14ac:dyDescent="0.35">
      <c r="A258" s="239" t="s">
        <v>466</v>
      </c>
      <c r="B258" s="19" t="s">
        <v>483</v>
      </c>
      <c r="C258" t="s">
        <v>468</v>
      </c>
      <c r="D258" t="s">
        <v>477</v>
      </c>
      <c r="E258" t="s">
        <v>265</v>
      </c>
      <c r="F258" t="s">
        <v>471</v>
      </c>
      <c r="G258" t="str">
        <f t="shared" si="47"/>
        <v>AMR</v>
      </c>
      <c r="H258">
        <v>2010</v>
      </c>
      <c r="I258">
        <v>10</v>
      </c>
      <c r="J258">
        <v>10</v>
      </c>
      <c r="K258">
        <f t="shared" si="56"/>
        <v>2020</v>
      </c>
      <c r="L258">
        <f t="shared" si="42"/>
        <v>2025</v>
      </c>
      <c r="M258" t="str">
        <f t="shared" si="43"/>
        <v>KY 2025</v>
      </c>
      <c r="N258" t="str">
        <f t="shared" si="49"/>
        <v>N</v>
      </c>
      <c r="O258">
        <f t="shared" si="44"/>
        <v>2025</v>
      </c>
      <c r="P258">
        <f t="shared" si="45"/>
        <v>15</v>
      </c>
      <c r="Q258" t="str">
        <f t="shared" si="57"/>
        <v>AMR</v>
      </c>
      <c r="R258" t="s">
        <v>266</v>
      </c>
      <c r="S258" t="str">
        <f t="shared" si="51"/>
        <v>KY</v>
      </c>
      <c r="T258">
        <f t="shared" si="46"/>
        <v>2025</v>
      </c>
      <c r="U258" t="str">
        <f t="shared" si="52"/>
        <v>10**</v>
      </c>
      <c r="W258">
        <f t="shared" si="53"/>
        <v>16</v>
      </c>
      <c r="X258">
        <f t="shared" si="54"/>
        <v>160</v>
      </c>
      <c r="Y258">
        <f t="shared" si="55"/>
        <v>10</v>
      </c>
    </row>
    <row r="259" spans="1:25" x14ac:dyDescent="0.35">
      <c r="A259" t="s">
        <v>466</v>
      </c>
      <c r="B259" s="19" t="s">
        <v>483</v>
      </c>
      <c r="C259" t="s">
        <v>468</v>
      </c>
      <c r="D259" t="s">
        <v>477</v>
      </c>
      <c r="E259" t="s">
        <v>265</v>
      </c>
      <c r="F259" t="s">
        <v>471</v>
      </c>
      <c r="G259" t="str">
        <f t="shared" si="47"/>
        <v>AMR</v>
      </c>
      <c r="H259">
        <v>2011</v>
      </c>
      <c r="I259">
        <v>10</v>
      </c>
      <c r="J259">
        <v>215</v>
      </c>
      <c r="K259">
        <f t="shared" si="56"/>
        <v>2021</v>
      </c>
      <c r="L259">
        <f t="shared" si="42"/>
        <v>2025</v>
      </c>
      <c r="M259" t="str">
        <f t="shared" si="43"/>
        <v>KY 2025</v>
      </c>
      <c r="N259" t="str">
        <f t="shared" si="49"/>
        <v>N</v>
      </c>
      <c r="O259">
        <f t="shared" si="44"/>
        <v>2025</v>
      </c>
      <c r="P259">
        <f t="shared" si="45"/>
        <v>14</v>
      </c>
      <c r="Q259" t="str">
        <f t="shared" si="57"/>
        <v>AMR</v>
      </c>
      <c r="R259" t="s">
        <v>266</v>
      </c>
      <c r="S259" t="str">
        <f t="shared" si="51"/>
        <v>KY</v>
      </c>
      <c r="T259">
        <f t="shared" si="46"/>
        <v>2025</v>
      </c>
      <c r="U259">
        <f t="shared" si="52"/>
        <v>14</v>
      </c>
      <c r="W259">
        <f t="shared" si="53"/>
        <v>15</v>
      </c>
      <c r="X259">
        <f t="shared" si="54"/>
        <v>3225</v>
      </c>
      <c r="Y259">
        <f t="shared" si="55"/>
        <v>215</v>
      </c>
    </row>
    <row r="260" spans="1:25" x14ac:dyDescent="0.35">
      <c r="A260" s="239" t="s">
        <v>466</v>
      </c>
      <c r="B260" s="19" t="s">
        <v>483</v>
      </c>
      <c r="C260" t="s">
        <v>468</v>
      </c>
      <c r="D260" t="s">
        <v>477</v>
      </c>
      <c r="E260" t="s">
        <v>265</v>
      </c>
      <c r="F260" t="s">
        <v>471</v>
      </c>
      <c r="G260" t="str">
        <f t="shared" si="47"/>
        <v>AMR</v>
      </c>
      <c r="H260">
        <v>2012</v>
      </c>
      <c r="I260">
        <v>10</v>
      </c>
      <c r="J260">
        <v>202</v>
      </c>
      <c r="K260">
        <f t="shared" si="56"/>
        <v>2022</v>
      </c>
      <c r="L260">
        <f t="shared" si="42"/>
        <v>2025</v>
      </c>
      <c r="M260" t="str">
        <f t="shared" si="43"/>
        <v>KY 2025</v>
      </c>
      <c r="N260" t="str">
        <f t="shared" si="49"/>
        <v>N</v>
      </c>
      <c r="O260">
        <f t="shared" si="44"/>
        <v>2025</v>
      </c>
      <c r="P260">
        <f t="shared" si="45"/>
        <v>13</v>
      </c>
      <c r="Q260" t="str">
        <f t="shared" si="57"/>
        <v>AMR</v>
      </c>
      <c r="R260" t="s">
        <v>266</v>
      </c>
      <c r="S260" t="str">
        <f t="shared" si="51"/>
        <v>KY</v>
      </c>
      <c r="T260">
        <f t="shared" si="46"/>
        <v>2025</v>
      </c>
      <c r="U260">
        <f t="shared" si="52"/>
        <v>13</v>
      </c>
      <c r="W260">
        <f t="shared" si="53"/>
        <v>14</v>
      </c>
      <c r="X260">
        <f t="shared" si="54"/>
        <v>2828</v>
      </c>
      <c r="Y260">
        <f t="shared" si="55"/>
        <v>202</v>
      </c>
    </row>
    <row r="261" spans="1:25" x14ac:dyDescent="0.35">
      <c r="A261" t="s">
        <v>466</v>
      </c>
      <c r="B261" s="19" t="s">
        <v>483</v>
      </c>
      <c r="C261" t="s">
        <v>468</v>
      </c>
      <c r="D261" t="s">
        <v>477</v>
      </c>
      <c r="E261" t="s">
        <v>265</v>
      </c>
      <c r="F261" t="s">
        <v>471</v>
      </c>
      <c r="G261" t="str">
        <f t="shared" si="47"/>
        <v>AMR</v>
      </c>
      <c r="H261">
        <v>2013</v>
      </c>
      <c r="I261">
        <v>10</v>
      </c>
      <c r="J261">
        <v>47</v>
      </c>
      <c r="K261">
        <f t="shared" si="56"/>
        <v>2023</v>
      </c>
      <c r="L261">
        <f t="shared" si="42"/>
        <v>2025</v>
      </c>
      <c r="M261" t="str">
        <f t="shared" si="43"/>
        <v>KY 2025</v>
      </c>
      <c r="N261" t="str">
        <f t="shared" si="49"/>
        <v>N</v>
      </c>
      <c r="O261">
        <f t="shared" si="44"/>
        <v>2025</v>
      </c>
      <c r="P261">
        <f t="shared" si="45"/>
        <v>12</v>
      </c>
      <c r="Q261" t="str">
        <f t="shared" si="57"/>
        <v>AMR</v>
      </c>
      <c r="R261" t="s">
        <v>266</v>
      </c>
      <c r="S261" t="str">
        <f t="shared" si="51"/>
        <v>KY</v>
      </c>
      <c r="T261">
        <f t="shared" si="46"/>
        <v>2025</v>
      </c>
      <c r="U261">
        <f t="shared" si="52"/>
        <v>12</v>
      </c>
      <c r="W261">
        <f t="shared" si="53"/>
        <v>13</v>
      </c>
      <c r="X261">
        <f t="shared" si="54"/>
        <v>611</v>
      </c>
      <c r="Y261">
        <f t="shared" si="55"/>
        <v>47</v>
      </c>
    </row>
    <row r="262" spans="1:25" x14ac:dyDescent="0.35">
      <c r="A262" s="239" t="s">
        <v>466</v>
      </c>
      <c r="B262" s="19" t="s">
        <v>483</v>
      </c>
      <c r="C262" t="s">
        <v>468</v>
      </c>
      <c r="D262" t="s">
        <v>477</v>
      </c>
      <c r="E262" t="s">
        <v>265</v>
      </c>
      <c r="F262" t="s">
        <v>471</v>
      </c>
      <c r="G262" t="str">
        <f t="shared" si="47"/>
        <v>AMR</v>
      </c>
      <c r="H262">
        <v>2014</v>
      </c>
      <c r="I262">
        <v>10</v>
      </c>
      <c r="J262">
        <v>14</v>
      </c>
      <c r="K262">
        <f t="shared" si="56"/>
        <v>2024</v>
      </c>
      <c r="L262">
        <f t="shared" ref="L262:L270" si="58">IF(K262&lt;YearOne,YearOne-1,K262)</f>
        <v>2025</v>
      </c>
      <c r="M262" t="str">
        <f t="shared" ref="M262:M282" si="59">(C262&amp; " "&amp;L262)</f>
        <v>KY 2025</v>
      </c>
      <c r="N262" t="str">
        <f t="shared" si="49"/>
        <v>N</v>
      </c>
      <c r="O262">
        <f t="shared" ref="O262:O270" si="60">IF(K262&lt;=(YearOne-1),YearOne-1,K262)</f>
        <v>2025</v>
      </c>
      <c r="P262">
        <f t="shared" ref="P262:P270" si="61">O262-H262</f>
        <v>11</v>
      </c>
      <c r="Q262" t="str">
        <f t="shared" si="57"/>
        <v>AMR</v>
      </c>
      <c r="R262" t="s">
        <v>266</v>
      </c>
      <c r="S262" t="str">
        <f t="shared" si="51"/>
        <v>KY</v>
      </c>
      <c r="T262">
        <f t="shared" ref="T262:T282" si="62">IF(I262=15,IF(O262=(YearOne-1),O262,MAX(YearOne,O262-5)),O262)</f>
        <v>2025</v>
      </c>
      <c r="U262">
        <f t="shared" si="52"/>
        <v>11</v>
      </c>
      <c r="W262">
        <f t="shared" si="53"/>
        <v>12</v>
      </c>
      <c r="X262">
        <f t="shared" si="54"/>
        <v>168</v>
      </c>
      <c r="Y262">
        <f t="shared" si="55"/>
        <v>14</v>
      </c>
    </row>
    <row r="263" spans="1:25" x14ac:dyDescent="0.35">
      <c r="A263" t="s">
        <v>466</v>
      </c>
      <c r="B263" s="19" t="s">
        <v>483</v>
      </c>
      <c r="C263" t="s">
        <v>468</v>
      </c>
      <c r="D263" t="s">
        <v>477</v>
      </c>
      <c r="E263" t="s">
        <v>265</v>
      </c>
      <c r="F263" t="s">
        <v>471</v>
      </c>
      <c r="G263" t="str">
        <f t="shared" ref="G263:G270" si="63">IF(ISNUMBER(SEARCH("AMI",F263,1)),"AMI",IF(ISNUMBER(SEARCH("AMR",F263,1)),"AMR","Manual"))</f>
        <v>AMR</v>
      </c>
      <c r="H263">
        <v>2015</v>
      </c>
      <c r="I263">
        <v>10</v>
      </c>
      <c r="J263">
        <v>17</v>
      </c>
      <c r="K263">
        <f t="shared" si="56"/>
        <v>2025</v>
      </c>
      <c r="L263">
        <f t="shared" si="58"/>
        <v>2025</v>
      </c>
      <c r="M263" t="str">
        <f t="shared" si="59"/>
        <v>KY 2025</v>
      </c>
      <c r="N263" t="str">
        <f t="shared" ref="N263:N270" si="64">IF(G263="AMI","Y","N")</f>
        <v>N</v>
      </c>
      <c r="O263">
        <f t="shared" si="60"/>
        <v>2025</v>
      </c>
      <c r="P263">
        <f t="shared" si="61"/>
        <v>10</v>
      </c>
      <c r="Q263" t="str">
        <f t="shared" si="57"/>
        <v>AMR</v>
      </c>
      <c r="R263" t="s">
        <v>266</v>
      </c>
      <c r="S263" t="str">
        <f t="shared" ref="S263:S282" si="65">C263</f>
        <v>KY</v>
      </c>
      <c r="T263">
        <f t="shared" si="62"/>
        <v>2025</v>
      </c>
      <c r="U263">
        <f t="shared" ref="U263:U270" si="66">IF(P263=15,"10**",P263)</f>
        <v>10</v>
      </c>
      <c r="W263">
        <f t="shared" ref="W263:W270" si="67">2026-H263</f>
        <v>11</v>
      </c>
      <c r="X263">
        <f t="shared" ref="X263:X282" si="68">IF(W263&gt;10,W263*J263,0)</f>
        <v>187</v>
      </c>
      <c r="Y263">
        <f t="shared" ref="Y263:Y282" si="69">IF(W263&gt;10,J263,0)</f>
        <v>17</v>
      </c>
    </row>
    <row r="264" spans="1:25" hidden="1" x14ac:dyDescent="0.35">
      <c r="A264" s="239" t="s">
        <v>466</v>
      </c>
      <c r="B264" s="19" t="s">
        <v>483</v>
      </c>
      <c r="C264" t="s">
        <v>468</v>
      </c>
      <c r="D264" t="s">
        <v>477</v>
      </c>
      <c r="E264" t="s">
        <v>265</v>
      </c>
      <c r="F264" t="s">
        <v>471</v>
      </c>
      <c r="G264" t="str">
        <f t="shared" si="63"/>
        <v>AMR</v>
      </c>
      <c r="H264">
        <v>2016</v>
      </c>
      <c r="I264">
        <v>10</v>
      </c>
      <c r="J264">
        <v>89</v>
      </c>
      <c r="K264">
        <f t="shared" si="56"/>
        <v>2026</v>
      </c>
      <c r="L264">
        <f t="shared" si="58"/>
        <v>2026</v>
      </c>
      <c r="M264" t="str">
        <f t="shared" si="59"/>
        <v>KY 2026</v>
      </c>
      <c r="N264" t="str">
        <f t="shared" si="64"/>
        <v>N</v>
      </c>
      <c r="O264">
        <f t="shared" si="60"/>
        <v>2026</v>
      </c>
      <c r="P264">
        <f t="shared" si="61"/>
        <v>10</v>
      </c>
      <c r="Q264" t="str">
        <f t="shared" si="57"/>
        <v>AMR</v>
      </c>
      <c r="R264" t="s">
        <v>266</v>
      </c>
      <c r="S264" t="str">
        <f t="shared" si="65"/>
        <v>KY</v>
      </c>
      <c r="T264">
        <f t="shared" si="62"/>
        <v>2026</v>
      </c>
      <c r="U264">
        <f t="shared" si="66"/>
        <v>10</v>
      </c>
      <c r="W264">
        <f t="shared" si="67"/>
        <v>10</v>
      </c>
      <c r="X264">
        <f t="shared" si="68"/>
        <v>0</v>
      </c>
      <c r="Y264">
        <f t="shared" si="69"/>
        <v>0</v>
      </c>
    </row>
    <row r="265" spans="1:25" hidden="1" x14ac:dyDescent="0.35">
      <c r="A265" t="s">
        <v>466</v>
      </c>
      <c r="B265" s="19" t="s">
        <v>483</v>
      </c>
      <c r="C265" t="s">
        <v>468</v>
      </c>
      <c r="D265" t="s">
        <v>477</v>
      </c>
      <c r="E265" t="s">
        <v>265</v>
      </c>
      <c r="F265" t="s">
        <v>471</v>
      </c>
      <c r="G265" t="str">
        <f t="shared" si="63"/>
        <v>AMR</v>
      </c>
      <c r="H265">
        <v>2017</v>
      </c>
      <c r="I265">
        <v>10</v>
      </c>
      <c r="J265">
        <v>1</v>
      </c>
      <c r="K265">
        <f t="shared" si="56"/>
        <v>2027</v>
      </c>
      <c r="L265">
        <f t="shared" si="58"/>
        <v>2027</v>
      </c>
      <c r="M265" t="str">
        <f t="shared" si="59"/>
        <v>KY 2027</v>
      </c>
      <c r="N265" t="str">
        <f t="shared" si="64"/>
        <v>N</v>
      </c>
      <c r="O265">
        <f t="shared" si="60"/>
        <v>2027</v>
      </c>
      <c r="P265">
        <f t="shared" si="61"/>
        <v>10</v>
      </c>
      <c r="Q265" t="str">
        <f t="shared" si="57"/>
        <v>AMR</v>
      </c>
      <c r="R265" t="s">
        <v>266</v>
      </c>
      <c r="S265" t="str">
        <f t="shared" si="65"/>
        <v>KY</v>
      </c>
      <c r="T265">
        <f t="shared" si="62"/>
        <v>2027</v>
      </c>
      <c r="U265">
        <f t="shared" si="66"/>
        <v>10</v>
      </c>
      <c r="W265">
        <f t="shared" si="67"/>
        <v>9</v>
      </c>
      <c r="X265">
        <f t="shared" si="68"/>
        <v>0</v>
      </c>
      <c r="Y265">
        <f t="shared" si="69"/>
        <v>0</v>
      </c>
    </row>
    <row r="266" spans="1:25" hidden="1" x14ac:dyDescent="0.35">
      <c r="A266" s="239" t="s">
        <v>466</v>
      </c>
      <c r="B266" s="19" t="s">
        <v>483</v>
      </c>
      <c r="C266" t="s">
        <v>468</v>
      </c>
      <c r="D266" t="s">
        <v>477</v>
      </c>
      <c r="E266" t="s">
        <v>265</v>
      </c>
      <c r="F266" t="s">
        <v>471</v>
      </c>
      <c r="G266" t="str">
        <f t="shared" si="63"/>
        <v>AMR</v>
      </c>
      <c r="H266">
        <v>2020</v>
      </c>
      <c r="I266">
        <v>10</v>
      </c>
      <c r="J266">
        <v>12</v>
      </c>
      <c r="K266">
        <f t="shared" si="56"/>
        <v>2030</v>
      </c>
      <c r="L266">
        <f t="shared" si="58"/>
        <v>2030</v>
      </c>
      <c r="M266" t="str">
        <f t="shared" si="59"/>
        <v>KY 2030</v>
      </c>
      <c r="N266" t="str">
        <f t="shared" si="64"/>
        <v>N</v>
      </c>
      <c r="O266">
        <f t="shared" si="60"/>
        <v>2030</v>
      </c>
      <c r="P266">
        <f t="shared" si="61"/>
        <v>10</v>
      </c>
      <c r="Q266" t="str">
        <f t="shared" si="57"/>
        <v>AMR</v>
      </c>
      <c r="R266" t="s">
        <v>266</v>
      </c>
      <c r="S266" t="str">
        <f t="shared" si="65"/>
        <v>KY</v>
      </c>
      <c r="T266">
        <f t="shared" si="62"/>
        <v>2030</v>
      </c>
      <c r="U266">
        <f t="shared" si="66"/>
        <v>10</v>
      </c>
      <c r="W266">
        <f t="shared" si="67"/>
        <v>6</v>
      </c>
      <c r="X266">
        <f t="shared" si="68"/>
        <v>0</v>
      </c>
      <c r="Y266">
        <f t="shared" si="69"/>
        <v>0</v>
      </c>
    </row>
    <row r="267" spans="1:25" hidden="1" x14ac:dyDescent="0.35">
      <c r="A267" t="s">
        <v>466</v>
      </c>
      <c r="B267" s="19" t="s">
        <v>483</v>
      </c>
      <c r="C267" t="s">
        <v>468</v>
      </c>
      <c r="D267" t="s">
        <v>477</v>
      </c>
      <c r="E267" t="s">
        <v>265</v>
      </c>
      <c r="F267" t="s">
        <v>471</v>
      </c>
      <c r="G267" t="str">
        <f t="shared" si="63"/>
        <v>AMR</v>
      </c>
      <c r="H267">
        <v>2021</v>
      </c>
      <c r="I267">
        <v>10</v>
      </c>
      <c r="J267">
        <v>9</v>
      </c>
      <c r="K267">
        <f t="shared" si="56"/>
        <v>2031</v>
      </c>
      <c r="L267">
        <f t="shared" si="58"/>
        <v>2031</v>
      </c>
      <c r="M267" t="str">
        <f t="shared" si="59"/>
        <v>KY 2031</v>
      </c>
      <c r="N267" t="str">
        <f t="shared" si="64"/>
        <v>N</v>
      </c>
      <c r="O267">
        <f t="shared" si="60"/>
        <v>2031</v>
      </c>
      <c r="P267">
        <f t="shared" si="61"/>
        <v>10</v>
      </c>
      <c r="Q267" t="str">
        <f t="shared" si="57"/>
        <v>AMR</v>
      </c>
      <c r="R267" t="s">
        <v>266</v>
      </c>
      <c r="S267" t="str">
        <f t="shared" si="65"/>
        <v>KY</v>
      </c>
      <c r="T267">
        <f t="shared" si="62"/>
        <v>2031</v>
      </c>
      <c r="U267">
        <f t="shared" si="66"/>
        <v>10</v>
      </c>
      <c r="W267">
        <f t="shared" si="67"/>
        <v>5</v>
      </c>
      <c r="X267">
        <f t="shared" si="68"/>
        <v>0</v>
      </c>
      <c r="Y267">
        <f t="shared" si="69"/>
        <v>0</v>
      </c>
    </row>
    <row r="268" spans="1:25" hidden="1" x14ac:dyDescent="0.35">
      <c r="A268" s="239" t="s">
        <v>466</v>
      </c>
      <c r="B268" s="19" t="s">
        <v>483</v>
      </c>
      <c r="C268" t="s">
        <v>468</v>
      </c>
      <c r="D268" t="s">
        <v>477</v>
      </c>
      <c r="E268" t="s">
        <v>265</v>
      </c>
      <c r="F268" t="s">
        <v>471</v>
      </c>
      <c r="G268" t="str">
        <f t="shared" si="63"/>
        <v>AMR</v>
      </c>
      <c r="H268">
        <v>2022</v>
      </c>
      <c r="I268">
        <v>10</v>
      </c>
      <c r="J268">
        <v>14</v>
      </c>
      <c r="K268">
        <f t="shared" si="56"/>
        <v>2032</v>
      </c>
      <c r="L268">
        <f t="shared" si="58"/>
        <v>2032</v>
      </c>
      <c r="M268" t="str">
        <f t="shared" si="59"/>
        <v>KY 2032</v>
      </c>
      <c r="N268" t="str">
        <f t="shared" si="64"/>
        <v>N</v>
      </c>
      <c r="O268">
        <f t="shared" si="60"/>
        <v>2032</v>
      </c>
      <c r="P268">
        <f t="shared" si="61"/>
        <v>10</v>
      </c>
      <c r="Q268" t="str">
        <f t="shared" si="57"/>
        <v>AMR</v>
      </c>
      <c r="R268" t="s">
        <v>266</v>
      </c>
      <c r="S268" t="str">
        <f t="shared" si="65"/>
        <v>KY</v>
      </c>
      <c r="T268">
        <f t="shared" si="62"/>
        <v>2032</v>
      </c>
      <c r="U268">
        <f t="shared" si="66"/>
        <v>10</v>
      </c>
      <c r="W268">
        <f t="shared" si="67"/>
        <v>4</v>
      </c>
      <c r="X268">
        <f t="shared" si="68"/>
        <v>0</v>
      </c>
      <c r="Y268">
        <f t="shared" si="69"/>
        <v>0</v>
      </c>
    </row>
    <row r="269" spans="1:25" hidden="1" x14ac:dyDescent="0.35">
      <c r="A269" s="239" t="s">
        <v>466</v>
      </c>
      <c r="B269" s="19" t="s">
        <v>483</v>
      </c>
      <c r="C269" t="s">
        <v>468</v>
      </c>
      <c r="D269" t="s">
        <v>477</v>
      </c>
      <c r="E269" t="s">
        <v>265</v>
      </c>
      <c r="F269" t="s">
        <v>471</v>
      </c>
      <c r="G269" t="str">
        <f t="shared" si="63"/>
        <v>AMR</v>
      </c>
      <c r="H269">
        <v>2023</v>
      </c>
      <c r="I269">
        <v>10</v>
      </c>
      <c r="J269">
        <v>229</v>
      </c>
      <c r="K269">
        <f t="shared" si="56"/>
        <v>2033</v>
      </c>
      <c r="L269">
        <f t="shared" si="58"/>
        <v>2033</v>
      </c>
      <c r="M269" t="str">
        <f t="shared" si="59"/>
        <v>KY 2033</v>
      </c>
      <c r="N269" t="str">
        <f t="shared" si="64"/>
        <v>N</v>
      </c>
      <c r="O269">
        <f t="shared" si="60"/>
        <v>2033</v>
      </c>
      <c r="P269">
        <f t="shared" si="61"/>
        <v>10</v>
      </c>
      <c r="Q269" t="str">
        <f t="shared" si="57"/>
        <v>AMR</v>
      </c>
      <c r="R269" t="s">
        <v>266</v>
      </c>
      <c r="S269" t="str">
        <f t="shared" si="65"/>
        <v>KY</v>
      </c>
      <c r="T269">
        <f t="shared" si="62"/>
        <v>2033</v>
      </c>
      <c r="U269">
        <f t="shared" si="66"/>
        <v>10</v>
      </c>
      <c r="W269">
        <f t="shared" si="67"/>
        <v>3</v>
      </c>
      <c r="X269">
        <f t="shared" si="68"/>
        <v>0</v>
      </c>
      <c r="Y269">
        <f t="shared" si="69"/>
        <v>0</v>
      </c>
    </row>
    <row r="270" spans="1:25" hidden="1" x14ac:dyDescent="0.35">
      <c r="A270" s="239" t="s">
        <v>466</v>
      </c>
      <c r="B270" s="19" t="s">
        <v>483</v>
      </c>
      <c r="C270" t="s">
        <v>468</v>
      </c>
      <c r="D270" t="s">
        <v>477</v>
      </c>
      <c r="E270" t="s">
        <v>265</v>
      </c>
      <c r="F270" t="s">
        <v>471</v>
      </c>
      <c r="G270" t="str">
        <f t="shared" si="63"/>
        <v>AMR</v>
      </c>
      <c r="H270">
        <v>2024</v>
      </c>
      <c r="I270">
        <v>10</v>
      </c>
      <c r="J270">
        <v>76</v>
      </c>
      <c r="K270">
        <f t="shared" si="56"/>
        <v>2034</v>
      </c>
      <c r="L270">
        <f t="shared" si="58"/>
        <v>2034</v>
      </c>
      <c r="M270" t="str">
        <f t="shared" si="59"/>
        <v>KY 2034</v>
      </c>
      <c r="N270" t="str">
        <f t="shared" si="64"/>
        <v>N</v>
      </c>
      <c r="O270">
        <f t="shared" si="60"/>
        <v>2034</v>
      </c>
      <c r="P270">
        <f t="shared" si="61"/>
        <v>10</v>
      </c>
      <c r="Q270" t="str">
        <f t="shared" si="57"/>
        <v>AMR</v>
      </c>
      <c r="R270" t="s">
        <v>266</v>
      </c>
      <c r="S270" t="str">
        <f t="shared" si="65"/>
        <v>KY</v>
      </c>
      <c r="T270">
        <f t="shared" si="62"/>
        <v>2034</v>
      </c>
      <c r="U270">
        <f t="shared" si="66"/>
        <v>10</v>
      </c>
      <c r="W270">
        <f t="shared" si="67"/>
        <v>2</v>
      </c>
      <c r="X270">
        <f t="shared" si="68"/>
        <v>0</v>
      </c>
      <c r="Y270">
        <f t="shared" si="69"/>
        <v>0</v>
      </c>
    </row>
    <row r="271" spans="1:25" hidden="1" x14ac:dyDescent="0.35">
      <c r="C271" t="s">
        <v>484</v>
      </c>
      <c r="E271" t="s">
        <v>264</v>
      </c>
      <c r="F271" t="s">
        <v>485</v>
      </c>
      <c r="J271" s="41">
        <v>0</v>
      </c>
      <c r="L271" s="41">
        <f t="shared" ref="L271:L282" si="70">YearOne</f>
        <v>2026</v>
      </c>
      <c r="M271" s="41" t="str">
        <f t="shared" si="59"/>
        <v>Kentucky-American Water 2026</v>
      </c>
      <c r="N271" s="41"/>
      <c r="O271" s="41">
        <f t="shared" ref="O271:O282" si="71">IF(K271&lt;=(YearOne-1),YearOne-1,K271)</f>
        <v>2025</v>
      </c>
      <c r="P271" s="41">
        <f t="shared" ref="P271:P282" si="72">O271-H271</f>
        <v>2025</v>
      </c>
      <c r="Q271" s="41" t="s">
        <v>184</v>
      </c>
      <c r="R271" s="41" t="s">
        <v>263</v>
      </c>
      <c r="S271" t="str">
        <f t="shared" si="65"/>
        <v>Kentucky-American Water</v>
      </c>
      <c r="T271">
        <f t="shared" si="62"/>
        <v>2025</v>
      </c>
      <c r="U271">
        <f>IF(P271=15,"10**",P271)</f>
        <v>2025</v>
      </c>
      <c r="X271">
        <f t="shared" si="68"/>
        <v>0</v>
      </c>
      <c r="Y271">
        <f t="shared" si="69"/>
        <v>0</v>
      </c>
    </row>
    <row r="272" spans="1:25" hidden="1" x14ac:dyDescent="0.35">
      <c r="C272" t="s">
        <v>484</v>
      </c>
      <c r="E272" t="s">
        <v>265</v>
      </c>
      <c r="F272" t="s">
        <v>485</v>
      </c>
      <c r="J272" s="41">
        <v>0</v>
      </c>
      <c r="L272" s="41">
        <f t="shared" si="70"/>
        <v>2026</v>
      </c>
      <c r="M272" s="41" t="str">
        <f t="shared" si="59"/>
        <v>Kentucky-American Water 2026</v>
      </c>
      <c r="N272" s="41"/>
      <c r="O272" s="41">
        <f t="shared" si="71"/>
        <v>2025</v>
      </c>
      <c r="P272" s="41">
        <f t="shared" si="72"/>
        <v>2025</v>
      </c>
      <c r="Q272" s="41" t="s">
        <v>184</v>
      </c>
      <c r="R272" s="41" t="s">
        <v>263</v>
      </c>
      <c r="S272" t="str">
        <f t="shared" si="65"/>
        <v>Kentucky-American Water</v>
      </c>
      <c r="T272">
        <f t="shared" si="62"/>
        <v>2025</v>
      </c>
      <c r="U272">
        <f t="shared" ref="U272:U282" si="73">IF(P272=15,"10**",P272)</f>
        <v>2025</v>
      </c>
      <c r="X272">
        <f t="shared" si="68"/>
        <v>0</v>
      </c>
      <c r="Y272">
        <f t="shared" si="69"/>
        <v>0</v>
      </c>
    </row>
    <row r="273" spans="3:25" hidden="1" x14ac:dyDescent="0.35">
      <c r="C273" t="s">
        <v>484</v>
      </c>
      <c r="E273" t="s">
        <v>264</v>
      </c>
      <c r="F273" t="s">
        <v>485</v>
      </c>
      <c r="J273" s="41">
        <v>0</v>
      </c>
      <c r="L273" s="41">
        <f t="shared" si="70"/>
        <v>2026</v>
      </c>
      <c r="M273" s="41" t="str">
        <f t="shared" si="59"/>
        <v>Kentucky-American Water 2026</v>
      </c>
      <c r="N273" s="41"/>
      <c r="O273" s="41">
        <f t="shared" si="71"/>
        <v>2025</v>
      </c>
      <c r="P273" s="41">
        <f t="shared" si="72"/>
        <v>2025</v>
      </c>
      <c r="Q273" s="41" t="s">
        <v>229</v>
      </c>
      <c r="R273" s="41" t="s">
        <v>263</v>
      </c>
      <c r="S273" t="str">
        <f t="shared" si="65"/>
        <v>Kentucky-American Water</v>
      </c>
      <c r="T273">
        <f t="shared" si="62"/>
        <v>2025</v>
      </c>
      <c r="U273">
        <f t="shared" si="73"/>
        <v>2025</v>
      </c>
      <c r="X273">
        <f t="shared" si="68"/>
        <v>0</v>
      </c>
      <c r="Y273">
        <f t="shared" si="69"/>
        <v>0</v>
      </c>
    </row>
    <row r="274" spans="3:25" hidden="1" x14ac:dyDescent="0.35">
      <c r="C274" t="s">
        <v>484</v>
      </c>
      <c r="E274" t="s">
        <v>265</v>
      </c>
      <c r="F274" t="s">
        <v>485</v>
      </c>
      <c r="J274" s="41">
        <v>0</v>
      </c>
      <c r="L274" s="41">
        <f t="shared" si="70"/>
        <v>2026</v>
      </c>
      <c r="M274" s="41" t="str">
        <f t="shared" si="59"/>
        <v>Kentucky-American Water 2026</v>
      </c>
      <c r="N274" s="41"/>
      <c r="O274" s="41">
        <f t="shared" si="71"/>
        <v>2025</v>
      </c>
      <c r="P274" s="41">
        <f t="shared" si="72"/>
        <v>2025</v>
      </c>
      <c r="Q274" s="41" t="s">
        <v>229</v>
      </c>
      <c r="R274" s="41" t="s">
        <v>263</v>
      </c>
      <c r="S274" t="str">
        <f t="shared" si="65"/>
        <v>Kentucky-American Water</v>
      </c>
      <c r="T274">
        <f t="shared" si="62"/>
        <v>2025</v>
      </c>
      <c r="U274">
        <f t="shared" si="73"/>
        <v>2025</v>
      </c>
      <c r="X274">
        <f t="shared" si="68"/>
        <v>0</v>
      </c>
      <c r="Y274">
        <f t="shared" si="69"/>
        <v>0</v>
      </c>
    </row>
    <row r="275" spans="3:25" hidden="1" x14ac:dyDescent="0.35">
      <c r="C275" t="s">
        <v>484</v>
      </c>
      <c r="E275" t="s">
        <v>264</v>
      </c>
      <c r="F275" t="s">
        <v>485</v>
      </c>
      <c r="J275" s="41">
        <v>0</v>
      </c>
      <c r="L275" s="41">
        <f t="shared" si="70"/>
        <v>2026</v>
      </c>
      <c r="M275" s="41" t="str">
        <f t="shared" si="59"/>
        <v>Kentucky-American Water 2026</v>
      </c>
      <c r="N275" s="41"/>
      <c r="O275" s="41">
        <f t="shared" si="71"/>
        <v>2025</v>
      </c>
      <c r="P275" s="41">
        <f t="shared" si="72"/>
        <v>2025</v>
      </c>
      <c r="Q275" s="41" t="s">
        <v>267</v>
      </c>
      <c r="R275" s="41" t="s">
        <v>263</v>
      </c>
      <c r="S275" t="str">
        <f t="shared" si="65"/>
        <v>Kentucky-American Water</v>
      </c>
      <c r="T275">
        <f t="shared" si="62"/>
        <v>2025</v>
      </c>
      <c r="U275">
        <f t="shared" si="73"/>
        <v>2025</v>
      </c>
      <c r="X275">
        <f t="shared" si="68"/>
        <v>0</v>
      </c>
      <c r="Y275">
        <f t="shared" si="69"/>
        <v>0</v>
      </c>
    </row>
    <row r="276" spans="3:25" hidden="1" x14ac:dyDescent="0.35">
      <c r="C276" t="s">
        <v>484</v>
      </c>
      <c r="E276" t="s">
        <v>265</v>
      </c>
      <c r="F276" t="s">
        <v>485</v>
      </c>
      <c r="J276" s="41">
        <v>0</v>
      </c>
      <c r="L276" s="41">
        <f t="shared" si="70"/>
        <v>2026</v>
      </c>
      <c r="M276" s="41" t="str">
        <f t="shared" si="59"/>
        <v>Kentucky-American Water 2026</v>
      </c>
      <c r="N276" s="41"/>
      <c r="O276" s="41">
        <f t="shared" si="71"/>
        <v>2025</v>
      </c>
      <c r="P276" s="41">
        <f t="shared" si="72"/>
        <v>2025</v>
      </c>
      <c r="Q276" s="41" t="s">
        <v>267</v>
      </c>
      <c r="R276" s="41" t="s">
        <v>263</v>
      </c>
      <c r="S276" t="str">
        <f t="shared" si="65"/>
        <v>Kentucky-American Water</v>
      </c>
      <c r="T276">
        <f t="shared" si="62"/>
        <v>2025</v>
      </c>
      <c r="U276">
        <f t="shared" si="73"/>
        <v>2025</v>
      </c>
      <c r="X276">
        <f t="shared" si="68"/>
        <v>0</v>
      </c>
      <c r="Y276">
        <f t="shared" si="69"/>
        <v>0</v>
      </c>
    </row>
    <row r="277" spans="3:25" hidden="1" x14ac:dyDescent="0.35">
      <c r="C277" t="s">
        <v>484</v>
      </c>
      <c r="E277" t="s">
        <v>264</v>
      </c>
      <c r="F277" t="s">
        <v>485</v>
      </c>
      <c r="J277" s="41">
        <v>0</v>
      </c>
      <c r="L277" s="41">
        <f t="shared" si="70"/>
        <v>2026</v>
      </c>
      <c r="M277" s="41" t="str">
        <f t="shared" si="59"/>
        <v>Kentucky-American Water 2026</v>
      </c>
      <c r="N277" s="41"/>
      <c r="O277" s="41">
        <f t="shared" si="71"/>
        <v>2025</v>
      </c>
      <c r="P277" s="41">
        <f t="shared" si="72"/>
        <v>2025</v>
      </c>
      <c r="Q277" s="41" t="s">
        <v>184</v>
      </c>
      <c r="R277" s="41" t="s">
        <v>266</v>
      </c>
      <c r="S277" t="str">
        <f t="shared" si="65"/>
        <v>Kentucky-American Water</v>
      </c>
      <c r="T277">
        <f t="shared" si="62"/>
        <v>2025</v>
      </c>
      <c r="U277">
        <f t="shared" si="73"/>
        <v>2025</v>
      </c>
      <c r="X277">
        <f t="shared" si="68"/>
        <v>0</v>
      </c>
      <c r="Y277">
        <f t="shared" si="69"/>
        <v>0</v>
      </c>
    </row>
    <row r="278" spans="3:25" hidden="1" x14ac:dyDescent="0.35">
      <c r="C278" t="s">
        <v>484</v>
      </c>
      <c r="E278" t="s">
        <v>265</v>
      </c>
      <c r="F278" t="s">
        <v>485</v>
      </c>
      <c r="J278" s="41">
        <v>0</v>
      </c>
      <c r="L278" s="41">
        <f t="shared" si="70"/>
        <v>2026</v>
      </c>
      <c r="M278" s="41" t="str">
        <f t="shared" si="59"/>
        <v>Kentucky-American Water 2026</v>
      </c>
      <c r="N278" s="41"/>
      <c r="O278" s="41">
        <f t="shared" si="71"/>
        <v>2025</v>
      </c>
      <c r="P278" s="41">
        <f t="shared" si="72"/>
        <v>2025</v>
      </c>
      <c r="Q278" s="41" t="s">
        <v>184</v>
      </c>
      <c r="R278" s="41" t="s">
        <v>266</v>
      </c>
      <c r="S278" t="str">
        <f t="shared" si="65"/>
        <v>Kentucky-American Water</v>
      </c>
      <c r="T278">
        <f t="shared" si="62"/>
        <v>2025</v>
      </c>
      <c r="U278">
        <f t="shared" si="73"/>
        <v>2025</v>
      </c>
      <c r="X278">
        <f t="shared" si="68"/>
        <v>0</v>
      </c>
      <c r="Y278">
        <f t="shared" si="69"/>
        <v>0</v>
      </c>
    </row>
    <row r="279" spans="3:25" hidden="1" x14ac:dyDescent="0.35">
      <c r="C279" t="s">
        <v>484</v>
      </c>
      <c r="E279" t="s">
        <v>264</v>
      </c>
      <c r="F279" t="s">
        <v>485</v>
      </c>
      <c r="J279" s="41">
        <v>0</v>
      </c>
      <c r="L279" s="41">
        <f t="shared" si="70"/>
        <v>2026</v>
      </c>
      <c r="M279" s="41" t="str">
        <f t="shared" si="59"/>
        <v>Kentucky-American Water 2026</v>
      </c>
      <c r="N279" s="41"/>
      <c r="O279" s="41">
        <f t="shared" si="71"/>
        <v>2025</v>
      </c>
      <c r="P279" s="41">
        <f t="shared" si="72"/>
        <v>2025</v>
      </c>
      <c r="Q279" s="41" t="s">
        <v>229</v>
      </c>
      <c r="R279" s="41" t="s">
        <v>266</v>
      </c>
      <c r="S279" t="str">
        <f t="shared" si="65"/>
        <v>Kentucky-American Water</v>
      </c>
      <c r="T279">
        <f t="shared" si="62"/>
        <v>2025</v>
      </c>
      <c r="U279">
        <f t="shared" si="73"/>
        <v>2025</v>
      </c>
      <c r="X279">
        <f t="shared" si="68"/>
        <v>0</v>
      </c>
      <c r="Y279">
        <f t="shared" si="69"/>
        <v>0</v>
      </c>
    </row>
    <row r="280" spans="3:25" hidden="1" x14ac:dyDescent="0.35">
      <c r="C280" t="s">
        <v>484</v>
      </c>
      <c r="E280" t="s">
        <v>265</v>
      </c>
      <c r="F280" t="s">
        <v>485</v>
      </c>
      <c r="J280" s="41">
        <v>0</v>
      </c>
      <c r="L280" s="41">
        <f t="shared" si="70"/>
        <v>2026</v>
      </c>
      <c r="M280" s="41" t="str">
        <f t="shared" si="59"/>
        <v>Kentucky-American Water 2026</v>
      </c>
      <c r="N280" s="41"/>
      <c r="O280" s="41">
        <f t="shared" si="71"/>
        <v>2025</v>
      </c>
      <c r="P280" s="41">
        <f t="shared" si="72"/>
        <v>2025</v>
      </c>
      <c r="Q280" s="41" t="s">
        <v>229</v>
      </c>
      <c r="R280" s="41" t="s">
        <v>266</v>
      </c>
      <c r="S280" t="str">
        <f t="shared" si="65"/>
        <v>Kentucky-American Water</v>
      </c>
      <c r="T280">
        <f t="shared" si="62"/>
        <v>2025</v>
      </c>
      <c r="U280">
        <f t="shared" si="73"/>
        <v>2025</v>
      </c>
      <c r="X280">
        <f t="shared" si="68"/>
        <v>0</v>
      </c>
      <c r="Y280">
        <f t="shared" si="69"/>
        <v>0</v>
      </c>
    </row>
    <row r="281" spans="3:25" hidden="1" x14ac:dyDescent="0.35">
      <c r="C281" t="s">
        <v>484</v>
      </c>
      <c r="E281" t="s">
        <v>264</v>
      </c>
      <c r="F281" t="s">
        <v>485</v>
      </c>
      <c r="J281" s="41">
        <v>0</v>
      </c>
      <c r="L281" s="41">
        <f t="shared" si="70"/>
        <v>2026</v>
      </c>
      <c r="M281" s="41" t="str">
        <f t="shared" si="59"/>
        <v>Kentucky-American Water 2026</v>
      </c>
      <c r="N281" s="41"/>
      <c r="O281" s="41">
        <f t="shared" si="71"/>
        <v>2025</v>
      </c>
      <c r="P281" s="41">
        <f t="shared" si="72"/>
        <v>2025</v>
      </c>
      <c r="Q281" s="41" t="s">
        <v>267</v>
      </c>
      <c r="R281" s="41" t="s">
        <v>266</v>
      </c>
      <c r="S281" t="str">
        <f t="shared" si="65"/>
        <v>Kentucky-American Water</v>
      </c>
      <c r="T281">
        <f t="shared" si="62"/>
        <v>2025</v>
      </c>
      <c r="U281">
        <f t="shared" si="73"/>
        <v>2025</v>
      </c>
      <c r="X281">
        <f t="shared" si="68"/>
        <v>0</v>
      </c>
      <c r="Y281">
        <f t="shared" si="69"/>
        <v>0</v>
      </c>
    </row>
    <row r="282" spans="3:25" hidden="1" x14ac:dyDescent="0.35">
      <c r="C282" t="s">
        <v>484</v>
      </c>
      <c r="E282" t="s">
        <v>265</v>
      </c>
      <c r="F282" t="s">
        <v>485</v>
      </c>
      <c r="J282" s="41">
        <v>0</v>
      </c>
      <c r="L282" s="41">
        <f t="shared" si="70"/>
        <v>2026</v>
      </c>
      <c r="M282" s="41" t="str">
        <f t="shared" si="59"/>
        <v>Kentucky-American Water 2026</v>
      </c>
      <c r="N282" s="41"/>
      <c r="O282" s="41">
        <f t="shared" si="71"/>
        <v>2025</v>
      </c>
      <c r="P282" s="41">
        <f t="shared" si="72"/>
        <v>2025</v>
      </c>
      <c r="Q282" s="41" t="s">
        <v>267</v>
      </c>
      <c r="R282" s="41" t="s">
        <v>266</v>
      </c>
      <c r="S282" t="str">
        <f t="shared" si="65"/>
        <v>Kentucky-American Water</v>
      </c>
      <c r="T282">
        <f t="shared" si="62"/>
        <v>2025</v>
      </c>
      <c r="U282">
        <f t="shared" si="73"/>
        <v>2025</v>
      </c>
      <c r="X282">
        <f t="shared" si="68"/>
        <v>0</v>
      </c>
      <c r="Y282">
        <f t="shared" si="69"/>
        <v>0</v>
      </c>
    </row>
  </sheetData>
  <autoFilter ref="A5:Y282" xr:uid="{22307EAC-B720-45B7-8B25-228E960A7F4B}">
    <filterColumn colId="23">
      <filters>
        <filter val="103152"/>
        <filter val="10528"/>
        <filter val="11"/>
        <filter val="12"/>
        <filter val="1209"/>
        <filter val="1260"/>
        <filter val="13"/>
        <filter val="1392"/>
        <filter val="14"/>
        <filter val="145782"/>
        <filter val="15"/>
        <filter val="16"/>
        <filter val="160"/>
        <filter val="168"/>
        <filter val="177165"/>
        <filter val="187"/>
        <filter val="22"/>
        <filter val="24"/>
        <filter val="28"/>
        <filter val="2828"/>
        <filter val="30"/>
        <filter val="306"/>
        <filter val="32"/>
        <filter val="3225"/>
        <filter val="3380"/>
        <filter val="36"/>
        <filter val="39"/>
        <filter val="45"/>
        <filter val="4692"/>
        <filter val="48"/>
        <filter val="504"/>
        <filter val="51"/>
        <filter val="546"/>
        <filter val="55"/>
        <filter val="611"/>
        <filter val="6303"/>
        <filter val="64694"/>
        <filter val="65"/>
        <filter val="72"/>
        <filter val="728"/>
        <filter val="7476"/>
        <filter val="784"/>
        <filter val="88"/>
        <filter val="8888"/>
        <filter val="891"/>
      </filters>
    </filterColumn>
  </autoFilter>
  <phoneticPr fontId="3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489F-D429-475A-9A0C-3961051496C3}">
  <sheetPr>
    <tabColor rgb="FFFFCCFF"/>
  </sheetPr>
  <dimension ref="A1:T135"/>
  <sheetViews>
    <sheetView zoomScale="86" zoomScaleNormal="120" workbookViewId="0">
      <selection activeCell="D2" sqref="D2"/>
    </sheetView>
  </sheetViews>
  <sheetFormatPr defaultRowHeight="14.5" x14ac:dyDescent="0.35"/>
  <cols>
    <col min="1" max="1" width="20.81640625" customWidth="1"/>
    <col min="2" max="2" width="23.7265625" style="20" customWidth="1"/>
    <col min="3" max="3" width="15.453125" customWidth="1"/>
    <col min="4" max="14" width="14.1796875" bestFit="1" customWidth="1"/>
    <col min="15" max="15" width="11.453125" customWidth="1"/>
    <col min="16" max="19" width="10.26953125" customWidth="1"/>
    <col min="20" max="20" width="16.7265625" bestFit="1" customWidth="1"/>
    <col min="21" max="21" width="15" bestFit="1" customWidth="1"/>
  </cols>
  <sheetData>
    <row r="1" spans="1:15" ht="23.5" x14ac:dyDescent="0.55000000000000004">
      <c r="A1" s="244" t="s">
        <v>1097</v>
      </c>
      <c r="D1" s="296" t="s">
        <v>1107</v>
      </c>
    </row>
    <row r="2" spans="1:15" x14ac:dyDescent="0.35">
      <c r="D2" s="20"/>
    </row>
    <row r="3" spans="1:15" ht="43.5" x14ac:dyDescent="0.35">
      <c r="A3" s="16" t="s">
        <v>257</v>
      </c>
      <c r="B3"/>
      <c r="D3" s="220" t="s">
        <v>1096</v>
      </c>
    </row>
    <row r="4" spans="1:15" x14ac:dyDescent="0.35">
      <c r="A4" s="16" t="s">
        <v>259</v>
      </c>
      <c r="B4" s="16" t="s">
        <v>260</v>
      </c>
      <c r="C4" s="16" t="s">
        <v>261</v>
      </c>
      <c r="D4">
        <v>2025</v>
      </c>
      <c r="E4">
        <v>2026</v>
      </c>
      <c r="F4">
        <v>2027</v>
      </c>
      <c r="G4">
        <v>2028</v>
      </c>
      <c r="H4">
        <v>2029</v>
      </c>
      <c r="I4">
        <v>2030</v>
      </c>
      <c r="J4">
        <v>2031</v>
      </c>
      <c r="K4">
        <v>2032</v>
      </c>
      <c r="L4">
        <v>2033</v>
      </c>
      <c r="M4">
        <v>2034</v>
      </c>
      <c r="N4">
        <v>2038</v>
      </c>
      <c r="O4" t="s">
        <v>262</v>
      </c>
    </row>
    <row r="5" spans="1:15" x14ac:dyDescent="0.35">
      <c r="A5" t="s">
        <v>184</v>
      </c>
      <c r="B5" t="s">
        <v>263</v>
      </c>
      <c r="C5" t="s">
        <v>264</v>
      </c>
      <c r="D5" s="18">
        <v>0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>
        <v>0</v>
      </c>
    </row>
    <row r="6" spans="1:15" x14ac:dyDescent="0.35">
      <c r="B6"/>
      <c r="C6" t="s">
        <v>265</v>
      </c>
      <c r="D6" s="18">
        <v>0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>
        <v>0</v>
      </c>
    </row>
    <row r="7" spans="1:15" x14ac:dyDescent="0.35">
      <c r="B7" t="s">
        <v>266</v>
      </c>
      <c r="C7" t="s">
        <v>264</v>
      </c>
      <c r="D7" s="18">
        <v>0</v>
      </c>
      <c r="E7" s="18">
        <v>3</v>
      </c>
      <c r="F7" s="18">
        <v>1</v>
      </c>
      <c r="G7" s="18">
        <v>3</v>
      </c>
      <c r="H7" s="18"/>
      <c r="I7" s="18">
        <v>1</v>
      </c>
      <c r="J7" s="18"/>
      <c r="K7" s="18">
        <v>4</v>
      </c>
      <c r="L7" s="18">
        <v>7</v>
      </c>
      <c r="M7" s="18">
        <v>6</v>
      </c>
      <c r="N7" s="18"/>
      <c r="O7" s="18">
        <v>25</v>
      </c>
    </row>
    <row r="8" spans="1:15" x14ac:dyDescent="0.35">
      <c r="B8"/>
      <c r="C8" t="s">
        <v>265</v>
      </c>
      <c r="D8" s="18">
        <v>14</v>
      </c>
      <c r="E8" s="18">
        <v>15</v>
      </c>
      <c r="F8" s="18">
        <v>73</v>
      </c>
      <c r="G8" s="18">
        <v>42</v>
      </c>
      <c r="H8" s="18">
        <v>2</v>
      </c>
      <c r="I8" s="18">
        <v>7</v>
      </c>
      <c r="J8" s="18">
        <v>11</v>
      </c>
      <c r="K8" s="18">
        <v>15</v>
      </c>
      <c r="L8" s="18">
        <v>35</v>
      </c>
      <c r="M8" s="18">
        <v>18</v>
      </c>
      <c r="N8" s="18"/>
      <c r="O8" s="18">
        <v>232</v>
      </c>
    </row>
    <row r="9" spans="1:15" x14ac:dyDescent="0.35">
      <c r="A9" t="s">
        <v>229</v>
      </c>
      <c r="B9" t="s">
        <v>263</v>
      </c>
      <c r="C9" t="s">
        <v>264</v>
      </c>
      <c r="D9" s="18">
        <v>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>
        <v>0</v>
      </c>
    </row>
    <row r="10" spans="1:15" x14ac:dyDescent="0.35">
      <c r="B10"/>
      <c r="C10" t="s">
        <v>265</v>
      </c>
      <c r="D10" s="18">
        <v>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>
        <v>0</v>
      </c>
    </row>
    <row r="11" spans="1:15" x14ac:dyDescent="0.35">
      <c r="B11" t="s">
        <v>266</v>
      </c>
      <c r="C11" t="s">
        <v>264</v>
      </c>
      <c r="D11" s="18">
        <v>369</v>
      </c>
      <c r="E11" s="18">
        <v>33</v>
      </c>
      <c r="F11" s="18">
        <v>64</v>
      </c>
      <c r="G11" s="18">
        <v>111</v>
      </c>
      <c r="H11" s="18">
        <v>150</v>
      </c>
      <c r="I11" s="18">
        <v>11</v>
      </c>
      <c r="J11" s="18">
        <v>81</v>
      </c>
      <c r="K11" s="18">
        <v>126</v>
      </c>
      <c r="L11" s="18">
        <v>111</v>
      </c>
      <c r="M11" s="18">
        <v>266</v>
      </c>
      <c r="N11" s="18"/>
      <c r="O11" s="18">
        <v>1322</v>
      </c>
    </row>
    <row r="12" spans="1:15" x14ac:dyDescent="0.35">
      <c r="B12"/>
      <c r="C12" t="s">
        <v>265</v>
      </c>
      <c r="D12" s="18">
        <v>39240</v>
      </c>
      <c r="E12" s="18">
        <v>4192</v>
      </c>
      <c r="F12" s="18">
        <v>7798</v>
      </c>
      <c r="G12" s="18">
        <v>15656</v>
      </c>
      <c r="H12" s="18">
        <v>11900</v>
      </c>
      <c r="I12" s="18">
        <v>1556</v>
      </c>
      <c r="J12" s="18">
        <v>6808</v>
      </c>
      <c r="K12" s="18">
        <v>6174</v>
      </c>
      <c r="L12" s="18">
        <v>17184</v>
      </c>
      <c r="M12" s="18">
        <v>31361</v>
      </c>
      <c r="N12" s="18">
        <v>10</v>
      </c>
      <c r="O12" s="18">
        <v>141879</v>
      </c>
    </row>
    <row r="13" spans="1:15" x14ac:dyDescent="0.35">
      <c r="A13" t="s">
        <v>267</v>
      </c>
      <c r="B13" t="s">
        <v>263</v>
      </c>
      <c r="C13" t="s">
        <v>264</v>
      </c>
      <c r="D13" s="18">
        <v>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>
        <v>0</v>
      </c>
    </row>
    <row r="14" spans="1:15" x14ac:dyDescent="0.35">
      <c r="B14"/>
      <c r="C14" t="s">
        <v>265</v>
      </c>
      <c r="D14" s="18">
        <v>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v>0</v>
      </c>
    </row>
    <row r="15" spans="1:15" x14ac:dyDescent="0.35">
      <c r="B15" t="s">
        <v>266</v>
      </c>
      <c r="C15" t="s">
        <v>264</v>
      </c>
      <c r="D15" s="18">
        <v>1</v>
      </c>
      <c r="E15" s="18"/>
      <c r="F15" s="18"/>
      <c r="G15" s="18">
        <v>2</v>
      </c>
      <c r="H15" s="18"/>
      <c r="I15" s="18"/>
      <c r="J15" s="18"/>
      <c r="K15" s="18">
        <v>1</v>
      </c>
      <c r="L15" s="18"/>
      <c r="M15" s="18"/>
      <c r="N15" s="18"/>
      <c r="O15" s="18">
        <v>4</v>
      </c>
    </row>
    <row r="16" spans="1:15" x14ac:dyDescent="0.35">
      <c r="B16"/>
      <c r="C16" t="s">
        <v>265</v>
      </c>
      <c r="D16" s="18">
        <v>1</v>
      </c>
      <c r="E16" s="18">
        <v>2</v>
      </c>
      <c r="F16" s="18">
        <v>2</v>
      </c>
      <c r="G16" s="18">
        <v>10</v>
      </c>
      <c r="H16" s="18">
        <v>5</v>
      </c>
      <c r="I16" s="18">
        <v>3</v>
      </c>
      <c r="J16" s="18">
        <v>4</v>
      </c>
      <c r="K16" s="18">
        <v>6</v>
      </c>
      <c r="L16" s="18">
        <v>1</v>
      </c>
      <c r="M16" s="18">
        <v>4</v>
      </c>
      <c r="N16" s="18"/>
      <c r="O16" s="18">
        <v>38</v>
      </c>
    </row>
    <row r="17" spans="1:20" x14ac:dyDescent="0.35">
      <c r="A17" t="s">
        <v>262</v>
      </c>
      <c r="B17"/>
      <c r="D17" s="18">
        <v>39625</v>
      </c>
      <c r="E17" s="243">
        <v>4245</v>
      </c>
      <c r="F17" s="243">
        <v>7938</v>
      </c>
      <c r="G17" s="243">
        <v>15824</v>
      </c>
      <c r="H17" s="18">
        <v>12057</v>
      </c>
      <c r="I17" s="18">
        <v>1578</v>
      </c>
      <c r="J17" s="18">
        <v>6904</v>
      </c>
      <c r="K17" s="18">
        <v>6326</v>
      </c>
      <c r="L17" s="18">
        <v>17338</v>
      </c>
      <c r="M17" s="18">
        <v>31655</v>
      </c>
      <c r="N17" s="18">
        <v>10</v>
      </c>
      <c r="O17" s="18">
        <v>143500</v>
      </c>
    </row>
    <row r="18" spans="1:20" x14ac:dyDescent="0.35">
      <c r="B18"/>
    </row>
    <row r="19" spans="1:20" x14ac:dyDescent="0.35">
      <c r="B19"/>
    </row>
    <row r="20" spans="1:20" x14ac:dyDescent="0.35">
      <c r="B20"/>
    </row>
    <row r="21" spans="1:20" x14ac:dyDescent="0.35">
      <c r="B21"/>
    </row>
    <row r="22" spans="1:20" ht="18.5" x14ac:dyDescent="0.45">
      <c r="B22"/>
      <c r="P22" s="366"/>
      <c r="Q22" s="366"/>
      <c r="R22" s="366"/>
      <c r="S22" s="366"/>
      <c r="T22" s="241"/>
    </row>
    <row r="23" spans="1:20" ht="18.5" x14ac:dyDescent="0.45">
      <c r="B23"/>
      <c r="P23" s="366"/>
      <c r="Q23" s="366"/>
      <c r="R23" s="366"/>
      <c r="S23" s="366"/>
      <c r="T23" s="241"/>
    </row>
    <row r="24" spans="1:20" x14ac:dyDescent="0.35">
      <c r="B24"/>
    </row>
    <row r="25" spans="1:20" x14ac:dyDescent="0.35">
      <c r="B25"/>
    </row>
    <row r="26" spans="1:20" x14ac:dyDescent="0.35">
      <c r="B26"/>
    </row>
    <row r="27" spans="1:20" x14ac:dyDescent="0.35">
      <c r="A27" s="16" t="s">
        <v>257</v>
      </c>
      <c r="B27"/>
      <c r="D27" s="16" t="s">
        <v>258</v>
      </c>
    </row>
    <row r="28" spans="1:20" x14ac:dyDescent="0.35">
      <c r="A28" s="16" t="s">
        <v>259</v>
      </c>
      <c r="B28" s="16" t="s">
        <v>260</v>
      </c>
      <c r="C28" s="16" t="s">
        <v>261</v>
      </c>
      <c r="D28">
        <v>2025</v>
      </c>
      <c r="E28">
        <v>2026</v>
      </c>
      <c r="F28">
        <v>2027</v>
      </c>
      <c r="G28">
        <v>2028</v>
      </c>
      <c r="H28">
        <v>2029</v>
      </c>
      <c r="I28">
        <v>2030</v>
      </c>
      <c r="J28">
        <v>2031</v>
      </c>
      <c r="K28">
        <v>2032</v>
      </c>
      <c r="L28">
        <v>2033</v>
      </c>
      <c r="M28">
        <v>2034</v>
      </c>
      <c r="N28" t="s">
        <v>262</v>
      </c>
    </row>
    <row r="29" spans="1:20" x14ac:dyDescent="0.35">
      <c r="A29" t="s">
        <v>184</v>
      </c>
      <c r="B29" t="s">
        <v>263</v>
      </c>
      <c r="C29" t="s">
        <v>264</v>
      </c>
      <c r="D29" s="18">
        <v>0</v>
      </c>
      <c r="E29" s="18"/>
      <c r="F29" s="18"/>
      <c r="G29" s="18"/>
      <c r="H29" s="18"/>
      <c r="I29" s="18"/>
      <c r="J29" s="18"/>
      <c r="K29" s="18"/>
      <c r="L29" s="18"/>
      <c r="M29" s="18"/>
      <c r="N29" s="18">
        <v>0</v>
      </c>
    </row>
    <row r="30" spans="1:20" x14ac:dyDescent="0.35">
      <c r="B30"/>
      <c r="C30" t="s">
        <v>265</v>
      </c>
      <c r="D30" s="18">
        <v>0</v>
      </c>
      <c r="E30" s="18"/>
      <c r="F30" s="18"/>
      <c r="G30" s="18"/>
      <c r="H30" s="18"/>
      <c r="I30" s="18"/>
      <c r="J30" s="18"/>
      <c r="K30" s="18"/>
      <c r="L30" s="18"/>
      <c r="M30" s="18"/>
      <c r="N30" s="18">
        <v>0</v>
      </c>
    </row>
    <row r="31" spans="1:20" x14ac:dyDescent="0.35">
      <c r="B31" t="s">
        <v>266</v>
      </c>
      <c r="C31" t="s">
        <v>264</v>
      </c>
      <c r="D31" s="18">
        <v>0</v>
      </c>
      <c r="E31" s="18">
        <v>3</v>
      </c>
      <c r="F31" s="18">
        <v>1</v>
      </c>
      <c r="G31" s="18">
        <v>3</v>
      </c>
      <c r="H31" s="18"/>
      <c r="I31" s="18">
        <v>1</v>
      </c>
      <c r="J31" s="18"/>
      <c r="K31" s="18">
        <v>4</v>
      </c>
      <c r="L31" s="18">
        <v>7</v>
      </c>
      <c r="M31" s="18">
        <v>6</v>
      </c>
      <c r="N31" s="18">
        <v>25</v>
      </c>
    </row>
    <row r="32" spans="1:20" x14ac:dyDescent="0.35">
      <c r="B32"/>
      <c r="C32" t="s">
        <v>265</v>
      </c>
      <c r="D32" s="18">
        <v>14</v>
      </c>
      <c r="E32" s="18">
        <v>15</v>
      </c>
      <c r="F32" s="18">
        <v>73</v>
      </c>
      <c r="G32" s="18">
        <v>42</v>
      </c>
      <c r="H32" s="18">
        <v>2</v>
      </c>
      <c r="I32" s="18">
        <v>7</v>
      </c>
      <c r="J32" s="18">
        <v>11</v>
      </c>
      <c r="K32" s="18">
        <v>15</v>
      </c>
      <c r="L32" s="18">
        <v>35</v>
      </c>
      <c r="M32" s="18">
        <v>18</v>
      </c>
      <c r="N32" s="18">
        <v>232</v>
      </c>
    </row>
    <row r="33" spans="1:14" x14ac:dyDescent="0.35">
      <c r="A33" t="s">
        <v>229</v>
      </c>
      <c r="B33" t="s">
        <v>263</v>
      </c>
      <c r="C33" t="s">
        <v>264</v>
      </c>
      <c r="D33" s="18">
        <v>0</v>
      </c>
      <c r="E33" s="18"/>
      <c r="F33" s="18"/>
      <c r="G33" s="18"/>
      <c r="H33" s="18"/>
      <c r="I33" s="18"/>
      <c r="J33" s="18"/>
      <c r="K33" s="18"/>
      <c r="L33" s="18"/>
      <c r="M33" s="18"/>
      <c r="N33" s="18">
        <v>0</v>
      </c>
    </row>
    <row r="34" spans="1:14" x14ac:dyDescent="0.35">
      <c r="B34"/>
      <c r="C34" t="s">
        <v>265</v>
      </c>
      <c r="D34" s="18">
        <v>0</v>
      </c>
      <c r="E34" s="18"/>
      <c r="F34" s="18"/>
      <c r="G34" s="18"/>
      <c r="H34" s="18"/>
      <c r="I34" s="18"/>
      <c r="J34" s="18"/>
      <c r="K34" s="18"/>
      <c r="L34" s="18"/>
      <c r="M34" s="18"/>
      <c r="N34" s="18">
        <v>0</v>
      </c>
    </row>
    <row r="35" spans="1:14" x14ac:dyDescent="0.35">
      <c r="B35" t="s">
        <v>266</v>
      </c>
      <c r="C35" t="s">
        <v>264</v>
      </c>
      <c r="D35" s="18">
        <v>369</v>
      </c>
      <c r="E35" s="18">
        <v>33</v>
      </c>
      <c r="F35" s="18">
        <v>64</v>
      </c>
      <c r="G35" s="18">
        <v>111</v>
      </c>
      <c r="H35" s="18">
        <v>150</v>
      </c>
      <c r="I35" s="18">
        <v>11</v>
      </c>
      <c r="J35" s="18">
        <v>81</v>
      </c>
      <c r="K35" s="18">
        <v>126</v>
      </c>
      <c r="L35" s="18">
        <v>111</v>
      </c>
      <c r="M35" s="18">
        <v>266</v>
      </c>
      <c r="N35" s="18">
        <v>1322</v>
      </c>
    </row>
    <row r="36" spans="1:14" x14ac:dyDescent="0.35">
      <c r="B36"/>
      <c r="C36" t="s">
        <v>265</v>
      </c>
      <c r="D36" s="18">
        <v>39240</v>
      </c>
      <c r="E36" s="18">
        <v>4193</v>
      </c>
      <c r="F36" s="18">
        <v>7798</v>
      </c>
      <c r="G36" s="18">
        <v>15657</v>
      </c>
      <c r="H36" s="18">
        <v>11900</v>
      </c>
      <c r="I36" s="18">
        <v>1556</v>
      </c>
      <c r="J36" s="18">
        <v>6807</v>
      </c>
      <c r="K36" s="18">
        <v>6174</v>
      </c>
      <c r="L36" s="18">
        <v>17193</v>
      </c>
      <c r="M36" s="18">
        <v>31361</v>
      </c>
      <c r="N36" s="18">
        <v>141879</v>
      </c>
    </row>
    <row r="37" spans="1:14" x14ac:dyDescent="0.35">
      <c r="A37" t="s">
        <v>267</v>
      </c>
      <c r="B37" t="s">
        <v>263</v>
      </c>
      <c r="C37" t="s">
        <v>264</v>
      </c>
      <c r="D37" s="18">
        <v>0</v>
      </c>
      <c r="E37" s="18"/>
      <c r="F37" s="18"/>
      <c r="G37" s="18"/>
      <c r="H37" s="18"/>
      <c r="I37" s="18"/>
      <c r="J37" s="18"/>
      <c r="K37" s="18"/>
      <c r="L37" s="18"/>
      <c r="M37" s="18"/>
      <c r="N37" s="18">
        <v>0</v>
      </c>
    </row>
    <row r="38" spans="1:14" x14ac:dyDescent="0.35">
      <c r="B38"/>
      <c r="C38" t="s">
        <v>265</v>
      </c>
      <c r="D38" s="18">
        <v>0</v>
      </c>
      <c r="E38" s="18"/>
      <c r="F38" s="18"/>
      <c r="G38" s="18"/>
      <c r="H38" s="18"/>
      <c r="I38" s="18"/>
      <c r="J38" s="18"/>
      <c r="K38" s="18"/>
      <c r="L38" s="18"/>
      <c r="M38" s="18"/>
      <c r="N38" s="18">
        <v>0</v>
      </c>
    </row>
    <row r="39" spans="1:14" x14ac:dyDescent="0.35">
      <c r="B39" t="s">
        <v>266</v>
      </c>
      <c r="C39" t="s">
        <v>264</v>
      </c>
      <c r="D39" s="18">
        <v>1</v>
      </c>
      <c r="E39" s="18"/>
      <c r="F39" s="18"/>
      <c r="G39" s="18">
        <v>2</v>
      </c>
      <c r="H39" s="18"/>
      <c r="I39" s="18"/>
      <c r="J39" s="18"/>
      <c r="K39" s="18">
        <v>1</v>
      </c>
      <c r="L39" s="18"/>
      <c r="M39" s="18"/>
      <c r="N39" s="18">
        <v>4</v>
      </c>
    </row>
    <row r="40" spans="1:14" x14ac:dyDescent="0.35">
      <c r="B40"/>
      <c r="C40" t="s">
        <v>265</v>
      </c>
      <c r="D40" s="18">
        <v>1</v>
      </c>
      <c r="E40" s="18">
        <v>2</v>
      </c>
      <c r="F40" s="18">
        <v>2</v>
      </c>
      <c r="G40" s="18">
        <v>10</v>
      </c>
      <c r="H40" s="18">
        <v>5</v>
      </c>
      <c r="I40" s="18">
        <v>3</v>
      </c>
      <c r="J40" s="18">
        <v>4</v>
      </c>
      <c r="K40" s="18">
        <v>6</v>
      </c>
      <c r="L40" s="18">
        <v>1</v>
      </c>
      <c r="M40" s="18">
        <v>4</v>
      </c>
      <c r="N40" s="18">
        <v>38</v>
      </c>
    </row>
    <row r="41" spans="1:14" x14ac:dyDescent="0.35">
      <c r="A41" t="s">
        <v>262</v>
      </c>
      <c r="B41"/>
      <c r="D41" s="18">
        <v>39625</v>
      </c>
      <c r="E41" s="18">
        <v>4246</v>
      </c>
      <c r="F41" s="18">
        <v>7938</v>
      </c>
      <c r="G41" s="18">
        <v>15825</v>
      </c>
      <c r="H41" s="18">
        <v>12057</v>
      </c>
      <c r="I41" s="18">
        <v>1578</v>
      </c>
      <c r="J41" s="18">
        <v>6903</v>
      </c>
      <c r="K41" s="18">
        <v>6326</v>
      </c>
      <c r="L41" s="18">
        <v>17347</v>
      </c>
      <c r="M41" s="18">
        <v>31655</v>
      </c>
      <c r="N41" s="18">
        <v>143500</v>
      </c>
    </row>
    <row r="42" spans="1:14" x14ac:dyDescent="0.35">
      <c r="B42"/>
    </row>
    <row r="43" spans="1:14" x14ac:dyDescent="0.35">
      <c r="B43"/>
    </row>
    <row r="44" spans="1:14" x14ac:dyDescent="0.35">
      <c r="B44"/>
    </row>
    <row r="45" spans="1:14" x14ac:dyDescent="0.35">
      <c r="B45"/>
      <c r="C45" t="s">
        <v>486</v>
      </c>
      <c r="D45">
        <f>GETPIVOTDATA("Number of Records",$A$27,"Alternate Year of Replacement (10 vs. 15)",2025)</f>
        <v>39625</v>
      </c>
      <c r="E45">
        <f>GETPIVOTDATA("Number of Records",$A$27,"Alternate Year of Replacement (10 vs. 15)",2026)</f>
        <v>4246</v>
      </c>
      <c r="F45">
        <f>GETPIVOTDATA("Number of Records",$A$27,"Alternate Year of Replacement (10 vs. 15)",2027)</f>
        <v>7938</v>
      </c>
      <c r="G45">
        <f>GETPIVOTDATA("Number of Records",$A$27,"Alternate Year of Replacement (10 vs. 15)",2028)</f>
        <v>15825</v>
      </c>
      <c r="H45">
        <f>GETPIVOTDATA("Number of Records",$A$27,"Alternate Year of Replacement (10 vs. 15)",2029)</f>
        <v>12057</v>
      </c>
      <c r="I45">
        <f>GETPIVOTDATA("Number of Records",$A$27,"Alternate Year of Replacement (10 vs. 15)",2030)</f>
        <v>1578</v>
      </c>
      <c r="J45">
        <f>GETPIVOTDATA("Number of Records",$A$27,"Alternate Year of Replacement (10 vs. 15)",2031)</f>
        <v>6903</v>
      </c>
      <c r="K45">
        <f>GETPIVOTDATA("Number of Records",$A$27,"Alternate Year of Replacement (10 vs. 15)",2032)</f>
        <v>6326</v>
      </c>
      <c r="L45">
        <f>GETPIVOTDATA("Number of Records",$A$27,"Alternate Year of Replacement (10 vs. 15)",2033)</f>
        <v>17347</v>
      </c>
      <c r="M45">
        <f>GETPIVOTDATA("Number of Records",$A$27,"Alternate Year of Replacement (10 vs. 15)",2034)</f>
        <v>31655</v>
      </c>
      <c r="N45">
        <v>0</v>
      </c>
    </row>
    <row r="46" spans="1:14" x14ac:dyDescent="0.35">
      <c r="B46"/>
    </row>
    <row r="47" spans="1:14" x14ac:dyDescent="0.35">
      <c r="B47"/>
    </row>
    <row r="48" spans="1:14" x14ac:dyDescent="0.35">
      <c r="B48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20" s="67" customFormat="1" ht="15.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 s="242"/>
      <c r="P49" s="242"/>
      <c r="Q49" s="242"/>
      <c r="R49" s="242"/>
      <c r="S49" s="242"/>
      <c r="T49" s="240"/>
    </row>
    <row r="50" spans="1:20" ht="15" thickBot="1" x14ac:dyDescent="0.4"/>
    <row r="51" spans="1:20" ht="18.5" x14ac:dyDescent="0.45">
      <c r="C51" s="314"/>
      <c r="D51" s="367">
        <f>YearOne-1</f>
        <v>2025</v>
      </c>
      <c r="E51" s="267">
        <f>D51+1</f>
        <v>2026</v>
      </c>
      <c r="F51" s="267">
        <f t="shared" ref="F51:N51" si="0">E51+1</f>
        <v>2027</v>
      </c>
      <c r="G51" s="267">
        <f t="shared" si="0"/>
        <v>2028</v>
      </c>
      <c r="H51" s="267">
        <f t="shared" si="0"/>
        <v>2029</v>
      </c>
      <c r="I51" s="267">
        <f t="shared" si="0"/>
        <v>2030</v>
      </c>
      <c r="J51" s="267">
        <f t="shared" si="0"/>
        <v>2031</v>
      </c>
      <c r="K51" s="267">
        <f t="shared" si="0"/>
        <v>2032</v>
      </c>
      <c r="L51" s="267">
        <f t="shared" si="0"/>
        <v>2033</v>
      </c>
      <c r="M51" s="267">
        <f t="shared" si="0"/>
        <v>2034</v>
      </c>
      <c r="N51" s="267">
        <f t="shared" si="0"/>
        <v>2035</v>
      </c>
    </row>
    <row r="52" spans="1:20" s="191" customFormat="1" ht="18.5" x14ac:dyDescent="0.45">
      <c r="B52" s="264" t="s">
        <v>487</v>
      </c>
      <c r="C52" s="315" t="s">
        <v>488</v>
      </c>
      <c r="D52" s="449">
        <v>16000</v>
      </c>
      <c r="E52" s="383">
        <f>E45+D55-10625</f>
        <v>17246</v>
      </c>
      <c r="F52" s="383">
        <f>F45+F53</f>
        <v>18563</v>
      </c>
      <c r="G52" s="383">
        <f>G45</f>
        <v>15825</v>
      </c>
      <c r="H52" s="383">
        <f t="shared" ref="H52:M52" si="1">H45</f>
        <v>12057</v>
      </c>
      <c r="I52" s="383">
        <f t="shared" si="1"/>
        <v>1578</v>
      </c>
      <c r="J52" s="383">
        <f t="shared" si="1"/>
        <v>6903</v>
      </c>
      <c r="K52" s="383">
        <f t="shared" si="1"/>
        <v>6326</v>
      </c>
      <c r="L52" s="383">
        <f t="shared" si="1"/>
        <v>17347</v>
      </c>
      <c r="M52" s="383">
        <f t="shared" si="1"/>
        <v>31655</v>
      </c>
      <c r="N52" s="383">
        <f>D52</f>
        <v>16000</v>
      </c>
      <c r="O52" s="265"/>
      <c r="P52" s="265"/>
      <c r="Q52" s="265"/>
      <c r="R52" s="265"/>
      <c r="S52" s="265"/>
    </row>
    <row r="53" spans="1:20" s="191" customFormat="1" ht="18.5" x14ac:dyDescent="0.45">
      <c r="B53" s="264" t="s">
        <v>489</v>
      </c>
      <c r="C53" s="315"/>
      <c r="D53" s="450"/>
      <c r="E53" s="265">
        <f>E52-E45</f>
        <v>13000</v>
      </c>
      <c r="F53" s="265">
        <f>D55-E53</f>
        <v>10625</v>
      </c>
      <c r="G53" s="265">
        <f>G52-G45</f>
        <v>0</v>
      </c>
      <c r="H53" s="265">
        <f t="shared" ref="H53:N53" si="2">H52-H45</f>
        <v>0</v>
      </c>
      <c r="I53" s="265">
        <f t="shared" si="2"/>
        <v>0</v>
      </c>
      <c r="J53" s="265">
        <f t="shared" si="2"/>
        <v>0</v>
      </c>
      <c r="K53" s="265">
        <f t="shared" si="2"/>
        <v>0</v>
      </c>
      <c r="L53" s="265">
        <f t="shared" si="2"/>
        <v>0</v>
      </c>
      <c r="M53" s="265">
        <f t="shared" si="2"/>
        <v>0</v>
      </c>
      <c r="N53" s="265">
        <f t="shared" si="2"/>
        <v>16000</v>
      </c>
      <c r="O53" s="265"/>
      <c r="P53" s="265"/>
      <c r="Q53" s="265"/>
      <c r="R53" s="265"/>
      <c r="S53" s="265"/>
    </row>
    <row r="54" spans="1:20" s="191" customFormat="1" ht="18.5" x14ac:dyDescent="0.45">
      <c r="B54" s="264"/>
      <c r="C54" s="315" t="s">
        <v>1104</v>
      </c>
      <c r="D54" s="449">
        <v>5521</v>
      </c>
      <c r="E54" s="265"/>
      <c r="F54" s="265"/>
      <c r="G54" s="318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</row>
    <row r="55" spans="1:20" s="191" customFormat="1" ht="19" thickBot="1" x14ac:dyDescent="0.5">
      <c r="B55" s="264"/>
      <c r="C55" s="315" t="s">
        <v>1103</v>
      </c>
      <c r="D55" s="451">
        <f>D45-D52</f>
        <v>23625</v>
      </c>
      <c r="E55" s="265"/>
      <c r="F55" s="265"/>
      <c r="G55" s="318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</row>
    <row r="56" spans="1:20" ht="18.5" x14ac:dyDescent="0.45">
      <c r="C56" s="315" t="s">
        <v>490</v>
      </c>
      <c r="D56" s="452">
        <f>D52-D53-D54</f>
        <v>10479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20" ht="19" thickBot="1" x14ac:dyDescent="0.5">
      <c r="C57" s="316" t="s">
        <v>491</v>
      </c>
      <c r="D57" s="453">
        <f>SUM(D53,D56)</f>
        <v>10479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20" ht="18.5" x14ac:dyDescent="0.45"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92"/>
      <c r="P58" s="92"/>
      <c r="Q58" s="92"/>
      <c r="R58" s="92"/>
      <c r="S58" s="92"/>
    </row>
    <row r="59" spans="1:20" s="191" customFormat="1" ht="18.5" x14ac:dyDescent="0.45">
      <c r="B59" s="264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</row>
    <row r="60" spans="1:20" s="191" customFormat="1" ht="18.5" x14ac:dyDescent="0.45">
      <c r="B60" s="264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</row>
    <row r="61" spans="1:20" x14ac:dyDescent="0.35">
      <c r="G61" s="13"/>
    </row>
    <row r="63" spans="1:20" x14ac:dyDescent="0.35">
      <c r="B63" t="s">
        <v>492</v>
      </c>
      <c r="D63" s="21">
        <f t="shared" ref="D63:N63" si="3">D45</f>
        <v>39625</v>
      </c>
      <c r="E63" s="21">
        <f t="shared" si="3"/>
        <v>4246</v>
      </c>
      <c r="F63" s="21">
        <f t="shared" si="3"/>
        <v>7938</v>
      </c>
      <c r="G63" s="21">
        <f t="shared" si="3"/>
        <v>15825</v>
      </c>
      <c r="H63" s="21">
        <f t="shared" si="3"/>
        <v>12057</v>
      </c>
      <c r="I63" s="21">
        <f t="shared" si="3"/>
        <v>1578</v>
      </c>
      <c r="J63" s="21">
        <f t="shared" si="3"/>
        <v>6903</v>
      </c>
      <c r="K63" s="21">
        <f t="shared" si="3"/>
        <v>6326</v>
      </c>
      <c r="L63" s="21">
        <f t="shared" si="3"/>
        <v>17347</v>
      </c>
      <c r="M63" s="21">
        <f t="shared" si="3"/>
        <v>31655</v>
      </c>
      <c r="N63" s="21">
        <f t="shared" si="3"/>
        <v>0</v>
      </c>
    </row>
    <row r="64" spans="1:20" x14ac:dyDescent="0.35">
      <c r="B64" t="s">
        <v>1098</v>
      </c>
      <c r="D64" s="13">
        <f>D52</f>
        <v>16000</v>
      </c>
      <c r="E64" s="13">
        <f t="shared" ref="E64:N64" si="4">E45+E53</f>
        <v>17246</v>
      </c>
      <c r="F64" s="13">
        <f t="shared" si="4"/>
        <v>18563</v>
      </c>
      <c r="G64" s="13">
        <f t="shared" si="4"/>
        <v>15825</v>
      </c>
      <c r="H64" s="13">
        <f t="shared" si="4"/>
        <v>12057</v>
      </c>
      <c r="I64" s="13">
        <f t="shared" si="4"/>
        <v>1578</v>
      </c>
      <c r="J64" s="13">
        <f t="shared" si="4"/>
        <v>6903</v>
      </c>
      <c r="K64" s="13">
        <f t="shared" si="4"/>
        <v>6326</v>
      </c>
      <c r="L64" s="13">
        <f t="shared" si="4"/>
        <v>17347</v>
      </c>
      <c r="M64" s="13">
        <f t="shared" si="4"/>
        <v>31655</v>
      </c>
      <c r="N64" s="13">
        <f t="shared" si="4"/>
        <v>16000</v>
      </c>
    </row>
    <row r="66" spans="2:15" x14ac:dyDescent="0.35">
      <c r="C66" t="s">
        <v>493</v>
      </c>
    </row>
    <row r="67" spans="2:15" x14ac:dyDescent="0.35">
      <c r="C67" t="s">
        <v>494</v>
      </c>
      <c r="E67">
        <v>10</v>
      </c>
      <c r="F67">
        <v>10</v>
      </c>
      <c r="G67">
        <v>10</v>
      </c>
      <c r="H67">
        <v>10</v>
      </c>
      <c r="I67">
        <v>10</v>
      </c>
      <c r="J67">
        <v>10</v>
      </c>
      <c r="K67">
        <v>10</v>
      </c>
      <c r="L67">
        <v>10</v>
      </c>
      <c r="M67">
        <v>10</v>
      </c>
      <c r="N67">
        <v>10</v>
      </c>
    </row>
    <row r="68" spans="2:15" x14ac:dyDescent="0.35">
      <c r="C68" t="s">
        <v>495</v>
      </c>
      <c r="E68">
        <v>13.9</v>
      </c>
      <c r="F68">
        <v>13.9</v>
      </c>
      <c r="N68">
        <v>10</v>
      </c>
    </row>
    <row r="70" spans="2:15" x14ac:dyDescent="0.35">
      <c r="E70" s="13">
        <f>E67*E52+E68*E53</f>
        <v>353160</v>
      </c>
      <c r="F70" s="13">
        <f t="shared" ref="F70:N70" si="5">F67*F52+F68*F53</f>
        <v>333317.5</v>
      </c>
      <c r="G70" s="13">
        <f t="shared" si="5"/>
        <v>158250</v>
      </c>
      <c r="H70" s="13">
        <f t="shared" si="5"/>
        <v>120570</v>
      </c>
      <c r="I70" s="13">
        <f t="shared" si="5"/>
        <v>15780</v>
      </c>
      <c r="J70" s="13">
        <f t="shared" si="5"/>
        <v>69030</v>
      </c>
      <c r="K70" s="13">
        <f t="shared" si="5"/>
        <v>63260</v>
      </c>
      <c r="L70" s="13">
        <f t="shared" si="5"/>
        <v>173470</v>
      </c>
      <c r="M70" s="13">
        <f t="shared" si="5"/>
        <v>316550</v>
      </c>
      <c r="N70" s="13">
        <f t="shared" si="5"/>
        <v>320000</v>
      </c>
      <c r="O70" s="13">
        <f>SUM(E70:N70)</f>
        <v>1923387.5</v>
      </c>
    </row>
    <row r="71" spans="2:15" x14ac:dyDescent="0.35">
      <c r="N71" t="s">
        <v>496</v>
      </c>
      <c r="O71">
        <f>O70/SUM(E52:N53)</f>
        <v>10.503139931740614</v>
      </c>
    </row>
    <row r="72" spans="2:15" ht="29" x14ac:dyDescent="0.35">
      <c r="E72" s="20" t="s">
        <v>1093</v>
      </c>
      <c r="F72" s="20" t="s">
        <v>1094</v>
      </c>
    </row>
    <row r="73" spans="2:15" ht="29" x14ac:dyDescent="0.35">
      <c r="C73" s="20" t="s">
        <v>1105</v>
      </c>
      <c r="D73" s="12">
        <v>0.51349999999999996</v>
      </c>
      <c r="E73" s="21">
        <f>E53*D73</f>
        <v>6675.4999999999991</v>
      </c>
      <c r="F73" s="21">
        <f>D73*F53</f>
        <v>5455.9374999999991</v>
      </c>
    </row>
    <row r="74" spans="2:15" x14ac:dyDescent="0.35">
      <c r="C74" t="s">
        <v>497</v>
      </c>
      <c r="D74" s="21">
        <v>20207</v>
      </c>
    </row>
    <row r="75" spans="2:15" x14ac:dyDescent="0.35">
      <c r="C75" t="s">
        <v>1095</v>
      </c>
      <c r="E75" s="2">
        <f>SUM(E73:F73)/SUM(E52:F52)</f>
        <v>0.33878180066463731</v>
      </c>
    </row>
    <row r="77" spans="2:15" x14ac:dyDescent="0.35">
      <c r="B77"/>
    </row>
    <row r="78" spans="2:15" x14ac:dyDescent="0.35">
      <c r="B78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</sheetData>
  <phoneticPr fontId="3" type="noConversion"/>
  <pageMargins left="0.7" right="0.7" top="0.75" bottom="0.75" header="0.3" footer="0.3"/>
  <pageSetup orientation="portrait" r:id="rId3"/>
  <customProperties>
    <customPr name="num_docs" r:id="rId4"/>
  </customProperties>
  <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3A87-1CAF-41FE-BF1A-DA7CE2F6E9B8}">
  <sheetPr>
    <tabColor rgb="FFFFCCFF"/>
  </sheetPr>
  <dimension ref="A1:E40"/>
  <sheetViews>
    <sheetView workbookViewId="0">
      <selection activeCell="D2" sqref="D2"/>
    </sheetView>
  </sheetViews>
  <sheetFormatPr defaultRowHeight="14.5" x14ac:dyDescent="0.35"/>
  <cols>
    <col min="1" max="1" width="25" bestFit="1" customWidth="1"/>
    <col min="2" max="2" width="9.1796875" style="20" bestFit="1" customWidth="1"/>
    <col min="3" max="3" width="15.81640625" bestFit="1" customWidth="1"/>
    <col min="4" max="4" width="25" bestFit="1" customWidth="1"/>
    <col min="5" max="18" width="15.81640625" bestFit="1" customWidth="1"/>
    <col min="19" max="21" width="11.26953125" bestFit="1" customWidth="1"/>
  </cols>
  <sheetData>
    <row r="1" spans="1:5" x14ac:dyDescent="0.35">
      <c r="A1" t="s">
        <v>498</v>
      </c>
      <c r="D1" s="296" t="s">
        <v>1107</v>
      </c>
    </row>
    <row r="2" spans="1:5" x14ac:dyDescent="0.35">
      <c r="A2" s="19" t="s">
        <v>442</v>
      </c>
    </row>
    <row r="3" spans="1:5" x14ac:dyDescent="0.35">
      <c r="A3" s="235" t="s">
        <v>499</v>
      </c>
      <c r="B3" s="236"/>
      <c r="D3" s="235" t="s">
        <v>500</v>
      </c>
      <c r="E3" s="235"/>
    </row>
    <row r="4" spans="1:5" x14ac:dyDescent="0.35">
      <c r="D4" s="20"/>
    </row>
    <row r="5" spans="1:5" x14ac:dyDescent="0.35">
      <c r="A5" s="16" t="s">
        <v>257</v>
      </c>
      <c r="B5"/>
    </row>
    <row r="6" spans="1:5" x14ac:dyDescent="0.35">
      <c r="A6" s="16" t="s">
        <v>446</v>
      </c>
      <c r="B6" t="s">
        <v>237</v>
      </c>
      <c r="E6" t="s">
        <v>237</v>
      </c>
    </row>
    <row r="7" spans="1:5" ht="18.5" x14ac:dyDescent="0.45">
      <c r="A7" t="s">
        <v>483</v>
      </c>
      <c r="B7" s="331">
        <v>3.7839721254355398E-2</v>
      </c>
      <c r="D7" s="237" t="s">
        <v>501</v>
      </c>
      <c r="E7" s="238">
        <v>0.94060999999999995</v>
      </c>
    </row>
    <row r="8" spans="1:5" ht="18.5" x14ac:dyDescent="0.45">
      <c r="A8" t="s">
        <v>478</v>
      </c>
      <c r="B8" s="331">
        <v>1.9783972125435541E-2</v>
      </c>
      <c r="D8" t="s">
        <v>502</v>
      </c>
      <c r="E8" s="238">
        <v>0</v>
      </c>
    </row>
    <row r="9" spans="1:5" ht="18.5" x14ac:dyDescent="0.45">
      <c r="A9" t="s">
        <v>503</v>
      </c>
      <c r="B9" s="331">
        <v>0</v>
      </c>
      <c r="D9" t="s">
        <v>504</v>
      </c>
      <c r="E9" s="238">
        <v>3.7839999999999999E-2</v>
      </c>
    </row>
    <row r="10" spans="1:5" ht="18.5" x14ac:dyDescent="0.45">
      <c r="A10" t="s">
        <v>482</v>
      </c>
      <c r="B10" s="331">
        <v>1.770034843205575E-3</v>
      </c>
      <c r="D10" t="s">
        <v>505</v>
      </c>
      <c r="E10" s="238">
        <v>1.7700000000000001E-3</v>
      </c>
    </row>
    <row r="11" spans="1:5" ht="18.5" x14ac:dyDescent="0.45">
      <c r="A11" t="s">
        <v>467</v>
      </c>
      <c r="B11" s="331">
        <v>0.94060627177700351</v>
      </c>
      <c r="D11" t="s">
        <v>506</v>
      </c>
      <c r="E11" s="238">
        <v>1.9779999999999999E-2</v>
      </c>
    </row>
    <row r="12" spans="1:5" ht="18.5" x14ac:dyDescent="0.45">
      <c r="A12" t="s">
        <v>262</v>
      </c>
      <c r="B12" s="331">
        <v>1</v>
      </c>
      <c r="E12" s="277">
        <f>SUM(E7:E11)</f>
        <v>1</v>
      </c>
    </row>
    <row r="13" spans="1:5" x14ac:dyDescent="0.35">
      <c r="B13"/>
    </row>
    <row r="14" spans="1:5" x14ac:dyDescent="0.35">
      <c r="B14"/>
    </row>
    <row r="15" spans="1:5" x14ac:dyDescent="0.35">
      <c r="B15"/>
    </row>
    <row r="16" spans="1:5" x14ac:dyDescent="0.35">
      <c r="B16"/>
    </row>
    <row r="17" spans="2:2" x14ac:dyDescent="0.35">
      <c r="B17"/>
    </row>
    <row r="18" spans="2:2" x14ac:dyDescent="0.35">
      <c r="B18"/>
    </row>
    <row r="19" spans="2:2" x14ac:dyDescent="0.35">
      <c r="B19"/>
    </row>
    <row r="20" spans="2:2" x14ac:dyDescent="0.35">
      <c r="B20"/>
    </row>
    <row r="21" spans="2:2" x14ac:dyDescent="0.35">
      <c r="B21"/>
    </row>
    <row r="22" spans="2:2" x14ac:dyDescent="0.35">
      <c r="B22"/>
    </row>
    <row r="23" spans="2:2" x14ac:dyDescent="0.35">
      <c r="B23"/>
    </row>
    <row r="24" spans="2:2" x14ac:dyDescent="0.35">
      <c r="B24"/>
    </row>
    <row r="25" spans="2:2" x14ac:dyDescent="0.35">
      <c r="B25"/>
    </row>
    <row r="26" spans="2:2" x14ac:dyDescent="0.35">
      <c r="B26"/>
    </row>
    <row r="27" spans="2:2" x14ac:dyDescent="0.35">
      <c r="B27"/>
    </row>
    <row r="28" spans="2:2" x14ac:dyDescent="0.35">
      <c r="B28"/>
    </row>
    <row r="29" spans="2:2" x14ac:dyDescent="0.35">
      <c r="B29"/>
    </row>
    <row r="30" spans="2:2" x14ac:dyDescent="0.35">
      <c r="B30"/>
    </row>
    <row r="31" spans="2:2" x14ac:dyDescent="0.35">
      <c r="B31"/>
    </row>
    <row r="32" spans="2:2" x14ac:dyDescent="0.35">
      <c r="B32"/>
    </row>
    <row r="33" spans="2:2" x14ac:dyDescent="0.35">
      <c r="B33"/>
    </row>
    <row r="34" spans="2:2" x14ac:dyDescent="0.35">
      <c r="B34"/>
    </row>
    <row r="35" spans="2:2" x14ac:dyDescent="0.35">
      <c r="B35"/>
    </row>
    <row r="36" spans="2:2" x14ac:dyDescent="0.35">
      <c r="B36"/>
    </row>
    <row r="37" spans="2:2" x14ac:dyDescent="0.35">
      <c r="B37"/>
    </row>
    <row r="38" spans="2:2" x14ac:dyDescent="0.35">
      <c r="B38"/>
    </row>
    <row r="39" spans="2:2" x14ac:dyDescent="0.35">
      <c r="B39"/>
    </row>
    <row r="40" spans="2:2" x14ac:dyDescent="0.35">
      <c r="B40"/>
    </row>
  </sheetData>
  <conditionalFormatting sqref="E12">
    <cfRule type="cellIs" dxfId="1" priority="1" operator="notEqual">
      <formula>1</formula>
    </cfRule>
  </conditionalFormatting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7AEB-FF09-4467-AB4F-A86065B331CD}">
  <sheetPr>
    <tabColor rgb="FFFFCCFF"/>
  </sheetPr>
  <dimension ref="A1:U26"/>
  <sheetViews>
    <sheetView workbookViewId="0">
      <selection activeCell="A2" sqref="A2"/>
    </sheetView>
  </sheetViews>
  <sheetFormatPr defaultRowHeight="14.5" x14ac:dyDescent="0.35"/>
  <cols>
    <col min="1" max="1" width="20.7265625" bestFit="1" customWidth="1"/>
    <col min="2" max="2" width="22.54296875" bestFit="1" customWidth="1"/>
    <col min="3" max="3" width="16.453125" bestFit="1" customWidth="1"/>
    <col min="4" max="4" width="15.54296875" bestFit="1" customWidth="1"/>
    <col min="5" max="5" width="10.7265625" bestFit="1" customWidth="1"/>
    <col min="6" max="6" width="17.7265625" bestFit="1" customWidth="1"/>
    <col min="7" max="7" width="22.453125" bestFit="1" customWidth="1"/>
    <col min="8" max="8" width="18.81640625" bestFit="1" customWidth="1"/>
    <col min="9" max="9" width="9.26953125" bestFit="1" customWidth="1"/>
    <col min="10" max="10" width="20.54296875" bestFit="1" customWidth="1"/>
    <col min="11" max="11" width="33.1796875" bestFit="1" customWidth="1"/>
    <col min="12" max="12" width="12.54296875" bestFit="1" customWidth="1"/>
    <col min="13" max="13" width="16.453125" bestFit="1" customWidth="1"/>
    <col min="14" max="14" width="19.81640625" bestFit="1" customWidth="1"/>
    <col min="15" max="15" width="31.1796875" bestFit="1" customWidth="1"/>
    <col min="16" max="16" width="18" bestFit="1" customWidth="1"/>
    <col min="17" max="17" width="16.1796875" bestFit="1" customWidth="1"/>
    <col min="18" max="18" width="26.1796875" bestFit="1" customWidth="1"/>
    <col min="19" max="19" width="9.26953125" bestFit="1" customWidth="1"/>
    <col min="20" max="20" width="40.7265625" bestFit="1" customWidth="1"/>
    <col min="21" max="21" width="29.7265625" bestFit="1" customWidth="1"/>
  </cols>
  <sheetData>
    <row r="1" spans="1:21" x14ac:dyDescent="0.35">
      <c r="A1" s="19" t="s">
        <v>507</v>
      </c>
    </row>
    <row r="2" spans="1:21" x14ac:dyDescent="0.35">
      <c r="A2" s="19" t="s">
        <v>442</v>
      </c>
    </row>
    <row r="3" spans="1:21" x14ac:dyDescent="0.35">
      <c r="A3" t="s">
        <v>445</v>
      </c>
      <c r="B3" t="s">
        <v>446</v>
      </c>
      <c r="C3" t="s">
        <v>447</v>
      </c>
      <c r="D3" t="s">
        <v>448</v>
      </c>
      <c r="E3" t="s">
        <v>261</v>
      </c>
      <c r="F3" t="s">
        <v>449</v>
      </c>
      <c r="G3" t="s">
        <v>450</v>
      </c>
      <c r="H3" t="s">
        <v>451</v>
      </c>
      <c r="I3" t="s">
        <v>452</v>
      </c>
      <c r="J3" t="s">
        <v>453</v>
      </c>
      <c r="K3" t="s">
        <v>454</v>
      </c>
      <c r="L3" t="s">
        <v>455</v>
      </c>
      <c r="M3" t="s">
        <v>456</v>
      </c>
      <c r="N3" t="s">
        <v>457</v>
      </c>
      <c r="O3" t="s">
        <v>458</v>
      </c>
      <c r="P3" t="s">
        <v>459</v>
      </c>
      <c r="Q3" t="s">
        <v>259</v>
      </c>
      <c r="R3" t="s">
        <v>260</v>
      </c>
      <c r="S3" t="s">
        <v>460</v>
      </c>
      <c r="T3" t="s">
        <v>258</v>
      </c>
      <c r="U3" t="s">
        <v>461</v>
      </c>
    </row>
    <row r="4" spans="1:21" x14ac:dyDescent="0.35">
      <c r="A4" t="s">
        <v>466</v>
      </c>
      <c r="B4" t="s">
        <v>483</v>
      </c>
      <c r="C4" t="s">
        <v>468</v>
      </c>
      <c r="D4" t="s">
        <v>476</v>
      </c>
      <c r="E4" t="s">
        <v>265</v>
      </c>
      <c r="F4" t="s">
        <v>473</v>
      </c>
      <c r="G4" t="s">
        <v>229</v>
      </c>
      <c r="H4">
        <v>2014</v>
      </c>
      <c r="I4">
        <v>10</v>
      </c>
      <c r="J4">
        <v>116</v>
      </c>
      <c r="K4">
        <v>2024</v>
      </c>
      <c r="L4">
        <v>2025</v>
      </c>
      <c r="M4" t="s">
        <v>508</v>
      </c>
      <c r="N4" t="s">
        <v>509</v>
      </c>
      <c r="O4">
        <v>2025</v>
      </c>
      <c r="P4">
        <v>11</v>
      </c>
      <c r="Q4" t="s">
        <v>229</v>
      </c>
      <c r="R4" t="s">
        <v>266</v>
      </c>
      <c r="S4" t="s">
        <v>468</v>
      </c>
      <c r="T4">
        <v>2025</v>
      </c>
      <c r="U4">
        <v>11</v>
      </c>
    </row>
    <row r="5" spans="1:21" x14ac:dyDescent="0.35">
      <c r="A5" t="s">
        <v>466</v>
      </c>
      <c r="B5" t="s">
        <v>483</v>
      </c>
      <c r="C5" t="s">
        <v>468</v>
      </c>
      <c r="D5" t="s">
        <v>476</v>
      </c>
      <c r="E5" t="s">
        <v>264</v>
      </c>
      <c r="F5" t="s">
        <v>473</v>
      </c>
      <c r="G5" t="s">
        <v>229</v>
      </c>
      <c r="H5">
        <v>2014</v>
      </c>
      <c r="I5">
        <v>10</v>
      </c>
      <c r="J5">
        <v>1</v>
      </c>
      <c r="K5">
        <v>2024</v>
      </c>
      <c r="L5">
        <v>2025</v>
      </c>
      <c r="M5" t="s">
        <v>508</v>
      </c>
      <c r="N5" t="s">
        <v>509</v>
      </c>
      <c r="O5">
        <v>2025</v>
      </c>
      <c r="P5">
        <v>11</v>
      </c>
      <c r="Q5" t="s">
        <v>229</v>
      </c>
      <c r="R5" t="s">
        <v>266</v>
      </c>
      <c r="S5" t="s">
        <v>468</v>
      </c>
      <c r="T5">
        <v>2025</v>
      </c>
      <c r="U5">
        <v>11</v>
      </c>
    </row>
    <row r="6" spans="1:21" x14ac:dyDescent="0.35">
      <c r="A6" t="s">
        <v>466</v>
      </c>
      <c r="B6" t="s">
        <v>478</v>
      </c>
      <c r="C6" t="s">
        <v>468</v>
      </c>
      <c r="D6" t="s">
        <v>481</v>
      </c>
      <c r="E6" t="s">
        <v>265</v>
      </c>
      <c r="F6" t="s">
        <v>473</v>
      </c>
      <c r="G6" t="s">
        <v>229</v>
      </c>
      <c r="H6">
        <v>2021</v>
      </c>
      <c r="I6">
        <v>4</v>
      </c>
      <c r="J6">
        <v>1</v>
      </c>
      <c r="K6">
        <v>2025</v>
      </c>
      <c r="L6">
        <v>2025</v>
      </c>
      <c r="M6" t="s">
        <v>508</v>
      </c>
      <c r="N6" t="s">
        <v>509</v>
      </c>
      <c r="O6">
        <v>2025</v>
      </c>
      <c r="P6">
        <v>4</v>
      </c>
      <c r="Q6" t="s">
        <v>229</v>
      </c>
      <c r="R6" t="s">
        <v>266</v>
      </c>
      <c r="S6" t="s">
        <v>468</v>
      </c>
      <c r="T6">
        <v>2025</v>
      </c>
      <c r="U6">
        <v>4</v>
      </c>
    </row>
    <row r="7" spans="1:21" x14ac:dyDescent="0.35">
      <c r="A7" t="s">
        <v>466</v>
      </c>
      <c r="B7" t="s">
        <v>467</v>
      </c>
      <c r="C7" t="s">
        <v>468</v>
      </c>
      <c r="D7" t="s">
        <v>477</v>
      </c>
      <c r="E7" t="s">
        <v>265</v>
      </c>
      <c r="F7" t="s">
        <v>473</v>
      </c>
      <c r="G7" t="s">
        <v>229</v>
      </c>
      <c r="H7">
        <v>2015</v>
      </c>
      <c r="I7">
        <v>10</v>
      </c>
      <c r="J7">
        <v>1</v>
      </c>
      <c r="K7">
        <v>2025</v>
      </c>
      <c r="L7">
        <v>2025</v>
      </c>
      <c r="M7" t="s">
        <v>508</v>
      </c>
      <c r="N7" t="s">
        <v>509</v>
      </c>
      <c r="O7">
        <v>2025</v>
      </c>
      <c r="P7">
        <v>10</v>
      </c>
      <c r="Q7" t="s">
        <v>229</v>
      </c>
      <c r="R7" t="s">
        <v>266</v>
      </c>
      <c r="S7" t="s">
        <v>468</v>
      </c>
      <c r="T7">
        <v>2025</v>
      </c>
      <c r="U7">
        <v>10</v>
      </c>
    </row>
    <row r="8" spans="1:21" x14ac:dyDescent="0.35">
      <c r="A8" t="s">
        <v>466</v>
      </c>
      <c r="B8" t="s">
        <v>467</v>
      </c>
      <c r="C8" t="s">
        <v>468</v>
      </c>
      <c r="D8" t="s">
        <v>476</v>
      </c>
      <c r="E8" t="s">
        <v>265</v>
      </c>
      <c r="F8" t="s">
        <v>473</v>
      </c>
      <c r="G8" t="s">
        <v>229</v>
      </c>
      <c r="H8">
        <v>2016</v>
      </c>
      <c r="I8">
        <v>10</v>
      </c>
      <c r="J8">
        <v>2</v>
      </c>
      <c r="K8">
        <v>2026</v>
      </c>
      <c r="L8">
        <v>2026</v>
      </c>
      <c r="M8" t="s">
        <v>510</v>
      </c>
      <c r="N8" t="s">
        <v>509</v>
      </c>
      <c r="O8">
        <v>2026</v>
      </c>
      <c r="P8">
        <v>10</v>
      </c>
      <c r="Q8" t="s">
        <v>229</v>
      </c>
      <c r="R8" t="s">
        <v>266</v>
      </c>
      <c r="S8" t="s">
        <v>468</v>
      </c>
      <c r="T8">
        <v>2026</v>
      </c>
      <c r="U8">
        <v>10</v>
      </c>
    </row>
    <row r="9" spans="1:21" x14ac:dyDescent="0.35">
      <c r="A9" t="s">
        <v>466</v>
      </c>
      <c r="B9" t="s">
        <v>467</v>
      </c>
      <c r="C9" t="s">
        <v>468</v>
      </c>
      <c r="D9" t="s">
        <v>476</v>
      </c>
      <c r="E9" t="s">
        <v>265</v>
      </c>
      <c r="F9" t="s">
        <v>473</v>
      </c>
      <c r="G9" t="s">
        <v>229</v>
      </c>
      <c r="H9">
        <v>2015</v>
      </c>
      <c r="I9">
        <v>10</v>
      </c>
      <c r="J9">
        <v>573</v>
      </c>
      <c r="K9">
        <v>2025</v>
      </c>
      <c r="L9">
        <v>2025</v>
      </c>
      <c r="M9" t="s">
        <v>508</v>
      </c>
      <c r="N9" t="s">
        <v>509</v>
      </c>
      <c r="O9">
        <v>2025</v>
      </c>
      <c r="P9">
        <v>10</v>
      </c>
      <c r="Q9" t="s">
        <v>229</v>
      </c>
      <c r="R9" t="s">
        <v>266</v>
      </c>
      <c r="S9" t="s">
        <v>468</v>
      </c>
      <c r="T9">
        <v>2025</v>
      </c>
      <c r="U9">
        <v>10</v>
      </c>
    </row>
    <row r="10" spans="1:21" x14ac:dyDescent="0.35">
      <c r="A10" t="s">
        <v>466</v>
      </c>
      <c r="B10" t="s">
        <v>467</v>
      </c>
      <c r="C10" t="s">
        <v>468</v>
      </c>
      <c r="D10" t="s">
        <v>476</v>
      </c>
      <c r="E10" t="s">
        <v>265</v>
      </c>
      <c r="F10" t="s">
        <v>473</v>
      </c>
      <c r="G10" t="s">
        <v>229</v>
      </c>
      <c r="H10">
        <v>2014</v>
      </c>
      <c r="I10">
        <v>10</v>
      </c>
      <c r="J10">
        <v>623</v>
      </c>
      <c r="K10">
        <v>2024</v>
      </c>
      <c r="L10">
        <v>2025</v>
      </c>
      <c r="M10" t="s">
        <v>508</v>
      </c>
      <c r="N10" t="s">
        <v>509</v>
      </c>
      <c r="O10">
        <v>2025</v>
      </c>
      <c r="P10">
        <v>11</v>
      </c>
      <c r="Q10" t="s">
        <v>229</v>
      </c>
      <c r="R10" t="s">
        <v>266</v>
      </c>
      <c r="S10" t="s">
        <v>468</v>
      </c>
      <c r="T10">
        <v>2025</v>
      </c>
      <c r="U10">
        <v>11</v>
      </c>
    </row>
    <row r="11" spans="1:21" x14ac:dyDescent="0.35">
      <c r="A11" t="s">
        <v>466</v>
      </c>
      <c r="B11" t="s">
        <v>467</v>
      </c>
      <c r="C11" t="s">
        <v>468</v>
      </c>
      <c r="D11" t="s">
        <v>476</v>
      </c>
      <c r="E11" t="s">
        <v>265</v>
      </c>
      <c r="F11" t="s">
        <v>473</v>
      </c>
      <c r="G11" t="s">
        <v>229</v>
      </c>
      <c r="H11">
        <v>2013</v>
      </c>
      <c r="I11">
        <v>10</v>
      </c>
      <c r="J11">
        <v>42</v>
      </c>
      <c r="K11">
        <v>2023</v>
      </c>
      <c r="L11">
        <v>2025</v>
      </c>
      <c r="M11" t="s">
        <v>508</v>
      </c>
      <c r="N11" t="s">
        <v>509</v>
      </c>
      <c r="O11">
        <v>2025</v>
      </c>
      <c r="P11">
        <v>12</v>
      </c>
      <c r="Q11" t="s">
        <v>229</v>
      </c>
      <c r="R11" t="s">
        <v>266</v>
      </c>
      <c r="S11" t="s">
        <v>468</v>
      </c>
      <c r="T11">
        <v>2025</v>
      </c>
      <c r="U11">
        <v>12</v>
      </c>
    </row>
    <row r="12" spans="1:21" x14ac:dyDescent="0.35">
      <c r="A12" t="s">
        <v>466</v>
      </c>
      <c r="B12" t="s">
        <v>467</v>
      </c>
      <c r="C12" t="s">
        <v>468</v>
      </c>
      <c r="D12" t="s">
        <v>476</v>
      </c>
      <c r="E12" t="s">
        <v>265</v>
      </c>
      <c r="F12" t="s">
        <v>473</v>
      </c>
      <c r="G12" t="s">
        <v>229</v>
      </c>
      <c r="H12">
        <v>2012</v>
      </c>
      <c r="I12">
        <v>10</v>
      </c>
      <c r="J12">
        <v>1</v>
      </c>
      <c r="K12">
        <v>2022</v>
      </c>
      <c r="L12">
        <v>2025</v>
      </c>
      <c r="M12" t="s">
        <v>508</v>
      </c>
      <c r="N12" t="s">
        <v>509</v>
      </c>
      <c r="O12">
        <v>2025</v>
      </c>
      <c r="P12">
        <v>13</v>
      </c>
      <c r="Q12" t="s">
        <v>229</v>
      </c>
      <c r="R12" t="s">
        <v>266</v>
      </c>
      <c r="S12" t="s">
        <v>468</v>
      </c>
      <c r="T12">
        <v>2025</v>
      </c>
      <c r="U12">
        <v>13</v>
      </c>
    </row>
    <row r="13" spans="1:21" x14ac:dyDescent="0.35">
      <c r="A13" t="s">
        <v>466</v>
      </c>
      <c r="B13" t="s">
        <v>467</v>
      </c>
      <c r="C13" t="s">
        <v>468</v>
      </c>
      <c r="D13" t="s">
        <v>476</v>
      </c>
      <c r="E13" t="s">
        <v>264</v>
      </c>
      <c r="F13" t="s">
        <v>473</v>
      </c>
      <c r="G13" t="s">
        <v>229</v>
      </c>
      <c r="H13">
        <v>2015</v>
      </c>
      <c r="I13">
        <v>10</v>
      </c>
      <c r="J13">
        <v>8</v>
      </c>
      <c r="K13">
        <v>2025</v>
      </c>
      <c r="L13">
        <v>2025</v>
      </c>
      <c r="M13" t="s">
        <v>508</v>
      </c>
      <c r="N13" t="s">
        <v>509</v>
      </c>
      <c r="O13">
        <v>2025</v>
      </c>
      <c r="P13">
        <v>10</v>
      </c>
      <c r="Q13" t="s">
        <v>229</v>
      </c>
      <c r="R13" t="s">
        <v>266</v>
      </c>
      <c r="S13" t="s">
        <v>468</v>
      </c>
      <c r="T13">
        <v>2025</v>
      </c>
      <c r="U13">
        <v>10</v>
      </c>
    </row>
    <row r="14" spans="1:21" x14ac:dyDescent="0.35">
      <c r="A14" t="s">
        <v>466</v>
      </c>
      <c r="B14" t="s">
        <v>467</v>
      </c>
      <c r="C14" t="s">
        <v>468</v>
      </c>
      <c r="D14" t="s">
        <v>476</v>
      </c>
      <c r="E14" t="s">
        <v>264</v>
      </c>
      <c r="F14" t="s">
        <v>473</v>
      </c>
      <c r="G14" t="s">
        <v>229</v>
      </c>
      <c r="H14">
        <v>2014</v>
      </c>
      <c r="I14">
        <v>10</v>
      </c>
      <c r="J14">
        <v>2</v>
      </c>
      <c r="K14">
        <v>2024</v>
      </c>
      <c r="L14">
        <v>2025</v>
      </c>
      <c r="M14" t="s">
        <v>508</v>
      </c>
      <c r="N14" t="s">
        <v>509</v>
      </c>
      <c r="O14">
        <v>2025</v>
      </c>
      <c r="P14">
        <v>11</v>
      </c>
      <c r="Q14" t="s">
        <v>229</v>
      </c>
      <c r="R14" t="s">
        <v>266</v>
      </c>
      <c r="S14" t="s">
        <v>468</v>
      </c>
      <c r="T14">
        <v>2025</v>
      </c>
      <c r="U14">
        <v>11</v>
      </c>
    </row>
    <row r="15" spans="1:21" x14ac:dyDescent="0.35">
      <c r="A15" t="s">
        <v>466</v>
      </c>
      <c r="B15" t="s">
        <v>467</v>
      </c>
      <c r="C15" t="s">
        <v>468</v>
      </c>
      <c r="D15" t="s">
        <v>475</v>
      </c>
      <c r="E15" t="s">
        <v>265</v>
      </c>
      <c r="F15" t="s">
        <v>473</v>
      </c>
      <c r="G15" t="s">
        <v>229</v>
      </c>
      <c r="H15">
        <v>2024</v>
      </c>
      <c r="I15">
        <v>10</v>
      </c>
      <c r="J15">
        <v>3</v>
      </c>
      <c r="K15">
        <v>2034</v>
      </c>
      <c r="L15">
        <v>2034</v>
      </c>
      <c r="M15" t="s">
        <v>511</v>
      </c>
      <c r="N15" t="s">
        <v>509</v>
      </c>
      <c r="O15">
        <v>2034</v>
      </c>
      <c r="P15">
        <v>10</v>
      </c>
      <c r="Q15" t="s">
        <v>229</v>
      </c>
      <c r="R15" t="s">
        <v>266</v>
      </c>
      <c r="S15" t="s">
        <v>468</v>
      </c>
      <c r="T15">
        <v>2034</v>
      </c>
      <c r="U15">
        <v>10</v>
      </c>
    </row>
    <row r="16" spans="1:21" x14ac:dyDescent="0.35">
      <c r="A16" t="s">
        <v>466</v>
      </c>
      <c r="B16" t="s">
        <v>467</v>
      </c>
      <c r="C16" t="s">
        <v>468</v>
      </c>
      <c r="D16" t="s">
        <v>475</v>
      </c>
      <c r="E16" t="s">
        <v>265</v>
      </c>
      <c r="F16" t="s">
        <v>473</v>
      </c>
      <c r="G16" t="s">
        <v>229</v>
      </c>
      <c r="H16">
        <v>2023</v>
      </c>
      <c r="I16">
        <v>10</v>
      </c>
      <c r="J16">
        <v>1</v>
      </c>
      <c r="K16">
        <v>2033</v>
      </c>
      <c r="L16">
        <v>2033</v>
      </c>
      <c r="M16" t="s">
        <v>512</v>
      </c>
      <c r="N16" t="s">
        <v>509</v>
      </c>
      <c r="O16">
        <v>2033</v>
      </c>
      <c r="P16">
        <v>10</v>
      </c>
      <c r="Q16" t="s">
        <v>229</v>
      </c>
      <c r="R16" t="s">
        <v>266</v>
      </c>
      <c r="S16" t="s">
        <v>468</v>
      </c>
      <c r="T16">
        <v>2033</v>
      </c>
      <c r="U16">
        <v>10</v>
      </c>
    </row>
    <row r="17" spans="1:21" x14ac:dyDescent="0.35">
      <c r="A17" t="s">
        <v>466</v>
      </c>
      <c r="B17" t="s">
        <v>467</v>
      </c>
      <c r="C17" t="s">
        <v>468</v>
      </c>
      <c r="D17" t="s">
        <v>475</v>
      </c>
      <c r="E17" t="s">
        <v>265</v>
      </c>
      <c r="F17" t="s">
        <v>473</v>
      </c>
      <c r="G17" t="s">
        <v>229</v>
      </c>
      <c r="H17">
        <v>2017</v>
      </c>
      <c r="I17">
        <v>10</v>
      </c>
      <c r="J17">
        <v>2</v>
      </c>
      <c r="K17">
        <v>2027</v>
      </c>
      <c r="L17">
        <v>2027</v>
      </c>
      <c r="M17" t="s">
        <v>513</v>
      </c>
      <c r="N17" t="s">
        <v>509</v>
      </c>
      <c r="O17">
        <v>2027</v>
      </c>
      <c r="P17">
        <v>10</v>
      </c>
      <c r="Q17" t="s">
        <v>229</v>
      </c>
      <c r="R17" t="s">
        <v>266</v>
      </c>
      <c r="S17" t="s">
        <v>468</v>
      </c>
      <c r="T17">
        <v>2027</v>
      </c>
      <c r="U17">
        <v>10</v>
      </c>
    </row>
    <row r="18" spans="1:21" x14ac:dyDescent="0.35">
      <c r="A18" t="s">
        <v>466</v>
      </c>
      <c r="B18" t="s">
        <v>467</v>
      </c>
      <c r="C18" t="s">
        <v>468</v>
      </c>
      <c r="D18" t="s">
        <v>475</v>
      </c>
      <c r="E18" t="s">
        <v>265</v>
      </c>
      <c r="F18" t="s">
        <v>473</v>
      </c>
      <c r="G18" t="s">
        <v>229</v>
      </c>
      <c r="H18">
        <v>2016</v>
      </c>
      <c r="I18">
        <v>10</v>
      </c>
      <c r="J18">
        <v>11</v>
      </c>
      <c r="K18">
        <v>2026</v>
      </c>
      <c r="L18">
        <v>2026</v>
      </c>
      <c r="M18" t="s">
        <v>510</v>
      </c>
      <c r="N18" t="s">
        <v>509</v>
      </c>
      <c r="O18">
        <v>2026</v>
      </c>
      <c r="P18">
        <v>10</v>
      </c>
      <c r="Q18" t="s">
        <v>229</v>
      </c>
      <c r="R18" t="s">
        <v>266</v>
      </c>
      <c r="S18" t="s">
        <v>468</v>
      </c>
      <c r="T18">
        <v>2026</v>
      </c>
      <c r="U18">
        <v>10</v>
      </c>
    </row>
    <row r="19" spans="1:21" x14ac:dyDescent="0.35">
      <c r="A19" t="s">
        <v>466</v>
      </c>
      <c r="B19" t="s">
        <v>467</v>
      </c>
      <c r="C19" t="s">
        <v>468</v>
      </c>
      <c r="D19" t="s">
        <v>475</v>
      </c>
      <c r="E19" t="s">
        <v>265</v>
      </c>
      <c r="F19" t="s">
        <v>473</v>
      </c>
      <c r="G19" t="s">
        <v>229</v>
      </c>
      <c r="H19">
        <v>2015</v>
      </c>
      <c r="I19">
        <v>10</v>
      </c>
      <c r="J19">
        <v>81</v>
      </c>
      <c r="K19">
        <v>2025</v>
      </c>
      <c r="L19">
        <v>2025</v>
      </c>
      <c r="M19" t="s">
        <v>508</v>
      </c>
      <c r="N19" t="s">
        <v>509</v>
      </c>
      <c r="O19">
        <v>2025</v>
      </c>
      <c r="P19">
        <v>10</v>
      </c>
      <c r="Q19" t="s">
        <v>229</v>
      </c>
      <c r="R19" t="s">
        <v>266</v>
      </c>
      <c r="S19" t="s">
        <v>468</v>
      </c>
      <c r="T19">
        <v>2025</v>
      </c>
      <c r="U19">
        <v>10</v>
      </c>
    </row>
    <row r="20" spans="1:21" x14ac:dyDescent="0.35">
      <c r="A20" t="s">
        <v>466</v>
      </c>
      <c r="B20" t="s">
        <v>467</v>
      </c>
      <c r="C20" t="s">
        <v>468</v>
      </c>
      <c r="D20" t="s">
        <v>475</v>
      </c>
      <c r="E20" t="s">
        <v>265</v>
      </c>
      <c r="F20" t="s">
        <v>473</v>
      </c>
      <c r="G20" t="s">
        <v>229</v>
      </c>
      <c r="H20">
        <v>2014</v>
      </c>
      <c r="I20">
        <v>10</v>
      </c>
      <c r="J20">
        <v>4</v>
      </c>
      <c r="K20">
        <v>2024</v>
      </c>
      <c r="L20">
        <v>2025</v>
      </c>
      <c r="M20" t="s">
        <v>508</v>
      </c>
      <c r="N20" t="s">
        <v>509</v>
      </c>
      <c r="O20">
        <v>2025</v>
      </c>
      <c r="P20">
        <v>11</v>
      </c>
      <c r="Q20" t="s">
        <v>229</v>
      </c>
      <c r="R20" t="s">
        <v>266</v>
      </c>
      <c r="S20" t="s">
        <v>468</v>
      </c>
      <c r="T20">
        <v>2025</v>
      </c>
      <c r="U20">
        <v>11</v>
      </c>
    </row>
    <row r="21" spans="1:21" x14ac:dyDescent="0.35">
      <c r="A21" t="s">
        <v>466</v>
      </c>
      <c r="B21" t="s">
        <v>467</v>
      </c>
      <c r="C21" t="s">
        <v>468</v>
      </c>
      <c r="D21" t="s">
        <v>475</v>
      </c>
      <c r="E21" t="s">
        <v>265</v>
      </c>
      <c r="F21" t="s">
        <v>473</v>
      </c>
      <c r="G21" t="s">
        <v>229</v>
      </c>
      <c r="H21">
        <v>2013</v>
      </c>
      <c r="I21">
        <v>10</v>
      </c>
      <c r="J21">
        <v>11214</v>
      </c>
      <c r="K21">
        <v>2023</v>
      </c>
      <c r="L21">
        <v>2025</v>
      </c>
      <c r="M21" t="s">
        <v>508</v>
      </c>
      <c r="N21" t="s">
        <v>509</v>
      </c>
      <c r="O21">
        <v>2025</v>
      </c>
      <c r="P21">
        <v>12</v>
      </c>
      <c r="Q21" t="s">
        <v>229</v>
      </c>
      <c r="R21" t="s">
        <v>266</v>
      </c>
      <c r="S21" t="s">
        <v>468</v>
      </c>
      <c r="T21">
        <v>2025</v>
      </c>
      <c r="U21">
        <v>12</v>
      </c>
    </row>
    <row r="22" spans="1:21" x14ac:dyDescent="0.35">
      <c r="A22" t="s">
        <v>466</v>
      </c>
      <c r="B22" t="s">
        <v>467</v>
      </c>
      <c r="C22" t="s">
        <v>468</v>
      </c>
      <c r="D22" t="s">
        <v>475</v>
      </c>
      <c r="E22" t="s">
        <v>265</v>
      </c>
      <c r="F22" t="s">
        <v>473</v>
      </c>
      <c r="G22" t="s">
        <v>229</v>
      </c>
      <c r="H22">
        <v>2012</v>
      </c>
      <c r="I22">
        <v>10</v>
      </c>
      <c r="J22">
        <v>7368</v>
      </c>
      <c r="K22">
        <v>2022</v>
      </c>
      <c r="L22">
        <v>2025</v>
      </c>
      <c r="M22" t="s">
        <v>508</v>
      </c>
      <c r="N22" t="s">
        <v>509</v>
      </c>
      <c r="O22">
        <v>2025</v>
      </c>
      <c r="P22">
        <v>13</v>
      </c>
      <c r="Q22" t="s">
        <v>229</v>
      </c>
      <c r="R22" t="s">
        <v>266</v>
      </c>
      <c r="S22" t="s">
        <v>468</v>
      </c>
      <c r="T22">
        <v>2025</v>
      </c>
      <c r="U22">
        <v>13</v>
      </c>
    </row>
    <row r="23" spans="1:21" x14ac:dyDescent="0.35">
      <c r="A23" t="s">
        <v>466</v>
      </c>
      <c r="B23" t="s">
        <v>467</v>
      </c>
      <c r="C23" t="s">
        <v>468</v>
      </c>
      <c r="D23" t="s">
        <v>475</v>
      </c>
      <c r="E23" t="s">
        <v>264</v>
      </c>
      <c r="F23" t="s">
        <v>473</v>
      </c>
      <c r="G23" t="s">
        <v>229</v>
      </c>
      <c r="H23">
        <v>2015</v>
      </c>
      <c r="I23">
        <v>10</v>
      </c>
      <c r="J23">
        <v>1</v>
      </c>
      <c r="K23">
        <v>2025</v>
      </c>
      <c r="L23">
        <v>2025</v>
      </c>
      <c r="M23" t="s">
        <v>508</v>
      </c>
      <c r="N23" t="s">
        <v>509</v>
      </c>
      <c r="O23">
        <v>2025</v>
      </c>
      <c r="P23">
        <v>10</v>
      </c>
      <c r="Q23" t="s">
        <v>229</v>
      </c>
      <c r="R23" t="s">
        <v>266</v>
      </c>
      <c r="S23" t="s">
        <v>468</v>
      </c>
      <c r="T23">
        <v>2025</v>
      </c>
      <c r="U23">
        <v>10</v>
      </c>
    </row>
    <row r="24" spans="1:21" x14ac:dyDescent="0.35">
      <c r="A24" t="s">
        <v>466</v>
      </c>
      <c r="B24" t="s">
        <v>467</v>
      </c>
      <c r="C24" t="s">
        <v>468</v>
      </c>
      <c r="D24" t="s">
        <v>475</v>
      </c>
      <c r="E24" t="s">
        <v>264</v>
      </c>
      <c r="F24" t="s">
        <v>473</v>
      </c>
      <c r="G24" t="s">
        <v>229</v>
      </c>
      <c r="H24">
        <v>2013</v>
      </c>
      <c r="I24">
        <v>10</v>
      </c>
      <c r="J24">
        <v>93</v>
      </c>
      <c r="K24">
        <v>2023</v>
      </c>
      <c r="L24">
        <v>2025</v>
      </c>
      <c r="M24" t="s">
        <v>508</v>
      </c>
      <c r="N24" t="s">
        <v>509</v>
      </c>
      <c r="O24">
        <v>2025</v>
      </c>
      <c r="P24">
        <v>12</v>
      </c>
      <c r="Q24" t="s">
        <v>229</v>
      </c>
      <c r="R24" t="s">
        <v>266</v>
      </c>
      <c r="S24" t="s">
        <v>468</v>
      </c>
      <c r="T24">
        <v>2025</v>
      </c>
      <c r="U24">
        <v>12</v>
      </c>
    </row>
    <row r="25" spans="1:21" x14ac:dyDescent="0.35">
      <c r="A25" t="s">
        <v>466</v>
      </c>
      <c r="B25" t="s">
        <v>467</v>
      </c>
      <c r="C25" t="s">
        <v>468</v>
      </c>
      <c r="D25" t="s">
        <v>475</v>
      </c>
      <c r="E25" t="s">
        <v>264</v>
      </c>
      <c r="F25" t="s">
        <v>473</v>
      </c>
      <c r="G25" t="s">
        <v>229</v>
      </c>
      <c r="H25">
        <v>2012</v>
      </c>
      <c r="I25">
        <v>10</v>
      </c>
      <c r="J25">
        <v>52</v>
      </c>
      <c r="K25">
        <v>2022</v>
      </c>
      <c r="L25">
        <v>2025</v>
      </c>
      <c r="M25" t="s">
        <v>508</v>
      </c>
      <c r="N25" t="s">
        <v>509</v>
      </c>
      <c r="O25">
        <v>2025</v>
      </c>
      <c r="P25">
        <v>13</v>
      </c>
      <c r="Q25" t="s">
        <v>229</v>
      </c>
      <c r="R25" t="s">
        <v>266</v>
      </c>
      <c r="S25" t="s">
        <v>468</v>
      </c>
      <c r="T25">
        <v>2025</v>
      </c>
      <c r="U25">
        <v>13</v>
      </c>
    </row>
    <row r="26" spans="1:21" x14ac:dyDescent="0.35">
      <c r="A26" t="s">
        <v>466</v>
      </c>
      <c r="B26" t="s">
        <v>467</v>
      </c>
      <c r="C26" t="s">
        <v>468</v>
      </c>
      <c r="D26" t="s">
        <v>469</v>
      </c>
      <c r="E26" t="s">
        <v>265</v>
      </c>
      <c r="F26" t="s">
        <v>473</v>
      </c>
      <c r="G26" t="s">
        <v>229</v>
      </c>
      <c r="H26">
        <v>2024</v>
      </c>
      <c r="I26">
        <v>10</v>
      </c>
      <c r="J26">
        <v>2</v>
      </c>
      <c r="K26">
        <v>2034</v>
      </c>
      <c r="L26">
        <v>2034</v>
      </c>
      <c r="M26" t="s">
        <v>511</v>
      </c>
      <c r="N26" t="s">
        <v>509</v>
      </c>
      <c r="O26">
        <v>2034</v>
      </c>
      <c r="P26">
        <v>10</v>
      </c>
      <c r="Q26" t="s">
        <v>229</v>
      </c>
      <c r="R26" t="s">
        <v>266</v>
      </c>
      <c r="S26" t="s">
        <v>468</v>
      </c>
      <c r="T26">
        <v>2034</v>
      </c>
      <c r="U26">
        <v>10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A5BF-A2D9-4841-A029-28F55BE5C229}">
  <sheetPr>
    <tabColor rgb="FFFFCCFF"/>
  </sheetPr>
  <dimension ref="A1:N41"/>
  <sheetViews>
    <sheetView workbookViewId="0">
      <selection activeCell="E2" sqref="E2"/>
    </sheetView>
  </sheetViews>
  <sheetFormatPr defaultRowHeight="14.5" x14ac:dyDescent="0.35"/>
  <cols>
    <col min="1" max="1" width="13.26953125" bestFit="1" customWidth="1"/>
    <col min="2" max="2" width="25" bestFit="1" customWidth="1"/>
    <col min="3" max="3" width="13.26953125" bestFit="1" customWidth="1"/>
    <col min="5" max="5" width="25" bestFit="1" customWidth="1"/>
    <col min="6" max="7" width="7.54296875" bestFit="1" customWidth="1"/>
    <col min="8" max="8" width="13.54296875" customWidth="1"/>
    <col min="9" max="9" width="19.7265625" customWidth="1"/>
    <col min="10" max="10" width="7.7265625" customWidth="1"/>
    <col min="11" max="11" width="25" bestFit="1" customWidth="1"/>
    <col min="12" max="12" width="21.1796875" bestFit="1" customWidth="1"/>
    <col min="13" max="13" width="8.1796875" bestFit="1" customWidth="1"/>
    <col min="14" max="16" width="11.26953125" bestFit="1" customWidth="1"/>
    <col min="17" max="29" width="12.54296875" customWidth="1"/>
    <col min="30" max="30" width="11.26953125" bestFit="1" customWidth="1"/>
    <col min="32" max="32" width="9.7265625" bestFit="1" customWidth="1"/>
    <col min="34" max="34" width="9.7265625" bestFit="1" customWidth="1"/>
    <col min="36" max="36" width="9.7265625" bestFit="1" customWidth="1"/>
    <col min="38" max="38" width="9.7265625" bestFit="1" customWidth="1"/>
    <col min="40" max="40" width="9.7265625" bestFit="1" customWidth="1"/>
    <col min="42" max="42" width="9.7265625" bestFit="1" customWidth="1"/>
    <col min="44" max="44" width="10.453125" bestFit="1" customWidth="1"/>
    <col min="45" max="45" width="11.26953125" bestFit="1" customWidth="1"/>
  </cols>
  <sheetData>
    <row r="1" spans="1:14" x14ac:dyDescent="0.35">
      <c r="A1" s="19" t="s">
        <v>514</v>
      </c>
      <c r="E1" s="296" t="s">
        <v>1107</v>
      </c>
    </row>
    <row r="2" spans="1:14" x14ac:dyDescent="0.35">
      <c r="A2" s="19" t="s">
        <v>442</v>
      </c>
    </row>
    <row r="3" spans="1:14" x14ac:dyDescent="0.35">
      <c r="A3" s="19"/>
      <c r="E3" s="16" t="s">
        <v>460</v>
      </c>
      <c r="F3" t="s">
        <v>515</v>
      </c>
      <c r="K3" s="16" t="s">
        <v>460</v>
      </c>
      <c r="L3" t="s">
        <v>515</v>
      </c>
    </row>
    <row r="5" spans="1:14" x14ac:dyDescent="0.35">
      <c r="A5" s="24" t="s">
        <v>516</v>
      </c>
      <c r="E5" s="16" t="s">
        <v>257</v>
      </c>
      <c r="H5" s="24" t="s">
        <v>517</v>
      </c>
      <c r="K5" s="16" t="s">
        <v>257</v>
      </c>
      <c r="L5" s="16" t="s">
        <v>261</v>
      </c>
    </row>
    <row r="6" spans="1:14" x14ac:dyDescent="0.35">
      <c r="A6" s="19"/>
      <c r="E6" s="16" t="s">
        <v>259</v>
      </c>
      <c r="F6" t="s">
        <v>237</v>
      </c>
      <c r="H6" s="19"/>
      <c r="K6" s="16" t="s">
        <v>259</v>
      </c>
      <c r="L6" t="s">
        <v>264</v>
      </c>
      <c r="M6" t="s">
        <v>265</v>
      </c>
      <c r="N6" t="s">
        <v>262</v>
      </c>
    </row>
    <row r="7" spans="1:14" ht="18.5" x14ac:dyDescent="0.45">
      <c r="A7" s="191" t="s">
        <v>267</v>
      </c>
      <c r="B7" s="190">
        <f>GETPIVOTDATA("Number of Records",$E$5,"Endpoint Type","Manual")</f>
        <v>42</v>
      </c>
      <c r="E7" t="s">
        <v>503</v>
      </c>
      <c r="F7" s="18"/>
      <c r="H7" s="191" t="s">
        <v>267</v>
      </c>
      <c r="I7" s="246">
        <v>0</v>
      </c>
      <c r="J7" s="2"/>
      <c r="K7" t="s">
        <v>267</v>
      </c>
      <c r="L7" s="32">
        <v>9.5238095238095233E-2</v>
      </c>
      <c r="M7" s="32">
        <v>0.90476190476190477</v>
      </c>
      <c r="N7" s="32">
        <v>1</v>
      </c>
    </row>
    <row r="8" spans="1:14" ht="18.5" x14ac:dyDescent="0.45">
      <c r="A8" s="191" t="s">
        <v>229</v>
      </c>
      <c r="B8" s="190">
        <f>GETPIVOTDATA("Number of Records",$E$5,"Endpoint Type","AMR")</f>
        <v>143201</v>
      </c>
      <c r="E8" t="s">
        <v>267</v>
      </c>
      <c r="F8" s="18">
        <v>42</v>
      </c>
      <c r="H8" s="191" t="s">
        <v>229</v>
      </c>
      <c r="I8" s="246">
        <f>GETPIVOTDATA("Number of Records",$K$5,"Location","Inside","Endpoint Type","AMR")</f>
        <v>9.2317791076877952E-3</v>
      </c>
      <c r="J8" s="2"/>
      <c r="K8" t="s">
        <v>229</v>
      </c>
      <c r="L8" s="32">
        <v>9.2317791076877952E-3</v>
      </c>
      <c r="M8" s="32">
        <v>0.9907682208923122</v>
      </c>
      <c r="N8" s="32">
        <v>1</v>
      </c>
    </row>
    <row r="9" spans="1:14" ht="18.5" x14ac:dyDescent="0.45">
      <c r="A9" s="191" t="s">
        <v>184</v>
      </c>
      <c r="B9" s="190">
        <f>GETPIVOTDATA("Number of Records",$E$5,"Endpoint Type","AMI")</f>
        <v>257</v>
      </c>
      <c r="E9" t="s">
        <v>229</v>
      </c>
      <c r="F9" s="18">
        <v>143201</v>
      </c>
      <c r="H9" s="191" t="s">
        <v>184</v>
      </c>
      <c r="I9" s="246">
        <f>GETPIVOTDATA("Number of Records",$K$5,"Location","Inside","Endpoint Type","AMI")</f>
        <v>9.727626459143969E-2</v>
      </c>
      <c r="J9" s="2"/>
      <c r="K9" t="s">
        <v>184</v>
      </c>
      <c r="L9" s="32">
        <v>9.727626459143969E-2</v>
      </c>
      <c r="M9" s="32">
        <v>0.90272373540856032</v>
      </c>
      <c r="N9" s="32">
        <v>1</v>
      </c>
    </row>
    <row r="10" spans="1:14" x14ac:dyDescent="0.35">
      <c r="E10" t="s">
        <v>184</v>
      </c>
      <c r="F10" s="18">
        <v>257</v>
      </c>
      <c r="K10" t="s">
        <v>262</v>
      </c>
      <c r="L10" s="32">
        <v>9.4146341463414631E-3</v>
      </c>
      <c r="M10" s="32">
        <v>0.99058536585365853</v>
      </c>
      <c r="N10" s="32">
        <v>1</v>
      </c>
    </row>
    <row r="11" spans="1:14" x14ac:dyDescent="0.35">
      <c r="E11" t="s">
        <v>262</v>
      </c>
      <c r="F11" s="18">
        <v>143500</v>
      </c>
    </row>
    <row r="12" spans="1:14" x14ac:dyDescent="0.35">
      <c r="F12" s="18"/>
    </row>
    <row r="13" spans="1:14" x14ac:dyDescent="0.35">
      <c r="F13" s="18"/>
    </row>
    <row r="15" spans="1:14" x14ac:dyDescent="0.35">
      <c r="E15" s="16" t="s">
        <v>257</v>
      </c>
    </row>
    <row r="16" spans="1:14" x14ac:dyDescent="0.35">
      <c r="E16" s="16" t="s">
        <v>460</v>
      </c>
      <c r="F16" s="16" t="s">
        <v>259</v>
      </c>
      <c r="G16" t="s">
        <v>237</v>
      </c>
    </row>
    <row r="17" spans="3:14" x14ac:dyDescent="0.35">
      <c r="C17" s="245"/>
      <c r="E17" t="s">
        <v>468</v>
      </c>
      <c r="F17" t="s">
        <v>229</v>
      </c>
      <c r="G17" s="18">
        <v>143201</v>
      </c>
    </row>
    <row r="18" spans="3:14" x14ac:dyDescent="0.35">
      <c r="C18" s="245"/>
      <c r="F18" t="s">
        <v>267</v>
      </c>
      <c r="G18" s="18">
        <v>42</v>
      </c>
    </row>
    <row r="19" spans="3:14" x14ac:dyDescent="0.35">
      <c r="C19" s="245"/>
      <c r="E19" t="s">
        <v>484</v>
      </c>
      <c r="F19" t="s">
        <v>229</v>
      </c>
      <c r="G19" s="18">
        <v>0</v>
      </c>
    </row>
    <row r="20" spans="3:14" x14ac:dyDescent="0.35">
      <c r="C20" s="245"/>
      <c r="F20" t="s">
        <v>267</v>
      </c>
      <c r="G20" s="18">
        <v>0</v>
      </c>
      <c r="K20" s="16" t="s">
        <v>257</v>
      </c>
      <c r="M20" s="16" t="s">
        <v>460</v>
      </c>
    </row>
    <row r="21" spans="3:14" x14ac:dyDescent="0.35">
      <c r="C21" s="245"/>
      <c r="E21" t="s">
        <v>262</v>
      </c>
      <c r="G21" s="18">
        <v>143243</v>
      </c>
      <c r="K21" s="16" t="s">
        <v>259</v>
      </c>
      <c r="L21" s="16" t="s">
        <v>449</v>
      </c>
      <c r="M21" t="s">
        <v>468</v>
      </c>
      <c r="N21" t="s">
        <v>262</v>
      </c>
    </row>
    <row r="22" spans="3:14" x14ac:dyDescent="0.35">
      <c r="C22" s="245"/>
      <c r="K22" t="s">
        <v>267</v>
      </c>
      <c r="L22" t="s">
        <v>503</v>
      </c>
      <c r="M22" s="32">
        <v>2.9320804507026522E-4</v>
      </c>
      <c r="N22" s="32">
        <v>2.9320804507026522E-4</v>
      </c>
    </row>
    <row r="23" spans="3:14" x14ac:dyDescent="0.35">
      <c r="C23" s="245"/>
      <c r="K23" t="s">
        <v>518</v>
      </c>
      <c r="M23" s="32">
        <v>2.9320804507026522E-4</v>
      </c>
      <c r="N23" s="32">
        <v>2.9320804507026522E-4</v>
      </c>
    </row>
    <row r="24" spans="3:14" x14ac:dyDescent="0.35">
      <c r="C24" s="245"/>
      <c r="K24" t="s">
        <v>229</v>
      </c>
      <c r="L24" t="s">
        <v>471</v>
      </c>
      <c r="M24" s="32">
        <v>0.79605286122183982</v>
      </c>
      <c r="N24" s="32">
        <v>0.79605286122183982</v>
      </c>
    </row>
    <row r="25" spans="3:14" x14ac:dyDescent="0.35">
      <c r="C25" s="245"/>
      <c r="L25" t="s">
        <v>473</v>
      </c>
      <c r="M25" s="32">
        <v>0.14103306967879756</v>
      </c>
      <c r="N25" s="32">
        <v>0.14103306967879756</v>
      </c>
    </row>
    <row r="26" spans="3:14" x14ac:dyDescent="0.35">
      <c r="C26" s="245"/>
      <c r="L26" t="s">
        <v>470</v>
      </c>
      <c r="M26" s="32">
        <v>6.2620861054292362E-2</v>
      </c>
      <c r="N26" s="32">
        <v>6.2620861054292362E-2</v>
      </c>
    </row>
    <row r="27" spans="3:14" x14ac:dyDescent="0.35">
      <c r="C27" s="245"/>
      <c r="K27" t="s">
        <v>519</v>
      </c>
      <c r="M27" s="32">
        <v>0.99970679195492973</v>
      </c>
      <c r="N27" s="32">
        <v>0.99970679195492973</v>
      </c>
    </row>
    <row r="28" spans="3:14" x14ac:dyDescent="0.35">
      <c r="C28" s="245"/>
      <c r="K28" t="s">
        <v>262</v>
      </c>
      <c r="M28" s="32">
        <v>1</v>
      </c>
      <c r="N28" s="32">
        <v>1</v>
      </c>
    </row>
    <row r="29" spans="3:14" x14ac:dyDescent="0.35">
      <c r="C29" s="245"/>
    </row>
    <row r="30" spans="3:14" x14ac:dyDescent="0.35">
      <c r="C30" s="245"/>
    </row>
    <row r="31" spans="3:14" x14ac:dyDescent="0.35">
      <c r="C31" s="245"/>
    </row>
    <row r="32" spans="3:14" x14ac:dyDescent="0.35">
      <c r="C32" s="245"/>
    </row>
    <row r="33" spans="3:3" x14ac:dyDescent="0.35">
      <c r="C33" s="245"/>
    </row>
    <row r="34" spans="3:3" x14ac:dyDescent="0.35">
      <c r="C34" s="245"/>
    </row>
    <row r="35" spans="3:3" x14ac:dyDescent="0.35">
      <c r="C35" s="245"/>
    </row>
    <row r="36" spans="3:3" x14ac:dyDescent="0.35">
      <c r="C36" s="245"/>
    </row>
    <row r="37" spans="3:3" x14ac:dyDescent="0.35">
      <c r="C37" s="245"/>
    </row>
    <row r="38" spans="3:3" x14ac:dyDescent="0.35">
      <c r="C38" s="245"/>
    </row>
    <row r="39" spans="3:3" x14ac:dyDescent="0.35">
      <c r="C39" s="245"/>
    </row>
    <row r="40" spans="3:3" x14ac:dyDescent="0.35">
      <c r="C40" s="245"/>
    </row>
    <row r="41" spans="3:3" x14ac:dyDescent="0.35">
      <c r="C41" s="245"/>
    </row>
  </sheetData>
  <pageMargins left="0.7" right="0.7" top="0.75" bottom="0.75" header="0.3" footer="0.3"/>
  <pageSetup orientation="portrait"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A0826-958D-4A44-92C5-C35E58E92443}">
  <sheetPr>
    <tabColor rgb="FFC00000"/>
  </sheetPr>
  <dimension ref="A1:AJ82"/>
  <sheetViews>
    <sheetView tabSelected="1" topLeftCell="R59" zoomScale="80" zoomScaleNormal="80" workbookViewId="0">
      <selection activeCell="F76" sqref="F76"/>
    </sheetView>
  </sheetViews>
  <sheetFormatPr defaultRowHeight="14.5" x14ac:dyDescent="0.35"/>
  <cols>
    <col min="1" max="1" width="41.54296875" customWidth="1"/>
    <col min="2" max="2" width="15.7265625" customWidth="1"/>
    <col min="3" max="3" width="16" customWidth="1"/>
    <col min="4" max="4" width="18.81640625" customWidth="1"/>
    <col min="5" max="9" width="15.26953125" customWidth="1"/>
    <col min="10" max="10" width="16.26953125" customWidth="1"/>
    <col min="11" max="12" width="13.26953125" customWidth="1"/>
    <col min="13" max="25" width="10.54296875" customWidth="1"/>
    <col min="26" max="30" width="10" customWidth="1"/>
    <col min="31" max="36" width="11.7265625" customWidth="1"/>
  </cols>
  <sheetData>
    <row r="1" spans="1:36" s="82" customFormat="1" ht="31" x14ac:dyDescent="0.7">
      <c r="A1" s="268" t="s">
        <v>520</v>
      </c>
      <c r="F1" s="296" t="s">
        <v>1108</v>
      </c>
    </row>
    <row r="2" spans="1:36" x14ac:dyDescent="0.35">
      <c r="A2" s="19"/>
    </row>
    <row r="3" spans="1:36" ht="18.5" x14ac:dyDescent="0.45">
      <c r="A3" s="250" t="s">
        <v>143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36" x14ac:dyDescent="0.35">
      <c r="D4" t="s">
        <v>521</v>
      </c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  <c r="M4">
        <v>9</v>
      </c>
      <c r="N4">
        <v>10</v>
      </c>
      <c r="O4">
        <v>11</v>
      </c>
      <c r="P4">
        <v>12</v>
      </c>
      <c r="Q4">
        <v>13</v>
      </c>
      <c r="R4">
        <v>14</v>
      </c>
      <c r="S4">
        <v>15</v>
      </c>
      <c r="T4">
        <v>16</v>
      </c>
      <c r="U4">
        <v>17</v>
      </c>
      <c r="V4">
        <v>18</v>
      </c>
      <c r="W4">
        <v>19</v>
      </c>
      <c r="X4">
        <v>20</v>
      </c>
      <c r="Y4">
        <v>21</v>
      </c>
      <c r="Z4">
        <v>22</v>
      </c>
      <c r="AA4">
        <v>23</v>
      </c>
      <c r="AB4">
        <v>24</v>
      </c>
      <c r="AC4">
        <v>25</v>
      </c>
      <c r="AD4">
        <v>26</v>
      </c>
      <c r="AE4">
        <v>27</v>
      </c>
      <c r="AF4">
        <v>28</v>
      </c>
      <c r="AG4">
        <v>29</v>
      </c>
      <c r="AH4">
        <v>30</v>
      </c>
      <c r="AI4">
        <v>31</v>
      </c>
      <c r="AJ4">
        <v>32</v>
      </c>
    </row>
    <row r="5" spans="1:36" x14ac:dyDescent="0.35">
      <c r="C5" s="392"/>
      <c r="D5" s="392"/>
      <c r="E5" s="321" t="s">
        <v>522</v>
      </c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</row>
    <row r="6" spans="1:36" ht="29" x14ac:dyDescent="0.35">
      <c r="A6" s="25" t="s">
        <v>523</v>
      </c>
      <c r="B6" s="25" t="s">
        <v>261</v>
      </c>
      <c r="C6" s="393" t="s">
        <v>524</v>
      </c>
      <c r="D6" s="394" t="s">
        <v>525</v>
      </c>
      <c r="E6" s="112">
        <f t="shared" ref="E6:AJ6" si="0">YearOne+E$4-1</f>
        <v>2026</v>
      </c>
      <c r="F6" s="112">
        <f t="shared" si="0"/>
        <v>2027</v>
      </c>
      <c r="G6" s="112">
        <f t="shared" si="0"/>
        <v>2028</v>
      </c>
      <c r="H6" s="112">
        <f t="shared" si="0"/>
        <v>2029</v>
      </c>
      <c r="I6" s="112">
        <f t="shared" si="0"/>
        <v>2030</v>
      </c>
      <c r="J6" s="112">
        <f t="shared" si="0"/>
        <v>2031</v>
      </c>
      <c r="K6" s="112">
        <f t="shared" si="0"/>
        <v>2032</v>
      </c>
      <c r="L6" s="112">
        <f t="shared" si="0"/>
        <v>2033</v>
      </c>
      <c r="M6" s="112">
        <f t="shared" si="0"/>
        <v>2034</v>
      </c>
      <c r="N6" s="112">
        <f t="shared" si="0"/>
        <v>2035</v>
      </c>
      <c r="O6" s="112">
        <f t="shared" si="0"/>
        <v>2036</v>
      </c>
      <c r="P6" s="112">
        <f t="shared" si="0"/>
        <v>2037</v>
      </c>
      <c r="Q6" s="112">
        <f t="shared" si="0"/>
        <v>2038</v>
      </c>
      <c r="R6" s="112">
        <f t="shared" si="0"/>
        <v>2039</v>
      </c>
      <c r="S6" s="112">
        <f t="shared" si="0"/>
        <v>2040</v>
      </c>
      <c r="T6" s="112">
        <f t="shared" si="0"/>
        <v>2041</v>
      </c>
      <c r="U6" s="112">
        <f t="shared" si="0"/>
        <v>2042</v>
      </c>
      <c r="V6" s="112">
        <f t="shared" si="0"/>
        <v>2043</v>
      </c>
      <c r="W6" s="112">
        <f t="shared" si="0"/>
        <v>2044</v>
      </c>
      <c r="X6" s="112">
        <f t="shared" si="0"/>
        <v>2045</v>
      </c>
      <c r="Y6" s="112">
        <f t="shared" si="0"/>
        <v>2046</v>
      </c>
      <c r="Z6" s="112">
        <f t="shared" si="0"/>
        <v>2047</v>
      </c>
      <c r="AA6" s="112">
        <f t="shared" si="0"/>
        <v>2048</v>
      </c>
      <c r="AB6" s="112">
        <f t="shared" si="0"/>
        <v>2049</v>
      </c>
      <c r="AC6" s="112">
        <f t="shared" si="0"/>
        <v>2050</v>
      </c>
      <c r="AD6" s="112">
        <f t="shared" si="0"/>
        <v>2051</v>
      </c>
      <c r="AE6" s="112">
        <f t="shared" si="0"/>
        <v>2052</v>
      </c>
      <c r="AF6" s="112">
        <f t="shared" si="0"/>
        <v>2053</v>
      </c>
      <c r="AG6" s="112">
        <f t="shared" si="0"/>
        <v>2054</v>
      </c>
      <c r="AH6" s="112">
        <f t="shared" si="0"/>
        <v>2055</v>
      </c>
      <c r="AI6" s="112">
        <f t="shared" si="0"/>
        <v>2056</v>
      </c>
      <c r="AJ6" s="112">
        <f t="shared" si="0"/>
        <v>2057</v>
      </c>
    </row>
    <row r="7" spans="1:36" x14ac:dyDescent="0.35">
      <c r="A7" t="s">
        <v>526</v>
      </c>
      <c r="B7" t="s">
        <v>265</v>
      </c>
      <c r="C7" s="529"/>
      <c r="D7" s="512">
        <f t="shared" ref="D7:D12" si="1">FSRRate</f>
        <v>0</v>
      </c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30"/>
      <c r="V7" s="530"/>
      <c r="W7" s="530"/>
      <c r="X7" s="530"/>
      <c r="Y7" s="530"/>
      <c r="Z7" s="530"/>
      <c r="AA7" s="530"/>
      <c r="AB7" s="530"/>
      <c r="AC7" s="530"/>
      <c r="AD7" s="530"/>
      <c r="AE7" s="530"/>
      <c r="AF7" s="530"/>
      <c r="AG7" s="530"/>
      <c r="AH7" s="530"/>
      <c r="AI7" s="530"/>
      <c r="AJ7" s="530"/>
    </row>
    <row r="8" spans="1:36" x14ac:dyDescent="0.35">
      <c r="A8" t="s">
        <v>449</v>
      </c>
      <c r="B8" t="s">
        <v>265</v>
      </c>
      <c r="C8" s="529"/>
      <c r="D8" s="512">
        <f t="shared" si="1"/>
        <v>0</v>
      </c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  <c r="X8" s="530"/>
      <c r="Y8" s="530"/>
      <c r="Z8" s="530"/>
      <c r="AA8" s="530"/>
      <c r="AB8" s="530"/>
      <c r="AC8" s="530"/>
      <c r="AD8" s="530"/>
      <c r="AE8" s="530"/>
      <c r="AF8" s="530"/>
      <c r="AG8" s="530"/>
      <c r="AH8" s="530"/>
      <c r="AI8" s="530"/>
      <c r="AJ8" s="530"/>
    </row>
    <row r="9" spans="1:36" x14ac:dyDescent="0.35">
      <c r="A9" t="s">
        <v>526</v>
      </c>
      <c r="B9" t="s">
        <v>264</v>
      </c>
      <c r="C9" s="529"/>
      <c r="D9" s="512">
        <f t="shared" si="1"/>
        <v>0</v>
      </c>
      <c r="E9" s="530"/>
      <c r="F9" s="530"/>
      <c r="G9" s="530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  <c r="W9" s="530"/>
      <c r="X9" s="530"/>
      <c r="Y9" s="530"/>
      <c r="Z9" s="530"/>
      <c r="AA9" s="530"/>
      <c r="AB9" s="530"/>
      <c r="AC9" s="530"/>
      <c r="AD9" s="530"/>
      <c r="AE9" s="530"/>
      <c r="AF9" s="530"/>
      <c r="AG9" s="530"/>
      <c r="AH9" s="530"/>
      <c r="AI9" s="530"/>
      <c r="AJ9" s="530"/>
    </row>
    <row r="10" spans="1:36" x14ac:dyDescent="0.35">
      <c r="A10" t="s">
        <v>449</v>
      </c>
      <c r="B10" t="s">
        <v>264</v>
      </c>
      <c r="C10" s="529"/>
      <c r="D10" s="512">
        <f t="shared" si="1"/>
        <v>0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</row>
    <row r="11" spans="1:36" x14ac:dyDescent="0.35">
      <c r="A11" t="s">
        <v>527</v>
      </c>
      <c r="B11" t="s">
        <v>265</v>
      </c>
      <c r="C11" s="529"/>
      <c r="D11" s="512">
        <f t="shared" si="1"/>
        <v>0</v>
      </c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</row>
    <row r="12" spans="1:36" x14ac:dyDescent="0.35">
      <c r="A12" t="s">
        <v>527</v>
      </c>
      <c r="B12" t="s">
        <v>264</v>
      </c>
      <c r="C12" s="529"/>
      <c r="D12" s="512">
        <f t="shared" si="1"/>
        <v>0</v>
      </c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  <c r="V12" s="530"/>
      <c r="W12" s="530"/>
      <c r="X12" s="530"/>
      <c r="Y12" s="530"/>
      <c r="Z12" s="530"/>
      <c r="AA12" s="530"/>
      <c r="AB12" s="530"/>
      <c r="AC12" s="530"/>
      <c r="AD12" s="530"/>
      <c r="AE12" s="530"/>
      <c r="AF12" s="530"/>
      <c r="AG12" s="530"/>
      <c r="AH12" s="530"/>
      <c r="AI12" s="530"/>
      <c r="AJ12" s="530"/>
    </row>
    <row r="13" spans="1:36" x14ac:dyDescent="0.35">
      <c r="C13" s="529"/>
      <c r="D13" s="512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0"/>
      <c r="AH13" s="530"/>
      <c r="AI13" s="530"/>
      <c r="AJ13" s="530"/>
    </row>
    <row r="14" spans="1:36" x14ac:dyDescent="0.35">
      <c r="A14" t="s">
        <v>32</v>
      </c>
      <c r="C14" s="522"/>
      <c r="D14" s="522"/>
      <c r="E14" s="530"/>
      <c r="F14" s="530"/>
      <c r="G14" s="530">
        <f t="shared" ref="F14:Y14" si="2">F14*(1+InflationGeneral)</f>
        <v>0</v>
      </c>
      <c r="H14" s="530">
        <f t="shared" si="2"/>
        <v>0</v>
      </c>
      <c r="I14" s="530">
        <f t="shared" si="2"/>
        <v>0</v>
      </c>
      <c r="J14" s="530">
        <f t="shared" si="2"/>
        <v>0</v>
      </c>
      <c r="K14" s="530">
        <f t="shared" si="2"/>
        <v>0</v>
      </c>
      <c r="L14" s="530">
        <f t="shared" si="2"/>
        <v>0</v>
      </c>
      <c r="M14" s="530">
        <f t="shared" si="2"/>
        <v>0</v>
      </c>
      <c r="N14" s="530">
        <f t="shared" si="2"/>
        <v>0</v>
      </c>
      <c r="O14" s="530">
        <f t="shared" si="2"/>
        <v>0</v>
      </c>
      <c r="P14" s="530">
        <f t="shared" si="2"/>
        <v>0</v>
      </c>
      <c r="Q14" s="530">
        <f t="shared" si="2"/>
        <v>0</v>
      </c>
      <c r="R14" s="530">
        <f t="shared" si="2"/>
        <v>0</v>
      </c>
      <c r="S14" s="530">
        <f t="shared" si="2"/>
        <v>0</v>
      </c>
      <c r="T14" s="530">
        <f t="shared" si="2"/>
        <v>0</v>
      </c>
      <c r="U14" s="530">
        <f t="shared" si="2"/>
        <v>0</v>
      </c>
      <c r="V14" s="530">
        <f t="shared" si="2"/>
        <v>0</v>
      </c>
      <c r="W14" s="530">
        <f t="shared" si="2"/>
        <v>0</v>
      </c>
      <c r="X14" s="530">
        <f t="shared" si="2"/>
        <v>0</v>
      </c>
      <c r="Y14" s="530">
        <f t="shared" si="2"/>
        <v>0</v>
      </c>
      <c r="Z14" s="530">
        <f t="shared" ref="Z14" si="3">Y14*(1+InflationGeneral)</f>
        <v>0</v>
      </c>
      <c r="AA14" s="530">
        <f t="shared" ref="AA14" si="4">Z14*(1+InflationGeneral)</f>
        <v>0</v>
      </c>
      <c r="AB14" s="530">
        <f t="shared" ref="AB14" si="5">AA14*(1+InflationGeneral)</f>
        <v>0</v>
      </c>
      <c r="AC14" s="530">
        <f t="shared" ref="AC14" si="6">AB14*(1+InflationGeneral)</f>
        <v>0</v>
      </c>
      <c r="AD14" s="530">
        <f t="shared" ref="AD14" si="7">AC14*(1+InflationGeneral)</f>
        <v>0</v>
      </c>
      <c r="AE14" s="530">
        <f t="shared" ref="AE14" si="8">AD14*(1+InflationGeneral)</f>
        <v>0</v>
      </c>
      <c r="AF14" s="530">
        <f t="shared" ref="AF14" si="9">AE14*(1+InflationGeneral)</f>
        <v>0</v>
      </c>
      <c r="AG14" s="530">
        <f t="shared" ref="AG14" si="10">AF14*(1+InflationGeneral)</f>
        <v>0</v>
      </c>
      <c r="AH14" s="530">
        <f t="shared" ref="AH14" si="11">AG14*(1+InflationGeneral)</f>
        <v>0</v>
      </c>
      <c r="AI14" s="530">
        <f t="shared" ref="AI14" si="12">AH14*(1+InflationGeneral)</f>
        <v>0</v>
      </c>
      <c r="AJ14" s="530">
        <f t="shared" ref="AJ14" si="13">AI14*(1+InflationGeneral)</f>
        <v>0</v>
      </c>
    </row>
    <row r="15" spans="1:36" ht="29" x14ac:dyDescent="0.35">
      <c r="C15" s="25" t="s">
        <v>528</v>
      </c>
      <c r="D15" s="66" t="s">
        <v>525</v>
      </c>
      <c r="E15" s="112">
        <f t="shared" ref="E15:AJ15" si="14">YearOne+E$4-1</f>
        <v>2026</v>
      </c>
      <c r="F15" s="112">
        <f t="shared" si="14"/>
        <v>2027</v>
      </c>
      <c r="G15" s="112">
        <f t="shared" si="14"/>
        <v>2028</v>
      </c>
      <c r="H15" s="112">
        <f t="shared" si="14"/>
        <v>2029</v>
      </c>
      <c r="I15" s="112">
        <f t="shared" si="14"/>
        <v>2030</v>
      </c>
      <c r="J15" s="112">
        <f t="shared" si="14"/>
        <v>2031</v>
      </c>
      <c r="K15" s="112">
        <f t="shared" si="14"/>
        <v>2032</v>
      </c>
      <c r="L15" s="112">
        <f t="shared" si="14"/>
        <v>2033</v>
      </c>
      <c r="M15" s="112">
        <f t="shared" si="14"/>
        <v>2034</v>
      </c>
      <c r="N15" s="112">
        <f t="shared" si="14"/>
        <v>2035</v>
      </c>
      <c r="O15" s="112">
        <f t="shared" si="14"/>
        <v>2036</v>
      </c>
      <c r="P15" s="112">
        <f t="shared" si="14"/>
        <v>2037</v>
      </c>
      <c r="Q15" s="112">
        <f t="shared" si="14"/>
        <v>2038</v>
      </c>
      <c r="R15" s="112">
        <f t="shared" si="14"/>
        <v>2039</v>
      </c>
      <c r="S15" s="112">
        <f t="shared" si="14"/>
        <v>2040</v>
      </c>
      <c r="T15" s="112">
        <f t="shared" si="14"/>
        <v>2041</v>
      </c>
      <c r="U15" s="112">
        <f t="shared" si="14"/>
        <v>2042</v>
      </c>
      <c r="V15" s="112">
        <f t="shared" si="14"/>
        <v>2043</v>
      </c>
      <c r="W15" s="112">
        <f t="shared" si="14"/>
        <v>2044</v>
      </c>
      <c r="X15" s="112">
        <f t="shared" si="14"/>
        <v>2045</v>
      </c>
      <c r="Y15" s="112">
        <f t="shared" si="14"/>
        <v>2046</v>
      </c>
      <c r="Z15" s="112">
        <f t="shared" si="14"/>
        <v>2047</v>
      </c>
      <c r="AA15" s="112">
        <f t="shared" si="14"/>
        <v>2048</v>
      </c>
      <c r="AB15" s="112">
        <f t="shared" si="14"/>
        <v>2049</v>
      </c>
      <c r="AC15" s="112">
        <f t="shared" si="14"/>
        <v>2050</v>
      </c>
      <c r="AD15" s="112">
        <f t="shared" si="14"/>
        <v>2051</v>
      </c>
      <c r="AE15" s="112">
        <f t="shared" si="14"/>
        <v>2052</v>
      </c>
      <c r="AF15" s="112">
        <f t="shared" si="14"/>
        <v>2053</v>
      </c>
      <c r="AG15" s="112">
        <f t="shared" si="14"/>
        <v>2054</v>
      </c>
      <c r="AH15" s="112">
        <f t="shared" si="14"/>
        <v>2055</v>
      </c>
      <c r="AI15" s="112">
        <f t="shared" si="14"/>
        <v>2056</v>
      </c>
      <c r="AJ15" s="112">
        <f t="shared" si="14"/>
        <v>2057</v>
      </c>
    </row>
    <row r="16" spans="1:36" x14ac:dyDescent="0.35">
      <c r="A16" t="s">
        <v>529</v>
      </c>
      <c r="B16" t="s">
        <v>264</v>
      </c>
      <c r="C16" s="522"/>
      <c r="D16" s="512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0"/>
      <c r="AI16" s="530"/>
      <c r="AJ16" s="530"/>
    </row>
    <row r="17" spans="1:36" x14ac:dyDescent="0.35">
      <c r="E17" s="7"/>
    </row>
    <row r="18" spans="1:36" ht="18.5" x14ac:dyDescent="0.45">
      <c r="A18" s="250" t="s">
        <v>530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</row>
    <row r="19" spans="1:36" ht="18.5" x14ac:dyDescent="0.45">
      <c r="A19" s="191"/>
    </row>
    <row r="20" spans="1:36" ht="18.5" x14ac:dyDescent="0.45">
      <c r="A20" s="191"/>
      <c r="B20" s="522"/>
      <c r="C20" s="531"/>
      <c r="D20" s="522"/>
      <c r="E20" s="532"/>
    </row>
    <row r="21" spans="1:36" x14ac:dyDescent="0.35">
      <c r="A21" s="19"/>
    </row>
    <row r="22" spans="1:36" x14ac:dyDescent="0.35">
      <c r="B22" s="501" t="s">
        <v>1082</v>
      </c>
      <c r="C22" s="502"/>
      <c r="D22" s="502"/>
      <c r="E22" s="502"/>
      <c r="F22" s="503"/>
      <c r="G22" s="504"/>
      <c r="J22" s="501" t="s">
        <v>532</v>
      </c>
      <c r="K22" s="502"/>
      <c r="L22" s="502"/>
      <c r="M22" s="503"/>
      <c r="N22" s="503"/>
      <c r="O22" s="502"/>
      <c r="P22" s="502"/>
      <c r="Q22" s="502"/>
      <c r="R22" s="503"/>
      <c r="S22" s="504"/>
    </row>
    <row r="23" spans="1:36" x14ac:dyDescent="0.35">
      <c r="B23" s="533"/>
      <c r="C23" s="533"/>
      <c r="D23" s="533"/>
      <c r="E23" s="534"/>
      <c r="F23" s="535"/>
      <c r="G23" s="535"/>
      <c r="J23" s="249" t="s">
        <v>535</v>
      </c>
      <c r="K23" s="541"/>
      <c r="L23" s="541"/>
      <c r="M23" s="542"/>
      <c r="N23" s="542"/>
      <c r="O23" s="4"/>
      <c r="P23" s="541"/>
      <c r="Q23" s="541"/>
      <c r="R23" s="542"/>
      <c r="S23" s="542"/>
    </row>
    <row r="24" spans="1:36" x14ac:dyDescent="0.35">
      <c r="B24" s="536"/>
      <c r="C24" s="537"/>
      <c r="D24" s="538"/>
      <c r="E24" s="538"/>
      <c r="F24" s="512"/>
      <c r="G24" s="538"/>
      <c r="H24" s="248"/>
      <c r="I24" s="248"/>
      <c r="J24" s="5" t="s">
        <v>501</v>
      </c>
      <c r="K24" s="543"/>
      <c r="L24" s="543"/>
      <c r="M24" s="540"/>
      <c r="N24" s="544"/>
      <c r="P24" s="540"/>
      <c r="Q24" s="540"/>
      <c r="R24" s="540"/>
      <c r="S24" s="544"/>
    </row>
    <row r="25" spans="1:36" x14ac:dyDescent="0.35">
      <c r="B25" s="536"/>
      <c r="C25" s="539"/>
      <c r="D25" s="538"/>
      <c r="E25" s="538"/>
      <c r="F25" s="512"/>
      <c r="G25" s="538"/>
      <c r="H25" s="248"/>
      <c r="I25" s="248"/>
      <c r="J25" s="5" t="s">
        <v>502</v>
      </c>
      <c r="K25" s="543"/>
      <c r="L25" s="543"/>
      <c r="M25" s="540"/>
      <c r="N25" s="544"/>
      <c r="P25" s="540"/>
      <c r="Q25" s="540"/>
      <c r="R25" s="540"/>
      <c r="S25" s="544"/>
    </row>
    <row r="26" spans="1:36" x14ac:dyDescent="0.35">
      <c r="B26" s="536"/>
      <c r="C26" s="539"/>
      <c r="D26" s="538"/>
      <c r="E26" s="538"/>
      <c r="F26" s="512"/>
      <c r="G26" s="538"/>
      <c r="H26" s="248"/>
      <c r="I26" s="248"/>
      <c r="J26" s="5" t="s">
        <v>504</v>
      </c>
      <c r="K26" s="543"/>
      <c r="L26" s="543"/>
      <c r="M26" s="540"/>
      <c r="N26" s="544"/>
      <c r="P26" s="540"/>
      <c r="Q26" s="540"/>
      <c r="R26" s="540"/>
      <c r="S26" s="544"/>
    </row>
    <row r="27" spans="1:36" x14ac:dyDescent="0.35">
      <c r="B27" s="536"/>
      <c r="C27" s="539"/>
      <c r="D27" s="538"/>
      <c r="E27" s="538"/>
      <c r="F27" s="512"/>
      <c r="G27" s="538"/>
      <c r="H27" s="248"/>
      <c r="I27" s="248"/>
      <c r="J27" s="5" t="s">
        <v>505</v>
      </c>
      <c r="K27" s="543"/>
      <c r="L27" s="543"/>
      <c r="M27" s="540"/>
      <c r="N27" s="544"/>
      <c r="P27" s="540"/>
      <c r="Q27" s="540"/>
      <c r="R27" s="540"/>
      <c r="S27" s="544"/>
    </row>
    <row r="28" spans="1:36" x14ac:dyDescent="0.35">
      <c r="B28" s="536"/>
      <c r="C28" s="539"/>
      <c r="D28" s="538"/>
      <c r="E28" s="538"/>
      <c r="F28" s="512"/>
      <c r="G28" s="538"/>
      <c r="H28" s="248"/>
      <c r="I28" s="248"/>
      <c r="J28" s="407" t="s">
        <v>506</v>
      </c>
      <c r="K28" s="543"/>
      <c r="L28" s="543"/>
      <c r="M28" s="540"/>
      <c r="N28" s="544"/>
      <c r="O28" s="12"/>
      <c r="P28" s="540"/>
      <c r="Q28" s="540"/>
      <c r="R28" s="540"/>
      <c r="S28" s="544"/>
    </row>
    <row r="29" spans="1:36" x14ac:dyDescent="0.35">
      <c r="B29" t="s">
        <v>536</v>
      </c>
      <c r="D29" s="540"/>
      <c r="E29" s="540"/>
      <c r="F29" s="540"/>
      <c r="G29" s="540"/>
      <c r="K29" s="540"/>
      <c r="L29" s="540"/>
      <c r="M29" s="540"/>
      <c r="N29" s="540"/>
      <c r="P29" s="540"/>
      <c r="Q29" s="540"/>
      <c r="R29" s="540"/>
      <c r="S29" s="540"/>
    </row>
    <row r="30" spans="1:36" x14ac:dyDescent="0.35">
      <c r="F30" s="111"/>
    </row>
    <row r="31" spans="1:36" x14ac:dyDescent="0.35">
      <c r="B31" s="320" t="s">
        <v>537</v>
      </c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</row>
    <row r="32" spans="1:36" x14ac:dyDescent="0.35">
      <c r="C32" s="122"/>
      <c r="D32" t="s">
        <v>536</v>
      </c>
      <c r="E32" s="112">
        <f t="shared" ref="E32:AJ32" si="15">YearOne+E$4-1</f>
        <v>2026</v>
      </c>
      <c r="F32" s="112">
        <f t="shared" si="15"/>
        <v>2027</v>
      </c>
      <c r="G32" s="112">
        <f t="shared" si="15"/>
        <v>2028</v>
      </c>
      <c r="H32" s="112">
        <f t="shared" si="15"/>
        <v>2029</v>
      </c>
      <c r="I32" s="112">
        <f t="shared" si="15"/>
        <v>2030</v>
      </c>
      <c r="J32" s="112">
        <f t="shared" si="15"/>
        <v>2031</v>
      </c>
      <c r="K32" s="112">
        <f t="shared" si="15"/>
        <v>2032</v>
      </c>
      <c r="L32" s="112">
        <f t="shared" si="15"/>
        <v>2033</v>
      </c>
      <c r="M32" s="112">
        <f t="shared" si="15"/>
        <v>2034</v>
      </c>
      <c r="N32" s="112">
        <f t="shared" si="15"/>
        <v>2035</v>
      </c>
      <c r="O32" s="112">
        <f t="shared" si="15"/>
        <v>2036</v>
      </c>
      <c r="P32" s="112">
        <f t="shared" si="15"/>
        <v>2037</v>
      </c>
      <c r="Q32" s="112">
        <f t="shared" si="15"/>
        <v>2038</v>
      </c>
      <c r="R32" s="112">
        <f t="shared" si="15"/>
        <v>2039</v>
      </c>
      <c r="S32" s="112">
        <f t="shared" si="15"/>
        <v>2040</v>
      </c>
      <c r="T32" s="112">
        <f t="shared" si="15"/>
        <v>2041</v>
      </c>
      <c r="U32" s="112">
        <f t="shared" si="15"/>
        <v>2042</v>
      </c>
      <c r="V32" s="112">
        <f t="shared" si="15"/>
        <v>2043</v>
      </c>
      <c r="W32" s="112">
        <f t="shared" si="15"/>
        <v>2044</v>
      </c>
      <c r="X32" s="112">
        <f t="shared" si="15"/>
        <v>2045</v>
      </c>
      <c r="Y32" s="112">
        <f t="shared" si="15"/>
        <v>2046</v>
      </c>
      <c r="Z32" s="112">
        <f t="shared" si="15"/>
        <v>2047</v>
      </c>
      <c r="AA32" s="112">
        <f t="shared" si="15"/>
        <v>2048</v>
      </c>
      <c r="AB32" s="112">
        <f t="shared" si="15"/>
        <v>2049</v>
      </c>
      <c r="AC32" s="112">
        <f t="shared" si="15"/>
        <v>2050</v>
      </c>
      <c r="AD32" s="112">
        <f t="shared" si="15"/>
        <v>2051</v>
      </c>
      <c r="AE32" s="112">
        <f t="shared" si="15"/>
        <v>2052</v>
      </c>
      <c r="AF32" s="112">
        <f t="shared" si="15"/>
        <v>2053</v>
      </c>
      <c r="AG32" s="112">
        <f t="shared" si="15"/>
        <v>2054</v>
      </c>
      <c r="AH32" s="112">
        <f t="shared" si="15"/>
        <v>2055</v>
      </c>
      <c r="AI32" s="112">
        <f t="shared" si="15"/>
        <v>2056</v>
      </c>
      <c r="AJ32" s="112">
        <f t="shared" si="15"/>
        <v>2057</v>
      </c>
    </row>
    <row r="33" spans="1:36" x14ac:dyDescent="0.35">
      <c r="C33" s="3" t="s">
        <v>538</v>
      </c>
      <c r="D33" s="530"/>
      <c r="E33" s="530"/>
      <c r="F33" s="530"/>
      <c r="G33" s="530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</row>
    <row r="34" spans="1:36" x14ac:dyDescent="0.35"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2"/>
      <c r="AA34" s="522"/>
      <c r="AB34" s="522"/>
      <c r="AC34" s="522"/>
      <c r="AD34" s="522"/>
      <c r="AE34" s="522"/>
      <c r="AF34" s="522"/>
      <c r="AG34" s="522"/>
      <c r="AH34" s="522"/>
      <c r="AI34" s="522"/>
      <c r="AJ34" s="522"/>
    </row>
    <row r="35" spans="1:36" x14ac:dyDescent="0.35">
      <c r="C35" s="3" t="s">
        <v>539</v>
      </c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  <c r="AH35" s="545"/>
      <c r="AI35" s="545"/>
      <c r="AJ35" s="545"/>
    </row>
    <row r="36" spans="1:36" x14ac:dyDescent="0.35">
      <c r="B36" s="1"/>
      <c r="C36" s="3"/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</row>
    <row r="37" spans="1:36" x14ac:dyDescent="0.35">
      <c r="B37" s="41"/>
      <c r="C37" s="3" t="s">
        <v>540</v>
      </c>
      <c r="D37" s="512"/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0"/>
      <c r="V37" s="530"/>
      <c r="W37" s="530"/>
      <c r="X37" s="530"/>
      <c r="Y37" s="530"/>
      <c r="Z37" s="530"/>
      <c r="AA37" s="530"/>
      <c r="AB37" s="530"/>
      <c r="AC37" s="530"/>
      <c r="AD37" s="530"/>
      <c r="AE37" s="530"/>
      <c r="AF37" s="530"/>
      <c r="AG37" s="530"/>
      <c r="AH37" s="530"/>
      <c r="AI37" s="530"/>
      <c r="AJ37" s="530"/>
    </row>
    <row r="38" spans="1:36" x14ac:dyDescent="0.35">
      <c r="C38" s="3" t="s">
        <v>541</v>
      </c>
      <c r="D38" s="512"/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30"/>
      <c r="AB38" s="530"/>
      <c r="AC38" s="530"/>
      <c r="AD38" s="530"/>
      <c r="AE38" s="530"/>
      <c r="AF38" s="530"/>
      <c r="AG38" s="530"/>
      <c r="AH38" s="530"/>
      <c r="AI38" s="530"/>
      <c r="AJ38" s="530"/>
    </row>
    <row r="39" spans="1:36" x14ac:dyDescent="0.35">
      <c r="C39" s="3"/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X39" s="512"/>
      <c r="Y39" s="512"/>
      <c r="Z39" s="512"/>
      <c r="AA39" s="512"/>
      <c r="AB39" s="512"/>
      <c r="AC39" s="512"/>
      <c r="AD39" s="512"/>
      <c r="AE39" s="512"/>
      <c r="AF39" s="512"/>
      <c r="AG39" s="512"/>
      <c r="AH39" s="512"/>
      <c r="AI39" s="512"/>
      <c r="AJ39" s="512"/>
    </row>
    <row r="40" spans="1:36" ht="87" x14ac:dyDescent="0.35">
      <c r="C40" s="376" t="s">
        <v>542</v>
      </c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512"/>
      <c r="T40" s="512"/>
      <c r="U40" s="512"/>
      <c r="V40" s="512"/>
      <c r="W40" s="512"/>
      <c r="X40" s="512"/>
      <c r="Y40" s="512"/>
      <c r="Z40" s="512"/>
      <c r="AA40" s="512"/>
      <c r="AB40" s="512"/>
      <c r="AC40" s="512"/>
      <c r="AD40" s="512"/>
      <c r="AE40" s="512"/>
      <c r="AF40" s="512"/>
      <c r="AG40" s="512"/>
      <c r="AH40" s="512"/>
      <c r="AI40" s="512"/>
      <c r="AJ40" s="512"/>
    </row>
    <row r="41" spans="1:36" x14ac:dyDescent="0.35">
      <c r="C41" s="3" t="s">
        <v>543</v>
      </c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512"/>
      <c r="AA41" s="512"/>
      <c r="AB41" s="512"/>
      <c r="AC41" s="512"/>
      <c r="AD41" s="512"/>
      <c r="AE41" s="512"/>
      <c r="AF41" s="512"/>
      <c r="AG41" s="512"/>
      <c r="AH41" s="512"/>
      <c r="AI41" s="512"/>
      <c r="AJ41" s="512"/>
    </row>
    <row r="42" spans="1:36" x14ac:dyDescent="0.35">
      <c r="C42" s="3" t="s">
        <v>544</v>
      </c>
      <c r="D42" s="512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3"/>
      <c r="AC42" s="513"/>
      <c r="AD42" s="513"/>
      <c r="AE42" s="513"/>
      <c r="AF42" s="513"/>
      <c r="AG42" s="513"/>
      <c r="AH42" s="513"/>
      <c r="AI42" s="513"/>
      <c r="AJ42" s="513"/>
    </row>
    <row r="43" spans="1:36" x14ac:dyDescent="0.35">
      <c r="C43" s="3"/>
      <c r="D43" s="6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</row>
    <row r="44" spans="1:36" x14ac:dyDescent="0.35">
      <c r="B44" s="10"/>
      <c r="C44" s="10"/>
    </row>
    <row r="45" spans="1:36" ht="18.5" x14ac:dyDescent="0.45">
      <c r="A45" s="250" t="s">
        <v>545</v>
      </c>
      <c r="B45" s="113"/>
      <c r="C45" s="113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</row>
    <row r="46" spans="1:36" ht="18.5" x14ac:dyDescent="0.45">
      <c r="A46" s="164" t="s">
        <v>185</v>
      </c>
      <c r="B46" s="10"/>
      <c r="C46" s="10" t="s">
        <v>546</v>
      </c>
      <c r="D46" s="522"/>
      <c r="E46" t="s">
        <v>547</v>
      </c>
      <c r="F46" s="546"/>
    </row>
    <row r="47" spans="1:36" x14ac:dyDescent="0.35">
      <c r="A47" s="279" t="str">
        <f>Selected&amp;"-"&amp;'0-Inputs'!B5</f>
        <v>5-Average 
Cost*</v>
      </c>
      <c r="B47" s="10"/>
      <c r="C47" s="10" t="s">
        <v>548</v>
      </c>
      <c r="D47" s="522"/>
      <c r="E47" t="s">
        <v>549</v>
      </c>
      <c r="F47" s="546"/>
    </row>
    <row r="48" spans="1:36" x14ac:dyDescent="0.35">
      <c r="A48" s="10"/>
      <c r="B48" s="10"/>
      <c r="C48" s="10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2:36" x14ac:dyDescent="0.35">
      <c r="B49" s="10"/>
      <c r="C49" s="10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2:36" x14ac:dyDescent="0.35">
      <c r="C50" s="28" t="s">
        <v>266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2:36" x14ac:dyDescent="0.35">
      <c r="C51" s="124" t="s">
        <v>550</v>
      </c>
      <c r="E51" s="21">
        <v>1</v>
      </c>
      <c r="F51" s="21">
        <v>2</v>
      </c>
      <c r="G51" s="21">
        <v>3</v>
      </c>
      <c r="H51" s="21">
        <v>4</v>
      </c>
      <c r="I51" s="21">
        <v>5</v>
      </c>
      <c r="J51" s="21">
        <v>6</v>
      </c>
      <c r="K51" s="21">
        <v>7</v>
      </c>
      <c r="L51" s="21">
        <v>8</v>
      </c>
      <c r="M51" s="21">
        <v>9</v>
      </c>
      <c r="N51" s="21">
        <v>10</v>
      </c>
      <c r="O51" s="21">
        <v>11</v>
      </c>
      <c r="P51" s="21">
        <v>12</v>
      </c>
      <c r="Q51" s="21">
        <v>13</v>
      </c>
      <c r="R51" s="21">
        <v>14</v>
      </c>
      <c r="S51" s="21">
        <v>15</v>
      </c>
      <c r="T51" s="21">
        <v>16</v>
      </c>
      <c r="U51" s="21">
        <v>17</v>
      </c>
      <c r="V51" s="21">
        <v>18</v>
      </c>
      <c r="W51" s="21">
        <v>19</v>
      </c>
      <c r="X51" s="21">
        <v>20</v>
      </c>
      <c r="Y51" s="21">
        <v>21</v>
      </c>
      <c r="Z51" s="21">
        <v>22</v>
      </c>
      <c r="AA51" s="21">
        <v>23</v>
      </c>
      <c r="AB51" s="21">
        <v>24</v>
      </c>
      <c r="AC51" s="21">
        <v>25</v>
      </c>
      <c r="AD51" s="21">
        <v>26</v>
      </c>
      <c r="AE51" s="21">
        <v>27</v>
      </c>
      <c r="AF51" s="21">
        <v>28</v>
      </c>
      <c r="AG51" s="21">
        <v>29</v>
      </c>
      <c r="AH51" s="21">
        <v>30</v>
      </c>
      <c r="AI51" s="21">
        <v>31</v>
      </c>
      <c r="AJ51" s="21">
        <v>32</v>
      </c>
    </row>
    <row r="52" spans="2:36" x14ac:dyDescent="0.35">
      <c r="C52" s="251" t="s">
        <v>259</v>
      </c>
      <c r="D52" s="25" t="s">
        <v>533</v>
      </c>
      <c r="E52" s="112">
        <f t="shared" ref="E52:AJ52" si="16">YearOne+E$4-1</f>
        <v>2026</v>
      </c>
      <c r="F52" s="112">
        <f t="shared" si="16"/>
        <v>2027</v>
      </c>
      <c r="G52" s="112">
        <f t="shared" si="16"/>
        <v>2028</v>
      </c>
      <c r="H52" s="112">
        <f t="shared" si="16"/>
        <v>2029</v>
      </c>
      <c r="I52" s="112">
        <f t="shared" si="16"/>
        <v>2030</v>
      </c>
      <c r="J52" s="112">
        <f t="shared" si="16"/>
        <v>2031</v>
      </c>
      <c r="K52" s="112">
        <f t="shared" si="16"/>
        <v>2032</v>
      </c>
      <c r="L52" s="112">
        <f t="shared" si="16"/>
        <v>2033</v>
      </c>
      <c r="M52" s="112">
        <f t="shared" si="16"/>
        <v>2034</v>
      </c>
      <c r="N52" s="112">
        <f t="shared" si="16"/>
        <v>2035</v>
      </c>
      <c r="O52" s="112">
        <f t="shared" si="16"/>
        <v>2036</v>
      </c>
      <c r="P52" s="112">
        <f t="shared" si="16"/>
        <v>2037</v>
      </c>
      <c r="Q52" s="112">
        <f t="shared" si="16"/>
        <v>2038</v>
      </c>
      <c r="R52" s="112">
        <f t="shared" si="16"/>
        <v>2039</v>
      </c>
      <c r="S52" s="112">
        <f t="shared" si="16"/>
        <v>2040</v>
      </c>
      <c r="T52" s="112">
        <f t="shared" si="16"/>
        <v>2041</v>
      </c>
      <c r="U52" s="112">
        <f t="shared" si="16"/>
        <v>2042</v>
      </c>
      <c r="V52" s="112">
        <f t="shared" si="16"/>
        <v>2043</v>
      </c>
      <c r="W52" s="112">
        <f t="shared" si="16"/>
        <v>2044</v>
      </c>
      <c r="X52" s="112">
        <f t="shared" si="16"/>
        <v>2045</v>
      </c>
      <c r="Y52" s="112">
        <f t="shared" si="16"/>
        <v>2046</v>
      </c>
      <c r="Z52" s="112">
        <f t="shared" si="16"/>
        <v>2047</v>
      </c>
      <c r="AA52" s="112">
        <f t="shared" si="16"/>
        <v>2048</v>
      </c>
      <c r="AB52" s="112">
        <f t="shared" si="16"/>
        <v>2049</v>
      </c>
      <c r="AC52" s="112">
        <f t="shared" si="16"/>
        <v>2050</v>
      </c>
      <c r="AD52" s="112">
        <f t="shared" si="16"/>
        <v>2051</v>
      </c>
      <c r="AE52" s="112">
        <f t="shared" si="16"/>
        <v>2052</v>
      </c>
      <c r="AF52" s="112">
        <f t="shared" si="16"/>
        <v>2053</v>
      </c>
      <c r="AG52" s="112">
        <f t="shared" si="16"/>
        <v>2054</v>
      </c>
      <c r="AH52" s="112">
        <f t="shared" si="16"/>
        <v>2055</v>
      </c>
      <c r="AI52" s="112">
        <f t="shared" si="16"/>
        <v>2056</v>
      </c>
      <c r="AJ52" s="112">
        <f t="shared" si="16"/>
        <v>2057</v>
      </c>
    </row>
    <row r="53" spans="2:36" x14ac:dyDescent="0.35">
      <c r="C53" s="83" t="s">
        <v>184</v>
      </c>
      <c r="D53" s="3" t="str">
        <f>$C$20&amp;"-"&amp;$E$20</f>
        <v>-</v>
      </c>
      <c r="E53" s="530">
        <f>IF('0-Inputs'!$B$43="Contractor",E$14,E$7)+E$33+IF(E$51&lt;=$D$47,$F$47*E$35,0)+E$37+E$42</f>
        <v>0</v>
      </c>
      <c r="F53" s="530">
        <f>IF('0-Inputs'!$B$43="Contractor",F14,F7)+F33+IF(F51&lt;=$D$47,$F$47*F$35,0)+F$37+F$42</f>
        <v>0</v>
      </c>
      <c r="G53" s="530">
        <f>IF('0-Inputs'!$B$43="Contractor",G14,G7)+G33+IF(G51&lt;=$D$47,$F$47*G$35,0)+G$37+G$42</f>
        <v>0</v>
      </c>
      <c r="H53" s="545"/>
      <c r="I53" s="545"/>
      <c r="J53" s="545"/>
      <c r="K53" s="545"/>
      <c r="L53" s="545"/>
      <c r="M53" s="545"/>
      <c r="N53" s="545"/>
      <c r="O53" s="545"/>
      <c r="P53" s="545"/>
      <c r="Q53" s="545"/>
      <c r="R53" s="545"/>
      <c r="S53" s="545"/>
      <c r="T53" s="545"/>
      <c r="U53" s="545"/>
      <c r="V53" s="545"/>
      <c r="W53" s="545"/>
      <c r="X53" s="545"/>
      <c r="Y53" s="545"/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</row>
    <row r="54" spans="2:36" x14ac:dyDescent="0.35">
      <c r="C54" s="83" t="s">
        <v>229</v>
      </c>
      <c r="D54" s="3" t="str">
        <f>$C$20&amp;"-"&amp;$E$20</f>
        <v>-</v>
      </c>
      <c r="E54" s="530">
        <f>IF('0-Inputs'!$B$43="Contractor",E14,E7)+E33+IF(E51&lt;=$D$46,$F$46*E35,0)+E$38+E$42</f>
        <v>0</v>
      </c>
      <c r="F54" s="530">
        <f>IF('0-Inputs'!$B$43="Contractor",F14,F7)+F33+IF(F51&lt;=$D$46,$F$46*F35,0)+F$38+F$42</f>
        <v>0</v>
      </c>
      <c r="G54" s="530">
        <f>IF('0-Inputs'!$B$43="Contractor",G14,G7)+G33+IF(G51&lt;=$D$46,$F$46*G35,0)+G$38+G$42</f>
        <v>0</v>
      </c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</row>
    <row r="55" spans="2:36" x14ac:dyDescent="0.35">
      <c r="C55" s="124" t="s">
        <v>551</v>
      </c>
      <c r="E55" s="7"/>
      <c r="F55" s="7"/>
      <c r="G55" s="7"/>
      <c r="H55" s="7"/>
      <c r="I55" s="7"/>
      <c r="J55" s="7"/>
    </row>
    <row r="56" spans="2:36" x14ac:dyDescent="0.35">
      <c r="C56" s="251" t="s">
        <v>259</v>
      </c>
      <c r="D56" s="25" t="s">
        <v>552</v>
      </c>
      <c r="E56" s="112">
        <f t="shared" ref="E56:AJ56" si="17">YearOne+E$4-1</f>
        <v>2026</v>
      </c>
      <c r="F56" s="112">
        <f t="shared" si="17"/>
        <v>2027</v>
      </c>
      <c r="G56" s="112">
        <f t="shared" si="17"/>
        <v>2028</v>
      </c>
      <c r="H56" s="112">
        <f t="shared" si="17"/>
        <v>2029</v>
      </c>
      <c r="I56" s="112">
        <f t="shared" si="17"/>
        <v>2030</v>
      </c>
      <c r="J56" s="112">
        <f t="shared" si="17"/>
        <v>2031</v>
      </c>
      <c r="K56" s="112">
        <f t="shared" si="17"/>
        <v>2032</v>
      </c>
      <c r="L56" s="112">
        <f t="shared" si="17"/>
        <v>2033</v>
      </c>
      <c r="M56" s="112">
        <f t="shared" si="17"/>
        <v>2034</v>
      </c>
      <c r="N56" s="112">
        <f t="shared" si="17"/>
        <v>2035</v>
      </c>
      <c r="O56" s="112">
        <f t="shared" si="17"/>
        <v>2036</v>
      </c>
      <c r="P56" s="112">
        <f t="shared" si="17"/>
        <v>2037</v>
      </c>
      <c r="Q56" s="112">
        <f t="shared" si="17"/>
        <v>2038</v>
      </c>
      <c r="R56" s="112">
        <f t="shared" si="17"/>
        <v>2039</v>
      </c>
      <c r="S56" s="112">
        <f t="shared" si="17"/>
        <v>2040</v>
      </c>
      <c r="T56" s="112">
        <f t="shared" si="17"/>
        <v>2041</v>
      </c>
      <c r="U56" s="112">
        <f t="shared" si="17"/>
        <v>2042</v>
      </c>
      <c r="V56" s="112">
        <f t="shared" si="17"/>
        <v>2043</v>
      </c>
      <c r="W56" s="112">
        <f t="shared" si="17"/>
        <v>2044</v>
      </c>
      <c r="X56" s="112">
        <f t="shared" si="17"/>
        <v>2045</v>
      </c>
      <c r="Y56" s="112">
        <f t="shared" si="17"/>
        <v>2046</v>
      </c>
      <c r="Z56" s="112">
        <f t="shared" si="17"/>
        <v>2047</v>
      </c>
      <c r="AA56" s="112">
        <f t="shared" si="17"/>
        <v>2048</v>
      </c>
      <c r="AB56" s="112">
        <f t="shared" si="17"/>
        <v>2049</v>
      </c>
      <c r="AC56" s="112">
        <f t="shared" si="17"/>
        <v>2050</v>
      </c>
      <c r="AD56" s="112">
        <f t="shared" si="17"/>
        <v>2051</v>
      </c>
      <c r="AE56" s="112">
        <f t="shared" si="17"/>
        <v>2052</v>
      </c>
      <c r="AF56" s="112">
        <f t="shared" si="17"/>
        <v>2053</v>
      </c>
      <c r="AG56" s="112">
        <f t="shared" si="17"/>
        <v>2054</v>
      </c>
      <c r="AH56" s="112">
        <f t="shared" si="17"/>
        <v>2055</v>
      </c>
      <c r="AI56" s="112">
        <f t="shared" si="17"/>
        <v>2056</v>
      </c>
      <c r="AJ56" s="112">
        <f t="shared" si="17"/>
        <v>2057</v>
      </c>
    </row>
    <row r="57" spans="2:36" x14ac:dyDescent="0.35">
      <c r="C57" s="83" t="s">
        <v>184</v>
      </c>
      <c r="D57" s="3" t="str">
        <f>$C$20&amp;"-"&amp;$E$20</f>
        <v>-</v>
      </c>
      <c r="E57" s="547">
        <f>IF('0-Inputs'!$B$43="Contractor",E14,E9)+E33+E$37+E$16+E$42</f>
        <v>0</v>
      </c>
      <c r="F57" s="547">
        <f>IF('0-Inputs'!$B$43="Contractor",F14,F9)+F33++F$37+F$16+F$42</f>
        <v>0</v>
      </c>
      <c r="G57" s="547">
        <f>IF('0-Inputs'!$B$43="Contractor",G14,G9)+G33++G$37+G$16+G$42</f>
        <v>0</v>
      </c>
      <c r="H57" s="547">
        <f>IF('0-Inputs'!$B$43="Contractor",H14,H9)+H33++H$37+H$16+H$42</f>
        <v>0</v>
      </c>
      <c r="I57" s="547">
        <f>IF('0-Inputs'!$B$43="Contractor",I14,I9)+I33++I$37+I$16+I$42</f>
        <v>0</v>
      </c>
      <c r="J57" s="547">
        <f>IF('0-Inputs'!$B$43="Contractor",J14,J9)+J33++J$37+J$16+J$42</f>
        <v>0</v>
      </c>
      <c r="K57" s="547">
        <f>IF('0-Inputs'!$B$43="Contractor",K14,K9)+K33++K$37+K$16+K$42</f>
        <v>0</v>
      </c>
      <c r="L57" s="547">
        <f>IF('0-Inputs'!$B$43="Contractor",L14,L9)+L33++L$37+L$16+L$42</f>
        <v>0</v>
      </c>
      <c r="M57" s="547">
        <f>IF('0-Inputs'!$B$43="Contractor",M14,M9)+M33++M$37+M$16+M$42</f>
        <v>0</v>
      </c>
      <c r="N57" s="547">
        <f>IF('0-Inputs'!$B$43="Contractor",N14,N9)+N33++N$37+N$16+N$42</f>
        <v>0</v>
      </c>
      <c r="O57" s="547">
        <f>IF('0-Inputs'!$B$43="Contractor",O14,O9)+O33++O$37+O$16+O$42</f>
        <v>0</v>
      </c>
      <c r="P57" s="547">
        <f>IF('0-Inputs'!$B$43="Contractor",P14,P9)+P33++P$37+P$16+P$42</f>
        <v>0</v>
      </c>
      <c r="Q57" s="547">
        <f>IF('0-Inputs'!$B$43="Contractor",Q14,Q9)+Q33++Q$37+Q$16+Q$42</f>
        <v>0</v>
      </c>
      <c r="R57" s="547">
        <f>IF('0-Inputs'!$B$43="Contractor",R14,R9)+R33++R$37+R$16+R$42</f>
        <v>0</v>
      </c>
      <c r="S57" s="547">
        <f>IF('0-Inputs'!$B$43="Contractor",S14,S9)+S33++S$37+S$16+S$42</f>
        <v>0</v>
      </c>
      <c r="T57" s="547">
        <f>IF('0-Inputs'!$B$43="Contractor",T14,T9)+T33++T$37+T$16+T$42</f>
        <v>0</v>
      </c>
      <c r="U57" s="547">
        <f>IF('0-Inputs'!$B$43="Contractor",U14,U9)+U33++U$37+U$16+U$42</f>
        <v>0</v>
      </c>
      <c r="V57" s="547">
        <f>IF('0-Inputs'!$B$43="Contractor",V14,V9)+V33++V$37+V$16+V$42</f>
        <v>0</v>
      </c>
      <c r="W57" s="547">
        <f>IF('0-Inputs'!$B$43="Contractor",W14,W9)+W33++W$37+W$16+W$42</f>
        <v>0</v>
      </c>
      <c r="X57" s="547">
        <f>IF('0-Inputs'!$B$43="Contractor",X14,X9)+X33++X$37+X$16+X$42</f>
        <v>0</v>
      </c>
      <c r="Y57" s="547">
        <f>IF('0-Inputs'!$B$43="Contractor",Y14,Y9)+Y33++Y$37+Y$16+Y$42</f>
        <v>0</v>
      </c>
      <c r="Z57" s="547">
        <f>IF('0-Inputs'!$B$43="Contractor",Z14,Z9)+Z33++Z$37+Z$16+Z$42</f>
        <v>0</v>
      </c>
      <c r="AA57" s="547">
        <f>IF('0-Inputs'!$B$43="Contractor",AA14,AA9)+AA33++AA$37+AA$16+AA$42</f>
        <v>0</v>
      </c>
      <c r="AB57" s="547">
        <f>IF('0-Inputs'!$B$43="Contractor",AB14,AB9)+AB33++AB$37+AB$16+AB$42</f>
        <v>0</v>
      </c>
      <c r="AC57" s="547">
        <f>IF('0-Inputs'!$B$43="Contractor",AC14,AC9)+AC33++AC$37+AC$16+AC$42</f>
        <v>0</v>
      </c>
      <c r="AD57" s="547">
        <f>IF('0-Inputs'!$B$43="Contractor",AD14,AD9)+AD33++AD$37+AD$16+AD$42</f>
        <v>0</v>
      </c>
      <c r="AE57" s="547">
        <f>IF('0-Inputs'!$B$43="Contractor",AE14,AE9)+AE33++AE$37+AE$16+AE$42</f>
        <v>0</v>
      </c>
      <c r="AF57" s="547">
        <f>IF('0-Inputs'!$B$43="Contractor",AF14,AF9)+AF33++AF$37+AF$16+AF$42</f>
        <v>0</v>
      </c>
      <c r="AG57" s="547">
        <f>IF('0-Inputs'!$B$43="Contractor",AG14,AG9)+AG33++AG$37+AG$16+AG$42</f>
        <v>0</v>
      </c>
      <c r="AH57" s="547">
        <f>IF('0-Inputs'!$B$43="Contractor",AH14,AH9)+AH33++AH$37+AH$16+AH$42</f>
        <v>0</v>
      </c>
      <c r="AI57" s="547">
        <f>IF('0-Inputs'!$B$43="Contractor",AI14,AI9)+AI33++AI$37+AI$16+AI$42</f>
        <v>0</v>
      </c>
      <c r="AJ57" s="547">
        <f>IF('0-Inputs'!$B$43="Contractor",AJ14,AJ9)+AJ33++AJ$37+AJ$16+AJ$42</f>
        <v>0</v>
      </c>
    </row>
    <row r="58" spans="2:36" ht="16" customHeight="1" x14ac:dyDescent="0.35">
      <c r="C58" s="83" t="s">
        <v>229</v>
      </c>
      <c r="D58" s="3" t="str">
        <f>$C$20&amp;"-"&amp;$E$20</f>
        <v>-</v>
      </c>
      <c r="E58" s="530">
        <f>IF('0-Inputs'!$B$43="Contractor",E14,E9)+E33+E$38+E$16+E$42</f>
        <v>0</v>
      </c>
      <c r="F58" s="530">
        <f>IF('0-Inputs'!$B$43="Contractor",F14,F9)+F33+F$38+F$16+F$42</f>
        <v>0</v>
      </c>
      <c r="G58" s="530">
        <f>IF('0-Inputs'!$B$43="Contractor",G14,G9)+G33+G$38+G$16+G$42</f>
        <v>0</v>
      </c>
      <c r="H58" s="530">
        <f>IF('0-Inputs'!$B$43="Contractor",H14,H9)+H33+H$38+H$16+H$42</f>
        <v>0</v>
      </c>
      <c r="I58" s="530">
        <f>IF('0-Inputs'!$B$43="Contractor",I14,I9)+I33+I$38+I$16+I$42</f>
        <v>0</v>
      </c>
      <c r="J58" s="530">
        <f>IF('0-Inputs'!$B$43="Contractor",J14,J9)+J33+J$38+J$16+J$42</f>
        <v>0</v>
      </c>
      <c r="K58" s="530">
        <f>IF('0-Inputs'!$B$43="Contractor",K14,K9)+K33+K$38+K$16+K$42</f>
        <v>0</v>
      </c>
      <c r="L58" s="530">
        <f>IF('0-Inputs'!$B$43="Contractor",L14,L9)+L33+L$38+L$16+L$42</f>
        <v>0</v>
      </c>
      <c r="M58" s="530">
        <f>IF('0-Inputs'!$B$43="Contractor",M14,M9)+M33+M$38+M$16+M$42</f>
        <v>0</v>
      </c>
      <c r="N58" s="530">
        <f>IF('0-Inputs'!$B$43="Contractor",N14,N9)+N33+N$38+N$16+N$42</f>
        <v>0</v>
      </c>
      <c r="O58" s="530">
        <f>IF('0-Inputs'!$B$43="Contractor",O14,O9)+O33+O$38+O$16+O$42</f>
        <v>0</v>
      </c>
      <c r="P58" s="530">
        <f>IF('0-Inputs'!$B$43="Contractor",P14,P9)+P33+P$38+P$16+P$42</f>
        <v>0</v>
      </c>
      <c r="Q58" s="530">
        <f>IF('0-Inputs'!$B$43="Contractor",Q14,Q9)+Q33+Q$38+Q$16+Q$42</f>
        <v>0</v>
      </c>
      <c r="R58" s="530">
        <f>IF('0-Inputs'!$B$43="Contractor",R14,R9)+R33+R$38+R$16+R$42</f>
        <v>0</v>
      </c>
      <c r="S58" s="530">
        <f>IF('0-Inputs'!$B$43="Contractor",S14,S9)+S33+S$38+S$16+S$42</f>
        <v>0</v>
      </c>
      <c r="T58" s="530">
        <f>IF('0-Inputs'!$B$43="Contractor",T14,T9)+T33+T$38+T$16+T$42</f>
        <v>0</v>
      </c>
      <c r="U58" s="530">
        <f>IF('0-Inputs'!$B$43="Contractor",U14,U9)+U33+U$38+U$16+U$42</f>
        <v>0</v>
      </c>
      <c r="V58" s="530">
        <f>IF('0-Inputs'!$B$43="Contractor",V14,V9)+V33+V$38+V$16+V$42</f>
        <v>0</v>
      </c>
      <c r="W58" s="530">
        <f>IF('0-Inputs'!$B$43="Contractor",W14,W9)+W33+W$38+W$16+W$42</f>
        <v>0</v>
      </c>
      <c r="X58" s="530">
        <f>IF('0-Inputs'!$B$43="Contractor",X14,X9)+X33+X$38+X$16+X$42</f>
        <v>0</v>
      </c>
      <c r="Y58" s="530">
        <f>IF('0-Inputs'!$B$43="Contractor",Y14,Y9)+Y33+Y$38+Y$16+Y$42</f>
        <v>0</v>
      </c>
      <c r="Z58" s="530">
        <f>IF('0-Inputs'!$B$43="Contractor",Z14,Z9)+Z33+Z$38+Z$16+Z$42</f>
        <v>0</v>
      </c>
      <c r="AA58" s="530">
        <f>IF('0-Inputs'!$B$43="Contractor",AA14,AA9)+AA33+AA$38+AA$16+AA$42</f>
        <v>0</v>
      </c>
      <c r="AB58" s="530">
        <f>IF('0-Inputs'!$B$43="Contractor",AB14,AB9)+AB33+AB$38+AB$16+AB$42</f>
        <v>0</v>
      </c>
      <c r="AC58" s="530">
        <f>IF('0-Inputs'!$B$43="Contractor",AC14,AC9)+AC33+AC$38+AC$16+AC$42</f>
        <v>0</v>
      </c>
      <c r="AD58" s="530">
        <f>IF('0-Inputs'!$B$43="Contractor",AD14,AD9)+AD33+AD$38+AD$16+AD$42</f>
        <v>0</v>
      </c>
      <c r="AE58" s="530">
        <f>IF('0-Inputs'!$B$43="Contractor",AE14,AE9)+AE33+AE$38+AE$16+AE$42</f>
        <v>0</v>
      </c>
      <c r="AF58" s="530">
        <f>IF('0-Inputs'!$B$43="Contractor",AF14,AF9)+AF33+AF$38+AF$16+AF$42</f>
        <v>0</v>
      </c>
      <c r="AG58" s="530">
        <f>IF('0-Inputs'!$B$43="Contractor",AG14,AG9)+AG33+AG$38+AG$16+AG$42</f>
        <v>0</v>
      </c>
      <c r="AH58" s="530">
        <f>IF('0-Inputs'!$B$43="Contractor",AH14,AH9)+AH33+AH$38+AH$16+AH$42</f>
        <v>0</v>
      </c>
      <c r="AI58" s="530">
        <f>IF('0-Inputs'!$B$43="Contractor",AI14,AI9)+AI33+AI$38+AI$16+AI$42</f>
        <v>0</v>
      </c>
      <c r="AJ58" s="530">
        <f>IF('0-Inputs'!$B$43="Contractor",AJ14,AJ9)+AJ33+AJ$38+AJ$16+AJ$42</f>
        <v>0</v>
      </c>
    </row>
    <row r="59" spans="2:36" x14ac:dyDescent="0.35">
      <c r="C59" s="28" t="s">
        <v>553</v>
      </c>
      <c r="D59" s="25"/>
      <c r="E59" s="112">
        <f t="shared" ref="E59:AJ59" si="18">YearOne+E$4-1</f>
        <v>2026</v>
      </c>
      <c r="F59" s="112">
        <f t="shared" si="18"/>
        <v>2027</v>
      </c>
      <c r="G59" s="112">
        <f t="shared" si="18"/>
        <v>2028</v>
      </c>
      <c r="H59" s="112">
        <f t="shared" si="18"/>
        <v>2029</v>
      </c>
      <c r="I59" s="112">
        <f t="shared" si="18"/>
        <v>2030</v>
      </c>
      <c r="J59" s="112">
        <f t="shared" si="18"/>
        <v>2031</v>
      </c>
      <c r="K59" s="112">
        <f t="shared" si="18"/>
        <v>2032</v>
      </c>
      <c r="L59" s="112">
        <f t="shared" si="18"/>
        <v>2033</v>
      </c>
      <c r="M59" s="112">
        <f t="shared" si="18"/>
        <v>2034</v>
      </c>
      <c r="N59" s="112">
        <f t="shared" si="18"/>
        <v>2035</v>
      </c>
      <c r="O59" s="112">
        <f t="shared" si="18"/>
        <v>2036</v>
      </c>
      <c r="P59" s="112">
        <f t="shared" si="18"/>
        <v>2037</v>
      </c>
      <c r="Q59" s="112">
        <f t="shared" si="18"/>
        <v>2038</v>
      </c>
      <c r="R59" s="112">
        <f t="shared" si="18"/>
        <v>2039</v>
      </c>
      <c r="S59" s="112">
        <f t="shared" si="18"/>
        <v>2040</v>
      </c>
      <c r="T59" s="112">
        <f t="shared" si="18"/>
        <v>2041</v>
      </c>
      <c r="U59" s="112">
        <f t="shared" si="18"/>
        <v>2042</v>
      </c>
      <c r="V59" s="112">
        <f t="shared" si="18"/>
        <v>2043</v>
      </c>
      <c r="W59" s="112">
        <f t="shared" si="18"/>
        <v>2044</v>
      </c>
      <c r="X59" s="112">
        <f t="shared" si="18"/>
        <v>2045</v>
      </c>
      <c r="Y59" s="112">
        <f t="shared" si="18"/>
        <v>2046</v>
      </c>
      <c r="Z59" s="112">
        <f t="shared" si="18"/>
        <v>2047</v>
      </c>
      <c r="AA59" s="112">
        <f t="shared" si="18"/>
        <v>2048</v>
      </c>
      <c r="AB59" s="112">
        <f t="shared" si="18"/>
        <v>2049</v>
      </c>
      <c r="AC59" s="112">
        <f t="shared" si="18"/>
        <v>2050</v>
      </c>
      <c r="AD59" s="112">
        <f t="shared" si="18"/>
        <v>2051</v>
      </c>
      <c r="AE59" s="112">
        <f t="shared" si="18"/>
        <v>2052</v>
      </c>
      <c r="AF59" s="112">
        <f t="shared" si="18"/>
        <v>2053</v>
      </c>
      <c r="AG59" s="112">
        <f t="shared" si="18"/>
        <v>2054</v>
      </c>
      <c r="AH59" s="112">
        <f t="shared" si="18"/>
        <v>2055</v>
      </c>
      <c r="AI59" s="112">
        <f t="shared" si="18"/>
        <v>2056</v>
      </c>
      <c r="AJ59" s="112">
        <f t="shared" si="18"/>
        <v>2057</v>
      </c>
    </row>
    <row r="60" spans="2:36" x14ac:dyDescent="0.35">
      <c r="C60" s="83" t="s">
        <v>265</v>
      </c>
      <c r="D60" s="3" t="str">
        <f>$C$20&amp;"-"&amp;$E$20</f>
        <v>-</v>
      </c>
      <c r="E60" s="530"/>
      <c r="F60" s="530"/>
      <c r="G60" s="530"/>
      <c r="H60" s="545"/>
      <c r="I60" s="545"/>
      <c r="J60" s="545"/>
      <c r="K60" s="545"/>
      <c r="L60" s="545"/>
      <c r="M60" s="545"/>
      <c r="N60" s="545"/>
      <c r="O60" s="545"/>
      <c r="P60" s="545"/>
      <c r="Q60" s="545"/>
      <c r="R60" s="545"/>
      <c r="S60" s="545"/>
      <c r="T60" s="545"/>
      <c r="U60" s="545"/>
      <c r="V60" s="545"/>
      <c r="W60" s="545"/>
      <c r="X60" s="545"/>
      <c r="Y60" s="545"/>
      <c r="Z60" s="545"/>
      <c r="AA60" s="545"/>
      <c r="AB60" s="545"/>
      <c r="AC60" s="545"/>
      <c r="AD60" s="545"/>
      <c r="AE60" s="545"/>
      <c r="AF60" s="545"/>
      <c r="AG60" s="545"/>
      <c r="AH60" s="545"/>
      <c r="AI60" s="545"/>
      <c r="AJ60" s="545"/>
    </row>
    <row r="61" spans="2:36" x14ac:dyDescent="0.35">
      <c r="C61" s="83" t="s">
        <v>264</v>
      </c>
      <c r="D61" s="3" t="str">
        <f>$C$20&amp;"-"&amp;$E$20</f>
        <v>-</v>
      </c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0"/>
      <c r="V61" s="530"/>
      <c r="W61" s="530"/>
      <c r="X61" s="530"/>
      <c r="Y61" s="530"/>
      <c r="Z61" s="530"/>
      <c r="AA61" s="530"/>
      <c r="AB61" s="530"/>
      <c r="AC61" s="530"/>
      <c r="AD61" s="530"/>
      <c r="AE61" s="530"/>
      <c r="AF61" s="530"/>
      <c r="AG61" s="530"/>
      <c r="AH61" s="530"/>
      <c r="AI61" s="530"/>
      <c r="AJ61" s="530"/>
    </row>
    <row r="62" spans="2:36" x14ac:dyDescent="0.35">
      <c r="C62" s="28" t="s">
        <v>263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spans="2:36" x14ac:dyDescent="0.35">
      <c r="C63" s="124" t="s">
        <v>550</v>
      </c>
    </row>
    <row r="64" spans="2:36" x14ac:dyDescent="0.35">
      <c r="B64" s="498" t="s">
        <v>554</v>
      </c>
      <c r="C64" s="83" t="s">
        <v>184</v>
      </c>
      <c r="D64" s="3" t="s">
        <v>449</v>
      </c>
      <c r="E64" s="530"/>
      <c r="F64" s="530"/>
      <c r="G64" s="530"/>
      <c r="H64" s="530"/>
      <c r="I64" s="530"/>
      <c r="J64" s="530"/>
      <c r="K64" s="530"/>
      <c r="L64" s="530"/>
      <c r="M64" s="530"/>
      <c r="N64" s="530"/>
      <c r="O64" s="530"/>
      <c r="P64" s="530"/>
      <c r="Q64" s="530"/>
      <c r="R64" s="530"/>
      <c r="S64" s="530"/>
      <c r="T64" s="530"/>
      <c r="U64" s="530"/>
      <c r="V64" s="530"/>
      <c r="W64" s="530"/>
      <c r="X64" s="530"/>
      <c r="Y64" s="530"/>
      <c r="Z64" s="530"/>
      <c r="AA64" s="530"/>
      <c r="AB64" s="530"/>
      <c r="AC64" s="530"/>
      <c r="AD64" s="530"/>
      <c r="AE64" s="530"/>
      <c r="AF64" s="530"/>
      <c r="AG64" s="530"/>
      <c r="AH64" s="530"/>
      <c r="AI64" s="530"/>
      <c r="AJ64" s="530"/>
    </row>
    <row r="65" spans="1:36" x14ac:dyDescent="0.35">
      <c r="B65" s="499"/>
      <c r="C65" s="83" t="s">
        <v>229</v>
      </c>
      <c r="D65" s="3" t="s">
        <v>449</v>
      </c>
      <c r="E65" s="530"/>
      <c r="F65" s="530"/>
      <c r="G65" s="530"/>
      <c r="H65" s="530"/>
      <c r="I65" s="530"/>
      <c r="J65" s="530"/>
      <c r="K65" s="530"/>
      <c r="L65" s="530"/>
      <c r="M65" s="530"/>
      <c r="N65" s="530"/>
      <c r="O65" s="530"/>
      <c r="P65" s="530"/>
      <c r="Q65" s="530"/>
      <c r="R65" s="530"/>
      <c r="S65" s="530"/>
      <c r="T65" s="530"/>
      <c r="U65" s="530"/>
      <c r="V65" s="530"/>
      <c r="W65" s="530"/>
      <c r="X65" s="530"/>
      <c r="Y65" s="530"/>
      <c r="Z65" s="530"/>
      <c r="AA65" s="530"/>
      <c r="AB65" s="530"/>
      <c r="AC65" s="530"/>
      <c r="AD65" s="530"/>
      <c r="AE65" s="530"/>
      <c r="AF65" s="530"/>
      <c r="AG65" s="530"/>
      <c r="AH65" s="530"/>
      <c r="AI65" s="530"/>
      <c r="AJ65" s="530"/>
    </row>
    <row r="66" spans="1:36" x14ac:dyDescent="0.35">
      <c r="B66" s="499"/>
      <c r="C66" s="83"/>
      <c r="D66" s="3"/>
      <c r="E66" s="545"/>
      <c r="F66" s="545"/>
      <c r="G66" s="545"/>
      <c r="H66" s="545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T66" s="545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</row>
    <row r="67" spans="1:36" x14ac:dyDescent="0.35">
      <c r="B67" s="499"/>
      <c r="C67" s="124" t="s">
        <v>555</v>
      </c>
      <c r="E67" s="530"/>
      <c r="F67" s="530"/>
      <c r="G67" s="530"/>
      <c r="H67" s="530"/>
      <c r="I67" s="530"/>
      <c r="J67" s="530"/>
      <c r="K67" s="530"/>
      <c r="L67" s="530"/>
      <c r="M67" s="530"/>
      <c r="N67" s="530"/>
      <c r="O67" s="530"/>
      <c r="P67" s="530"/>
      <c r="Q67" s="530"/>
      <c r="R67" s="530"/>
      <c r="S67" s="530"/>
      <c r="T67" s="530"/>
      <c r="U67" s="530"/>
      <c r="V67" s="530"/>
      <c r="W67" s="530"/>
      <c r="X67" s="530"/>
      <c r="Y67" s="530"/>
      <c r="Z67" s="530"/>
      <c r="AA67" s="530"/>
      <c r="AB67" s="530"/>
      <c r="AC67" s="530"/>
      <c r="AD67" s="530"/>
      <c r="AE67" s="530"/>
      <c r="AF67" s="530"/>
      <c r="AG67" s="530"/>
      <c r="AH67" s="530"/>
      <c r="AI67" s="530"/>
      <c r="AJ67" s="530"/>
    </row>
    <row r="68" spans="1:36" x14ac:dyDescent="0.35">
      <c r="B68" s="499"/>
      <c r="C68" s="83" t="s">
        <v>184</v>
      </c>
      <c r="D68" s="3" t="s">
        <v>449</v>
      </c>
      <c r="E68" s="530"/>
      <c r="F68" s="530"/>
      <c r="G68" s="530"/>
      <c r="H68" s="530"/>
      <c r="I68" s="530"/>
      <c r="J68" s="530"/>
      <c r="K68" s="530"/>
      <c r="L68" s="530"/>
      <c r="M68" s="530"/>
      <c r="N68" s="530"/>
      <c r="O68" s="530"/>
      <c r="P68" s="530"/>
      <c r="Q68" s="530"/>
      <c r="R68" s="530"/>
      <c r="S68" s="530"/>
      <c r="T68" s="530"/>
      <c r="U68" s="530"/>
      <c r="V68" s="530"/>
      <c r="W68" s="530"/>
      <c r="X68" s="530"/>
      <c r="Y68" s="530"/>
      <c r="Z68" s="530"/>
      <c r="AA68" s="530"/>
      <c r="AB68" s="530"/>
      <c r="AC68" s="530"/>
      <c r="AD68" s="530"/>
      <c r="AE68" s="530"/>
      <c r="AF68" s="530"/>
      <c r="AG68" s="530"/>
      <c r="AH68" s="530"/>
      <c r="AI68" s="530"/>
      <c r="AJ68" s="530"/>
    </row>
    <row r="69" spans="1:36" x14ac:dyDescent="0.35">
      <c r="B69" s="500"/>
      <c r="C69" s="83" t="s">
        <v>229</v>
      </c>
      <c r="D69" s="3" t="s">
        <v>449</v>
      </c>
      <c r="E69" s="530"/>
      <c r="F69" s="530"/>
      <c r="G69" s="530"/>
      <c r="H69" s="530"/>
      <c r="I69" s="530"/>
      <c r="J69" s="530"/>
      <c r="K69" s="530"/>
      <c r="L69" s="530"/>
      <c r="M69" s="530"/>
      <c r="N69" s="530"/>
      <c r="O69" s="530"/>
      <c r="P69" s="530"/>
      <c r="Q69" s="530"/>
      <c r="R69" s="530"/>
      <c r="S69" s="530"/>
      <c r="T69" s="530"/>
      <c r="U69" s="530"/>
      <c r="V69" s="530"/>
      <c r="W69" s="530"/>
      <c r="X69" s="530"/>
      <c r="Y69" s="530"/>
      <c r="Z69" s="530"/>
      <c r="AA69" s="530"/>
      <c r="AB69" s="530"/>
      <c r="AC69" s="530"/>
      <c r="AD69" s="530"/>
      <c r="AE69" s="530"/>
      <c r="AF69" s="530"/>
      <c r="AG69" s="530"/>
      <c r="AH69" s="530"/>
      <c r="AI69" s="530"/>
      <c r="AJ69" s="530"/>
    </row>
    <row r="71" spans="1:36" x14ac:dyDescent="0.35">
      <c r="G71" s="9"/>
      <c r="H71" s="9"/>
      <c r="J71" s="9"/>
    </row>
    <row r="72" spans="1:36" ht="18.5" x14ac:dyDescent="0.45">
      <c r="A72" s="250" t="s">
        <v>556</v>
      </c>
      <c r="B72" s="109"/>
      <c r="C72" s="109"/>
      <c r="D72" s="109"/>
      <c r="E72" s="109"/>
      <c r="F72" s="109"/>
      <c r="G72" s="306"/>
      <c r="H72" s="306"/>
      <c r="I72" s="109"/>
      <c r="J72" s="306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</row>
    <row r="73" spans="1:36" ht="18.5" x14ac:dyDescent="0.45">
      <c r="A73" s="191"/>
      <c r="E73" s="25">
        <f t="shared" ref="E73:AJ73" si="19">E32</f>
        <v>2026</v>
      </c>
      <c r="F73" s="25">
        <f t="shared" si="19"/>
        <v>2027</v>
      </c>
      <c r="G73" s="25">
        <f t="shared" si="19"/>
        <v>2028</v>
      </c>
      <c r="H73" s="25">
        <f t="shared" si="19"/>
        <v>2029</v>
      </c>
      <c r="I73" s="25">
        <f t="shared" si="19"/>
        <v>2030</v>
      </c>
      <c r="J73" s="25">
        <f t="shared" si="19"/>
        <v>2031</v>
      </c>
      <c r="K73" s="25">
        <f t="shared" si="19"/>
        <v>2032</v>
      </c>
      <c r="L73" s="25">
        <f t="shared" si="19"/>
        <v>2033</v>
      </c>
      <c r="M73" s="25">
        <f t="shared" si="19"/>
        <v>2034</v>
      </c>
      <c r="N73" s="25">
        <f t="shared" si="19"/>
        <v>2035</v>
      </c>
      <c r="O73" s="25">
        <f t="shared" si="19"/>
        <v>2036</v>
      </c>
      <c r="P73" s="25">
        <f t="shared" si="19"/>
        <v>2037</v>
      </c>
      <c r="Q73" s="25">
        <f t="shared" si="19"/>
        <v>2038</v>
      </c>
      <c r="R73" s="25">
        <f t="shared" si="19"/>
        <v>2039</v>
      </c>
      <c r="S73" s="25">
        <f t="shared" si="19"/>
        <v>2040</v>
      </c>
      <c r="T73" s="25">
        <f t="shared" si="19"/>
        <v>2041</v>
      </c>
      <c r="U73" s="25">
        <f t="shared" si="19"/>
        <v>2042</v>
      </c>
      <c r="V73" s="25">
        <f t="shared" si="19"/>
        <v>2043</v>
      </c>
      <c r="W73" s="25">
        <f t="shared" si="19"/>
        <v>2044</v>
      </c>
      <c r="X73" s="25">
        <f t="shared" si="19"/>
        <v>2045</v>
      </c>
      <c r="Y73" s="25">
        <f t="shared" si="19"/>
        <v>2046</v>
      </c>
      <c r="Z73" s="25">
        <f t="shared" si="19"/>
        <v>2047</v>
      </c>
      <c r="AA73" s="25">
        <f t="shared" si="19"/>
        <v>2048</v>
      </c>
      <c r="AB73" s="25">
        <f t="shared" si="19"/>
        <v>2049</v>
      </c>
      <c r="AC73" s="25">
        <f t="shared" si="19"/>
        <v>2050</v>
      </c>
      <c r="AD73" s="25">
        <f t="shared" si="19"/>
        <v>2051</v>
      </c>
      <c r="AE73" s="25">
        <f t="shared" si="19"/>
        <v>2052</v>
      </c>
      <c r="AF73" s="25">
        <f t="shared" si="19"/>
        <v>2053</v>
      </c>
      <c r="AG73" s="25">
        <f t="shared" si="19"/>
        <v>2054</v>
      </c>
      <c r="AH73" s="25">
        <f t="shared" si="19"/>
        <v>2055</v>
      </c>
      <c r="AI73" s="25">
        <f t="shared" si="19"/>
        <v>2056</v>
      </c>
      <c r="AJ73" s="25">
        <f t="shared" si="19"/>
        <v>2057</v>
      </c>
    </row>
    <row r="74" spans="1:36" x14ac:dyDescent="0.35">
      <c r="C74" t="s">
        <v>557</v>
      </c>
      <c r="E74" s="530"/>
      <c r="F74" s="530"/>
      <c r="G74" s="530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0"/>
      <c r="T74" s="530"/>
      <c r="U74" s="530"/>
      <c r="V74" s="530"/>
      <c r="W74" s="530"/>
      <c r="X74" s="530"/>
      <c r="Y74" s="530"/>
      <c r="Z74" s="530"/>
      <c r="AA74" s="530"/>
      <c r="AB74" s="530"/>
      <c r="AC74" s="530"/>
      <c r="AD74" s="530"/>
      <c r="AE74" s="530"/>
      <c r="AF74" s="530"/>
      <c r="AG74" s="530"/>
      <c r="AH74" s="530"/>
      <c r="AI74" s="530"/>
      <c r="AJ74" s="530"/>
    </row>
    <row r="75" spans="1:36" x14ac:dyDescent="0.35">
      <c r="C75" t="s">
        <v>558</v>
      </c>
      <c r="E75" s="530"/>
      <c r="F75" s="530"/>
      <c r="G75" s="530"/>
      <c r="H75" s="530"/>
      <c r="I75" s="530"/>
      <c r="J75" s="530"/>
      <c r="K75" s="530"/>
      <c r="L75" s="530"/>
      <c r="M75" s="530"/>
      <c r="N75" s="530"/>
      <c r="O75" s="530"/>
      <c r="P75" s="530"/>
      <c r="Q75" s="530"/>
      <c r="R75" s="530"/>
      <c r="S75" s="530"/>
      <c r="T75" s="530"/>
      <c r="U75" s="530"/>
      <c r="V75" s="530"/>
      <c r="W75" s="530"/>
      <c r="X75" s="530"/>
      <c r="Y75" s="530"/>
      <c r="Z75" s="530"/>
      <c r="AA75" s="530"/>
      <c r="AB75" s="530"/>
      <c r="AC75" s="530"/>
      <c r="AD75" s="530"/>
      <c r="AE75" s="530"/>
      <c r="AF75" s="530"/>
      <c r="AG75" s="530"/>
      <c r="AH75" s="530"/>
      <c r="AI75" s="530"/>
      <c r="AJ75" s="530"/>
    </row>
    <row r="76" spans="1:36" x14ac:dyDescent="0.35"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8"/>
      <c r="AF76" s="548"/>
      <c r="AG76" s="548"/>
      <c r="AH76" s="548"/>
      <c r="AI76" s="548"/>
      <c r="AJ76" s="548"/>
    </row>
    <row r="77" spans="1:36" x14ac:dyDescent="0.35">
      <c r="C77" t="s">
        <v>559</v>
      </c>
      <c r="E77" s="530"/>
      <c r="F77" s="530"/>
      <c r="G77" s="530"/>
      <c r="H77" s="530"/>
      <c r="I77" s="530"/>
      <c r="J77" s="530"/>
      <c r="K77" s="530"/>
      <c r="L77" s="530"/>
      <c r="M77" s="530"/>
      <c r="N77" s="530"/>
      <c r="O77" s="530"/>
      <c r="P77" s="530"/>
      <c r="Q77" s="530"/>
      <c r="R77" s="530"/>
      <c r="S77" s="530"/>
      <c r="T77" s="530"/>
      <c r="U77" s="530"/>
      <c r="V77" s="530"/>
      <c r="W77" s="530"/>
      <c r="X77" s="530"/>
      <c r="Y77" s="530"/>
      <c r="Z77" s="530"/>
      <c r="AA77" s="530"/>
      <c r="AB77" s="530"/>
      <c r="AC77" s="530"/>
      <c r="AD77" s="530"/>
      <c r="AE77" s="530"/>
      <c r="AF77" s="530"/>
      <c r="AG77" s="530"/>
      <c r="AH77" s="530"/>
      <c r="AI77" s="530"/>
      <c r="AJ77" s="530"/>
    </row>
    <row r="78" spans="1:36" x14ac:dyDescent="0.35">
      <c r="C78" t="s">
        <v>560</v>
      </c>
      <c r="E78" s="530">
        <f>(E75)/(1+InflationMeter)^(MeterRetireYears)</f>
        <v>0</v>
      </c>
      <c r="F78" s="530">
        <f>(F75)/(1+InflationMeter)^(MeterRetireYears)</f>
        <v>0</v>
      </c>
      <c r="G78" s="530">
        <f>(G75)/(1+InflationMeter)^(MeterRetireYears)</f>
        <v>0</v>
      </c>
      <c r="H78" s="530">
        <f t="shared" ref="H78:S78" si="20">(H75)/(1+InflationMeter)^(MeterRetireYearsAlt)</f>
        <v>0</v>
      </c>
      <c r="I78" s="530">
        <f t="shared" si="20"/>
        <v>0</v>
      </c>
      <c r="J78" s="530">
        <f t="shared" si="20"/>
        <v>0</v>
      </c>
      <c r="K78" s="530">
        <f t="shared" si="20"/>
        <v>0</v>
      </c>
      <c r="L78" s="530">
        <f t="shared" si="20"/>
        <v>0</v>
      </c>
      <c r="M78" s="530">
        <f t="shared" si="20"/>
        <v>0</v>
      </c>
      <c r="N78" s="530">
        <f t="shared" si="20"/>
        <v>0</v>
      </c>
      <c r="O78" s="530">
        <f t="shared" si="20"/>
        <v>0</v>
      </c>
      <c r="P78" s="530">
        <f t="shared" si="20"/>
        <v>0</v>
      </c>
      <c r="Q78" s="530">
        <f t="shared" si="20"/>
        <v>0</v>
      </c>
      <c r="R78" s="530">
        <f t="shared" si="20"/>
        <v>0</v>
      </c>
      <c r="S78" s="530">
        <f t="shared" si="20"/>
        <v>0</v>
      </c>
      <c r="T78" s="530"/>
      <c r="U78" s="530"/>
      <c r="V78" s="530"/>
      <c r="W78" s="530"/>
      <c r="X78" s="530"/>
      <c r="Y78" s="530"/>
      <c r="Z78" s="530"/>
      <c r="AA78" s="530"/>
      <c r="AB78" s="530"/>
      <c r="AC78" s="530"/>
      <c r="AD78" s="530"/>
      <c r="AE78" s="530"/>
      <c r="AF78" s="530"/>
      <c r="AG78" s="530"/>
      <c r="AH78" s="530"/>
      <c r="AI78" s="530"/>
      <c r="AJ78" s="530"/>
    </row>
    <row r="80" spans="1:36" x14ac:dyDescent="0.35">
      <c r="E80" s="9"/>
      <c r="F80" s="9"/>
      <c r="G80" s="9"/>
    </row>
    <row r="81" spans="5:7" x14ac:dyDescent="0.35">
      <c r="E81" s="9"/>
      <c r="F81" s="9"/>
      <c r="G81" s="9"/>
    </row>
    <row r="82" spans="5:7" x14ac:dyDescent="0.35">
      <c r="E82" s="7"/>
    </row>
  </sheetData>
  <mergeCells count="3">
    <mergeCell ref="B64:B69"/>
    <mergeCell ref="J22:S22"/>
    <mergeCell ref="B22:G22"/>
  </mergeCells>
  <phoneticPr fontId="3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108DC-6DEC-4C47-A421-4E153E164AF9}">
  <sheetPr>
    <tabColor theme="5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B347-021C-4FE8-B89A-5D2CD53DF09B}">
  <sheetPr>
    <tabColor rgb="FFC00000"/>
  </sheetPr>
  <dimension ref="A1:R1020"/>
  <sheetViews>
    <sheetView topLeftCell="A15" workbookViewId="0">
      <selection activeCell="R20" sqref="R20"/>
    </sheetView>
  </sheetViews>
  <sheetFormatPr defaultRowHeight="14.5" x14ac:dyDescent="0.35"/>
  <cols>
    <col min="1" max="1" width="20.7265625" bestFit="1" customWidth="1"/>
    <col min="2" max="2" width="6.453125" customWidth="1"/>
    <col min="3" max="3" width="27" customWidth="1"/>
    <col min="4" max="6" width="10.54296875" bestFit="1" customWidth="1"/>
    <col min="7" max="7" width="12.54296875" customWidth="1"/>
    <col min="8" max="8" width="10.54296875" style="38" customWidth="1"/>
    <col min="11" max="11" width="20.7265625" bestFit="1" customWidth="1"/>
    <col min="12" max="12" width="5.26953125" customWidth="1"/>
    <col min="13" max="13" width="32.7265625" bestFit="1" customWidth="1"/>
    <col min="14" max="16" width="8.54296875" bestFit="1" customWidth="1"/>
    <col min="17" max="17" width="11.7265625" customWidth="1"/>
    <col min="18" max="18" width="11" style="38" bestFit="1" customWidth="1"/>
  </cols>
  <sheetData>
    <row r="1" spans="1:18" ht="15.5" x14ac:dyDescent="0.35">
      <c r="A1" s="67" t="s">
        <v>561</v>
      </c>
      <c r="F1" s="388" t="s">
        <v>1108</v>
      </c>
    </row>
    <row r="2" spans="1:18" ht="15.5" x14ac:dyDescent="0.35">
      <c r="A2" s="67" t="s">
        <v>562</v>
      </c>
      <c r="R2" s="388"/>
    </row>
    <row r="3" spans="1:18" x14ac:dyDescent="0.35">
      <c r="A3" s="296"/>
      <c r="D3" s="6"/>
      <c r="E3" s="6"/>
      <c r="F3" s="6"/>
      <c r="G3" s="6"/>
      <c r="H3" s="2"/>
      <c r="I3" s="2" t="str">
        <f>IF(RIGHT(A3,5)="Total",IFERROR(RATE(3,,-E3,H3),""),"")</f>
        <v/>
      </c>
      <c r="R3" s="2" t="str">
        <f>IF(OR(ISBLANK(N3),ISBLANK(Q3)),"",IFERROR(RATE(3,,-N3,Q3),""))</f>
        <v/>
      </c>
    </row>
    <row r="4" spans="1:18" x14ac:dyDescent="0.35">
      <c r="B4" s="19"/>
      <c r="C4" s="19"/>
      <c r="D4" s="19"/>
      <c r="E4" s="19"/>
      <c r="F4" s="19"/>
      <c r="G4" s="19"/>
      <c r="H4" s="85"/>
    </row>
    <row r="5" spans="1:18" x14ac:dyDescent="0.35">
      <c r="A5" s="19" t="s">
        <v>563</v>
      </c>
      <c r="B5" s="19"/>
      <c r="C5" s="19"/>
      <c r="D5" s="19" t="s">
        <v>564</v>
      </c>
      <c r="E5" s="19"/>
      <c r="F5" s="19"/>
      <c r="G5" s="19"/>
      <c r="K5" s="19" t="s">
        <v>563</v>
      </c>
      <c r="L5" s="19"/>
      <c r="M5" s="19"/>
      <c r="N5" s="19" t="s">
        <v>564</v>
      </c>
      <c r="O5" s="19"/>
      <c r="P5" s="19"/>
      <c r="Q5" s="19"/>
      <c r="R5" s="85"/>
    </row>
    <row r="6" spans="1:18" x14ac:dyDescent="0.35">
      <c r="A6" s="27" t="s">
        <v>565</v>
      </c>
      <c r="B6" s="27"/>
      <c r="C6" s="27" t="s">
        <v>566</v>
      </c>
      <c r="D6" s="27">
        <f>YearOne-4</f>
        <v>2022</v>
      </c>
      <c r="E6" s="27">
        <f>YearOne-3</f>
        <v>2023</v>
      </c>
      <c r="F6" s="27">
        <f>YearOne-2</f>
        <v>2024</v>
      </c>
      <c r="G6" s="27">
        <f>YearOne-1</f>
        <v>2025</v>
      </c>
      <c r="H6" s="86" t="s">
        <v>567</v>
      </c>
      <c r="K6" s="27" t="s">
        <v>568</v>
      </c>
      <c r="L6" s="27"/>
      <c r="M6" s="27" t="s">
        <v>569</v>
      </c>
      <c r="N6" s="27">
        <f>YearOne-4</f>
        <v>2022</v>
      </c>
      <c r="O6" s="27">
        <f>YearOne-3</f>
        <v>2023</v>
      </c>
      <c r="P6" s="27">
        <f>YearOne-2</f>
        <v>2024</v>
      </c>
      <c r="Q6" s="27">
        <f>YearOne-1</f>
        <v>2025</v>
      </c>
      <c r="R6" s="86" t="s">
        <v>567</v>
      </c>
    </row>
    <row r="7" spans="1:18" x14ac:dyDescent="0.35">
      <c r="A7" t="s">
        <v>570</v>
      </c>
      <c r="C7" t="s">
        <v>571</v>
      </c>
      <c r="D7" s="512"/>
      <c r="E7" s="512"/>
      <c r="F7" s="512"/>
      <c r="G7" s="6"/>
      <c r="H7" s="2"/>
      <c r="I7" s="2" t="str">
        <f t="shared" ref="I7:I12" si="0">IF(RIGHT(A7,5)="Total",IFERROR(RATE(3,,-E7,H7),""),"")</f>
        <v/>
      </c>
      <c r="K7" t="s">
        <v>570</v>
      </c>
      <c r="M7" t="s">
        <v>572</v>
      </c>
      <c r="N7" s="512"/>
      <c r="O7" s="512"/>
      <c r="P7" s="512"/>
      <c r="Q7" s="197"/>
      <c r="R7" s="2"/>
    </row>
    <row r="8" spans="1:18" x14ac:dyDescent="0.35">
      <c r="D8" s="6"/>
      <c r="E8" s="6"/>
      <c r="F8" s="6"/>
      <c r="G8" s="6"/>
      <c r="H8" s="2"/>
      <c r="I8" s="2" t="str">
        <f t="shared" si="0"/>
        <v/>
      </c>
      <c r="N8" s="197"/>
      <c r="O8" s="197"/>
      <c r="P8" s="197"/>
      <c r="Q8" s="197"/>
      <c r="R8" s="2"/>
    </row>
    <row r="9" spans="1:18" x14ac:dyDescent="0.35">
      <c r="D9" s="6"/>
      <c r="E9" s="6"/>
      <c r="F9" s="6"/>
      <c r="G9" s="6"/>
      <c r="H9" s="2"/>
      <c r="I9" s="2" t="str">
        <f t="shared" si="0"/>
        <v/>
      </c>
      <c r="N9" s="197"/>
      <c r="O9" s="197"/>
      <c r="P9" s="197"/>
      <c r="Q9" s="197"/>
      <c r="R9" s="2"/>
    </row>
    <row r="10" spans="1:18" x14ac:dyDescent="0.35">
      <c r="D10" s="6"/>
      <c r="E10" s="6"/>
      <c r="F10" s="6"/>
      <c r="G10" s="6"/>
      <c r="H10" s="2"/>
      <c r="I10" s="2"/>
      <c r="N10" s="197"/>
      <c r="O10" s="197"/>
      <c r="P10" s="197"/>
      <c r="Q10" s="197"/>
      <c r="R10" s="2"/>
    </row>
    <row r="11" spans="1:18" ht="15.5" x14ac:dyDescent="0.35">
      <c r="A11" s="196" t="s">
        <v>573</v>
      </c>
      <c r="B11" s="196"/>
      <c r="C11" s="196"/>
      <c r="D11" s="513">
        <f>D7</f>
        <v>0</v>
      </c>
      <c r="E11" s="513">
        <f t="shared" ref="E11:F11" si="1">E7</f>
        <v>0</v>
      </c>
      <c r="F11" s="513">
        <f t="shared" si="1"/>
        <v>0</v>
      </c>
      <c r="G11" s="513"/>
      <c r="H11" s="514" t="str">
        <f>IF(OR(ISBLANK(D11),ISBLANK(F11)),"",IFERROR(RATE(2,,-D11,F11),""))</f>
        <v/>
      </c>
      <c r="I11" s="2"/>
      <c r="K11" s="196" t="s">
        <v>574</v>
      </c>
      <c r="L11" s="196"/>
      <c r="M11" s="196"/>
      <c r="N11" s="524"/>
      <c r="O11" s="524"/>
      <c r="P11" s="524"/>
      <c r="Q11" s="513"/>
      <c r="R11" s="514" t="str">
        <f>IF(OR(ISBLANK(N11),ISBLANK(P11)),"",IFERROR(RATE(2,,-N11,P11),""))</f>
        <v/>
      </c>
    </row>
    <row r="12" spans="1:18" x14ac:dyDescent="0.35">
      <c r="D12" s="6"/>
      <c r="E12" s="6"/>
      <c r="F12" s="6"/>
      <c r="H12" s="2"/>
      <c r="I12" s="2" t="str">
        <f t="shared" si="0"/>
        <v/>
      </c>
      <c r="N12" s="7"/>
      <c r="O12" s="7"/>
      <c r="P12" s="7"/>
      <c r="Q12" s="384"/>
      <c r="R12" s="87"/>
    </row>
    <row r="13" spans="1:18" ht="18.5" x14ac:dyDescent="0.45">
      <c r="A13" s="19" t="s">
        <v>575</v>
      </c>
      <c r="G13" s="3" t="s">
        <v>576</v>
      </c>
      <c r="H13" s="515" t="str">
        <f>H11</f>
        <v/>
      </c>
      <c r="K13" t="s">
        <v>577</v>
      </c>
      <c r="Q13" s="3" t="s">
        <v>576</v>
      </c>
      <c r="R13" s="515" t="str">
        <f>R11</f>
        <v/>
      </c>
    </row>
    <row r="14" spans="1:18" x14ac:dyDescent="0.35">
      <c r="A14" s="19"/>
      <c r="G14" s="3"/>
      <c r="Q14" s="3"/>
      <c r="R14" s="525"/>
    </row>
    <row r="15" spans="1:18" x14ac:dyDescent="0.35">
      <c r="A15" s="19" t="s">
        <v>578</v>
      </c>
      <c r="G15" s="3" t="s">
        <v>579</v>
      </c>
      <c r="H15" s="516">
        <f>G11</f>
        <v>0</v>
      </c>
      <c r="K15" t="s">
        <v>580</v>
      </c>
      <c r="Q15" s="3" t="s">
        <v>579</v>
      </c>
      <c r="R15" s="526"/>
    </row>
    <row r="16" spans="1:18" x14ac:dyDescent="0.35">
      <c r="A16" s="19"/>
      <c r="G16" s="3" t="s">
        <v>581</v>
      </c>
      <c r="H16" s="517"/>
      <c r="Q16" s="3" t="s">
        <v>581</v>
      </c>
      <c r="R16" s="517"/>
    </row>
    <row r="17" spans="1:18" x14ac:dyDescent="0.35">
      <c r="A17" s="19"/>
      <c r="G17" s="3" t="s">
        <v>582</v>
      </c>
      <c r="H17" s="517"/>
      <c r="Q17" s="3" t="s">
        <v>582</v>
      </c>
      <c r="R17" s="517"/>
    </row>
    <row r="18" spans="1:18" x14ac:dyDescent="0.35">
      <c r="D18" s="6"/>
      <c r="E18" s="2"/>
      <c r="F18" s="2"/>
      <c r="G18" s="3" t="s">
        <v>583</v>
      </c>
      <c r="H18" s="518">
        <f>H15*H16*(1+H17)</f>
        <v>0</v>
      </c>
      <c r="I18" s="2"/>
      <c r="Q18" s="3" t="s">
        <v>583</v>
      </c>
      <c r="R18" s="527"/>
    </row>
    <row r="19" spans="1:18" x14ac:dyDescent="0.35">
      <c r="D19" s="6"/>
      <c r="E19" s="2"/>
      <c r="F19" s="2"/>
      <c r="G19" s="3" t="s">
        <v>584</v>
      </c>
      <c r="H19" s="519"/>
      <c r="I19" s="2"/>
      <c r="Q19" s="3"/>
      <c r="R19" s="519"/>
    </row>
    <row r="20" spans="1:18" ht="18.5" x14ac:dyDescent="0.45">
      <c r="D20" s="6"/>
      <c r="E20" s="6"/>
      <c r="F20" s="6"/>
      <c r="G20" s="389" t="s">
        <v>585</v>
      </c>
      <c r="H20" s="520">
        <f>H18*(1+H19)</f>
        <v>0</v>
      </c>
      <c r="I20" s="2" t="str">
        <f t="shared" ref="I20:I36" si="2">IF(RIGHT(A20,5)="Total",IFERROR(RATE(3,,-E20,H20),""),"")</f>
        <v/>
      </c>
      <c r="Q20" s="389" t="s">
        <v>585</v>
      </c>
      <c r="R20" s="528"/>
    </row>
    <row r="21" spans="1:18" x14ac:dyDescent="0.35">
      <c r="D21" s="6"/>
      <c r="E21" s="6"/>
      <c r="F21" s="6"/>
      <c r="G21" s="6"/>
      <c r="H21" s="2"/>
      <c r="I21" s="2"/>
      <c r="R21" s="2" t="str">
        <f t="shared" ref="R21:R29" si="3">IF(OR(ISBLANK(N21),ISBLANK(Q21)),"",IFERROR(RATE(3,,-N21,Q21),""))</f>
        <v/>
      </c>
    </row>
    <row r="22" spans="1:18" x14ac:dyDescent="0.35">
      <c r="A22" s="521"/>
      <c r="B22" s="522"/>
      <c r="C22" s="522"/>
      <c r="D22" s="512"/>
      <c r="E22" s="512"/>
      <c r="F22" s="512"/>
      <c r="G22" s="512"/>
      <c r="H22" s="523"/>
      <c r="I22" s="523"/>
      <c r="R22" s="2" t="str">
        <f t="shared" si="3"/>
        <v/>
      </c>
    </row>
    <row r="23" spans="1:18" x14ac:dyDescent="0.35">
      <c r="D23" s="6"/>
      <c r="E23" s="6"/>
      <c r="F23" s="6"/>
      <c r="G23" s="6"/>
      <c r="H23" s="2"/>
      <c r="I23" s="2" t="str">
        <f t="shared" si="2"/>
        <v/>
      </c>
      <c r="R23" s="2" t="str">
        <f t="shared" si="3"/>
        <v/>
      </c>
    </row>
    <row r="24" spans="1:18" x14ac:dyDescent="0.35">
      <c r="D24" s="6"/>
      <c r="E24" s="6"/>
      <c r="F24" s="6"/>
      <c r="G24" s="6"/>
      <c r="H24" s="2"/>
      <c r="I24" s="2" t="str">
        <f t="shared" si="2"/>
        <v/>
      </c>
      <c r="R24" s="2" t="str">
        <f t="shared" si="3"/>
        <v/>
      </c>
    </row>
    <row r="25" spans="1:18" x14ac:dyDescent="0.35">
      <c r="D25" s="6"/>
      <c r="E25" s="6"/>
      <c r="F25" s="6"/>
      <c r="G25" s="6"/>
      <c r="H25" s="2"/>
      <c r="I25" s="2" t="str">
        <f t="shared" si="2"/>
        <v/>
      </c>
      <c r="R25" s="2" t="str">
        <f t="shared" si="3"/>
        <v/>
      </c>
    </row>
    <row r="26" spans="1:18" x14ac:dyDescent="0.35">
      <c r="D26" s="6"/>
      <c r="E26" s="6"/>
      <c r="F26" s="6"/>
      <c r="G26" s="6"/>
      <c r="H26" s="2"/>
      <c r="I26" s="2" t="str">
        <f t="shared" si="2"/>
        <v/>
      </c>
      <c r="R26" s="2" t="str">
        <f t="shared" si="3"/>
        <v/>
      </c>
    </row>
    <row r="27" spans="1:18" x14ac:dyDescent="0.35">
      <c r="D27" s="6"/>
      <c r="E27" s="6"/>
      <c r="F27" s="6"/>
      <c r="G27" s="6"/>
      <c r="H27" s="2"/>
      <c r="I27" s="2" t="str">
        <f t="shared" si="2"/>
        <v/>
      </c>
      <c r="R27" s="2" t="str">
        <f t="shared" si="3"/>
        <v/>
      </c>
    </row>
    <row r="28" spans="1:18" x14ac:dyDescent="0.35">
      <c r="D28" s="6"/>
      <c r="E28" s="6"/>
      <c r="F28" s="6"/>
      <c r="G28" s="6"/>
      <c r="H28" s="2"/>
      <c r="I28" s="2" t="str">
        <f t="shared" si="2"/>
        <v/>
      </c>
      <c r="L28" s="9"/>
      <c r="R28" s="2" t="str">
        <f t="shared" si="3"/>
        <v/>
      </c>
    </row>
    <row r="29" spans="1:18" x14ac:dyDescent="0.35">
      <c r="D29" s="6"/>
      <c r="E29" s="6"/>
      <c r="F29" s="6"/>
      <c r="G29" s="6"/>
      <c r="H29" s="2"/>
      <c r="I29" s="2" t="str">
        <f t="shared" si="2"/>
        <v/>
      </c>
      <c r="L29" s="123"/>
      <c r="R29" s="2" t="str">
        <f t="shared" si="3"/>
        <v/>
      </c>
    </row>
    <row r="30" spans="1:18" x14ac:dyDescent="0.35">
      <c r="D30" s="6"/>
      <c r="E30" s="6"/>
      <c r="F30" s="6"/>
      <c r="G30" s="6"/>
      <c r="H30" s="2"/>
      <c r="I30" s="2" t="str">
        <f t="shared" si="2"/>
        <v/>
      </c>
      <c r="R30" s="2" t="str">
        <f t="shared" ref="R30:R75" si="4">IF(OR(ISBLANK(N30),ISBLANK(Q30)),"",IFERROR(RATE(3,,-N30,Q30),""))</f>
        <v/>
      </c>
    </row>
    <row r="31" spans="1:18" x14ac:dyDescent="0.35">
      <c r="D31" s="6"/>
      <c r="E31" s="6"/>
      <c r="F31" s="6"/>
      <c r="G31" s="6"/>
      <c r="H31" s="2"/>
      <c r="I31" s="2" t="str">
        <f t="shared" si="2"/>
        <v/>
      </c>
      <c r="R31" s="2" t="str">
        <f t="shared" si="4"/>
        <v/>
      </c>
    </row>
    <row r="32" spans="1:18" x14ac:dyDescent="0.35">
      <c r="D32" s="6"/>
      <c r="E32" s="6"/>
      <c r="F32" s="6"/>
      <c r="G32" s="6"/>
      <c r="H32" s="2"/>
      <c r="I32" s="2" t="str">
        <f t="shared" si="2"/>
        <v/>
      </c>
      <c r="R32" s="2" t="str">
        <f t="shared" si="4"/>
        <v/>
      </c>
    </row>
    <row r="33" spans="1:18" x14ac:dyDescent="0.35">
      <c r="D33" s="6"/>
      <c r="E33" s="6"/>
      <c r="F33" s="6"/>
      <c r="G33" s="6"/>
      <c r="H33" s="2"/>
      <c r="I33" s="2" t="str">
        <f t="shared" si="2"/>
        <v/>
      </c>
      <c r="R33" s="2" t="str">
        <f t="shared" si="4"/>
        <v/>
      </c>
    </row>
    <row r="34" spans="1:18" x14ac:dyDescent="0.35">
      <c r="D34" s="71"/>
      <c r="E34" s="71"/>
      <c r="F34" s="71"/>
      <c r="G34" s="71"/>
      <c r="H34" s="2"/>
      <c r="I34" s="2" t="str">
        <f t="shared" si="2"/>
        <v/>
      </c>
      <c r="R34" s="2" t="str">
        <f t="shared" si="4"/>
        <v/>
      </c>
    </row>
    <row r="35" spans="1:18" x14ac:dyDescent="0.35">
      <c r="D35" s="71"/>
      <c r="E35" s="71"/>
      <c r="F35" s="71"/>
      <c r="G35" s="71"/>
      <c r="H35" s="2"/>
      <c r="I35" s="2" t="str">
        <f t="shared" si="2"/>
        <v/>
      </c>
      <c r="R35" s="2" t="str">
        <f t="shared" si="4"/>
        <v/>
      </c>
    </row>
    <row r="36" spans="1:18" x14ac:dyDescent="0.35">
      <c r="D36" s="71"/>
      <c r="E36" s="71"/>
      <c r="F36" s="71"/>
      <c r="G36" s="71"/>
      <c r="H36" s="2"/>
      <c r="I36" s="2" t="str">
        <f t="shared" si="2"/>
        <v/>
      </c>
      <c r="R36" s="2" t="str">
        <f t="shared" si="4"/>
        <v/>
      </c>
    </row>
    <row r="37" spans="1:18" x14ac:dyDescent="0.35">
      <c r="I37" s="2"/>
      <c r="R37" s="2" t="str">
        <f t="shared" si="4"/>
        <v/>
      </c>
    </row>
    <row r="38" spans="1:18" ht="18.5" x14ac:dyDescent="0.45">
      <c r="A38" s="19"/>
      <c r="B38" s="19"/>
      <c r="C38" s="19"/>
      <c r="D38" s="215"/>
      <c r="E38" s="215"/>
      <c r="F38" s="215"/>
      <c r="H38" s="2"/>
      <c r="R38" s="2" t="str">
        <f t="shared" si="4"/>
        <v/>
      </c>
    </row>
    <row r="39" spans="1:18" x14ac:dyDescent="0.35">
      <c r="D39" s="71"/>
      <c r="E39" s="71"/>
      <c r="F39" s="71"/>
      <c r="G39" s="71"/>
      <c r="R39" s="2" t="str">
        <f t="shared" si="4"/>
        <v/>
      </c>
    </row>
    <row r="40" spans="1:18" x14ac:dyDescent="0.35">
      <c r="D40" s="71"/>
      <c r="E40" s="71"/>
      <c r="F40" s="71"/>
      <c r="G40" s="71"/>
      <c r="R40" s="2" t="str">
        <f t="shared" si="4"/>
        <v/>
      </c>
    </row>
    <row r="41" spans="1:18" x14ac:dyDescent="0.35">
      <c r="D41" s="71"/>
      <c r="E41" s="71"/>
      <c r="F41" s="71"/>
      <c r="G41" s="71"/>
      <c r="R41" s="2" t="str">
        <f t="shared" si="4"/>
        <v/>
      </c>
    </row>
    <row r="42" spans="1:18" x14ac:dyDescent="0.35">
      <c r="D42" s="71"/>
      <c r="E42" s="71"/>
      <c r="F42" s="71"/>
      <c r="G42" s="71"/>
      <c r="R42" s="2" t="str">
        <f t="shared" si="4"/>
        <v/>
      </c>
    </row>
    <row r="43" spans="1:18" x14ac:dyDescent="0.35">
      <c r="D43" s="6"/>
      <c r="E43" s="6"/>
      <c r="F43" s="6"/>
      <c r="G43" s="6"/>
      <c r="R43" s="2" t="str">
        <f t="shared" si="4"/>
        <v/>
      </c>
    </row>
    <row r="44" spans="1:18" x14ac:dyDescent="0.35">
      <c r="D44" s="6"/>
      <c r="E44" s="6"/>
      <c r="F44" s="6"/>
      <c r="G44" s="6"/>
      <c r="R44" s="2" t="str">
        <f t="shared" si="4"/>
        <v/>
      </c>
    </row>
    <row r="45" spans="1:18" x14ac:dyDescent="0.35">
      <c r="D45" s="6"/>
      <c r="E45" s="6"/>
      <c r="F45" s="6"/>
      <c r="G45" s="6"/>
      <c r="R45" s="2" t="str">
        <f t="shared" si="4"/>
        <v/>
      </c>
    </row>
    <row r="46" spans="1:18" x14ac:dyDescent="0.35">
      <c r="D46" s="6"/>
      <c r="E46" s="6"/>
      <c r="F46" s="6"/>
      <c r="G46" s="6"/>
      <c r="R46" s="2" t="str">
        <f t="shared" si="4"/>
        <v/>
      </c>
    </row>
    <row r="47" spans="1:18" x14ac:dyDescent="0.35">
      <c r="D47" s="6"/>
      <c r="E47" s="6"/>
      <c r="F47" s="6"/>
      <c r="G47" s="6"/>
      <c r="R47" s="2" t="str">
        <f t="shared" si="4"/>
        <v/>
      </c>
    </row>
    <row r="48" spans="1:18" x14ac:dyDescent="0.35">
      <c r="D48" s="6"/>
      <c r="E48" s="6"/>
      <c r="F48" s="6"/>
      <c r="G48" s="6"/>
      <c r="R48" s="2" t="str">
        <f t="shared" si="4"/>
        <v/>
      </c>
    </row>
    <row r="49" spans="4:18" x14ac:dyDescent="0.35">
      <c r="D49" s="6"/>
      <c r="E49" s="6"/>
      <c r="F49" s="6"/>
      <c r="G49" s="6"/>
      <c r="R49" s="2" t="str">
        <f t="shared" si="4"/>
        <v/>
      </c>
    </row>
    <row r="50" spans="4:18" x14ac:dyDescent="0.35">
      <c r="D50" s="9"/>
      <c r="E50" s="9"/>
      <c r="F50" s="9"/>
      <c r="G50" s="9"/>
      <c r="R50" s="2" t="str">
        <f t="shared" si="4"/>
        <v/>
      </c>
    </row>
    <row r="51" spans="4:18" x14ac:dyDescent="0.35">
      <c r="D51" s="9"/>
      <c r="E51" s="9"/>
      <c r="F51" s="9"/>
      <c r="G51" s="9"/>
      <c r="R51" s="2" t="str">
        <f t="shared" si="4"/>
        <v/>
      </c>
    </row>
    <row r="52" spans="4:18" x14ac:dyDescent="0.35">
      <c r="D52" s="9"/>
      <c r="E52" s="9"/>
      <c r="F52" s="9"/>
      <c r="G52" s="9"/>
      <c r="R52" s="2" t="str">
        <f t="shared" si="4"/>
        <v/>
      </c>
    </row>
    <row r="53" spans="4:18" x14ac:dyDescent="0.35">
      <c r="D53" s="9"/>
      <c r="E53" s="9"/>
      <c r="F53" s="9"/>
      <c r="G53" s="9"/>
      <c r="R53" s="2" t="str">
        <f t="shared" si="4"/>
        <v/>
      </c>
    </row>
    <row r="54" spans="4:18" x14ac:dyDescent="0.35">
      <c r="D54" s="9"/>
      <c r="E54" s="9"/>
      <c r="F54" s="9"/>
      <c r="G54" s="9"/>
      <c r="R54" s="2" t="str">
        <f t="shared" si="4"/>
        <v/>
      </c>
    </row>
    <row r="55" spans="4:18" x14ac:dyDescent="0.35">
      <c r="D55" s="9"/>
      <c r="E55" s="9"/>
      <c r="F55" s="9"/>
      <c r="G55" s="9"/>
      <c r="R55" s="2" t="str">
        <f t="shared" si="4"/>
        <v/>
      </c>
    </row>
    <row r="56" spans="4:18" x14ac:dyDescent="0.35">
      <c r="D56" s="9"/>
      <c r="E56" s="9"/>
      <c r="F56" s="9"/>
      <c r="G56" s="9"/>
      <c r="R56" s="2" t="str">
        <f t="shared" si="4"/>
        <v/>
      </c>
    </row>
    <row r="57" spans="4:18" x14ac:dyDescent="0.35">
      <c r="D57" s="9"/>
      <c r="E57" s="9"/>
      <c r="F57" s="9"/>
      <c r="G57" s="9"/>
      <c r="R57" s="2" t="str">
        <f t="shared" si="4"/>
        <v/>
      </c>
    </row>
    <row r="58" spans="4:18" x14ac:dyDescent="0.35">
      <c r="D58" s="9"/>
      <c r="E58" s="9"/>
      <c r="F58" s="9"/>
      <c r="G58" s="9"/>
      <c r="R58" s="2" t="str">
        <f t="shared" si="4"/>
        <v/>
      </c>
    </row>
    <row r="59" spans="4:18" x14ac:dyDescent="0.35">
      <c r="D59" s="9"/>
      <c r="E59" s="9"/>
      <c r="F59" s="9"/>
      <c r="G59" s="9"/>
      <c r="R59" s="2" t="str">
        <f t="shared" si="4"/>
        <v/>
      </c>
    </row>
    <row r="60" spans="4:18" x14ac:dyDescent="0.35">
      <c r="D60" s="9"/>
      <c r="E60" s="9"/>
      <c r="F60" s="9"/>
      <c r="G60" s="9"/>
      <c r="R60" s="2" t="str">
        <f t="shared" si="4"/>
        <v/>
      </c>
    </row>
    <row r="61" spans="4:18" x14ac:dyDescent="0.35">
      <c r="D61" s="9"/>
      <c r="E61" s="9"/>
      <c r="F61" s="9"/>
      <c r="G61" s="9"/>
      <c r="R61" s="2" t="str">
        <f t="shared" si="4"/>
        <v/>
      </c>
    </row>
    <row r="62" spans="4:18" x14ac:dyDescent="0.35">
      <c r="D62" s="9"/>
      <c r="E62" s="9"/>
      <c r="F62" s="9"/>
      <c r="G62" s="9"/>
      <c r="R62" s="2" t="str">
        <f t="shared" si="4"/>
        <v/>
      </c>
    </row>
    <row r="63" spans="4:18" x14ac:dyDescent="0.35">
      <c r="D63" s="9"/>
      <c r="E63" s="9"/>
      <c r="F63" s="9"/>
      <c r="G63" s="9"/>
      <c r="R63" s="2" t="str">
        <f t="shared" si="4"/>
        <v/>
      </c>
    </row>
    <row r="64" spans="4:18" x14ac:dyDescent="0.35">
      <c r="D64" s="9"/>
      <c r="E64" s="9"/>
      <c r="F64" s="9"/>
      <c r="G64" s="9"/>
      <c r="R64" s="2" t="str">
        <f t="shared" si="4"/>
        <v/>
      </c>
    </row>
    <row r="65" spans="4:18" x14ac:dyDescent="0.35">
      <c r="D65" s="9"/>
      <c r="E65" s="9"/>
      <c r="F65" s="9"/>
      <c r="G65" s="9"/>
      <c r="R65" s="2" t="str">
        <f t="shared" si="4"/>
        <v/>
      </c>
    </row>
    <row r="66" spans="4:18" x14ac:dyDescent="0.35">
      <c r="D66" s="9"/>
      <c r="E66" s="9"/>
      <c r="F66" s="9"/>
      <c r="G66" s="9"/>
      <c r="R66" s="2" t="str">
        <f t="shared" si="4"/>
        <v/>
      </c>
    </row>
    <row r="67" spans="4:18" x14ac:dyDescent="0.35">
      <c r="D67" s="9"/>
      <c r="E67" s="9"/>
      <c r="F67" s="9"/>
      <c r="G67" s="9"/>
      <c r="R67" s="2" t="str">
        <f t="shared" si="4"/>
        <v/>
      </c>
    </row>
    <row r="68" spans="4:18" x14ac:dyDescent="0.35">
      <c r="D68" s="9"/>
      <c r="E68" s="9"/>
      <c r="F68" s="9"/>
      <c r="G68" s="9"/>
      <c r="R68" s="2" t="str">
        <f t="shared" si="4"/>
        <v/>
      </c>
    </row>
    <row r="69" spans="4:18" x14ac:dyDescent="0.35">
      <c r="D69" s="9"/>
      <c r="E69" s="9"/>
      <c r="F69" s="9"/>
      <c r="G69" s="9"/>
      <c r="R69" s="2" t="str">
        <f t="shared" si="4"/>
        <v/>
      </c>
    </row>
    <row r="70" spans="4:18" x14ac:dyDescent="0.35">
      <c r="D70" s="9"/>
      <c r="E70" s="9"/>
      <c r="F70" s="9"/>
      <c r="G70" s="9"/>
      <c r="R70" s="2" t="str">
        <f t="shared" si="4"/>
        <v/>
      </c>
    </row>
    <row r="71" spans="4:18" x14ac:dyDescent="0.35">
      <c r="D71" s="9"/>
      <c r="E71" s="9"/>
      <c r="F71" s="9"/>
      <c r="G71" s="9"/>
      <c r="R71" s="2" t="str">
        <f t="shared" si="4"/>
        <v/>
      </c>
    </row>
    <row r="72" spans="4:18" x14ac:dyDescent="0.35">
      <c r="D72" s="9"/>
      <c r="E72" s="9"/>
      <c r="F72" s="9"/>
      <c r="G72" s="9"/>
      <c r="R72" s="2" t="str">
        <f t="shared" si="4"/>
        <v/>
      </c>
    </row>
    <row r="73" spans="4:18" x14ac:dyDescent="0.35">
      <c r="D73" s="9"/>
      <c r="E73" s="9"/>
      <c r="F73" s="9"/>
      <c r="G73" s="9"/>
      <c r="R73" s="2" t="str">
        <f t="shared" si="4"/>
        <v/>
      </c>
    </row>
    <row r="74" spans="4:18" x14ac:dyDescent="0.35">
      <c r="D74" s="9"/>
      <c r="E74" s="9"/>
      <c r="F74" s="9"/>
      <c r="G74" s="9"/>
      <c r="R74" s="2" t="str">
        <f t="shared" si="4"/>
        <v/>
      </c>
    </row>
    <row r="75" spans="4:18" x14ac:dyDescent="0.35">
      <c r="D75" s="9"/>
      <c r="E75" s="9"/>
      <c r="F75" s="9"/>
      <c r="G75" s="9"/>
      <c r="R75" s="2" t="str">
        <f t="shared" si="4"/>
        <v/>
      </c>
    </row>
    <row r="76" spans="4:18" x14ac:dyDescent="0.35">
      <c r="D76" s="9"/>
      <c r="E76" s="9"/>
      <c r="F76" s="9"/>
      <c r="G76" s="9"/>
      <c r="R76" s="2" t="str">
        <f>IF(OR(ISBLANK(N76),ISBLANK(Q76)),"",IFERROR(RATE(3,,-N76,Q76),""))</f>
        <v/>
      </c>
    </row>
    <row r="77" spans="4:18" x14ac:dyDescent="0.35">
      <c r="D77" s="9"/>
      <c r="E77" s="9"/>
      <c r="F77" s="9"/>
      <c r="G77" s="9"/>
      <c r="R77" s="2" t="str">
        <f t="shared" ref="R77:R81" si="5">IF(OR(ISBLANK(N77),ISBLANK(Q77)),"",IFERROR(RATE(3,,-N77,Q77),""))</f>
        <v/>
      </c>
    </row>
    <row r="78" spans="4:18" x14ac:dyDescent="0.35">
      <c r="D78" s="9"/>
      <c r="E78" s="9"/>
      <c r="F78" s="9"/>
      <c r="G78" s="9"/>
      <c r="R78" s="2" t="str">
        <f t="shared" si="5"/>
        <v/>
      </c>
    </row>
    <row r="79" spans="4:18" x14ac:dyDescent="0.35">
      <c r="D79" s="9"/>
      <c r="E79" s="9"/>
      <c r="F79" s="9"/>
      <c r="G79" s="9"/>
      <c r="R79" s="2" t="str">
        <f t="shared" si="5"/>
        <v/>
      </c>
    </row>
    <row r="80" spans="4:18" x14ac:dyDescent="0.35">
      <c r="D80" s="9"/>
      <c r="E80" s="9"/>
      <c r="F80" s="9"/>
      <c r="G80" s="9"/>
      <c r="R80" s="2" t="str">
        <f t="shared" si="5"/>
        <v/>
      </c>
    </row>
    <row r="81" spans="4:18" x14ac:dyDescent="0.35">
      <c r="D81" s="9"/>
      <c r="E81" s="9"/>
      <c r="F81" s="9"/>
      <c r="G81" s="9"/>
      <c r="R81" s="2" t="str">
        <f t="shared" si="5"/>
        <v/>
      </c>
    </row>
    <row r="82" spans="4:18" x14ac:dyDescent="0.35">
      <c r="D82" s="9"/>
      <c r="E82" s="9"/>
      <c r="F82" s="9"/>
      <c r="G82" s="9"/>
      <c r="R82" s="2"/>
    </row>
    <row r="83" spans="4:18" x14ac:dyDescent="0.35">
      <c r="D83" s="9"/>
      <c r="E83" s="9"/>
      <c r="F83" s="9"/>
      <c r="G83" s="9"/>
    </row>
    <row r="84" spans="4:18" x14ac:dyDescent="0.35">
      <c r="D84" s="9"/>
      <c r="E84" s="9"/>
      <c r="F84" s="9"/>
      <c r="G84" s="9"/>
    </row>
    <row r="85" spans="4:18" x14ac:dyDescent="0.35">
      <c r="D85" s="9"/>
      <c r="E85" s="9"/>
      <c r="F85" s="9"/>
      <c r="G85" s="9"/>
    </row>
    <row r="86" spans="4:18" x14ac:dyDescent="0.35">
      <c r="D86" s="9"/>
      <c r="E86" s="9"/>
      <c r="F86" s="9"/>
      <c r="G86" s="9"/>
    </row>
    <row r="87" spans="4:18" x14ac:dyDescent="0.35">
      <c r="D87" s="9"/>
      <c r="E87" s="9"/>
      <c r="F87" s="9"/>
      <c r="G87" s="9"/>
    </row>
    <row r="88" spans="4:18" x14ac:dyDescent="0.35">
      <c r="D88" s="9"/>
      <c r="E88" s="9"/>
      <c r="F88" s="9"/>
      <c r="G88" s="9"/>
    </row>
    <row r="89" spans="4:18" x14ac:dyDescent="0.35">
      <c r="D89" s="9"/>
      <c r="E89" s="9"/>
      <c r="F89" s="9"/>
      <c r="G89" s="9"/>
    </row>
    <row r="90" spans="4:18" x14ac:dyDescent="0.35">
      <c r="D90" s="9"/>
      <c r="E90" s="9"/>
      <c r="F90" s="9"/>
      <c r="G90" s="9"/>
    </row>
    <row r="91" spans="4:18" x14ac:dyDescent="0.35">
      <c r="D91" s="9"/>
      <c r="E91" s="9"/>
      <c r="F91" s="9"/>
      <c r="G91" s="9"/>
    </row>
    <row r="92" spans="4:18" x14ac:dyDescent="0.35">
      <c r="D92" s="9"/>
      <c r="E92" s="9"/>
      <c r="F92" s="9"/>
      <c r="G92" s="9"/>
    </row>
    <row r="93" spans="4:18" x14ac:dyDescent="0.35">
      <c r="D93" s="9"/>
      <c r="E93" s="9"/>
      <c r="F93" s="9"/>
      <c r="G93" s="9"/>
    </row>
    <row r="94" spans="4:18" x14ac:dyDescent="0.35">
      <c r="D94" s="9"/>
      <c r="E94" s="9"/>
      <c r="F94" s="9"/>
      <c r="G94" s="9"/>
    </row>
    <row r="95" spans="4:18" x14ac:dyDescent="0.35">
      <c r="D95" s="9"/>
      <c r="E95" s="9"/>
      <c r="F95" s="9"/>
      <c r="G95" s="9"/>
    </row>
    <row r="96" spans="4:18" x14ac:dyDescent="0.35">
      <c r="D96" s="9"/>
      <c r="E96" s="9"/>
      <c r="F96" s="9"/>
      <c r="G96" s="9"/>
    </row>
    <row r="97" spans="4:7" x14ac:dyDescent="0.35">
      <c r="D97" s="9"/>
      <c r="E97" s="9"/>
      <c r="F97" s="9"/>
      <c r="G97" s="9"/>
    </row>
    <row r="98" spans="4:7" x14ac:dyDescent="0.35">
      <c r="D98" s="9"/>
      <c r="E98" s="9"/>
      <c r="F98" s="9"/>
      <c r="G98" s="9"/>
    </row>
    <row r="99" spans="4:7" x14ac:dyDescent="0.35">
      <c r="D99" s="9"/>
      <c r="E99" s="9"/>
      <c r="F99" s="9"/>
      <c r="G99" s="9"/>
    </row>
    <row r="100" spans="4:7" x14ac:dyDescent="0.35">
      <c r="D100" s="9"/>
      <c r="E100" s="9"/>
      <c r="F100" s="9"/>
      <c r="G100" s="9"/>
    </row>
    <row r="101" spans="4:7" x14ac:dyDescent="0.35">
      <c r="D101" s="9"/>
      <c r="E101" s="9"/>
      <c r="F101" s="9"/>
      <c r="G101" s="9"/>
    </row>
    <row r="102" spans="4:7" x14ac:dyDescent="0.35">
      <c r="D102" s="9"/>
      <c r="E102" s="9"/>
      <c r="F102" s="9"/>
      <c r="G102" s="9"/>
    </row>
    <row r="103" spans="4:7" x14ac:dyDescent="0.35">
      <c r="D103" s="9"/>
      <c r="E103" s="9"/>
      <c r="F103" s="9"/>
      <c r="G103" s="9"/>
    </row>
    <row r="104" spans="4:7" x14ac:dyDescent="0.35">
      <c r="D104" s="9"/>
      <c r="E104" s="9"/>
      <c r="F104" s="9"/>
      <c r="G104" s="9"/>
    </row>
    <row r="105" spans="4:7" x14ac:dyDescent="0.35">
      <c r="D105" s="9"/>
      <c r="E105" s="9"/>
      <c r="F105" s="9"/>
      <c r="G105" s="9"/>
    </row>
    <row r="106" spans="4:7" x14ac:dyDescent="0.35">
      <c r="D106" s="9"/>
      <c r="E106" s="9"/>
      <c r="F106" s="9"/>
      <c r="G106" s="9"/>
    </row>
    <row r="107" spans="4:7" x14ac:dyDescent="0.35">
      <c r="D107" s="9"/>
      <c r="E107" s="9"/>
      <c r="F107" s="9"/>
      <c r="G107" s="9"/>
    </row>
    <row r="108" spans="4:7" x14ac:dyDescent="0.35">
      <c r="D108" s="9"/>
      <c r="E108" s="9"/>
      <c r="F108" s="9"/>
      <c r="G108" s="9"/>
    </row>
    <row r="109" spans="4:7" x14ac:dyDescent="0.35">
      <c r="D109" s="9"/>
      <c r="E109" s="9"/>
      <c r="F109" s="9"/>
      <c r="G109" s="9"/>
    </row>
    <row r="110" spans="4:7" x14ac:dyDescent="0.35">
      <c r="D110" s="9"/>
      <c r="E110" s="9"/>
      <c r="F110" s="9"/>
      <c r="G110" s="9"/>
    </row>
    <row r="111" spans="4:7" x14ac:dyDescent="0.35">
      <c r="D111" s="9"/>
      <c r="E111" s="9"/>
      <c r="F111" s="9"/>
      <c r="G111" s="9"/>
    </row>
    <row r="112" spans="4:7" x14ac:dyDescent="0.35">
      <c r="D112" s="9"/>
      <c r="E112" s="9"/>
      <c r="F112" s="9"/>
      <c r="G112" s="9"/>
    </row>
    <row r="113" spans="4:7" x14ac:dyDescent="0.35">
      <c r="D113" s="9"/>
      <c r="E113" s="9"/>
      <c r="F113" s="9"/>
      <c r="G113" s="9"/>
    </row>
    <row r="114" spans="4:7" x14ac:dyDescent="0.35">
      <c r="D114" s="9"/>
      <c r="E114" s="9"/>
      <c r="F114" s="9"/>
      <c r="G114" s="9"/>
    </row>
    <row r="115" spans="4:7" x14ac:dyDescent="0.35">
      <c r="D115" s="9"/>
      <c r="E115" s="9"/>
      <c r="F115" s="9"/>
      <c r="G115" s="9"/>
    </row>
    <row r="116" spans="4:7" x14ac:dyDescent="0.35">
      <c r="D116" s="9"/>
      <c r="E116" s="9"/>
      <c r="F116" s="9"/>
      <c r="G116" s="9"/>
    </row>
    <row r="117" spans="4:7" x14ac:dyDescent="0.35">
      <c r="D117" s="9"/>
      <c r="E117" s="9"/>
      <c r="F117" s="9"/>
      <c r="G117" s="9"/>
    </row>
    <row r="118" spans="4:7" x14ac:dyDescent="0.35">
      <c r="D118" s="9"/>
      <c r="E118" s="9"/>
      <c r="F118" s="9"/>
      <c r="G118" s="9"/>
    </row>
    <row r="119" spans="4:7" x14ac:dyDescent="0.35">
      <c r="D119" s="9"/>
      <c r="E119" s="9"/>
      <c r="F119" s="9"/>
      <c r="G119" s="9"/>
    </row>
    <row r="120" spans="4:7" x14ac:dyDescent="0.35">
      <c r="D120" s="9"/>
      <c r="E120" s="9"/>
      <c r="F120" s="9"/>
      <c r="G120" s="9"/>
    </row>
    <row r="121" spans="4:7" x14ac:dyDescent="0.35">
      <c r="D121" s="9"/>
      <c r="E121" s="9"/>
      <c r="F121" s="9"/>
      <c r="G121" s="9"/>
    </row>
    <row r="122" spans="4:7" x14ac:dyDescent="0.35">
      <c r="D122" s="9"/>
      <c r="E122" s="9"/>
      <c r="F122" s="9"/>
      <c r="G122" s="9"/>
    </row>
    <row r="123" spans="4:7" x14ac:dyDescent="0.35">
      <c r="D123" s="9"/>
      <c r="E123" s="9"/>
      <c r="F123" s="9"/>
      <c r="G123" s="9"/>
    </row>
    <row r="124" spans="4:7" x14ac:dyDescent="0.35">
      <c r="D124" s="9"/>
      <c r="E124" s="9"/>
      <c r="F124" s="9"/>
      <c r="G124" s="9"/>
    </row>
    <row r="125" spans="4:7" x14ac:dyDescent="0.35">
      <c r="D125" s="9"/>
      <c r="E125" s="9"/>
      <c r="F125" s="9"/>
      <c r="G125" s="9"/>
    </row>
    <row r="126" spans="4:7" x14ac:dyDescent="0.35">
      <c r="D126" s="9"/>
      <c r="E126" s="9"/>
      <c r="F126" s="9"/>
      <c r="G126" s="9"/>
    </row>
    <row r="127" spans="4:7" x14ac:dyDescent="0.35">
      <c r="D127" s="9"/>
      <c r="E127" s="9"/>
      <c r="F127" s="9"/>
      <c r="G127" s="9"/>
    </row>
    <row r="128" spans="4:7" x14ac:dyDescent="0.35">
      <c r="D128" s="9"/>
      <c r="E128" s="9"/>
      <c r="F128" s="9"/>
      <c r="G128" s="9"/>
    </row>
    <row r="129" spans="4:7" x14ac:dyDescent="0.35">
      <c r="D129" s="9"/>
      <c r="E129" s="9"/>
      <c r="F129" s="9"/>
      <c r="G129" s="9"/>
    </row>
    <row r="130" spans="4:7" x14ac:dyDescent="0.35">
      <c r="D130" s="9"/>
      <c r="E130" s="9"/>
      <c r="F130" s="9"/>
      <c r="G130" s="9"/>
    </row>
    <row r="131" spans="4:7" x14ac:dyDescent="0.35">
      <c r="D131" s="9"/>
      <c r="E131" s="9"/>
      <c r="F131" s="9"/>
      <c r="G131" s="9"/>
    </row>
    <row r="132" spans="4:7" x14ac:dyDescent="0.35">
      <c r="D132" s="9"/>
      <c r="E132" s="9"/>
      <c r="F132" s="9"/>
      <c r="G132" s="9"/>
    </row>
    <row r="133" spans="4:7" x14ac:dyDescent="0.35">
      <c r="D133" s="9"/>
      <c r="E133" s="9"/>
      <c r="F133" s="9"/>
      <c r="G133" s="9"/>
    </row>
    <row r="134" spans="4:7" x14ac:dyDescent="0.35">
      <c r="D134" s="9"/>
      <c r="E134" s="9"/>
      <c r="F134" s="9"/>
      <c r="G134" s="9"/>
    </row>
    <row r="135" spans="4:7" x14ac:dyDescent="0.35">
      <c r="D135" s="9"/>
      <c r="E135" s="9"/>
      <c r="F135" s="9"/>
      <c r="G135" s="9"/>
    </row>
    <row r="136" spans="4:7" x14ac:dyDescent="0.35">
      <c r="D136" s="9"/>
      <c r="E136" s="9"/>
      <c r="F136" s="9"/>
      <c r="G136" s="9"/>
    </row>
    <row r="137" spans="4:7" x14ac:dyDescent="0.35">
      <c r="D137" s="9"/>
      <c r="E137" s="9"/>
      <c r="F137" s="9"/>
      <c r="G137" s="9"/>
    </row>
    <row r="138" spans="4:7" x14ac:dyDescent="0.35">
      <c r="D138" s="9"/>
      <c r="E138" s="9"/>
      <c r="F138" s="9"/>
      <c r="G138" s="9"/>
    </row>
    <row r="139" spans="4:7" x14ac:dyDescent="0.35">
      <c r="D139" s="9"/>
      <c r="E139" s="9"/>
      <c r="F139" s="9"/>
      <c r="G139" s="9"/>
    </row>
    <row r="140" spans="4:7" x14ac:dyDescent="0.35">
      <c r="D140" s="9"/>
      <c r="E140" s="9"/>
      <c r="F140" s="9"/>
      <c r="G140" s="9"/>
    </row>
    <row r="141" spans="4:7" x14ac:dyDescent="0.35">
      <c r="D141" s="9"/>
      <c r="E141" s="9"/>
      <c r="F141" s="9"/>
      <c r="G141" s="9"/>
    </row>
    <row r="142" spans="4:7" x14ac:dyDescent="0.35">
      <c r="D142" s="9"/>
      <c r="E142" s="9"/>
      <c r="F142" s="9"/>
      <c r="G142" s="9"/>
    </row>
    <row r="143" spans="4:7" x14ac:dyDescent="0.35">
      <c r="D143" s="9"/>
      <c r="E143" s="9"/>
      <c r="F143" s="9"/>
      <c r="G143" s="9"/>
    </row>
    <row r="144" spans="4:7" x14ac:dyDescent="0.35">
      <c r="D144" s="9"/>
      <c r="E144" s="9"/>
      <c r="F144" s="9"/>
      <c r="G144" s="9"/>
    </row>
    <row r="145" spans="4:7" x14ac:dyDescent="0.35">
      <c r="D145" s="9"/>
      <c r="E145" s="9"/>
      <c r="F145" s="9"/>
      <c r="G145" s="9"/>
    </row>
    <row r="146" spans="4:7" x14ac:dyDescent="0.35">
      <c r="D146" s="9"/>
      <c r="E146" s="9"/>
      <c r="F146" s="9"/>
      <c r="G146" s="9"/>
    </row>
    <row r="147" spans="4:7" x14ac:dyDescent="0.35">
      <c r="D147" s="9"/>
      <c r="E147" s="9"/>
      <c r="F147" s="9"/>
      <c r="G147" s="9"/>
    </row>
    <row r="148" spans="4:7" x14ac:dyDescent="0.35">
      <c r="D148" s="9"/>
      <c r="E148" s="9"/>
      <c r="F148" s="9"/>
      <c r="G148" s="9"/>
    </row>
    <row r="149" spans="4:7" x14ac:dyDescent="0.35">
      <c r="D149" s="9"/>
      <c r="E149" s="9"/>
      <c r="F149" s="9"/>
      <c r="G149" s="9"/>
    </row>
    <row r="150" spans="4:7" x14ac:dyDescent="0.35">
      <c r="D150" s="9"/>
      <c r="E150" s="9"/>
      <c r="F150" s="9"/>
      <c r="G150" s="9"/>
    </row>
    <row r="151" spans="4:7" x14ac:dyDescent="0.35">
      <c r="D151" s="9"/>
      <c r="E151" s="9"/>
      <c r="F151" s="9"/>
      <c r="G151" s="9"/>
    </row>
    <row r="152" spans="4:7" x14ac:dyDescent="0.35">
      <c r="D152" s="9"/>
      <c r="E152" s="9"/>
      <c r="F152" s="9"/>
      <c r="G152" s="9"/>
    </row>
    <row r="153" spans="4:7" x14ac:dyDescent="0.35">
      <c r="D153" s="9"/>
      <c r="E153" s="9"/>
      <c r="F153" s="9"/>
      <c r="G153" s="9"/>
    </row>
    <row r="154" spans="4:7" x14ac:dyDescent="0.35">
      <c r="D154" s="9"/>
      <c r="E154" s="9"/>
      <c r="F154" s="9"/>
      <c r="G154" s="9"/>
    </row>
    <row r="155" spans="4:7" x14ac:dyDescent="0.35">
      <c r="D155" s="9"/>
      <c r="E155" s="9"/>
      <c r="F155" s="9"/>
      <c r="G155" s="9"/>
    </row>
    <row r="156" spans="4:7" x14ac:dyDescent="0.35">
      <c r="D156" s="9"/>
      <c r="E156" s="9"/>
      <c r="F156" s="9"/>
      <c r="G156" s="9"/>
    </row>
    <row r="157" spans="4:7" x14ac:dyDescent="0.35">
      <c r="D157" s="9"/>
      <c r="E157" s="9"/>
      <c r="F157" s="9"/>
      <c r="G157" s="9"/>
    </row>
    <row r="158" spans="4:7" x14ac:dyDescent="0.35">
      <c r="D158" s="9"/>
      <c r="E158" s="9"/>
      <c r="F158" s="9"/>
      <c r="G158" s="9"/>
    </row>
    <row r="159" spans="4:7" x14ac:dyDescent="0.35">
      <c r="D159" s="9"/>
      <c r="E159" s="9"/>
      <c r="F159" s="9"/>
      <c r="G159" s="9"/>
    </row>
    <row r="160" spans="4:7" x14ac:dyDescent="0.35">
      <c r="D160" s="9"/>
      <c r="E160" s="9"/>
      <c r="F160" s="9"/>
      <c r="G160" s="9"/>
    </row>
    <row r="161" spans="4:7" x14ac:dyDescent="0.35">
      <c r="D161" s="9"/>
      <c r="E161" s="9"/>
      <c r="F161" s="9"/>
      <c r="G161" s="9"/>
    </row>
    <row r="162" spans="4:7" x14ac:dyDescent="0.35">
      <c r="D162" s="9"/>
      <c r="E162" s="9"/>
      <c r="F162" s="9"/>
      <c r="G162" s="9"/>
    </row>
    <row r="163" spans="4:7" x14ac:dyDescent="0.35">
      <c r="D163" s="9"/>
      <c r="E163" s="9"/>
      <c r="F163" s="9"/>
      <c r="G163" s="9"/>
    </row>
    <row r="164" spans="4:7" x14ac:dyDescent="0.35">
      <c r="D164" s="9"/>
      <c r="E164" s="9"/>
      <c r="F164" s="9"/>
      <c r="G164" s="9"/>
    </row>
    <row r="165" spans="4:7" x14ac:dyDescent="0.35">
      <c r="D165" s="9"/>
      <c r="E165" s="9"/>
      <c r="F165" s="9"/>
      <c r="G165" s="9"/>
    </row>
    <row r="166" spans="4:7" x14ac:dyDescent="0.35">
      <c r="D166" s="9"/>
      <c r="E166" s="9"/>
      <c r="F166" s="9"/>
      <c r="G166" s="9"/>
    </row>
    <row r="167" spans="4:7" x14ac:dyDescent="0.35">
      <c r="D167" s="9"/>
      <c r="E167" s="9"/>
      <c r="F167" s="9"/>
      <c r="G167" s="9"/>
    </row>
    <row r="168" spans="4:7" x14ac:dyDescent="0.35">
      <c r="D168" s="9"/>
      <c r="E168" s="9"/>
      <c r="F168" s="9"/>
      <c r="G168" s="9"/>
    </row>
    <row r="169" spans="4:7" x14ac:dyDescent="0.35">
      <c r="D169" s="9"/>
      <c r="E169" s="9"/>
      <c r="F169" s="9"/>
      <c r="G169" s="9"/>
    </row>
    <row r="170" spans="4:7" x14ac:dyDescent="0.35">
      <c r="D170" s="9"/>
      <c r="E170" s="9"/>
      <c r="F170" s="9"/>
      <c r="G170" s="9"/>
    </row>
    <row r="171" spans="4:7" x14ac:dyDescent="0.35">
      <c r="D171" s="9"/>
      <c r="E171" s="9"/>
      <c r="F171" s="9"/>
      <c r="G171" s="9"/>
    </row>
    <row r="172" spans="4:7" x14ac:dyDescent="0.35">
      <c r="D172" s="9"/>
      <c r="E172" s="9"/>
      <c r="F172" s="9"/>
      <c r="G172" s="9"/>
    </row>
    <row r="173" spans="4:7" x14ac:dyDescent="0.35">
      <c r="D173" s="9"/>
      <c r="E173" s="9"/>
      <c r="F173" s="9"/>
      <c r="G173" s="9"/>
    </row>
    <row r="174" spans="4:7" x14ac:dyDescent="0.35">
      <c r="D174" s="9"/>
      <c r="E174" s="9"/>
      <c r="F174" s="9"/>
      <c r="G174" s="9"/>
    </row>
    <row r="175" spans="4:7" x14ac:dyDescent="0.35">
      <c r="D175" s="9"/>
      <c r="E175" s="9"/>
      <c r="F175" s="9"/>
      <c r="G175" s="9"/>
    </row>
    <row r="176" spans="4:7" x14ac:dyDescent="0.35">
      <c r="D176" s="9"/>
      <c r="E176" s="9"/>
      <c r="F176" s="9"/>
      <c r="G176" s="9"/>
    </row>
    <row r="177" spans="4:7" x14ac:dyDescent="0.35">
      <c r="D177" s="9"/>
      <c r="E177" s="9"/>
      <c r="F177" s="9"/>
      <c r="G177" s="9"/>
    </row>
    <row r="178" spans="4:7" x14ac:dyDescent="0.35">
      <c r="D178" s="9"/>
      <c r="E178" s="9"/>
      <c r="F178" s="9"/>
      <c r="G178" s="9"/>
    </row>
    <row r="179" spans="4:7" x14ac:dyDescent="0.35">
      <c r="D179" s="9"/>
      <c r="E179" s="9"/>
      <c r="F179" s="9"/>
      <c r="G179" s="9"/>
    </row>
    <row r="180" spans="4:7" x14ac:dyDescent="0.35">
      <c r="D180" s="9"/>
      <c r="E180" s="9"/>
      <c r="F180" s="9"/>
      <c r="G180" s="9"/>
    </row>
    <row r="181" spans="4:7" x14ac:dyDescent="0.35">
      <c r="D181" s="9"/>
      <c r="E181" s="9"/>
      <c r="F181" s="9"/>
      <c r="G181" s="9"/>
    </row>
    <row r="182" spans="4:7" x14ac:dyDescent="0.35">
      <c r="D182" s="9"/>
      <c r="E182" s="9"/>
      <c r="F182" s="9"/>
      <c r="G182" s="9"/>
    </row>
    <row r="183" spans="4:7" x14ac:dyDescent="0.35">
      <c r="D183" s="9"/>
      <c r="E183" s="9"/>
      <c r="F183" s="9"/>
      <c r="G183" s="9"/>
    </row>
    <row r="184" spans="4:7" x14ac:dyDescent="0.35">
      <c r="D184" s="9"/>
      <c r="E184" s="9"/>
      <c r="F184" s="9"/>
      <c r="G184" s="9"/>
    </row>
    <row r="185" spans="4:7" x14ac:dyDescent="0.35">
      <c r="D185" s="9"/>
      <c r="E185" s="9"/>
      <c r="F185" s="9"/>
      <c r="G185" s="9"/>
    </row>
    <row r="186" spans="4:7" x14ac:dyDescent="0.35">
      <c r="D186" s="9"/>
      <c r="E186" s="9"/>
      <c r="F186" s="9"/>
      <c r="G186" s="9"/>
    </row>
    <row r="187" spans="4:7" x14ac:dyDescent="0.35">
      <c r="D187" s="9"/>
      <c r="E187" s="9"/>
      <c r="F187" s="9"/>
      <c r="G187" s="9"/>
    </row>
    <row r="188" spans="4:7" x14ac:dyDescent="0.35">
      <c r="D188" s="9"/>
      <c r="E188" s="9"/>
      <c r="F188" s="9"/>
      <c r="G188" s="9"/>
    </row>
    <row r="189" spans="4:7" x14ac:dyDescent="0.35">
      <c r="D189" s="9"/>
      <c r="E189" s="9"/>
      <c r="F189" s="9"/>
      <c r="G189" s="9"/>
    </row>
    <row r="190" spans="4:7" x14ac:dyDescent="0.35">
      <c r="D190" s="9"/>
      <c r="E190" s="9"/>
      <c r="F190" s="9"/>
      <c r="G190" s="9"/>
    </row>
    <row r="191" spans="4:7" x14ac:dyDescent="0.35">
      <c r="D191" s="9"/>
      <c r="E191" s="9"/>
      <c r="F191" s="9"/>
      <c r="G191" s="9"/>
    </row>
    <row r="192" spans="4:7" x14ac:dyDescent="0.35">
      <c r="D192" s="9"/>
      <c r="E192" s="9"/>
      <c r="F192" s="9"/>
      <c r="G192" s="9"/>
    </row>
    <row r="193" spans="4:7" x14ac:dyDescent="0.35">
      <c r="D193" s="9"/>
      <c r="E193" s="9"/>
      <c r="F193" s="9"/>
      <c r="G193" s="9"/>
    </row>
    <row r="194" spans="4:7" x14ac:dyDescent="0.35">
      <c r="D194" s="9"/>
      <c r="E194" s="9"/>
      <c r="F194" s="9"/>
      <c r="G194" s="9"/>
    </row>
    <row r="195" spans="4:7" x14ac:dyDescent="0.35">
      <c r="D195" s="9"/>
      <c r="E195" s="9"/>
      <c r="F195" s="9"/>
      <c r="G195" s="9"/>
    </row>
    <row r="196" spans="4:7" x14ac:dyDescent="0.35">
      <c r="D196" s="9"/>
      <c r="E196" s="9"/>
      <c r="F196" s="9"/>
      <c r="G196" s="9"/>
    </row>
    <row r="197" spans="4:7" x14ac:dyDescent="0.35">
      <c r="D197" s="9"/>
      <c r="E197" s="9"/>
      <c r="F197" s="9"/>
      <c r="G197" s="9"/>
    </row>
    <row r="198" spans="4:7" x14ac:dyDescent="0.35">
      <c r="D198" s="9"/>
      <c r="E198" s="9"/>
      <c r="F198" s="9"/>
      <c r="G198" s="9"/>
    </row>
    <row r="199" spans="4:7" x14ac:dyDescent="0.35">
      <c r="D199" s="9"/>
      <c r="E199" s="9"/>
      <c r="F199" s="9"/>
      <c r="G199" s="9"/>
    </row>
    <row r="200" spans="4:7" x14ac:dyDescent="0.35">
      <c r="D200" s="9"/>
      <c r="E200" s="9"/>
      <c r="F200" s="9"/>
      <c r="G200" s="9"/>
    </row>
    <row r="201" spans="4:7" x14ac:dyDescent="0.35">
      <c r="D201" s="9"/>
      <c r="E201" s="9"/>
      <c r="F201" s="9"/>
      <c r="G201" s="9"/>
    </row>
    <row r="202" spans="4:7" x14ac:dyDescent="0.35">
      <c r="D202" s="9"/>
      <c r="E202" s="9"/>
      <c r="F202" s="9"/>
      <c r="G202" s="9"/>
    </row>
    <row r="203" spans="4:7" x14ac:dyDescent="0.35">
      <c r="D203" s="9"/>
      <c r="E203" s="9"/>
      <c r="F203" s="9"/>
      <c r="G203" s="9"/>
    </row>
    <row r="204" spans="4:7" x14ac:dyDescent="0.35">
      <c r="D204" s="9"/>
      <c r="E204" s="9"/>
      <c r="F204" s="9"/>
      <c r="G204" s="9"/>
    </row>
    <row r="205" spans="4:7" x14ac:dyDescent="0.35">
      <c r="D205" s="9"/>
      <c r="E205" s="9"/>
      <c r="F205" s="9"/>
      <c r="G205" s="9"/>
    </row>
    <row r="206" spans="4:7" x14ac:dyDescent="0.35">
      <c r="D206" s="9"/>
      <c r="E206" s="9"/>
      <c r="F206" s="9"/>
      <c r="G206" s="9"/>
    </row>
    <row r="207" spans="4:7" x14ac:dyDescent="0.35">
      <c r="D207" s="9"/>
      <c r="E207" s="9"/>
      <c r="F207" s="9"/>
      <c r="G207" s="9"/>
    </row>
    <row r="208" spans="4:7" x14ac:dyDescent="0.35">
      <c r="D208" s="9"/>
      <c r="E208" s="9"/>
      <c r="F208" s="9"/>
      <c r="G208" s="9"/>
    </row>
    <row r="209" spans="4:7" x14ac:dyDescent="0.35">
      <c r="D209" s="9"/>
      <c r="E209" s="9"/>
      <c r="F209" s="9"/>
      <c r="G209" s="9"/>
    </row>
    <row r="210" spans="4:7" x14ac:dyDescent="0.35">
      <c r="D210" s="9"/>
      <c r="E210" s="9"/>
      <c r="F210" s="9"/>
      <c r="G210" s="9"/>
    </row>
    <row r="211" spans="4:7" x14ac:dyDescent="0.35">
      <c r="D211" s="9"/>
      <c r="E211" s="9"/>
      <c r="F211" s="9"/>
      <c r="G211" s="9"/>
    </row>
    <row r="212" spans="4:7" x14ac:dyDescent="0.35">
      <c r="D212" s="9"/>
      <c r="E212" s="9"/>
      <c r="F212" s="9"/>
      <c r="G212" s="9"/>
    </row>
    <row r="213" spans="4:7" x14ac:dyDescent="0.35">
      <c r="D213" s="9"/>
      <c r="E213" s="9"/>
      <c r="F213" s="9"/>
      <c r="G213" s="9"/>
    </row>
    <row r="214" spans="4:7" x14ac:dyDescent="0.35">
      <c r="D214" s="9"/>
      <c r="E214" s="9"/>
      <c r="F214" s="9"/>
      <c r="G214" s="9"/>
    </row>
    <row r="215" spans="4:7" x14ac:dyDescent="0.35">
      <c r="D215" s="9"/>
      <c r="E215" s="9"/>
      <c r="F215" s="9"/>
      <c r="G215" s="9"/>
    </row>
    <row r="216" spans="4:7" x14ac:dyDescent="0.35">
      <c r="D216" s="9"/>
      <c r="E216" s="9"/>
      <c r="F216" s="9"/>
      <c r="G216" s="9"/>
    </row>
    <row r="217" spans="4:7" x14ac:dyDescent="0.35">
      <c r="D217" s="9"/>
      <c r="E217" s="9"/>
      <c r="F217" s="9"/>
      <c r="G217" s="9"/>
    </row>
    <row r="218" spans="4:7" x14ac:dyDescent="0.35">
      <c r="D218" s="9"/>
      <c r="E218" s="9"/>
      <c r="F218" s="9"/>
      <c r="G218" s="9"/>
    </row>
    <row r="219" spans="4:7" x14ac:dyDescent="0.35">
      <c r="D219" s="9"/>
      <c r="E219" s="9"/>
      <c r="F219" s="9"/>
      <c r="G219" s="9"/>
    </row>
    <row r="220" spans="4:7" x14ac:dyDescent="0.35">
      <c r="D220" s="9"/>
      <c r="E220" s="9"/>
      <c r="F220" s="9"/>
      <c r="G220" s="9"/>
    </row>
    <row r="221" spans="4:7" x14ac:dyDescent="0.35">
      <c r="D221" s="9"/>
      <c r="E221" s="9"/>
      <c r="F221" s="9"/>
      <c r="G221" s="9"/>
    </row>
    <row r="222" spans="4:7" x14ac:dyDescent="0.35">
      <c r="D222" s="9"/>
      <c r="E222" s="9"/>
      <c r="F222" s="9"/>
      <c r="G222" s="9"/>
    </row>
    <row r="223" spans="4:7" x14ac:dyDescent="0.35">
      <c r="D223" s="9"/>
      <c r="E223" s="9"/>
      <c r="F223" s="9"/>
      <c r="G223" s="9"/>
    </row>
    <row r="224" spans="4:7" x14ac:dyDescent="0.35">
      <c r="D224" s="9"/>
      <c r="E224" s="9"/>
      <c r="F224" s="9"/>
      <c r="G224" s="9"/>
    </row>
    <row r="225" spans="4:7" x14ac:dyDescent="0.35">
      <c r="D225" s="9"/>
      <c r="E225" s="9"/>
      <c r="F225" s="9"/>
      <c r="G225" s="9"/>
    </row>
    <row r="226" spans="4:7" x14ac:dyDescent="0.35">
      <c r="D226" s="9"/>
      <c r="E226" s="9"/>
      <c r="F226" s="9"/>
      <c r="G226" s="9"/>
    </row>
    <row r="227" spans="4:7" x14ac:dyDescent="0.35">
      <c r="D227" s="9"/>
      <c r="E227" s="9"/>
      <c r="F227" s="9"/>
      <c r="G227" s="9"/>
    </row>
    <row r="228" spans="4:7" x14ac:dyDescent="0.35">
      <c r="D228" s="9"/>
      <c r="E228" s="9"/>
      <c r="F228" s="9"/>
      <c r="G228" s="9"/>
    </row>
    <row r="229" spans="4:7" x14ac:dyDescent="0.35">
      <c r="D229" s="9"/>
      <c r="E229" s="9"/>
      <c r="F229" s="9"/>
      <c r="G229" s="9"/>
    </row>
    <row r="230" spans="4:7" x14ac:dyDescent="0.35">
      <c r="D230" s="9"/>
      <c r="E230" s="9"/>
      <c r="F230" s="9"/>
      <c r="G230" s="9"/>
    </row>
    <row r="231" spans="4:7" x14ac:dyDescent="0.35">
      <c r="D231" s="9"/>
      <c r="E231" s="9"/>
      <c r="F231" s="9"/>
      <c r="G231" s="9"/>
    </row>
    <row r="232" spans="4:7" x14ac:dyDescent="0.35">
      <c r="D232" s="9"/>
      <c r="E232" s="9"/>
      <c r="F232" s="9"/>
      <c r="G232" s="9"/>
    </row>
    <row r="233" spans="4:7" x14ac:dyDescent="0.35">
      <c r="D233" s="9"/>
      <c r="E233" s="9"/>
      <c r="F233" s="9"/>
      <c r="G233" s="9"/>
    </row>
    <row r="234" spans="4:7" x14ac:dyDescent="0.35">
      <c r="D234" s="9"/>
      <c r="E234" s="9"/>
      <c r="F234" s="9"/>
      <c r="G234" s="9"/>
    </row>
    <row r="235" spans="4:7" x14ac:dyDescent="0.35">
      <c r="D235" s="9"/>
      <c r="E235" s="9"/>
      <c r="F235" s="9"/>
      <c r="G235" s="9"/>
    </row>
    <row r="236" spans="4:7" x14ac:dyDescent="0.35">
      <c r="D236" s="9"/>
      <c r="E236" s="9"/>
      <c r="F236" s="9"/>
      <c r="G236" s="9"/>
    </row>
    <row r="237" spans="4:7" x14ac:dyDescent="0.35">
      <c r="D237" s="9"/>
      <c r="E237" s="9"/>
      <c r="F237" s="9"/>
      <c r="G237" s="9"/>
    </row>
    <row r="238" spans="4:7" x14ac:dyDescent="0.35">
      <c r="D238" s="9"/>
      <c r="E238" s="9"/>
      <c r="F238" s="9"/>
      <c r="G238" s="9"/>
    </row>
    <row r="239" spans="4:7" x14ac:dyDescent="0.35">
      <c r="D239" s="9"/>
      <c r="E239" s="9"/>
      <c r="F239" s="9"/>
      <c r="G239" s="9"/>
    </row>
    <row r="240" spans="4:7" x14ac:dyDescent="0.35">
      <c r="D240" s="9"/>
      <c r="E240" s="9"/>
      <c r="F240" s="9"/>
      <c r="G240" s="9"/>
    </row>
    <row r="241" spans="4:7" x14ac:dyDescent="0.35">
      <c r="D241" s="9"/>
      <c r="E241" s="9"/>
      <c r="F241" s="9"/>
      <c r="G241" s="9"/>
    </row>
    <row r="242" spans="4:7" x14ac:dyDescent="0.35">
      <c r="D242" s="9"/>
      <c r="E242" s="9"/>
      <c r="F242" s="9"/>
      <c r="G242" s="9"/>
    </row>
    <row r="243" spans="4:7" x14ac:dyDescent="0.35">
      <c r="D243" s="9"/>
      <c r="E243" s="9"/>
      <c r="F243" s="9"/>
      <c r="G243" s="9"/>
    </row>
    <row r="244" spans="4:7" x14ac:dyDescent="0.35">
      <c r="D244" s="9"/>
      <c r="E244" s="9"/>
      <c r="F244" s="9"/>
      <c r="G244" s="9"/>
    </row>
    <row r="245" spans="4:7" x14ac:dyDescent="0.35">
      <c r="D245" s="9"/>
      <c r="E245" s="9"/>
      <c r="F245" s="9"/>
      <c r="G245" s="9"/>
    </row>
    <row r="246" spans="4:7" x14ac:dyDescent="0.35">
      <c r="D246" s="9"/>
      <c r="E246" s="9"/>
      <c r="F246" s="9"/>
      <c r="G246" s="9"/>
    </row>
    <row r="247" spans="4:7" x14ac:dyDescent="0.35">
      <c r="D247" s="9"/>
      <c r="E247" s="9"/>
      <c r="F247" s="9"/>
      <c r="G247" s="9"/>
    </row>
    <row r="248" spans="4:7" x14ac:dyDescent="0.35">
      <c r="D248" s="9"/>
      <c r="E248" s="9"/>
      <c r="F248" s="9"/>
      <c r="G248" s="9"/>
    </row>
    <row r="249" spans="4:7" x14ac:dyDescent="0.35">
      <c r="D249" s="9"/>
      <c r="E249" s="9"/>
      <c r="F249" s="9"/>
      <c r="G249" s="9"/>
    </row>
    <row r="250" spans="4:7" x14ac:dyDescent="0.35">
      <c r="D250" s="9"/>
      <c r="E250" s="9"/>
      <c r="F250" s="9"/>
      <c r="G250" s="9"/>
    </row>
    <row r="251" spans="4:7" x14ac:dyDescent="0.35">
      <c r="D251" s="9"/>
      <c r="E251" s="9"/>
      <c r="F251" s="9"/>
      <c r="G251" s="9"/>
    </row>
    <row r="252" spans="4:7" x14ac:dyDescent="0.35">
      <c r="D252" s="9"/>
      <c r="E252" s="9"/>
      <c r="F252" s="9"/>
      <c r="G252" s="9"/>
    </row>
    <row r="253" spans="4:7" x14ac:dyDescent="0.35">
      <c r="D253" s="9"/>
      <c r="E253" s="9"/>
      <c r="F253" s="9"/>
      <c r="G253" s="9"/>
    </row>
    <row r="254" spans="4:7" x14ac:dyDescent="0.35">
      <c r="D254" s="9"/>
      <c r="E254" s="9"/>
      <c r="F254" s="9"/>
      <c r="G254" s="9"/>
    </row>
    <row r="255" spans="4:7" x14ac:dyDescent="0.35">
      <c r="D255" s="9"/>
      <c r="E255" s="9"/>
      <c r="F255" s="9"/>
      <c r="G255" s="9"/>
    </row>
    <row r="256" spans="4:7" x14ac:dyDescent="0.35">
      <c r="D256" s="9"/>
      <c r="E256" s="9"/>
      <c r="F256" s="9"/>
      <c r="G256" s="9"/>
    </row>
    <row r="257" spans="4:7" x14ac:dyDescent="0.35">
      <c r="D257" s="9"/>
      <c r="E257" s="9"/>
      <c r="F257" s="9"/>
      <c r="G257" s="9"/>
    </row>
    <row r="258" spans="4:7" x14ac:dyDescent="0.35">
      <c r="D258" s="9"/>
      <c r="E258" s="9"/>
      <c r="F258" s="9"/>
      <c r="G258" s="9"/>
    </row>
    <row r="259" spans="4:7" x14ac:dyDescent="0.35">
      <c r="D259" s="9"/>
      <c r="E259" s="9"/>
      <c r="F259" s="9"/>
      <c r="G259" s="9"/>
    </row>
    <row r="260" spans="4:7" x14ac:dyDescent="0.35">
      <c r="D260" s="9"/>
      <c r="E260" s="9"/>
      <c r="F260" s="9"/>
      <c r="G260" s="9"/>
    </row>
    <row r="261" spans="4:7" x14ac:dyDescent="0.35">
      <c r="D261" s="9"/>
      <c r="E261" s="9"/>
      <c r="F261" s="9"/>
      <c r="G261" s="9"/>
    </row>
    <row r="262" spans="4:7" x14ac:dyDescent="0.35">
      <c r="D262" s="9"/>
      <c r="E262" s="9"/>
      <c r="F262" s="9"/>
      <c r="G262" s="9"/>
    </row>
    <row r="263" spans="4:7" x14ac:dyDescent="0.35">
      <c r="D263" s="9"/>
      <c r="E263" s="9"/>
      <c r="F263" s="9"/>
      <c r="G263" s="9"/>
    </row>
    <row r="264" spans="4:7" x14ac:dyDescent="0.35">
      <c r="D264" s="9"/>
      <c r="E264" s="9"/>
      <c r="F264" s="9"/>
      <c r="G264" s="9"/>
    </row>
    <row r="265" spans="4:7" x14ac:dyDescent="0.35">
      <c r="D265" s="9"/>
      <c r="E265" s="9"/>
      <c r="F265" s="9"/>
      <c r="G265" s="9"/>
    </row>
    <row r="266" spans="4:7" x14ac:dyDescent="0.35">
      <c r="D266" s="9"/>
      <c r="E266" s="9"/>
      <c r="F266" s="9"/>
      <c r="G266" s="9"/>
    </row>
    <row r="267" spans="4:7" x14ac:dyDescent="0.35">
      <c r="D267" s="9"/>
      <c r="E267" s="9"/>
      <c r="F267" s="9"/>
      <c r="G267" s="9"/>
    </row>
    <row r="268" spans="4:7" x14ac:dyDescent="0.35">
      <c r="D268" s="9"/>
      <c r="E268" s="9"/>
      <c r="F268" s="9"/>
      <c r="G268" s="9"/>
    </row>
    <row r="269" spans="4:7" x14ac:dyDescent="0.35">
      <c r="D269" s="9"/>
      <c r="E269" s="9"/>
      <c r="F269" s="9"/>
      <c r="G269" s="9"/>
    </row>
    <row r="270" spans="4:7" x14ac:dyDescent="0.35">
      <c r="D270" s="9"/>
      <c r="E270" s="9"/>
      <c r="F270" s="9"/>
      <c r="G270" s="9"/>
    </row>
    <row r="271" spans="4:7" x14ac:dyDescent="0.35">
      <c r="D271" s="9"/>
      <c r="E271" s="9"/>
      <c r="F271" s="9"/>
      <c r="G271" s="9"/>
    </row>
    <row r="272" spans="4:7" x14ac:dyDescent="0.35">
      <c r="D272" s="9"/>
      <c r="E272" s="9"/>
      <c r="F272" s="9"/>
      <c r="G272" s="9"/>
    </row>
    <row r="273" spans="4:7" x14ac:dyDescent="0.35">
      <c r="D273" s="9"/>
      <c r="E273" s="9"/>
      <c r="F273" s="9"/>
      <c r="G273" s="9"/>
    </row>
    <row r="274" spans="4:7" x14ac:dyDescent="0.35">
      <c r="D274" s="9"/>
      <c r="E274" s="9"/>
      <c r="F274" s="9"/>
      <c r="G274" s="9"/>
    </row>
    <row r="275" spans="4:7" x14ac:dyDescent="0.35">
      <c r="D275" s="9"/>
      <c r="E275" s="9"/>
      <c r="F275" s="9"/>
      <c r="G275" s="9"/>
    </row>
    <row r="276" spans="4:7" x14ac:dyDescent="0.35">
      <c r="D276" s="9"/>
      <c r="E276" s="9"/>
      <c r="F276" s="9"/>
      <c r="G276" s="9"/>
    </row>
    <row r="277" spans="4:7" x14ac:dyDescent="0.35">
      <c r="D277" s="9"/>
      <c r="E277" s="9"/>
      <c r="F277" s="9"/>
      <c r="G277" s="9"/>
    </row>
    <row r="278" spans="4:7" x14ac:dyDescent="0.35">
      <c r="D278" s="9"/>
      <c r="E278" s="9"/>
      <c r="F278" s="9"/>
      <c r="G278" s="9"/>
    </row>
    <row r="279" spans="4:7" x14ac:dyDescent="0.35">
      <c r="D279" s="9"/>
      <c r="E279" s="9"/>
      <c r="F279" s="9"/>
      <c r="G279" s="9"/>
    </row>
    <row r="280" spans="4:7" x14ac:dyDescent="0.35">
      <c r="D280" s="9"/>
      <c r="E280" s="9"/>
      <c r="F280" s="9"/>
      <c r="G280" s="9"/>
    </row>
    <row r="281" spans="4:7" x14ac:dyDescent="0.35">
      <c r="D281" s="9"/>
      <c r="E281" s="9"/>
      <c r="F281" s="9"/>
      <c r="G281" s="9"/>
    </row>
    <row r="282" spans="4:7" x14ac:dyDescent="0.35">
      <c r="D282" s="9"/>
      <c r="E282" s="9"/>
      <c r="F282" s="9"/>
      <c r="G282" s="9"/>
    </row>
    <row r="283" spans="4:7" x14ac:dyDescent="0.35">
      <c r="D283" s="9"/>
      <c r="E283" s="9"/>
      <c r="F283" s="9"/>
      <c r="G283" s="9"/>
    </row>
    <row r="284" spans="4:7" x14ac:dyDescent="0.35">
      <c r="D284" s="9"/>
      <c r="E284" s="9"/>
      <c r="F284" s="9"/>
      <c r="G284" s="9"/>
    </row>
    <row r="285" spans="4:7" x14ac:dyDescent="0.35">
      <c r="D285" s="9"/>
      <c r="E285" s="9"/>
      <c r="F285" s="9"/>
      <c r="G285" s="9"/>
    </row>
    <row r="286" spans="4:7" x14ac:dyDescent="0.35">
      <c r="D286" s="9"/>
      <c r="E286" s="9"/>
      <c r="F286" s="9"/>
      <c r="G286" s="9"/>
    </row>
    <row r="287" spans="4:7" x14ac:dyDescent="0.35">
      <c r="D287" s="9"/>
      <c r="E287" s="9"/>
      <c r="F287" s="9"/>
      <c r="G287" s="9"/>
    </row>
    <row r="288" spans="4:7" x14ac:dyDescent="0.35">
      <c r="D288" s="9"/>
      <c r="E288" s="9"/>
      <c r="F288" s="9"/>
      <c r="G288" s="9"/>
    </row>
    <row r="289" spans="4:7" x14ac:dyDescent="0.35">
      <c r="D289" s="9"/>
      <c r="E289" s="9"/>
      <c r="F289" s="9"/>
      <c r="G289" s="9"/>
    </row>
    <row r="290" spans="4:7" x14ac:dyDescent="0.35">
      <c r="D290" s="9"/>
      <c r="E290" s="9"/>
      <c r="F290" s="9"/>
      <c r="G290" s="9"/>
    </row>
    <row r="291" spans="4:7" x14ac:dyDescent="0.35">
      <c r="D291" s="9"/>
      <c r="E291" s="9"/>
      <c r="F291" s="9"/>
      <c r="G291" s="9"/>
    </row>
    <row r="292" spans="4:7" x14ac:dyDescent="0.35">
      <c r="D292" s="9"/>
      <c r="E292" s="9"/>
      <c r="F292" s="9"/>
      <c r="G292" s="9"/>
    </row>
    <row r="293" spans="4:7" x14ac:dyDescent="0.35">
      <c r="D293" s="9"/>
      <c r="E293" s="9"/>
      <c r="F293" s="9"/>
      <c r="G293" s="9"/>
    </row>
    <row r="294" spans="4:7" x14ac:dyDescent="0.35">
      <c r="D294" s="9"/>
      <c r="E294" s="9"/>
      <c r="F294" s="9"/>
      <c r="G294" s="9"/>
    </row>
    <row r="295" spans="4:7" x14ac:dyDescent="0.35">
      <c r="D295" s="9"/>
      <c r="E295" s="9"/>
      <c r="F295" s="9"/>
      <c r="G295" s="9"/>
    </row>
    <row r="296" spans="4:7" x14ac:dyDescent="0.35">
      <c r="D296" s="9"/>
      <c r="E296" s="9"/>
      <c r="F296" s="9"/>
      <c r="G296" s="9"/>
    </row>
    <row r="297" spans="4:7" x14ac:dyDescent="0.35">
      <c r="D297" s="9"/>
      <c r="E297" s="9"/>
      <c r="F297" s="9"/>
      <c r="G297" s="9"/>
    </row>
    <row r="298" spans="4:7" x14ac:dyDescent="0.35">
      <c r="D298" s="9"/>
      <c r="E298" s="9"/>
      <c r="F298" s="9"/>
      <c r="G298" s="9"/>
    </row>
    <row r="299" spans="4:7" x14ac:dyDescent="0.35">
      <c r="D299" s="9"/>
      <c r="E299" s="9"/>
      <c r="F299" s="9"/>
      <c r="G299" s="9"/>
    </row>
    <row r="300" spans="4:7" x14ac:dyDescent="0.35">
      <c r="D300" s="9"/>
      <c r="E300" s="9"/>
      <c r="F300" s="9"/>
      <c r="G300" s="9"/>
    </row>
    <row r="301" spans="4:7" x14ac:dyDescent="0.35">
      <c r="D301" s="9"/>
      <c r="E301" s="9"/>
      <c r="F301" s="9"/>
      <c r="G301" s="9"/>
    </row>
    <row r="302" spans="4:7" x14ac:dyDescent="0.35">
      <c r="D302" s="9"/>
      <c r="E302" s="9"/>
      <c r="F302" s="9"/>
      <c r="G302" s="9"/>
    </row>
    <row r="303" spans="4:7" x14ac:dyDescent="0.35">
      <c r="D303" s="9"/>
      <c r="E303" s="9"/>
      <c r="F303" s="9"/>
      <c r="G303" s="9"/>
    </row>
    <row r="304" spans="4:7" x14ac:dyDescent="0.35">
      <c r="D304" s="9"/>
      <c r="E304" s="9"/>
      <c r="F304" s="9"/>
      <c r="G304" s="9"/>
    </row>
    <row r="305" spans="4:7" x14ac:dyDescent="0.35">
      <c r="D305" s="9"/>
      <c r="E305" s="9"/>
      <c r="F305" s="9"/>
      <c r="G305" s="9"/>
    </row>
    <row r="306" spans="4:7" x14ac:dyDescent="0.35">
      <c r="D306" s="9"/>
      <c r="E306" s="9"/>
      <c r="F306" s="9"/>
      <c r="G306" s="9"/>
    </row>
    <row r="307" spans="4:7" x14ac:dyDescent="0.35">
      <c r="D307" s="9"/>
      <c r="E307" s="9"/>
      <c r="F307" s="9"/>
      <c r="G307" s="9"/>
    </row>
    <row r="308" spans="4:7" x14ac:dyDescent="0.35">
      <c r="D308" s="9"/>
      <c r="E308" s="9"/>
      <c r="F308" s="9"/>
      <c r="G308" s="9"/>
    </row>
    <row r="309" spans="4:7" x14ac:dyDescent="0.35">
      <c r="D309" s="9"/>
      <c r="E309" s="9"/>
      <c r="F309" s="9"/>
      <c r="G309" s="9"/>
    </row>
    <row r="310" spans="4:7" x14ac:dyDescent="0.35">
      <c r="D310" s="9"/>
      <c r="E310" s="9"/>
      <c r="F310" s="9"/>
      <c r="G310" s="9"/>
    </row>
    <row r="311" spans="4:7" x14ac:dyDescent="0.35">
      <c r="D311" s="9"/>
      <c r="E311" s="9"/>
      <c r="F311" s="9"/>
      <c r="G311" s="9"/>
    </row>
    <row r="312" spans="4:7" x14ac:dyDescent="0.35">
      <c r="D312" s="9"/>
      <c r="E312" s="9"/>
      <c r="F312" s="9"/>
      <c r="G312" s="9"/>
    </row>
    <row r="313" spans="4:7" x14ac:dyDescent="0.35">
      <c r="D313" s="9"/>
      <c r="E313" s="9"/>
      <c r="F313" s="9"/>
      <c r="G313" s="9"/>
    </row>
    <row r="314" spans="4:7" x14ac:dyDescent="0.35">
      <c r="D314" s="9"/>
      <c r="E314" s="9"/>
      <c r="F314" s="9"/>
      <c r="G314" s="9"/>
    </row>
    <row r="315" spans="4:7" x14ac:dyDescent="0.35">
      <c r="D315" s="9"/>
      <c r="E315" s="9"/>
      <c r="F315" s="9"/>
      <c r="G315" s="9"/>
    </row>
    <row r="316" spans="4:7" x14ac:dyDescent="0.35">
      <c r="D316" s="9"/>
      <c r="E316" s="9"/>
      <c r="F316" s="9"/>
      <c r="G316" s="9"/>
    </row>
    <row r="317" spans="4:7" x14ac:dyDescent="0.35">
      <c r="D317" s="9"/>
      <c r="E317" s="9"/>
      <c r="F317" s="9"/>
      <c r="G317" s="9"/>
    </row>
    <row r="318" spans="4:7" x14ac:dyDescent="0.35">
      <c r="D318" s="9"/>
      <c r="E318" s="9"/>
      <c r="F318" s="9"/>
      <c r="G318" s="9"/>
    </row>
    <row r="319" spans="4:7" x14ac:dyDescent="0.35">
      <c r="D319" s="9"/>
      <c r="E319" s="9"/>
      <c r="F319" s="9"/>
      <c r="G319" s="9"/>
    </row>
    <row r="320" spans="4:7" x14ac:dyDescent="0.35">
      <c r="D320" s="9"/>
      <c r="E320" s="9"/>
      <c r="F320" s="9"/>
      <c r="G320" s="9"/>
    </row>
    <row r="321" spans="4:7" x14ac:dyDescent="0.35">
      <c r="D321" s="9"/>
      <c r="E321" s="9"/>
      <c r="F321" s="9"/>
      <c r="G321" s="9"/>
    </row>
    <row r="322" spans="4:7" x14ac:dyDescent="0.35">
      <c r="D322" s="9"/>
      <c r="E322" s="9"/>
      <c r="F322" s="9"/>
      <c r="G322" s="9"/>
    </row>
    <row r="323" spans="4:7" x14ac:dyDescent="0.35">
      <c r="D323" s="9"/>
      <c r="E323" s="9"/>
      <c r="F323" s="9"/>
      <c r="G323" s="9"/>
    </row>
    <row r="324" spans="4:7" x14ac:dyDescent="0.35">
      <c r="D324" s="9"/>
      <c r="E324" s="9"/>
      <c r="F324" s="9"/>
      <c r="G324" s="9"/>
    </row>
    <row r="325" spans="4:7" x14ac:dyDescent="0.35">
      <c r="D325" s="9"/>
      <c r="E325" s="9"/>
      <c r="F325" s="9"/>
      <c r="G325" s="9"/>
    </row>
    <row r="326" spans="4:7" x14ac:dyDescent="0.35">
      <c r="D326" s="9"/>
      <c r="E326" s="9"/>
      <c r="F326" s="9"/>
      <c r="G326" s="9"/>
    </row>
    <row r="327" spans="4:7" x14ac:dyDescent="0.35">
      <c r="D327" s="9"/>
      <c r="E327" s="9"/>
      <c r="F327" s="9"/>
      <c r="G327" s="9"/>
    </row>
    <row r="328" spans="4:7" x14ac:dyDescent="0.35">
      <c r="D328" s="9"/>
      <c r="E328" s="9"/>
      <c r="F328" s="9"/>
      <c r="G328" s="9"/>
    </row>
    <row r="329" spans="4:7" x14ac:dyDescent="0.35">
      <c r="D329" s="9"/>
      <c r="E329" s="9"/>
      <c r="F329" s="9"/>
      <c r="G329" s="9"/>
    </row>
    <row r="330" spans="4:7" x14ac:dyDescent="0.35">
      <c r="D330" s="9"/>
      <c r="E330" s="9"/>
      <c r="F330" s="9"/>
      <c r="G330" s="9"/>
    </row>
    <row r="331" spans="4:7" x14ac:dyDescent="0.35">
      <c r="D331" s="9"/>
      <c r="E331" s="9"/>
      <c r="F331" s="9"/>
      <c r="G331" s="9"/>
    </row>
    <row r="332" spans="4:7" x14ac:dyDescent="0.35">
      <c r="D332" s="9"/>
      <c r="E332" s="9"/>
      <c r="F332" s="9"/>
      <c r="G332" s="9"/>
    </row>
    <row r="333" spans="4:7" x14ac:dyDescent="0.35">
      <c r="D333" s="9"/>
      <c r="E333" s="9"/>
      <c r="F333" s="9"/>
      <c r="G333" s="9"/>
    </row>
    <row r="334" spans="4:7" x14ac:dyDescent="0.35">
      <c r="D334" s="9"/>
      <c r="E334" s="9"/>
      <c r="F334" s="9"/>
      <c r="G334" s="9"/>
    </row>
    <row r="335" spans="4:7" x14ac:dyDescent="0.35">
      <c r="D335" s="9"/>
      <c r="E335" s="9"/>
      <c r="F335" s="9"/>
      <c r="G335" s="9"/>
    </row>
    <row r="336" spans="4:7" x14ac:dyDescent="0.35">
      <c r="D336" s="9"/>
      <c r="E336" s="9"/>
      <c r="F336" s="9"/>
      <c r="G336" s="9"/>
    </row>
    <row r="337" spans="4:7" x14ac:dyDescent="0.35">
      <c r="D337" s="9"/>
      <c r="E337" s="9"/>
      <c r="F337" s="9"/>
      <c r="G337" s="9"/>
    </row>
    <row r="338" spans="4:7" x14ac:dyDescent="0.35">
      <c r="D338" s="9"/>
      <c r="E338" s="9"/>
      <c r="F338" s="9"/>
      <c r="G338" s="9"/>
    </row>
    <row r="339" spans="4:7" x14ac:dyDescent="0.35">
      <c r="D339" s="9"/>
      <c r="E339" s="9"/>
      <c r="F339" s="9"/>
      <c r="G339" s="9"/>
    </row>
    <row r="340" spans="4:7" x14ac:dyDescent="0.35">
      <c r="D340" s="9"/>
      <c r="E340" s="9"/>
      <c r="F340" s="9"/>
      <c r="G340" s="9"/>
    </row>
    <row r="341" spans="4:7" x14ac:dyDescent="0.35">
      <c r="D341" s="9"/>
      <c r="E341" s="9"/>
      <c r="F341" s="9"/>
      <c r="G341" s="9"/>
    </row>
    <row r="342" spans="4:7" x14ac:dyDescent="0.35">
      <c r="D342" s="9"/>
      <c r="E342" s="9"/>
      <c r="F342" s="9"/>
      <c r="G342" s="9"/>
    </row>
    <row r="343" spans="4:7" x14ac:dyDescent="0.35">
      <c r="D343" s="9"/>
      <c r="E343" s="9"/>
      <c r="F343" s="9"/>
      <c r="G343" s="9"/>
    </row>
    <row r="344" spans="4:7" x14ac:dyDescent="0.35">
      <c r="D344" s="9"/>
      <c r="E344" s="9"/>
      <c r="F344" s="9"/>
      <c r="G344" s="9"/>
    </row>
    <row r="345" spans="4:7" x14ac:dyDescent="0.35">
      <c r="D345" s="9"/>
      <c r="E345" s="9"/>
      <c r="F345" s="9"/>
      <c r="G345" s="9"/>
    </row>
    <row r="346" spans="4:7" x14ac:dyDescent="0.35">
      <c r="D346" s="9"/>
      <c r="E346" s="9"/>
      <c r="F346" s="9"/>
      <c r="G346" s="9"/>
    </row>
    <row r="347" spans="4:7" x14ac:dyDescent="0.35">
      <c r="D347" s="9"/>
      <c r="E347" s="9"/>
      <c r="F347" s="9"/>
      <c r="G347" s="9"/>
    </row>
    <row r="348" spans="4:7" x14ac:dyDescent="0.35">
      <c r="D348" s="9"/>
      <c r="E348" s="9"/>
      <c r="F348" s="9"/>
      <c r="G348" s="9"/>
    </row>
    <row r="349" spans="4:7" x14ac:dyDescent="0.35">
      <c r="D349" s="9"/>
      <c r="E349" s="9"/>
      <c r="F349" s="9"/>
      <c r="G349" s="9"/>
    </row>
    <row r="350" spans="4:7" x14ac:dyDescent="0.35">
      <c r="D350" s="9"/>
      <c r="E350" s="9"/>
      <c r="F350" s="9"/>
      <c r="G350" s="9"/>
    </row>
    <row r="351" spans="4:7" x14ac:dyDescent="0.35">
      <c r="D351" s="9"/>
      <c r="E351" s="9"/>
      <c r="F351" s="9"/>
      <c r="G351" s="9"/>
    </row>
    <row r="352" spans="4:7" x14ac:dyDescent="0.35">
      <c r="D352" s="9"/>
      <c r="E352" s="9"/>
      <c r="F352" s="9"/>
      <c r="G352" s="9"/>
    </row>
    <row r="353" spans="4:7" x14ac:dyDescent="0.35">
      <c r="D353" s="9"/>
      <c r="E353" s="9"/>
      <c r="F353" s="9"/>
      <c r="G353" s="9"/>
    </row>
    <row r="354" spans="4:7" x14ac:dyDescent="0.35">
      <c r="D354" s="9"/>
      <c r="E354" s="9"/>
      <c r="F354" s="9"/>
      <c r="G354" s="9"/>
    </row>
    <row r="355" spans="4:7" x14ac:dyDescent="0.35">
      <c r="D355" s="9"/>
      <c r="E355" s="9"/>
      <c r="F355" s="9"/>
      <c r="G355" s="9"/>
    </row>
    <row r="356" spans="4:7" x14ac:dyDescent="0.35">
      <c r="D356" s="9"/>
      <c r="E356" s="9"/>
      <c r="F356" s="9"/>
      <c r="G356" s="9"/>
    </row>
    <row r="357" spans="4:7" x14ac:dyDescent="0.35">
      <c r="D357" s="9"/>
      <c r="E357" s="9"/>
      <c r="F357" s="9"/>
      <c r="G357" s="9"/>
    </row>
    <row r="358" spans="4:7" x14ac:dyDescent="0.35">
      <c r="D358" s="9"/>
      <c r="E358" s="9"/>
      <c r="F358" s="9"/>
      <c r="G358" s="9"/>
    </row>
    <row r="359" spans="4:7" x14ac:dyDescent="0.35">
      <c r="D359" s="9"/>
      <c r="E359" s="9"/>
      <c r="F359" s="9"/>
      <c r="G359" s="9"/>
    </row>
    <row r="360" spans="4:7" x14ac:dyDescent="0.35">
      <c r="D360" s="9"/>
      <c r="E360" s="9"/>
      <c r="F360" s="9"/>
      <c r="G360" s="9"/>
    </row>
    <row r="361" spans="4:7" x14ac:dyDescent="0.35">
      <c r="D361" s="9"/>
      <c r="E361" s="9"/>
      <c r="F361" s="9"/>
      <c r="G361" s="9"/>
    </row>
    <row r="362" spans="4:7" x14ac:dyDescent="0.35">
      <c r="D362" s="9"/>
      <c r="E362" s="9"/>
      <c r="F362" s="9"/>
      <c r="G362" s="9"/>
    </row>
    <row r="363" spans="4:7" x14ac:dyDescent="0.35">
      <c r="D363" s="9"/>
      <c r="E363" s="9"/>
      <c r="F363" s="9"/>
      <c r="G363" s="9"/>
    </row>
    <row r="364" spans="4:7" x14ac:dyDescent="0.35">
      <c r="D364" s="9"/>
      <c r="E364" s="9"/>
      <c r="F364" s="9"/>
      <c r="G364" s="9"/>
    </row>
    <row r="365" spans="4:7" x14ac:dyDescent="0.35">
      <c r="D365" s="9"/>
      <c r="E365" s="9"/>
      <c r="F365" s="9"/>
      <c r="G365" s="9"/>
    </row>
    <row r="366" spans="4:7" x14ac:dyDescent="0.35">
      <c r="D366" s="9"/>
      <c r="E366" s="9"/>
      <c r="F366" s="9"/>
      <c r="G366" s="9"/>
    </row>
    <row r="367" spans="4:7" x14ac:dyDescent="0.35">
      <c r="D367" s="9"/>
      <c r="E367" s="9"/>
      <c r="F367" s="9"/>
      <c r="G367" s="9"/>
    </row>
    <row r="368" spans="4:7" x14ac:dyDescent="0.35">
      <c r="D368" s="9"/>
      <c r="E368" s="9"/>
      <c r="F368" s="9"/>
      <c r="G368" s="9"/>
    </row>
    <row r="369" spans="4:7" x14ac:dyDescent="0.35">
      <c r="D369" s="9"/>
      <c r="E369" s="9"/>
      <c r="F369" s="9"/>
      <c r="G369" s="9"/>
    </row>
    <row r="370" spans="4:7" x14ac:dyDescent="0.35">
      <c r="D370" s="9"/>
      <c r="E370" s="9"/>
      <c r="F370" s="9"/>
      <c r="G370" s="9"/>
    </row>
    <row r="371" spans="4:7" x14ac:dyDescent="0.35">
      <c r="D371" s="9"/>
      <c r="E371" s="9"/>
      <c r="F371" s="9"/>
      <c r="G371" s="9"/>
    </row>
    <row r="372" spans="4:7" x14ac:dyDescent="0.35">
      <c r="D372" s="9"/>
      <c r="E372" s="9"/>
      <c r="F372" s="9"/>
      <c r="G372" s="9"/>
    </row>
    <row r="373" spans="4:7" x14ac:dyDescent="0.35">
      <c r="D373" s="9"/>
      <c r="E373" s="9"/>
      <c r="F373" s="9"/>
      <c r="G373" s="9"/>
    </row>
    <row r="374" spans="4:7" x14ac:dyDescent="0.35">
      <c r="D374" s="9"/>
      <c r="E374" s="9"/>
      <c r="F374" s="9"/>
      <c r="G374" s="9"/>
    </row>
    <row r="375" spans="4:7" x14ac:dyDescent="0.35">
      <c r="D375" s="9"/>
      <c r="E375" s="9"/>
      <c r="F375" s="9"/>
      <c r="G375" s="9"/>
    </row>
    <row r="376" spans="4:7" x14ac:dyDescent="0.35">
      <c r="D376" s="9"/>
      <c r="E376" s="9"/>
      <c r="F376" s="9"/>
      <c r="G376" s="9"/>
    </row>
    <row r="377" spans="4:7" x14ac:dyDescent="0.35">
      <c r="D377" s="9"/>
      <c r="E377" s="9"/>
      <c r="F377" s="9"/>
      <c r="G377" s="9"/>
    </row>
    <row r="378" spans="4:7" x14ac:dyDescent="0.35">
      <c r="D378" s="9"/>
      <c r="E378" s="9"/>
      <c r="F378" s="9"/>
      <c r="G378" s="9"/>
    </row>
    <row r="379" spans="4:7" x14ac:dyDescent="0.35">
      <c r="D379" s="9"/>
      <c r="E379" s="9"/>
      <c r="F379" s="9"/>
      <c r="G379" s="9"/>
    </row>
    <row r="380" spans="4:7" x14ac:dyDescent="0.35">
      <c r="D380" s="9"/>
      <c r="E380" s="9"/>
      <c r="F380" s="9"/>
      <c r="G380" s="9"/>
    </row>
    <row r="381" spans="4:7" x14ac:dyDescent="0.35">
      <c r="D381" s="9"/>
      <c r="E381" s="9"/>
      <c r="F381" s="9"/>
      <c r="G381" s="9"/>
    </row>
    <row r="382" spans="4:7" x14ac:dyDescent="0.35">
      <c r="D382" s="9"/>
      <c r="E382" s="9"/>
      <c r="F382" s="9"/>
      <c r="G382" s="9"/>
    </row>
    <row r="383" spans="4:7" x14ac:dyDescent="0.35">
      <c r="D383" s="9"/>
      <c r="E383" s="9"/>
      <c r="F383" s="9"/>
      <c r="G383" s="9"/>
    </row>
    <row r="384" spans="4:7" x14ac:dyDescent="0.35">
      <c r="D384" s="9"/>
      <c r="E384" s="9"/>
      <c r="F384" s="9"/>
      <c r="G384" s="9"/>
    </row>
    <row r="385" spans="4:7" x14ac:dyDescent="0.35">
      <c r="D385" s="9"/>
      <c r="E385" s="9"/>
      <c r="F385" s="9"/>
      <c r="G385" s="9"/>
    </row>
    <row r="386" spans="4:7" x14ac:dyDescent="0.35">
      <c r="D386" s="9"/>
      <c r="E386" s="9"/>
      <c r="F386" s="9"/>
      <c r="G386" s="9"/>
    </row>
    <row r="387" spans="4:7" x14ac:dyDescent="0.35">
      <c r="D387" s="9"/>
      <c r="E387" s="9"/>
      <c r="F387" s="9"/>
      <c r="G387" s="9"/>
    </row>
    <row r="388" spans="4:7" x14ac:dyDescent="0.35">
      <c r="D388" s="9"/>
      <c r="E388" s="9"/>
      <c r="F388" s="9"/>
      <c r="G388" s="9"/>
    </row>
    <row r="389" spans="4:7" x14ac:dyDescent="0.35">
      <c r="D389" s="9"/>
      <c r="E389" s="9"/>
      <c r="F389" s="9"/>
      <c r="G389" s="9"/>
    </row>
    <row r="390" spans="4:7" x14ac:dyDescent="0.35">
      <c r="D390" s="9"/>
      <c r="E390" s="9"/>
      <c r="F390" s="9"/>
      <c r="G390" s="9"/>
    </row>
    <row r="391" spans="4:7" x14ac:dyDescent="0.35">
      <c r="D391" s="9"/>
      <c r="E391" s="9"/>
      <c r="F391" s="9"/>
      <c r="G391" s="9"/>
    </row>
    <row r="392" spans="4:7" x14ac:dyDescent="0.35">
      <c r="D392" s="9"/>
      <c r="E392" s="9"/>
      <c r="F392" s="9"/>
      <c r="G392" s="9"/>
    </row>
    <row r="393" spans="4:7" x14ac:dyDescent="0.35">
      <c r="D393" s="9"/>
      <c r="E393" s="9"/>
      <c r="F393" s="9"/>
      <c r="G393" s="9"/>
    </row>
    <row r="394" spans="4:7" x14ac:dyDescent="0.35">
      <c r="D394" s="9"/>
      <c r="E394" s="9"/>
      <c r="F394" s="9"/>
      <c r="G394" s="9"/>
    </row>
    <row r="395" spans="4:7" x14ac:dyDescent="0.35">
      <c r="D395" s="9"/>
      <c r="E395" s="9"/>
      <c r="F395" s="9"/>
      <c r="G395" s="9"/>
    </row>
    <row r="396" spans="4:7" x14ac:dyDescent="0.35">
      <c r="D396" s="9"/>
      <c r="E396" s="9"/>
      <c r="F396" s="9"/>
      <c r="G396" s="9"/>
    </row>
    <row r="397" spans="4:7" x14ac:dyDescent="0.35">
      <c r="D397" s="9"/>
      <c r="E397" s="9"/>
      <c r="F397" s="9"/>
      <c r="G397" s="9"/>
    </row>
    <row r="398" spans="4:7" x14ac:dyDescent="0.35">
      <c r="D398" s="9"/>
      <c r="E398" s="9"/>
      <c r="F398" s="9"/>
      <c r="G398" s="9"/>
    </row>
    <row r="399" spans="4:7" x14ac:dyDescent="0.35">
      <c r="D399" s="9"/>
      <c r="E399" s="9"/>
      <c r="F399" s="9"/>
      <c r="G399" s="9"/>
    </row>
    <row r="400" spans="4:7" x14ac:dyDescent="0.35">
      <c r="D400" s="9"/>
      <c r="E400" s="9"/>
      <c r="F400" s="9"/>
      <c r="G400" s="9"/>
    </row>
    <row r="401" spans="4:7" x14ac:dyDescent="0.35">
      <c r="D401" s="9"/>
      <c r="E401" s="9"/>
      <c r="F401" s="9"/>
      <c r="G401" s="9"/>
    </row>
    <row r="402" spans="4:7" x14ac:dyDescent="0.35">
      <c r="D402" s="9"/>
      <c r="E402" s="9"/>
      <c r="F402" s="9"/>
      <c r="G402" s="9"/>
    </row>
    <row r="403" spans="4:7" x14ac:dyDescent="0.35">
      <c r="D403" s="9"/>
      <c r="E403" s="9"/>
      <c r="F403" s="9"/>
      <c r="G403" s="9"/>
    </row>
    <row r="404" spans="4:7" x14ac:dyDescent="0.35">
      <c r="D404" s="9"/>
      <c r="E404" s="9"/>
      <c r="F404" s="9"/>
      <c r="G404" s="9"/>
    </row>
    <row r="405" spans="4:7" x14ac:dyDescent="0.35">
      <c r="D405" s="9"/>
      <c r="E405" s="9"/>
      <c r="F405" s="9"/>
      <c r="G405" s="9"/>
    </row>
    <row r="406" spans="4:7" x14ac:dyDescent="0.35">
      <c r="D406" s="9"/>
      <c r="E406" s="9"/>
      <c r="F406" s="9"/>
      <c r="G406" s="9"/>
    </row>
    <row r="407" spans="4:7" x14ac:dyDescent="0.35">
      <c r="D407" s="9"/>
      <c r="E407" s="9"/>
      <c r="F407" s="9"/>
      <c r="G407" s="9"/>
    </row>
    <row r="408" spans="4:7" x14ac:dyDescent="0.35">
      <c r="D408" s="9"/>
      <c r="E408" s="9"/>
      <c r="F408" s="9"/>
      <c r="G408" s="9"/>
    </row>
    <row r="409" spans="4:7" x14ac:dyDescent="0.35">
      <c r="D409" s="9"/>
      <c r="E409" s="9"/>
      <c r="F409" s="9"/>
      <c r="G409" s="9"/>
    </row>
    <row r="410" spans="4:7" x14ac:dyDescent="0.35">
      <c r="D410" s="9"/>
      <c r="E410" s="9"/>
      <c r="F410" s="9"/>
      <c r="G410" s="9"/>
    </row>
    <row r="411" spans="4:7" x14ac:dyDescent="0.35">
      <c r="D411" s="9"/>
      <c r="E411" s="9"/>
      <c r="F411" s="9"/>
      <c r="G411" s="9"/>
    </row>
    <row r="412" spans="4:7" x14ac:dyDescent="0.35">
      <c r="D412" s="9"/>
      <c r="E412" s="9"/>
      <c r="F412" s="9"/>
      <c r="G412" s="9"/>
    </row>
    <row r="413" spans="4:7" x14ac:dyDescent="0.35">
      <c r="D413" s="9"/>
      <c r="E413" s="9"/>
      <c r="F413" s="9"/>
      <c r="G413" s="9"/>
    </row>
    <row r="414" spans="4:7" x14ac:dyDescent="0.35">
      <c r="D414" s="9"/>
      <c r="E414" s="9"/>
      <c r="F414" s="9"/>
      <c r="G414" s="9"/>
    </row>
    <row r="415" spans="4:7" x14ac:dyDescent="0.35">
      <c r="D415" s="9"/>
      <c r="E415" s="9"/>
      <c r="F415" s="9"/>
      <c r="G415" s="9"/>
    </row>
    <row r="416" spans="4:7" x14ac:dyDescent="0.35">
      <c r="D416" s="9"/>
      <c r="E416" s="9"/>
      <c r="F416" s="9"/>
      <c r="G416" s="9"/>
    </row>
    <row r="417" spans="4:7" x14ac:dyDescent="0.35">
      <c r="D417" s="9"/>
      <c r="E417" s="9"/>
      <c r="F417" s="9"/>
      <c r="G417" s="9"/>
    </row>
    <row r="418" spans="4:7" x14ac:dyDescent="0.35">
      <c r="D418" s="9"/>
      <c r="E418" s="9"/>
      <c r="F418" s="9"/>
      <c r="G418" s="9"/>
    </row>
    <row r="419" spans="4:7" x14ac:dyDescent="0.35">
      <c r="D419" s="9"/>
      <c r="E419" s="9"/>
      <c r="F419" s="9"/>
      <c r="G419" s="9"/>
    </row>
    <row r="420" spans="4:7" x14ac:dyDescent="0.35">
      <c r="D420" s="9"/>
      <c r="E420" s="9"/>
      <c r="F420" s="9"/>
      <c r="G420" s="9"/>
    </row>
    <row r="421" spans="4:7" x14ac:dyDescent="0.35">
      <c r="D421" s="9"/>
      <c r="E421" s="9"/>
      <c r="F421" s="9"/>
      <c r="G421" s="9"/>
    </row>
    <row r="422" spans="4:7" x14ac:dyDescent="0.35">
      <c r="D422" s="9"/>
      <c r="E422" s="9"/>
      <c r="F422" s="9"/>
      <c r="G422" s="9"/>
    </row>
    <row r="423" spans="4:7" x14ac:dyDescent="0.35">
      <c r="D423" s="9"/>
      <c r="E423" s="9"/>
      <c r="F423" s="9"/>
      <c r="G423" s="9"/>
    </row>
    <row r="424" spans="4:7" x14ac:dyDescent="0.35">
      <c r="D424" s="9"/>
      <c r="E424" s="9"/>
      <c r="F424" s="9"/>
      <c r="G424" s="9"/>
    </row>
    <row r="425" spans="4:7" x14ac:dyDescent="0.35">
      <c r="D425" s="9"/>
      <c r="E425" s="9"/>
      <c r="F425" s="9"/>
      <c r="G425" s="9"/>
    </row>
    <row r="426" spans="4:7" x14ac:dyDescent="0.35">
      <c r="D426" s="9"/>
      <c r="E426" s="9"/>
      <c r="F426" s="9"/>
      <c r="G426" s="9"/>
    </row>
    <row r="427" spans="4:7" x14ac:dyDescent="0.35">
      <c r="D427" s="9"/>
      <c r="E427" s="9"/>
      <c r="F427" s="9"/>
      <c r="G427" s="9"/>
    </row>
    <row r="428" spans="4:7" x14ac:dyDescent="0.35">
      <c r="D428" s="9"/>
      <c r="E428" s="9"/>
      <c r="F428" s="9"/>
      <c r="G428" s="9"/>
    </row>
    <row r="429" spans="4:7" x14ac:dyDescent="0.35">
      <c r="D429" s="9"/>
      <c r="E429" s="9"/>
      <c r="F429" s="9"/>
      <c r="G429" s="9"/>
    </row>
    <row r="430" spans="4:7" x14ac:dyDescent="0.35">
      <c r="D430" s="9"/>
      <c r="E430" s="9"/>
      <c r="F430" s="9"/>
      <c r="G430" s="9"/>
    </row>
    <row r="431" spans="4:7" x14ac:dyDescent="0.35">
      <c r="D431" s="9"/>
      <c r="E431" s="9"/>
      <c r="F431" s="9"/>
      <c r="G431" s="9"/>
    </row>
    <row r="432" spans="4:7" x14ac:dyDescent="0.35">
      <c r="D432" s="9"/>
      <c r="E432" s="9"/>
      <c r="F432" s="9"/>
      <c r="G432" s="9"/>
    </row>
    <row r="433" spans="4:7" x14ac:dyDescent="0.35">
      <c r="D433" s="9"/>
      <c r="E433" s="9"/>
      <c r="F433" s="9"/>
      <c r="G433" s="9"/>
    </row>
    <row r="434" spans="4:7" x14ac:dyDescent="0.35">
      <c r="D434" s="9"/>
      <c r="E434" s="9"/>
      <c r="F434" s="9"/>
      <c r="G434" s="9"/>
    </row>
    <row r="435" spans="4:7" x14ac:dyDescent="0.35">
      <c r="D435" s="9"/>
      <c r="E435" s="9"/>
      <c r="F435" s="9"/>
      <c r="G435" s="9"/>
    </row>
    <row r="436" spans="4:7" x14ac:dyDescent="0.35">
      <c r="D436" s="9"/>
      <c r="E436" s="9"/>
      <c r="F436" s="9"/>
      <c r="G436" s="9"/>
    </row>
    <row r="437" spans="4:7" x14ac:dyDescent="0.35">
      <c r="D437" s="9"/>
      <c r="E437" s="9"/>
      <c r="F437" s="9"/>
      <c r="G437" s="9"/>
    </row>
    <row r="438" spans="4:7" x14ac:dyDescent="0.35">
      <c r="D438" s="9"/>
      <c r="E438" s="9"/>
      <c r="F438" s="9"/>
      <c r="G438" s="9"/>
    </row>
    <row r="439" spans="4:7" x14ac:dyDescent="0.35">
      <c r="D439" s="9"/>
      <c r="E439" s="9"/>
      <c r="F439" s="9"/>
      <c r="G439" s="9"/>
    </row>
    <row r="440" spans="4:7" x14ac:dyDescent="0.35">
      <c r="D440" s="9"/>
      <c r="E440" s="9"/>
      <c r="F440" s="9"/>
      <c r="G440" s="9"/>
    </row>
    <row r="441" spans="4:7" x14ac:dyDescent="0.35">
      <c r="D441" s="9"/>
      <c r="E441" s="9"/>
      <c r="F441" s="9"/>
      <c r="G441" s="9"/>
    </row>
    <row r="442" spans="4:7" x14ac:dyDescent="0.35">
      <c r="D442" s="9"/>
      <c r="E442" s="9"/>
      <c r="F442" s="9"/>
      <c r="G442" s="9"/>
    </row>
    <row r="443" spans="4:7" x14ac:dyDescent="0.35">
      <c r="D443" s="9"/>
      <c r="E443" s="9"/>
      <c r="F443" s="9"/>
      <c r="G443" s="9"/>
    </row>
    <row r="444" spans="4:7" x14ac:dyDescent="0.35">
      <c r="D444" s="9"/>
      <c r="E444" s="9"/>
      <c r="F444" s="9"/>
      <c r="G444" s="9"/>
    </row>
    <row r="445" spans="4:7" x14ac:dyDescent="0.35">
      <c r="D445" s="9"/>
      <c r="E445" s="9"/>
      <c r="F445" s="9"/>
      <c r="G445" s="9"/>
    </row>
    <row r="446" spans="4:7" x14ac:dyDescent="0.35">
      <c r="D446" s="9"/>
      <c r="E446" s="9"/>
      <c r="F446" s="9"/>
      <c r="G446" s="9"/>
    </row>
    <row r="447" spans="4:7" x14ac:dyDescent="0.35">
      <c r="D447" s="9"/>
      <c r="E447" s="9"/>
      <c r="F447" s="9"/>
      <c r="G447" s="9"/>
    </row>
    <row r="448" spans="4:7" x14ac:dyDescent="0.35">
      <c r="D448" s="9"/>
      <c r="E448" s="9"/>
      <c r="F448" s="9"/>
      <c r="G448" s="9"/>
    </row>
    <row r="449" spans="4:7" x14ac:dyDescent="0.35">
      <c r="D449" s="9"/>
      <c r="E449" s="9"/>
      <c r="F449" s="9"/>
      <c r="G449" s="9"/>
    </row>
    <row r="450" spans="4:7" x14ac:dyDescent="0.35">
      <c r="D450" s="9"/>
      <c r="E450" s="9"/>
      <c r="F450" s="9"/>
      <c r="G450" s="9"/>
    </row>
    <row r="451" spans="4:7" x14ac:dyDescent="0.35">
      <c r="D451" s="9"/>
      <c r="E451" s="9"/>
      <c r="F451" s="9"/>
      <c r="G451" s="9"/>
    </row>
    <row r="452" spans="4:7" x14ac:dyDescent="0.35">
      <c r="D452" s="9"/>
      <c r="E452" s="9"/>
      <c r="F452" s="9"/>
      <c r="G452" s="9"/>
    </row>
    <row r="453" spans="4:7" x14ac:dyDescent="0.35">
      <c r="D453" s="9"/>
      <c r="E453" s="9"/>
      <c r="F453" s="9"/>
      <c r="G453" s="9"/>
    </row>
    <row r="454" spans="4:7" x14ac:dyDescent="0.35">
      <c r="D454" s="9"/>
      <c r="E454" s="9"/>
      <c r="F454" s="9"/>
      <c r="G454" s="9"/>
    </row>
    <row r="455" spans="4:7" x14ac:dyDescent="0.35">
      <c r="D455" s="9"/>
      <c r="E455" s="9"/>
      <c r="F455" s="9"/>
      <c r="G455" s="9"/>
    </row>
    <row r="456" spans="4:7" x14ac:dyDescent="0.35">
      <c r="D456" s="9"/>
      <c r="E456" s="9"/>
      <c r="F456" s="9"/>
      <c r="G456" s="9"/>
    </row>
    <row r="457" spans="4:7" x14ac:dyDescent="0.35">
      <c r="D457" s="9"/>
      <c r="E457" s="9"/>
      <c r="F457" s="9"/>
      <c r="G457" s="9"/>
    </row>
    <row r="458" spans="4:7" x14ac:dyDescent="0.35">
      <c r="D458" s="9"/>
      <c r="E458" s="9"/>
      <c r="F458" s="9"/>
      <c r="G458" s="9"/>
    </row>
    <row r="459" spans="4:7" x14ac:dyDescent="0.35">
      <c r="D459" s="9"/>
      <c r="E459" s="9"/>
      <c r="F459" s="9"/>
      <c r="G459" s="9"/>
    </row>
    <row r="460" spans="4:7" x14ac:dyDescent="0.35">
      <c r="D460" s="9"/>
      <c r="E460" s="9"/>
      <c r="F460" s="9"/>
      <c r="G460" s="9"/>
    </row>
    <row r="461" spans="4:7" x14ac:dyDescent="0.35">
      <c r="D461" s="9"/>
      <c r="E461" s="9"/>
      <c r="F461" s="9"/>
      <c r="G461" s="9"/>
    </row>
    <row r="462" spans="4:7" x14ac:dyDescent="0.35">
      <c r="D462" s="9"/>
      <c r="E462" s="9"/>
      <c r="F462" s="9"/>
      <c r="G462" s="9"/>
    </row>
    <row r="463" spans="4:7" x14ac:dyDescent="0.35">
      <c r="D463" s="9"/>
      <c r="E463" s="9"/>
      <c r="F463" s="9"/>
      <c r="G463" s="9"/>
    </row>
    <row r="464" spans="4:7" x14ac:dyDescent="0.35">
      <c r="D464" s="9"/>
      <c r="E464" s="9"/>
      <c r="F464" s="9"/>
      <c r="G464" s="9"/>
    </row>
    <row r="465" spans="4:7" x14ac:dyDescent="0.35">
      <c r="D465" s="9"/>
      <c r="E465" s="9"/>
      <c r="F465" s="9"/>
      <c r="G465" s="9"/>
    </row>
    <row r="466" spans="4:7" x14ac:dyDescent="0.35">
      <c r="D466" s="9"/>
      <c r="E466" s="9"/>
      <c r="F466" s="9"/>
      <c r="G466" s="9"/>
    </row>
    <row r="467" spans="4:7" x14ac:dyDescent="0.35">
      <c r="D467" s="9"/>
      <c r="E467" s="9"/>
      <c r="F467" s="9"/>
      <c r="G467" s="9"/>
    </row>
    <row r="468" spans="4:7" x14ac:dyDescent="0.35">
      <c r="D468" s="9"/>
      <c r="E468" s="9"/>
      <c r="F468" s="9"/>
      <c r="G468" s="9"/>
    </row>
    <row r="469" spans="4:7" x14ac:dyDescent="0.35">
      <c r="D469" s="9"/>
      <c r="E469" s="9"/>
      <c r="F469" s="9"/>
      <c r="G469" s="9"/>
    </row>
    <row r="470" spans="4:7" x14ac:dyDescent="0.35">
      <c r="D470" s="9"/>
      <c r="E470" s="9"/>
      <c r="F470" s="9"/>
      <c r="G470" s="9"/>
    </row>
    <row r="471" spans="4:7" x14ac:dyDescent="0.35">
      <c r="D471" s="9"/>
      <c r="E471" s="9"/>
      <c r="F471" s="9"/>
      <c r="G471" s="9"/>
    </row>
    <row r="472" spans="4:7" x14ac:dyDescent="0.35">
      <c r="D472" s="9"/>
      <c r="E472" s="9"/>
      <c r="F472" s="9"/>
      <c r="G472" s="9"/>
    </row>
    <row r="473" spans="4:7" x14ac:dyDescent="0.35">
      <c r="D473" s="9"/>
      <c r="E473" s="9"/>
      <c r="F473" s="9"/>
      <c r="G473" s="9"/>
    </row>
    <row r="474" spans="4:7" x14ac:dyDescent="0.35">
      <c r="D474" s="9"/>
      <c r="E474" s="9"/>
      <c r="F474" s="9"/>
      <c r="G474" s="9"/>
    </row>
    <row r="475" spans="4:7" x14ac:dyDescent="0.35">
      <c r="D475" s="9"/>
      <c r="E475" s="9"/>
      <c r="F475" s="9"/>
      <c r="G475" s="9"/>
    </row>
    <row r="476" spans="4:7" x14ac:dyDescent="0.35">
      <c r="D476" s="9"/>
      <c r="E476" s="9"/>
      <c r="F476" s="9"/>
      <c r="G476" s="9"/>
    </row>
    <row r="477" spans="4:7" x14ac:dyDescent="0.35">
      <c r="D477" s="9"/>
      <c r="E477" s="9"/>
      <c r="F477" s="9"/>
      <c r="G477" s="9"/>
    </row>
    <row r="478" spans="4:7" x14ac:dyDescent="0.35">
      <c r="D478" s="9"/>
      <c r="E478" s="9"/>
      <c r="F478" s="9"/>
      <c r="G478" s="9"/>
    </row>
    <row r="479" spans="4:7" x14ac:dyDescent="0.35">
      <c r="D479" s="9"/>
      <c r="E479" s="9"/>
      <c r="F479" s="9"/>
      <c r="G479" s="9"/>
    </row>
    <row r="480" spans="4:7" x14ac:dyDescent="0.35">
      <c r="D480" s="9"/>
      <c r="E480" s="9"/>
      <c r="F480" s="9"/>
      <c r="G480" s="9"/>
    </row>
    <row r="481" spans="4:7" x14ac:dyDescent="0.35">
      <c r="D481" s="9"/>
      <c r="E481" s="9"/>
      <c r="F481" s="9"/>
      <c r="G481" s="9"/>
    </row>
    <row r="482" spans="4:7" x14ac:dyDescent="0.35">
      <c r="D482" s="9"/>
      <c r="E482" s="9"/>
      <c r="F482" s="9"/>
      <c r="G482" s="9"/>
    </row>
    <row r="483" spans="4:7" x14ac:dyDescent="0.35">
      <c r="D483" s="9"/>
      <c r="E483" s="9"/>
      <c r="F483" s="9"/>
      <c r="G483" s="9"/>
    </row>
    <row r="484" spans="4:7" x14ac:dyDescent="0.35">
      <c r="D484" s="9"/>
      <c r="E484" s="9"/>
      <c r="F484" s="9"/>
      <c r="G484" s="9"/>
    </row>
    <row r="485" spans="4:7" x14ac:dyDescent="0.35">
      <c r="D485" s="9"/>
      <c r="E485" s="9"/>
      <c r="F485" s="9"/>
      <c r="G485" s="9"/>
    </row>
    <row r="486" spans="4:7" x14ac:dyDescent="0.35">
      <c r="D486" s="9"/>
      <c r="E486" s="9"/>
      <c r="F486" s="9"/>
      <c r="G486" s="9"/>
    </row>
    <row r="487" spans="4:7" x14ac:dyDescent="0.35">
      <c r="D487" s="9"/>
      <c r="E487" s="9"/>
      <c r="F487" s="9"/>
      <c r="G487" s="9"/>
    </row>
    <row r="488" spans="4:7" x14ac:dyDescent="0.35">
      <c r="D488" s="9"/>
      <c r="E488" s="9"/>
      <c r="F488" s="9"/>
      <c r="G488" s="9"/>
    </row>
    <row r="489" spans="4:7" x14ac:dyDescent="0.35">
      <c r="D489" s="9"/>
      <c r="E489" s="9"/>
      <c r="F489" s="9"/>
      <c r="G489" s="9"/>
    </row>
    <row r="490" spans="4:7" x14ac:dyDescent="0.35">
      <c r="D490" s="9"/>
      <c r="E490" s="9"/>
      <c r="F490" s="9"/>
      <c r="G490" s="9"/>
    </row>
    <row r="491" spans="4:7" x14ac:dyDescent="0.35">
      <c r="D491" s="9"/>
      <c r="E491" s="9"/>
      <c r="F491" s="9"/>
      <c r="G491" s="9"/>
    </row>
    <row r="492" spans="4:7" x14ac:dyDescent="0.35">
      <c r="D492" s="9"/>
      <c r="E492" s="9"/>
      <c r="F492" s="9"/>
      <c r="G492" s="9"/>
    </row>
    <row r="493" spans="4:7" x14ac:dyDescent="0.35">
      <c r="D493" s="9"/>
      <c r="E493" s="9"/>
      <c r="F493" s="9"/>
      <c r="G493" s="9"/>
    </row>
    <row r="494" spans="4:7" x14ac:dyDescent="0.35">
      <c r="D494" s="9"/>
      <c r="E494" s="9"/>
      <c r="F494" s="9"/>
      <c r="G494" s="9"/>
    </row>
    <row r="495" spans="4:7" x14ac:dyDescent="0.35">
      <c r="D495" s="9"/>
      <c r="E495" s="9"/>
      <c r="F495" s="9"/>
      <c r="G495" s="9"/>
    </row>
    <row r="496" spans="4:7" x14ac:dyDescent="0.35">
      <c r="D496" s="9"/>
      <c r="E496" s="9"/>
      <c r="F496" s="9"/>
      <c r="G496" s="9"/>
    </row>
    <row r="497" spans="4:7" x14ac:dyDescent="0.35">
      <c r="D497" s="9"/>
      <c r="E497" s="9"/>
      <c r="F497" s="9"/>
      <c r="G497" s="9"/>
    </row>
    <row r="498" spans="4:7" x14ac:dyDescent="0.35">
      <c r="D498" s="9"/>
      <c r="E498" s="9"/>
      <c r="F498" s="9"/>
      <c r="G498" s="9"/>
    </row>
    <row r="499" spans="4:7" x14ac:dyDescent="0.35">
      <c r="D499" s="9"/>
      <c r="E499" s="9"/>
      <c r="F499" s="9"/>
      <c r="G499" s="9"/>
    </row>
    <row r="500" spans="4:7" x14ac:dyDescent="0.35">
      <c r="D500" s="9"/>
      <c r="E500" s="9"/>
      <c r="F500" s="9"/>
      <c r="G500" s="9"/>
    </row>
    <row r="501" spans="4:7" x14ac:dyDescent="0.35">
      <c r="D501" s="9"/>
      <c r="E501" s="9"/>
      <c r="F501" s="9"/>
      <c r="G501" s="9"/>
    </row>
    <row r="502" spans="4:7" x14ac:dyDescent="0.35">
      <c r="D502" s="9"/>
      <c r="E502" s="9"/>
      <c r="F502" s="9"/>
      <c r="G502" s="9"/>
    </row>
    <row r="503" spans="4:7" x14ac:dyDescent="0.35">
      <c r="D503" s="9"/>
      <c r="E503" s="9"/>
      <c r="F503" s="9"/>
      <c r="G503" s="9"/>
    </row>
    <row r="504" spans="4:7" x14ac:dyDescent="0.35">
      <c r="D504" s="9"/>
      <c r="E504" s="9"/>
      <c r="F504" s="9"/>
      <c r="G504" s="9"/>
    </row>
    <row r="505" spans="4:7" x14ac:dyDescent="0.35">
      <c r="D505" s="9"/>
      <c r="E505" s="9"/>
      <c r="F505" s="9"/>
      <c r="G505" s="9"/>
    </row>
    <row r="506" spans="4:7" x14ac:dyDescent="0.35">
      <c r="D506" s="9"/>
      <c r="E506" s="9"/>
      <c r="F506" s="9"/>
      <c r="G506" s="9"/>
    </row>
    <row r="507" spans="4:7" x14ac:dyDescent="0.35">
      <c r="D507" s="9"/>
      <c r="E507" s="9"/>
      <c r="F507" s="9"/>
      <c r="G507" s="9"/>
    </row>
    <row r="508" spans="4:7" x14ac:dyDescent="0.35">
      <c r="D508" s="9"/>
      <c r="E508" s="9"/>
      <c r="F508" s="9"/>
      <c r="G508" s="9"/>
    </row>
    <row r="509" spans="4:7" x14ac:dyDescent="0.35">
      <c r="D509" s="9"/>
      <c r="E509" s="9"/>
      <c r="F509" s="9"/>
      <c r="G509" s="9"/>
    </row>
    <row r="510" spans="4:7" x14ac:dyDescent="0.35">
      <c r="D510" s="9"/>
      <c r="E510" s="9"/>
      <c r="F510" s="9"/>
      <c r="G510" s="9"/>
    </row>
    <row r="511" spans="4:7" x14ac:dyDescent="0.35">
      <c r="D511" s="9"/>
      <c r="E511" s="9"/>
      <c r="F511" s="9"/>
      <c r="G511" s="9"/>
    </row>
    <row r="512" spans="4:7" x14ac:dyDescent="0.35">
      <c r="D512" s="9"/>
      <c r="E512" s="9"/>
      <c r="F512" s="9"/>
      <c r="G512" s="9"/>
    </row>
    <row r="513" spans="4:7" x14ac:dyDescent="0.35">
      <c r="D513" s="9"/>
      <c r="E513" s="9"/>
      <c r="F513" s="9"/>
      <c r="G513" s="9"/>
    </row>
    <row r="514" spans="4:7" x14ac:dyDescent="0.35">
      <c r="D514" s="9"/>
      <c r="E514" s="9"/>
      <c r="F514" s="9"/>
      <c r="G514" s="9"/>
    </row>
    <row r="515" spans="4:7" x14ac:dyDescent="0.35">
      <c r="D515" s="9"/>
      <c r="E515" s="9"/>
      <c r="F515" s="9"/>
      <c r="G515" s="9"/>
    </row>
    <row r="516" spans="4:7" x14ac:dyDescent="0.35">
      <c r="D516" s="9"/>
      <c r="E516" s="9"/>
      <c r="F516" s="9"/>
      <c r="G516" s="9"/>
    </row>
    <row r="517" spans="4:7" x14ac:dyDescent="0.35">
      <c r="D517" s="9"/>
      <c r="E517" s="9"/>
      <c r="F517" s="9"/>
      <c r="G517" s="9"/>
    </row>
    <row r="518" spans="4:7" x14ac:dyDescent="0.35">
      <c r="D518" s="9"/>
      <c r="E518" s="9"/>
      <c r="F518" s="9"/>
      <c r="G518" s="9"/>
    </row>
    <row r="519" spans="4:7" x14ac:dyDescent="0.35">
      <c r="D519" s="9"/>
      <c r="E519" s="9"/>
      <c r="F519" s="9"/>
      <c r="G519" s="9"/>
    </row>
    <row r="520" spans="4:7" x14ac:dyDescent="0.35">
      <c r="D520" s="9"/>
      <c r="E520" s="9"/>
      <c r="F520" s="9"/>
      <c r="G520" s="9"/>
    </row>
    <row r="521" spans="4:7" x14ac:dyDescent="0.35">
      <c r="D521" s="9"/>
      <c r="E521" s="9"/>
      <c r="F521" s="9"/>
      <c r="G521" s="9"/>
    </row>
    <row r="522" spans="4:7" x14ac:dyDescent="0.35">
      <c r="D522" s="9"/>
      <c r="E522" s="9"/>
      <c r="F522" s="9"/>
      <c r="G522" s="9"/>
    </row>
    <row r="523" spans="4:7" x14ac:dyDescent="0.35">
      <c r="D523" s="9"/>
      <c r="E523" s="9"/>
      <c r="F523" s="9"/>
      <c r="G523" s="9"/>
    </row>
    <row r="524" spans="4:7" x14ac:dyDescent="0.35">
      <c r="D524" s="9"/>
      <c r="E524" s="9"/>
      <c r="F524" s="9"/>
      <c r="G524" s="9"/>
    </row>
    <row r="525" spans="4:7" x14ac:dyDescent="0.35">
      <c r="D525" s="9"/>
      <c r="E525" s="9"/>
      <c r="F525" s="9"/>
      <c r="G525" s="9"/>
    </row>
    <row r="526" spans="4:7" x14ac:dyDescent="0.35">
      <c r="D526" s="9"/>
      <c r="E526" s="9"/>
      <c r="F526" s="9"/>
      <c r="G526" s="9"/>
    </row>
    <row r="527" spans="4:7" x14ac:dyDescent="0.35">
      <c r="D527" s="9"/>
      <c r="E527" s="9"/>
      <c r="F527" s="9"/>
      <c r="G527" s="9"/>
    </row>
    <row r="528" spans="4:7" x14ac:dyDescent="0.35">
      <c r="D528" s="9"/>
      <c r="E528" s="9"/>
      <c r="F528" s="9"/>
      <c r="G528" s="9"/>
    </row>
    <row r="529" spans="4:7" x14ac:dyDescent="0.35">
      <c r="D529" s="9"/>
      <c r="E529" s="9"/>
      <c r="F529" s="9"/>
      <c r="G529" s="9"/>
    </row>
    <row r="530" spans="4:7" x14ac:dyDescent="0.35">
      <c r="D530" s="9"/>
      <c r="E530" s="9"/>
      <c r="F530" s="9"/>
      <c r="G530" s="9"/>
    </row>
    <row r="531" spans="4:7" x14ac:dyDescent="0.35">
      <c r="D531" s="9"/>
      <c r="E531" s="9"/>
      <c r="F531" s="9"/>
      <c r="G531" s="9"/>
    </row>
    <row r="532" spans="4:7" x14ac:dyDescent="0.35">
      <c r="D532" s="9"/>
      <c r="E532" s="9"/>
      <c r="F532" s="9"/>
      <c r="G532" s="9"/>
    </row>
    <row r="533" spans="4:7" x14ac:dyDescent="0.35">
      <c r="D533" s="9"/>
      <c r="E533" s="9"/>
      <c r="F533" s="9"/>
      <c r="G533" s="9"/>
    </row>
    <row r="534" spans="4:7" x14ac:dyDescent="0.35">
      <c r="D534" s="9"/>
      <c r="E534" s="9"/>
      <c r="F534" s="9"/>
      <c r="G534" s="9"/>
    </row>
    <row r="535" spans="4:7" x14ac:dyDescent="0.35">
      <c r="D535" s="9"/>
      <c r="E535" s="9"/>
      <c r="F535" s="9"/>
      <c r="G535" s="9"/>
    </row>
    <row r="536" spans="4:7" x14ac:dyDescent="0.35">
      <c r="D536" s="9"/>
      <c r="E536" s="9"/>
      <c r="F536" s="9"/>
      <c r="G536" s="9"/>
    </row>
    <row r="537" spans="4:7" x14ac:dyDescent="0.35">
      <c r="D537" s="9"/>
      <c r="E537" s="9"/>
      <c r="F537" s="9"/>
      <c r="G537" s="9"/>
    </row>
    <row r="538" spans="4:7" x14ac:dyDescent="0.35">
      <c r="D538" s="9"/>
      <c r="E538" s="9"/>
      <c r="F538" s="9"/>
      <c r="G538" s="9"/>
    </row>
    <row r="539" spans="4:7" x14ac:dyDescent="0.35">
      <c r="D539" s="9"/>
      <c r="E539" s="9"/>
      <c r="F539" s="9"/>
      <c r="G539" s="9"/>
    </row>
    <row r="540" spans="4:7" x14ac:dyDescent="0.35">
      <c r="D540" s="9"/>
      <c r="E540" s="9"/>
      <c r="F540" s="9"/>
      <c r="G540" s="9"/>
    </row>
    <row r="541" spans="4:7" x14ac:dyDescent="0.35">
      <c r="D541" s="9"/>
      <c r="E541" s="9"/>
      <c r="F541" s="9"/>
      <c r="G541" s="9"/>
    </row>
    <row r="542" spans="4:7" x14ac:dyDescent="0.35">
      <c r="D542" s="9"/>
      <c r="E542" s="9"/>
      <c r="F542" s="9"/>
      <c r="G542" s="9"/>
    </row>
    <row r="543" spans="4:7" x14ac:dyDescent="0.35">
      <c r="D543" s="9"/>
      <c r="E543" s="9"/>
      <c r="F543" s="9"/>
      <c r="G543" s="9"/>
    </row>
    <row r="544" spans="4:7" x14ac:dyDescent="0.35">
      <c r="D544" s="9"/>
      <c r="E544" s="9"/>
      <c r="F544" s="9"/>
      <c r="G544" s="9"/>
    </row>
    <row r="545" spans="4:7" x14ac:dyDescent="0.35">
      <c r="D545" s="9"/>
      <c r="E545" s="9"/>
      <c r="F545" s="9"/>
      <c r="G545" s="9"/>
    </row>
    <row r="546" spans="4:7" x14ac:dyDescent="0.35">
      <c r="D546" s="9"/>
      <c r="E546" s="9"/>
      <c r="F546" s="9"/>
      <c r="G546" s="9"/>
    </row>
    <row r="547" spans="4:7" x14ac:dyDescent="0.35">
      <c r="D547" s="9"/>
      <c r="E547" s="9"/>
      <c r="F547" s="9"/>
      <c r="G547" s="9"/>
    </row>
    <row r="548" spans="4:7" x14ac:dyDescent="0.35">
      <c r="D548" s="9"/>
      <c r="E548" s="9"/>
      <c r="F548" s="9"/>
      <c r="G548" s="9"/>
    </row>
    <row r="549" spans="4:7" x14ac:dyDescent="0.35">
      <c r="D549" s="9"/>
      <c r="E549" s="9"/>
      <c r="F549" s="9"/>
      <c r="G549" s="9"/>
    </row>
    <row r="550" spans="4:7" x14ac:dyDescent="0.35">
      <c r="D550" s="9"/>
      <c r="E550" s="9"/>
      <c r="F550" s="9"/>
      <c r="G550" s="9"/>
    </row>
    <row r="551" spans="4:7" x14ac:dyDescent="0.35">
      <c r="D551" s="9"/>
      <c r="E551" s="9"/>
      <c r="F551" s="9"/>
      <c r="G551" s="9"/>
    </row>
    <row r="552" spans="4:7" x14ac:dyDescent="0.35">
      <c r="D552" s="9"/>
      <c r="E552" s="9"/>
      <c r="F552" s="9"/>
      <c r="G552" s="9"/>
    </row>
    <row r="553" spans="4:7" x14ac:dyDescent="0.35">
      <c r="D553" s="9"/>
      <c r="E553" s="9"/>
      <c r="F553" s="9"/>
      <c r="G553" s="9"/>
    </row>
    <row r="554" spans="4:7" x14ac:dyDescent="0.35">
      <c r="D554" s="9"/>
      <c r="E554" s="9"/>
      <c r="F554" s="9"/>
      <c r="G554" s="9"/>
    </row>
    <row r="555" spans="4:7" x14ac:dyDescent="0.35">
      <c r="D555" s="9"/>
      <c r="E555" s="9"/>
      <c r="F555" s="9"/>
      <c r="G555" s="9"/>
    </row>
    <row r="556" spans="4:7" x14ac:dyDescent="0.35">
      <c r="D556" s="9"/>
      <c r="E556" s="9"/>
      <c r="F556" s="9"/>
      <c r="G556" s="9"/>
    </row>
    <row r="557" spans="4:7" x14ac:dyDescent="0.35">
      <c r="D557" s="9"/>
      <c r="E557" s="9"/>
      <c r="F557" s="9"/>
      <c r="G557" s="9"/>
    </row>
    <row r="558" spans="4:7" x14ac:dyDescent="0.35">
      <c r="D558" s="9"/>
      <c r="E558" s="9"/>
      <c r="F558" s="9"/>
      <c r="G558" s="9"/>
    </row>
    <row r="559" spans="4:7" x14ac:dyDescent="0.35">
      <c r="D559" s="9"/>
      <c r="E559" s="9"/>
      <c r="F559" s="9"/>
      <c r="G559" s="9"/>
    </row>
    <row r="560" spans="4:7" x14ac:dyDescent="0.35">
      <c r="D560" s="9"/>
      <c r="E560" s="9"/>
      <c r="F560" s="9"/>
      <c r="G560" s="9"/>
    </row>
    <row r="561" spans="4:7" x14ac:dyDescent="0.35">
      <c r="D561" s="9"/>
      <c r="E561" s="9"/>
      <c r="F561" s="9"/>
      <c r="G561" s="9"/>
    </row>
    <row r="562" spans="4:7" x14ac:dyDescent="0.35">
      <c r="D562" s="9"/>
      <c r="E562" s="9"/>
      <c r="F562" s="9"/>
      <c r="G562" s="9"/>
    </row>
    <row r="563" spans="4:7" x14ac:dyDescent="0.35">
      <c r="D563" s="9"/>
      <c r="E563" s="9"/>
      <c r="F563" s="9"/>
      <c r="G563" s="9"/>
    </row>
    <row r="564" spans="4:7" x14ac:dyDescent="0.35">
      <c r="D564" s="9"/>
      <c r="E564" s="9"/>
      <c r="F564" s="9"/>
      <c r="G564" s="9"/>
    </row>
    <row r="565" spans="4:7" x14ac:dyDescent="0.35">
      <c r="D565" s="9"/>
      <c r="E565" s="9"/>
      <c r="F565" s="9"/>
      <c r="G565" s="9"/>
    </row>
    <row r="566" spans="4:7" x14ac:dyDescent="0.35">
      <c r="D566" s="9"/>
      <c r="E566" s="9"/>
      <c r="F566" s="9"/>
      <c r="G566" s="9"/>
    </row>
    <row r="567" spans="4:7" x14ac:dyDescent="0.35">
      <c r="D567" s="9"/>
      <c r="E567" s="9"/>
      <c r="F567" s="9"/>
      <c r="G567" s="9"/>
    </row>
    <row r="568" spans="4:7" x14ac:dyDescent="0.35">
      <c r="D568" s="9"/>
      <c r="E568" s="9"/>
      <c r="F568" s="9"/>
      <c r="G568" s="9"/>
    </row>
    <row r="569" spans="4:7" x14ac:dyDescent="0.35">
      <c r="D569" s="9"/>
      <c r="E569" s="9"/>
      <c r="F569" s="9"/>
      <c r="G569" s="9"/>
    </row>
    <row r="570" spans="4:7" x14ac:dyDescent="0.35">
      <c r="D570" s="9"/>
      <c r="E570" s="9"/>
      <c r="F570" s="9"/>
      <c r="G570" s="9"/>
    </row>
    <row r="571" spans="4:7" x14ac:dyDescent="0.35">
      <c r="D571" s="9"/>
      <c r="E571" s="9"/>
      <c r="F571" s="9"/>
      <c r="G571" s="9"/>
    </row>
    <row r="572" spans="4:7" x14ac:dyDescent="0.35">
      <c r="D572" s="9"/>
      <c r="E572" s="9"/>
      <c r="F572" s="9"/>
      <c r="G572" s="9"/>
    </row>
    <row r="573" spans="4:7" x14ac:dyDescent="0.35">
      <c r="D573" s="9"/>
      <c r="E573" s="9"/>
      <c r="F573" s="9"/>
      <c r="G573" s="9"/>
    </row>
    <row r="574" spans="4:7" x14ac:dyDescent="0.35">
      <c r="D574" s="9"/>
      <c r="E574" s="9"/>
      <c r="F574" s="9"/>
      <c r="G574" s="9"/>
    </row>
    <row r="575" spans="4:7" x14ac:dyDescent="0.35">
      <c r="D575" s="9"/>
      <c r="E575" s="9"/>
      <c r="F575" s="9"/>
      <c r="G575" s="9"/>
    </row>
    <row r="576" spans="4:7" x14ac:dyDescent="0.35">
      <c r="D576" s="9"/>
      <c r="E576" s="9"/>
      <c r="F576" s="9"/>
      <c r="G576" s="9"/>
    </row>
    <row r="577" spans="4:7" x14ac:dyDescent="0.35">
      <c r="D577" s="9"/>
      <c r="E577" s="9"/>
      <c r="F577" s="9"/>
      <c r="G577" s="9"/>
    </row>
    <row r="578" spans="4:7" x14ac:dyDescent="0.35">
      <c r="D578" s="9"/>
      <c r="E578" s="9"/>
      <c r="F578" s="9"/>
      <c r="G578" s="9"/>
    </row>
    <row r="579" spans="4:7" x14ac:dyDescent="0.35">
      <c r="D579" s="9"/>
      <c r="E579" s="9"/>
      <c r="F579" s="9"/>
      <c r="G579" s="9"/>
    </row>
    <row r="580" spans="4:7" x14ac:dyDescent="0.35">
      <c r="D580" s="9"/>
      <c r="E580" s="9"/>
      <c r="F580" s="9"/>
      <c r="G580" s="9"/>
    </row>
    <row r="581" spans="4:7" x14ac:dyDescent="0.35">
      <c r="D581" s="9"/>
      <c r="E581" s="9"/>
      <c r="F581" s="9"/>
      <c r="G581" s="9"/>
    </row>
    <row r="582" spans="4:7" x14ac:dyDescent="0.35">
      <c r="D582" s="9"/>
      <c r="E582" s="9"/>
      <c r="F582" s="9"/>
      <c r="G582" s="9"/>
    </row>
    <row r="583" spans="4:7" x14ac:dyDescent="0.35">
      <c r="D583" s="9"/>
      <c r="E583" s="9"/>
      <c r="F583" s="9"/>
      <c r="G583" s="9"/>
    </row>
    <row r="584" spans="4:7" x14ac:dyDescent="0.35">
      <c r="D584" s="9"/>
      <c r="E584" s="9"/>
      <c r="F584" s="9"/>
      <c r="G584" s="9"/>
    </row>
    <row r="585" spans="4:7" x14ac:dyDescent="0.35">
      <c r="D585" s="9"/>
      <c r="E585" s="9"/>
      <c r="F585" s="9"/>
      <c r="G585" s="9"/>
    </row>
    <row r="586" spans="4:7" x14ac:dyDescent="0.35">
      <c r="D586" s="9"/>
      <c r="E586" s="9"/>
      <c r="F586" s="9"/>
      <c r="G586" s="9"/>
    </row>
    <row r="587" spans="4:7" x14ac:dyDescent="0.35">
      <c r="D587" s="9"/>
      <c r="E587" s="9"/>
      <c r="F587" s="9"/>
      <c r="G587" s="9"/>
    </row>
    <row r="588" spans="4:7" x14ac:dyDescent="0.35">
      <c r="D588" s="9"/>
      <c r="E588" s="9"/>
      <c r="F588" s="9"/>
      <c r="G588" s="9"/>
    </row>
    <row r="589" spans="4:7" x14ac:dyDescent="0.35">
      <c r="D589" s="9"/>
      <c r="E589" s="9"/>
      <c r="F589" s="9"/>
      <c r="G589" s="9"/>
    </row>
    <row r="590" spans="4:7" x14ac:dyDescent="0.35">
      <c r="D590" s="9"/>
      <c r="E590" s="9"/>
      <c r="F590" s="9"/>
      <c r="G590" s="9"/>
    </row>
    <row r="591" spans="4:7" x14ac:dyDescent="0.35">
      <c r="D591" s="9"/>
      <c r="E591" s="9"/>
      <c r="F591" s="9"/>
      <c r="G591" s="9"/>
    </row>
    <row r="592" spans="4:7" x14ac:dyDescent="0.35">
      <c r="D592" s="9"/>
      <c r="E592" s="9"/>
      <c r="F592" s="9"/>
      <c r="G592" s="9"/>
    </row>
    <row r="593" spans="4:7" x14ac:dyDescent="0.35">
      <c r="D593" s="9"/>
      <c r="E593" s="9"/>
      <c r="F593" s="9"/>
      <c r="G593" s="9"/>
    </row>
    <row r="594" spans="4:7" x14ac:dyDescent="0.35">
      <c r="D594" s="9"/>
      <c r="E594" s="9"/>
      <c r="F594" s="9"/>
      <c r="G594" s="9"/>
    </row>
    <row r="595" spans="4:7" x14ac:dyDescent="0.35">
      <c r="D595" s="9"/>
      <c r="E595" s="9"/>
      <c r="F595" s="9"/>
      <c r="G595" s="9"/>
    </row>
    <row r="596" spans="4:7" x14ac:dyDescent="0.35">
      <c r="D596" s="9"/>
      <c r="E596" s="9"/>
      <c r="F596" s="9"/>
      <c r="G596" s="9"/>
    </row>
    <row r="597" spans="4:7" x14ac:dyDescent="0.35">
      <c r="D597" s="9"/>
      <c r="E597" s="9"/>
      <c r="F597" s="9"/>
      <c r="G597" s="9"/>
    </row>
    <row r="598" spans="4:7" x14ac:dyDescent="0.35">
      <c r="D598" s="9"/>
      <c r="E598" s="9"/>
      <c r="F598" s="9"/>
      <c r="G598" s="9"/>
    </row>
    <row r="599" spans="4:7" x14ac:dyDescent="0.35">
      <c r="D599" s="9"/>
      <c r="E599" s="9"/>
      <c r="F599" s="9"/>
      <c r="G599" s="9"/>
    </row>
    <row r="600" spans="4:7" x14ac:dyDescent="0.35">
      <c r="D600" s="9"/>
      <c r="E600" s="9"/>
      <c r="F600" s="9"/>
      <c r="G600" s="9"/>
    </row>
    <row r="601" spans="4:7" x14ac:dyDescent="0.35">
      <c r="D601" s="9"/>
      <c r="E601" s="9"/>
      <c r="F601" s="9"/>
      <c r="G601" s="9"/>
    </row>
    <row r="602" spans="4:7" x14ac:dyDescent="0.35">
      <c r="D602" s="9"/>
      <c r="E602" s="9"/>
      <c r="F602" s="9"/>
      <c r="G602" s="9"/>
    </row>
    <row r="603" spans="4:7" x14ac:dyDescent="0.35">
      <c r="D603" s="9"/>
      <c r="E603" s="9"/>
      <c r="F603" s="9"/>
      <c r="G603" s="9"/>
    </row>
    <row r="604" spans="4:7" x14ac:dyDescent="0.35">
      <c r="D604" s="9"/>
      <c r="E604" s="9"/>
      <c r="F604" s="9"/>
      <c r="G604" s="9"/>
    </row>
    <row r="605" spans="4:7" x14ac:dyDescent="0.35">
      <c r="D605" s="9"/>
      <c r="E605" s="9"/>
      <c r="F605" s="9"/>
      <c r="G605" s="9"/>
    </row>
    <row r="606" spans="4:7" x14ac:dyDescent="0.35">
      <c r="D606" s="9"/>
      <c r="E606" s="9"/>
      <c r="F606" s="9"/>
      <c r="G606" s="9"/>
    </row>
    <row r="607" spans="4:7" x14ac:dyDescent="0.35">
      <c r="D607" s="9"/>
      <c r="E607" s="9"/>
      <c r="F607" s="9"/>
      <c r="G607" s="9"/>
    </row>
    <row r="608" spans="4:7" x14ac:dyDescent="0.35">
      <c r="D608" s="9"/>
      <c r="E608" s="9"/>
      <c r="F608" s="9"/>
      <c r="G608" s="9"/>
    </row>
    <row r="609" spans="4:7" x14ac:dyDescent="0.35">
      <c r="D609" s="9"/>
      <c r="E609" s="9"/>
      <c r="F609" s="9"/>
      <c r="G609" s="9"/>
    </row>
    <row r="610" spans="4:7" x14ac:dyDescent="0.35">
      <c r="D610" s="9"/>
      <c r="E610" s="9"/>
      <c r="F610" s="9"/>
      <c r="G610" s="9"/>
    </row>
    <row r="611" spans="4:7" x14ac:dyDescent="0.35">
      <c r="D611" s="9"/>
      <c r="E611" s="9"/>
      <c r="F611" s="9"/>
      <c r="G611" s="9"/>
    </row>
    <row r="612" spans="4:7" x14ac:dyDescent="0.35">
      <c r="D612" s="9"/>
      <c r="E612" s="9"/>
      <c r="F612" s="9"/>
      <c r="G612" s="9"/>
    </row>
    <row r="613" spans="4:7" x14ac:dyDescent="0.35">
      <c r="D613" s="9"/>
      <c r="E613" s="9"/>
      <c r="F613" s="9"/>
      <c r="G613" s="9"/>
    </row>
    <row r="614" spans="4:7" x14ac:dyDescent="0.35">
      <c r="D614" s="9"/>
      <c r="E614" s="9"/>
      <c r="F614" s="9"/>
      <c r="G614" s="9"/>
    </row>
    <row r="615" spans="4:7" x14ac:dyDescent="0.35">
      <c r="D615" s="9"/>
      <c r="E615" s="9"/>
      <c r="F615" s="9"/>
      <c r="G615" s="9"/>
    </row>
    <row r="616" spans="4:7" x14ac:dyDescent="0.35">
      <c r="D616" s="9"/>
      <c r="E616" s="9"/>
      <c r="F616" s="9"/>
      <c r="G616" s="9"/>
    </row>
    <row r="617" spans="4:7" x14ac:dyDescent="0.35">
      <c r="D617" s="9"/>
      <c r="E617" s="9"/>
      <c r="F617" s="9"/>
      <c r="G617" s="9"/>
    </row>
    <row r="618" spans="4:7" x14ac:dyDescent="0.35">
      <c r="D618" s="9"/>
      <c r="E618" s="9"/>
      <c r="F618" s="9"/>
      <c r="G618" s="9"/>
    </row>
    <row r="619" spans="4:7" x14ac:dyDescent="0.35">
      <c r="D619" s="9"/>
      <c r="E619" s="9"/>
      <c r="F619" s="9"/>
      <c r="G619" s="9"/>
    </row>
    <row r="620" spans="4:7" x14ac:dyDescent="0.35">
      <c r="D620" s="9"/>
      <c r="E620" s="9"/>
      <c r="F620" s="9"/>
      <c r="G620" s="9"/>
    </row>
    <row r="621" spans="4:7" x14ac:dyDescent="0.35">
      <c r="D621" s="9"/>
      <c r="E621" s="9"/>
      <c r="F621" s="9"/>
      <c r="G621" s="9"/>
    </row>
    <row r="622" spans="4:7" x14ac:dyDescent="0.35">
      <c r="D622" s="9"/>
      <c r="E622" s="9"/>
      <c r="F622" s="9"/>
      <c r="G622" s="9"/>
    </row>
    <row r="623" spans="4:7" x14ac:dyDescent="0.35">
      <c r="D623" s="9"/>
      <c r="E623" s="9"/>
      <c r="F623" s="9"/>
      <c r="G623" s="9"/>
    </row>
    <row r="624" spans="4:7" x14ac:dyDescent="0.35">
      <c r="D624" s="9"/>
      <c r="E624" s="9"/>
      <c r="F624" s="9"/>
      <c r="G624" s="9"/>
    </row>
    <row r="625" spans="4:7" x14ac:dyDescent="0.35">
      <c r="D625" s="9"/>
      <c r="E625" s="9"/>
      <c r="F625" s="9"/>
      <c r="G625" s="9"/>
    </row>
    <row r="626" spans="4:7" x14ac:dyDescent="0.35">
      <c r="D626" s="9"/>
      <c r="E626" s="9"/>
      <c r="F626" s="9"/>
      <c r="G626" s="9"/>
    </row>
    <row r="627" spans="4:7" x14ac:dyDescent="0.35">
      <c r="D627" s="9"/>
      <c r="E627" s="9"/>
      <c r="F627" s="9"/>
      <c r="G627" s="9"/>
    </row>
    <row r="628" spans="4:7" x14ac:dyDescent="0.35">
      <c r="D628" s="9"/>
      <c r="E628" s="9"/>
      <c r="F628" s="9"/>
      <c r="G628" s="9"/>
    </row>
    <row r="629" spans="4:7" x14ac:dyDescent="0.35">
      <c r="D629" s="9"/>
      <c r="E629" s="9"/>
      <c r="F629" s="9"/>
      <c r="G629" s="9"/>
    </row>
    <row r="630" spans="4:7" x14ac:dyDescent="0.35">
      <c r="D630" s="9"/>
      <c r="E630" s="9"/>
      <c r="F630" s="9"/>
      <c r="G630" s="9"/>
    </row>
    <row r="631" spans="4:7" x14ac:dyDescent="0.35">
      <c r="D631" s="9"/>
      <c r="E631" s="9"/>
      <c r="F631" s="9"/>
      <c r="G631" s="9"/>
    </row>
    <row r="632" spans="4:7" x14ac:dyDescent="0.35">
      <c r="D632" s="9"/>
      <c r="E632" s="9"/>
      <c r="F632" s="9"/>
      <c r="G632" s="9"/>
    </row>
    <row r="633" spans="4:7" x14ac:dyDescent="0.35">
      <c r="D633" s="9"/>
      <c r="E633" s="9"/>
      <c r="F633" s="9"/>
      <c r="G633" s="9"/>
    </row>
    <row r="634" spans="4:7" x14ac:dyDescent="0.35">
      <c r="D634" s="9"/>
      <c r="E634" s="9"/>
      <c r="F634" s="9"/>
      <c r="G634" s="9"/>
    </row>
    <row r="635" spans="4:7" x14ac:dyDescent="0.35">
      <c r="D635" s="9"/>
      <c r="E635" s="9"/>
      <c r="F635" s="9"/>
      <c r="G635" s="9"/>
    </row>
    <row r="636" spans="4:7" x14ac:dyDescent="0.35">
      <c r="D636" s="9"/>
      <c r="E636" s="9"/>
      <c r="F636" s="9"/>
      <c r="G636" s="9"/>
    </row>
    <row r="637" spans="4:7" x14ac:dyDescent="0.35">
      <c r="D637" s="9"/>
      <c r="E637" s="9"/>
      <c r="F637" s="9"/>
      <c r="G637" s="9"/>
    </row>
    <row r="638" spans="4:7" x14ac:dyDescent="0.35">
      <c r="D638" s="9"/>
      <c r="E638" s="9"/>
      <c r="F638" s="9"/>
      <c r="G638" s="9"/>
    </row>
    <row r="639" spans="4:7" x14ac:dyDescent="0.35">
      <c r="D639" s="9"/>
      <c r="E639" s="9"/>
      <c r="F639" s="9"/>
      <c r="G639" s="9"/>
    </row>
    <row r="640" spans="4:7" x14ac:dyDescent="0.35">
      <c r="D640" s="9"/>
      <c r="E640" s="9"/>
      <c r="F640" s="9"/>
      <c r="G640" s="9"/>
    </row>
    <row r="641" spans="4:7" x14ac:dyDescent="0.35">
      <c r="D641" s="9"/>
      <c r="E641" s="9"/>
      <c r="F641" s="9"/>
      <c r="G641" s="9"/>
    </row>
    <row r="642" spans="4:7" x14ac:dyDescent="0.35">
      <c r="D642" s="9"/>
      <c r="E642" s="9"/>
      <c r="F642" s="9"/>
      <c r="G642" s="9"/>
    </row>
    <row r="643" spans="4:7" x14ac:dyDescent="0.35">
      <c r="D643" s="9"/>
      <c r="E643" s="9"/>
      <c r="F643" s="9"/>
      <c r="G643" s="9"/>
    </row>
    <row r="644" spans="4:7" x14ac:dyDescent="0.35">
      <c r="D644" s="9"/>
      <c r="E644" s="9"/>
      <c r="F644" s="9"/>
      <c r="G644" s="9"/>
    </row>
    <row r="645" spans="4:7" x14ac:dyDescent="0.35">
      <c r="D645" s="9"/>
      <c r="E645" s="9"/>
      <c r="F645" s="9"/>
      <c r="G645" s="9"/>
    </row>
    <row r="646" spans="4:7" x14ac:dyDescent="0.35">
      <c r="D646" s="9"/>
      <c r="E646" s="9"/>
      <c r="F646" s="9"/>
      <c r="G646" s="9"/>
    </row>
    <row r="647" spans="4:7" x14ac:dyDescent="0.35">
      <c r="D647" s="9"/>
      <c r="E647" s="9"/>
      <c r="F647" s="9"/>
      <c r="G647" s="9"/>
    </row>
    <row r="648" spans="4:7" x14ac:dyDescent="0.35">
      <c r="D648" s="9"/>
      <c r="E648" s="9"/>
      <c r="F648" s="9"/>
      <c r="G648" s="9"/>
    </row>
    <row r="649" spans="4:7" x14ac:dyDescent="0.35">
      <c r="D649" s="9"/>
      <c r="E649" s="9"/>
      <c r="F649" s="9"/>
      <c r="G649" s="9"/>
    </row>
    <row r="650" spans="4:7" x14ac:dyDescent="0.35">
      <c r="D650" s="9"/>
      <c r="E650" s="9"/>
      <c r="F650" s="9"/>
      <c r="G650" s="9"/>
    </row>
    <row r="651" spans="4:7" x14ac:dyDescent="0.35">
      <c r="D651" s="9"/>
      <c r="E651" s="9"/>
      <c r="F651" s="9"/>
      <c r="G651" s="9"/>
    </row>
    <row r="652" spans="4:7" x14ac:dyDescent="0.35">
      <c r="D652" s="9"/>
      <c r="E652" s="9"/>
      <c r="F652" s="9"/>
      <c r="G652" s="9"/>
    </row>
    <row r="653" spans="4:7" x14ac:dyDescent="0.35">
      <c r="D653" s="9"/>
      <c r="E653" s="9"/>
      <c r="F653" s="9"/>
      <c r="G653" s="9"/>
    </row>
    <row r="654" spans="4:7" x14ac:dyDescent="0.35">
      <c r="D654" s="9"/>
      <c r="E654" s="9"/>
      <c r="F654" s="9"/>
      <c r="G654" s="9"/>
    </row>
    <row r="655" spans="4:7" x14ac:dyDescent="0.35">
      <c r="D655" s="9"/>
      <c r="E655" s="9"/>
      <c r="F655" s="9"/>
      <c r="G655" s="9"/>
    </row>
    <row r="656" spans="4:7" x14ac:dyDescent="0.35">
      <c r="D656" s="9"/>
      <c r="E656" s="9"/>
      <c r="F656" s="9"/>
      <c r="G656" s="9"/>
    </row>
    <row r="657" spans="4:7" x14ac:dyDescent="0.35">
      <c r="D657" s="9"/>
      <c r="E657" s="9"/>
      <c r="F657" s="9"/>
      <c r="G657" s="9"/>
    </row>
    <row r="658" spans="4:7" x14ac:dyDescent="0.35">
      <c r="D658" s="9"/>
      <c r="E658" s="9"/>
      <c r="F658" s="9"/>
      <c r="G658" s="9"/>
    </row>
    <row r="659" spans="4:7" x14ac:dyDescent="0.35">
      <c r="D659" s="9"/>
      <c r="E659" s="9"/>
      <c r="F659" s="9"/>
      <c r="G659" s="9"/>
    </row>
    <row r="660" spans="4:7" x14ac:dyDescent="0.35">
      <c r="D660" s="9"/>
      <c r="E660" s="9"/>
      <c r="F660" s="9"/>
      <c r="G660" s="9"/>
    </row>
    <row r="661" spans="4:7" x14ac:dyDescent="0.35">
      <c r="D661" s="9"/>
      <c r="E661" s="9"/>
      <c r="F661" s="9"/>
      <c r="G661" s="9"/>
    </row>
    <row r="662" spans="4:7" x14ac:dyDescent="0.35">
      <c r="D662" s="9"/>
      <c r="E662" s="9"/>
      <c r="F662" s="9"/>
      <c r="G662" s="9"/>
    </row>
    <row r="663" spans="4:7" x14ac:dyDescent="0.35">
      <c r="D663" s="9"/>
      <c r="E663" s="9"/>
      <c r="F663" s="9"/>
      <c r="G663" s="9"/>
    </row>
    <row r="664" spans="4:7" x14ac:dyDescent="0.35">
      <c r="D664" s="9"/>
      <c r="E664" s="9"/>
      <c r="F664" s="9"/>
      <c r="G664" s="9"/>
    </row>
    <row r="665" spans="4:7" x14ac:dyDescent="0.35">
      <c r="D665" s="9"/>
      <c r="E665" s="9"/>
      <c r="F665" s="9"/>
      <c r="G665" s="9"/>
    </row>
    <row r="666" spans="4:7" x14ac:dyDescent="0.35">
      <c r="D666" s="9"/>
      <c r="E666" s="9"/>
      <c r="F666" s="9"/>
      <c r="G666" s="9"/>
    </row>
    <row r="667" spans="4:7" x14ac:dyDescent="0.35">
      <c r="D667" s="9"/>
      <c r="E667" s="9"/>
      <c r="F667" s="9"/>
      <c r="G667" s="9"/>
    </row>
    <row r="668" spans="4:7" x14ac:dyDescent="0.35">
      <c r="D668" s="9"/>
      <c r="E668" s="9"/>
      <c r="F668" s="9"/>
      <c r="G668" s="9"/>
    </row>
    <row r="669" spans="4:7" x14ac:dyDescent="0.35">
      <c r="D669" s="9"/>
      <c r="E669" s="9"/>
      <c r="F669" s="9"/>
      <c r="G669" s="9"/>
    </row>
    <row r="670" spans="4:7" x14ac:dyDescent="0.35">
      <c r="D670" s="9"/>
      <c r="E670" s="9"/>
      <c r="F670" s="9"/>
      <c r="G670" s="9"/>
    </row>
    <row r="671" spans="4:7" x14ac:dyDescent="0.35">
      <c r="D671" s="9"/>
      <c r="E671" s="9"/>
      <c r="F671" s="9"/>
      <c r="G671" s="9"/>
    </row>
    <row r="672" spans="4:7" x14ac:dyDescent="0.35">
      <c r="D672" s="9"/>
      <c r="E672" s="9"/>
      <c r="F672" s="9"/>
      <c r="G672" s="9"/>
    </row>
    <row r="673" spans="4:7" x14ac:dyDescent="0.35">
      <c r="D673" s="9"/>
      <c r="E673" s="9"/>
      <c r="F673" s="9"/>
      <c r="G673" s="9"/>
    </row>
    <row r="674" spans="4:7" x14ac:dyDescent="0.35">
      <c r="D674" s="9"/>
      <c r="E674" s="9"/>
      <c r="F674" s="9"/>
      <c r="G674" s="9"/>
    </row>
    <row r="675" spans="4:7" x14ac:dyDescent="0.35">
      <c r="D675" s="9"/>
      <c r="E675" s="9"/>
      <c r="F675" s="9"/>
      <c r="G675" s="9"/>
    </row>
    <row r="676" spans="4:7" x14ac:dyDescent="0.35">
      <c r="D676" s="9"/>
      <c r="E676" s="9"/>
      <c r="F676" s="9"/>
      <c r="G676" s="9"/>
    </row>
    <row r="677" spans="4:7" x14ac:dyDescent="0.35">
      <c r="D677" s="9"/>
      <c r="E677" s="9"/>
      <c r="F677" s="9"/>
      <c r="G677" s="9"/>
    </row>
    <row r="678" spans="4:7" x14ac:dyDescent="0.35">
      <c r="D678" s="9"/>
      <c r="E678" s="9"/>
      <c r="F678" s="9"/>
      <c r="G678" s="9"/>
    </row>
    <row r="679" spans="4:7" x14ac:dyDescent="0.35">
      <c r="D679" s="9"/>
      <c r="E679" s="9"/>
      <c r="F679" s="9"/>
      <c r="G679" s="9"/>
    </row>
    <row r="680" spans="4:7" x14ac:dyDescent="0.35">
      <c r="D680" s="9"/>
      <c r="E680" s="9"/>
      <c r="F680" s="9"/>
      <c r="G680" s="9"/>
    </row>
    <row r="681" spans="4:7" x14ac:dyDescent="0.35">
      <c r="D681" s="9"/>
      <c r="E681" s="9"/>
      <c r="F681" s="9"/>
      <c r="G681" s="9"/>
    </row>
    <row r="682" spans="4:7" x14ac:dyDescent="0.35">
      <c r="D682" s="9"/>
      <c r="E682" s="9"/>
      <c r="F682" s="9"/>
      <c r="G682" s="9"/>
    </row>
    <row r="683" spans="4:7" x14ac:dyDescent="0.35">
      <c r="D683" s="9"/>
      <c r="E683" s="9"/>
      <c r="F683" s="9"/>
      <c r="G683" s="9"/>
    </row>
    <row r="684" spans="4:7" x14ac:dyDescent="0.35">
      <c r="D684" s="9"/>
      <c r="E684" s="9"/>
      <c r="F684" s="9"/>
      <c r="G684" s="9"/>
    </row>
    <row r="685" spans="4:7" x14ac:dyDescent="0.35">
      <c r="D685" s="9"/>
      <c r="E685" s="9"/>
      <c r="F685" s="9"/>
      <c r="G685" s="9"/>
    </row>
    <row r="686" spans="4:7" x14ac:dyDescent="0.35">
      <c r="D686" s="9"/>
      <c r="E686" s="9"/>
      <c r="F686" s="9"/>
      <c r="G686" s="9"/>
    </row>
    <row r="687" spans="4:7" x14ac:dyDescent="0.35">
      <c r="D687" s="9"/>
      <c r="E687" s="9"/>
      <c r="F687" s="9"/>
      <c r="G687" s="9"/>
    </row>
    <row r="688" spans="4:7" x14ac:dyDescent="0.35">
      <c r="D688" s="9"/>
      <c r="E688" s="9"/>
      <c r="F688" s="9"/>
      <c r="G688" s="9"/>
    </row>
    <row r="689" spans="4:7" x14ac:dyDescent="0.35">
      <c r="D689" s="9"/>
      <c r="E689" s="9"/>
      <c r="F689" s="9"/>
      <c r="G689" s="9"/>
    </row>
    <row r="690" spans="4:7" x14ac:dyDescent="0.35">
      <c r="D690" s="9"/>
      <c r="E690" s="9"/>
      <c r="F690" s="9"/>
      <c r="G690" s="9"/>
    </row>
    <row r="691" spans="4:7" x14ac:dyDescent="0.35">
      <c r="D691" s="9"/>
      <c r="E691" s="9"/>
      <c r="F691" s="9"/>
      <c r="G691" s="9"/>
    </row>
    <row r="692" spans="4:7" x14ac:dyDescent="0.35">
      <c r="D692" s="9"/>
      <c r="E692" s="9"/>
      <c r="F692" s="9"/>
      <c r="G692" s="9"/>
    </row>
    <row r="693" spans="4:7" x14ac:dyDescent="0.35">
      <c r="D693" s="9"/>
      <c r="E693" s="9"/>
      <c r="F693" s="9"/>
      <c r="G693" s="9"/>
    </row>
    <row r="694" spans="4:7" x14ac:dyDescent="0.35">
      <c r="D694" s="9"/>
      <c r="E694" s="9"/>
      <c r="F694" s="9"/>
      <c r="G694" s="9"/>
    </row>
    <row r="695" spans="4:7" x14ac:dyDescent="0.35">
      <c r="D695" s="9"/>
      <c r="E695" s="9"/>
      <c r="F695" s="9"/>
      <c r="G695" s="9"/>
    </row>
    <row r="696" spans="4:7" x14ac:dyDescent="0.35">
      <c r="D696" s="9"/>
      <c r="E696" s="9"/>
      <c r="F696" s="9"/>
      <c r="G696" s="9"/>
    </row>
    <row r="697" spans="4:7" x14ac:dyDescent="0.35">
      <c r="D697" s="9"/>
      <c r="E697" s="9"/>
      <c r="F697" s="9"/>
      <c r="G697" s="9"/>
    </row>
    <row r="698" spans="4:7" x14ac:dyDescent="0.35">
      <c r="D698" s="9"/>
      <c r="E698" s="9"/>
      <c r="F698" s="9"/>
      <c r="G698" s="9"/>
    </row>
    <row r="699" spans="4:7" x14ac:dyDescent="0.35">
      <c r="D699" s="9"/>
      <c r="E699" s="9"/>
      <c r="F699" s="9"/>
      <c r="G699" s="9"/>
    </row>
    <row r="700" spans="4:7" x14ac:dyDescent="0.35">
      <c r="D700" s="9"/>
      <c r="E700" s="9"/>
      <c r="F700" s="9"/>
      <c r="G700" s="9"/>
    </row>
    <row r="701" spans="4:7" x14ac:dyDescent="0.35">
      <c r="D701" s="9"/>
      <c r="E701" s="9"/>
      <c r="F701" s="9"/>
      <c r="G701" s="9"/>
    </row>
    <row r="702" spans="4:7" x14ac:dyDescent="0.35">
      <c r="D702" s="9"/>
      <c r="E702" s="9"/>
      <c r="F702" s="9"/>
      <c r="G702" s="9"/>
    </row>
    <row r="703" spans="4:7" x14ac:dyDescent="0.35">
      <c r="D703" s="9"/>
      <c r="E703" s="9"/>
      <c r="F703" s="9"/>
      <c r="G703" s="9"/>
    </row>
    <row r="704" spans="4:7" x14ac:dyDescent="0.35">
      <c r="D704" s="9"/>
      <c r="E704" s="9"/>
      <c r="F704" s="9"/>
      <c r="G704" s="9"/>
    </row>
    <row r="705" spans="4:7" x14ac:dyDescent="0.35">
      <c r="D705" s="9"/>
      <c r="E705" s="9"/>
      <c r="F705" s="9"/>
      <c r="G705" s="9"/>
    </row>
    <row r="706" spans="4:7" x14ac:dyDescent="0.35">
      <c r="D706" s="9"/>
      <c r="E706" s="9"/>
      <c r="F706" s="9"/>
      <c r="G706" s="9"/>
    </row>
    <row r="707" spans="4:7" x14ac:dyDescent="0.35">
      <c r="D707" s="9"/>
      <c r="E707" s="9"/>
      <c r="F707" s="9"/>
      <c r="G707" s="9"/>
    </row>
    <row r="708" spans="4:7" x14ac:dyDescent="0.35">
      <c r="D708" s="9"/>
      <c r="E708" s="9"/>
      <c r="F708" s="9"/>
      <c r="G708" s="9"/>
    </row>
    <row r="709" spans="4:7" x14ac:dyDescent="0.35">
      <c r="D709" s="9"/>
      <c r="E709" s="9"/>
      <c r="F709" s="9"/>
      <c r="G709" s="9"/>
    </row>
    <row r="710" spans="4:7" x14ac:dyDescent="0.35">
      <c r="D710" s="9"/>
      <c r="E710" s="9"/>
      <c r="F710" s="9"/>
      <c r="G710" s="9"/>
    </row>
    <row r="711" spans="4:7" x14ac:dyDescent="0.35">
      <c r="D711" s="9"/>
      <c r="E711" s="9"/>
      <c r="F711" s="9"/>
      <c r="G711" s="9"/>
    </row>
    <row r="712" spans="4:7" x14ac:dyDescent="0.35">
      <c r="D712" s="9"/>
      <c r="E712" s="9"/>
      <c r="F712" s="9"/>
      <c r="G712" s="9"/>
    </row>
    <row r="713" spans="4:7" x14ac:dyDescent="0.35">
      <c r="D713" s="9"/>
      <c r="E713" s="9"/>
      <c r="F713" s="9"/>
      <c r="G713" s="9"/>
    </row>
    <row r="714" spans="4:7" x14ac:dyDescent="0.35">
      <c r="D714" s="9"/>
      <c r="E714" s="9"/>
      <c r="F714" s="9"/>
      <c r="G714" s="9"/>
    </row>
    <row r="715" spans="4:7" x14ac:dyDescent="0.35">
      <c r="D715" s="9"/>
      <c r="E715" s="9"/>
      <c r="F715" s="9"/>
      <c r="G715" s="9"/>
    </row>
    <row r="716" spans="4:7" x14ac:dyDescent="0.35">
      <c r="D716" s="9"/>
      <c r="E716" s="9"/>
      <c r="F716" s="9"/>
      <c r="G716" s="9"/>
    </row>
    <row r="717" spans="4:7" x14ac:dyDescent="0.35">
      <c r="D717" s="9"/>
      <c r="E717" s="9"/>
      <c r="F717" s="9"/>
      <c r="G717" s="9"/>
    </row>
    <row r="718" spans="4:7" x14ac:dyDescent="0.35">
      <c r="D718" s="9"/>
      <c r="E718" s="9"/>
      <c r="F718" s="9"/>
      <c r="G718" s="9"/>
    </row>
    <row r="719" spans="4:7" x14ac:dyDescent="0.35">
      <c r="D719" s="9"/>
      <c r="E719" s="9"/>
      <c r="F719" s="9"/>
      <c r="G719" s="9"/>
    </row>
    <row r="720" spans="4:7" x14ac:dyDescent="0.35">
      <c r="D720" s="9"/>
      <c r="E720" s="9"/>
      <c r="F720" s="9"/>
      <c r="G720" s="9"/>
    </row>
    <row r="721" spans="4:7" x14ac:dyDescent="0.35">
      <c r="D721" s="9"/>
      <c r="E721" s="9"/>
      <c r="F721" s="9"/>
      <c r="G721" s="9"/>
    </row>
    <row r="722" spans="4:7" x14ac:dyDescent="0.35">
      <c r="D722" s="9"/>
      <c r="E722" s="9"/>
      <c r="F722" s="9"/>
      <c r="G722" s="9"/>
    </row>
    <row r="723" spans="4:7" x14ac:dyDescent="0.35">
      <c r="D723" s="9"/>
      <c r="E723" s="9"/>
      <c r="F723" s="9"/>
      <c r="G723" s="9"/>
    </row>
    <row r="724" spans="4:7" x14ac:dyDescent="0.35">
      <c r="D724" s="9"/>
      <c r="E724" s="9"/>
      <c r="F724" s="9"/>
      <c r="G724" s="9"/>
    </row>
    <row r="725" spans="4:7" x14ac:dyDescent="0.35">
      <c r="D725" s="9"/>
      <c r="E725" s="9"/>
      <c r="F725" s="9"/>
      <c r="G725" s="9"/>
    </row>
    <row r="726" spans="4:7" x14ac:dyDescent="0.35">
      <c r="D726" s="9"/>
      <c r="E726" s="9"/>
      <c r="F726" s="9"/>
      <c r="G726" s="9"/>
    </row>
    <row r="727" spans="4:7" x14ac:dyDescent="0.35">
      <c r="D727" s="9"/>
      <c r="E727" s="9"/>
      <c r="F727" s="9"/>
      <c r="G727" s="9"/>
    </row>
    <row r="728" spans="4:7" x14ac:dyDescent="0.35">
      <c r="D728" s="9"/>
      <c r="E728" s="9"/>
      <c r="F728" s="9"/>
      <c r="G728" s="9"/>
    </row>
    <row r="729" spans="4:7" x14ac:dyDescent="0.35">
      <c r="D729" s="9"/>
      <c r="E729" s="9"/>
      <c r="F729" s="9"/>
      <c r="G729" s="9"/>
    </row>
    <row r="730" spans="4:7" x14ac:dyDescent="0.35">
      <c r="D730" s="9"/>
      <c r="E730" s="9"/>
      <c r="F730" s="9"/>
      <c r="G730" s="9"/>
    </row>
    <row r="731" spans="4:7" x14ac:dyDescent="0.35">
      <c r="D731" s="9"/>
      <c r="E731" s="9"/>
      <c r="F731" s="9"/>
      <c r="G731" s="9"/>
    </row>
    <row r="732" spans="4:7" x14ac:dyDescent="0.35">
      <c r="D732" s="9"/>
      <c r="E732" s="9"/>
      <c r="F732" s="9"/>
      <c r="G732" s="9"/>
    </row>
    <row r="733" spans="4:7" x14ac:dyDescent="0.35">
      <c r="D733" s="9"/>
      <c r="E733" s="9"/>
      <c r="F733" s="9"/>
      <c r="G733" s="9"/>
    </row>
    <row r="734" spans="4:7" x14ac:dyDescent="0.35">
      <c r="D734" s="9"/>
      <c r="E734" s="9"/>
      <c r="F734" s="9"/>
      <c r="G734" s="9"/>
    </row>
    <row r="735" spans="4:7" x14ac:dyDescent="0.35">
      <c r="D735" s="9"/>
      <c r="E735" s="9"/>
      <c r="F735" s="9"/>
      <c r="G735" s="9"/>
    </row>
    <row r="736" spans="4:7" x14ac:dyDescent="0.35">
      <c r="D736" s="9"/>
      <c r="E736" s="9"/>
      <c r="F736" s="9"/>
      <c r="G736" s="9"/>
    </row>
    <row r="737" spans="4:7" x14ac:dyDescent="0.35">
      <c r="D737" s="9"/>
      <c r="E737" s="9"/>
      <c r="F737" s="9"/>
      <c r="G737" s="9"/>
    </row>
    <row r="738" spans="4:7" x14ac:dyDescent="0.35">
      <c r="D738" s="9"/>
      <c r="E738" s="9"/>
      <c r="F738" s="9"/>
      <c r="G738" s="9"/>
    </row>
    <row r="739" spans="4:7" x14ac:dyDescent="0.35">
      <c r="D739" s="9"/>
      <c r="E739" s="9"/>
      <c r="F739" s="9"/>
      <c r="G739" s="9"/>
    </row>
    <row r="740" spans="4:7" x14ac:dyDescent="0.35">
      <c r="D740" s="9"/>
      <c r="E740" s="9"/>
      <c r="F740" s="9"/>
      <c r="G740" s="9"/>
    </row>
    <row r="741" spans="4:7" x14ac:dyDescent="0.35">
      <c r="D741" s="9"/>
      <c r="E741" s="9"/>
      <c r="F741" s="9"/>
      <c r="G741" s="9"/>
    </row>
    <row r="742" spans="4:7" x14ac:dyDescent="0.35">
      <c r="D742" s="9"/>
      <c r="E742" s="9"/>
      <c r="F742" s="9"/>
      <c r="G742" s="9"/>
    </row>
    <row r="743" spans="4:7" x14ac:dyDescent="0.35">
      <c r="D743" s="9"/>
      <c r="E743" s="9"/>
      <c r="F743" s="9"/>
      <c r="G743" s="9"/>
    </row>
    <row r="744" spans="4:7" x14ac:dyDescent="0.35">
      <c r="D744" s="9"/>
      <c r="E744" s="9"/>
      <c r="F744" s="9"/>
      <c r="G744" s="9"/>
    </row>
    <row r="745" spans="4:7" x14ac:dyDescent="0.35">
      <c r="D745" s="9"/>
      <c r="E745" s="9"/>
      <c r="F745" s="9"/>
      <c r="G745" s="9"/>
    </row>
    <row r="746" spans="4:7" x14ac:dyDescent="0.35">
      <c r="D746" s="9"/>
      <c r="E746" s="9"/>
      <c r="F746" s="9"/>
      <c r="G746" s="9"/>
    </row>
    <row r="747" spans="4:7" x14ac:dyDescent="0.35">
      <c r="D747" s="9"/>
      <c r="E747" s="9"/>
      <c r="F747" s="9"/>
      <c r="G747" s="9"/>
    </row>
    <row r="748" spans="4:7" x14ac:dyDescent="0.35">
      <c r="D748" s="9"/>
      <c r="E748" s="9"/>
      <c r="F748" s="9"/>
      <c r="G748" s="9"/>
    </row>
    <row r="749" spans="4:7" x14ac:dyDescent="0.35">
      <c r="D749" s="9"/>
      <c r="E749" s="9"/>
      <c r="F749" s="9"/>
      <c r="G749" s="9"/>
    </row>
    <row r="750" spans="4:7" x14ac:dyDescent="0.35">
      <c r="D750" s="9"/>
      <c r="E750" s="9"/>
      <c r="F750" s="9"/>
      <c r="G750" s="9"/>
    </row>
    <row r="751" spans="4:7" x14ac:dyDescent="0.35">
      <c r="D751" s="9"/>
      <c r="E751" s="9"/>
      <c r="F751" s="9"/>
      <c r="G751" s="9"/>
    </row>
    <row r="752" spans="4:7" x14ac:dyDescent="0.35">
      <c r="D752" s="9"/>
      <c r="E752" s="9"/>
      <c r="F752" s="9"/>
      <c r="G752" s="9"/>
    </row>
    <row r="753" spans="4:7" x14ac:dyDescent="0.35">
      <c r="D753" s="9"/>
      <c r="E753" s="9"/>
      <c r="F753" s="9"/>
      <c r="G753" s="9"/>
    </row>
    <row r="754" spans="4:7" x14ac:dyDescent="0.35">
      <c r="D754" s="9"/>
      <c r="E754" s="9"/>
      <c r="F754" s="9"/>
      <c r="G754" s="9"/>
    </row>
    <row r="755" spans="4:7" x14ac:dyDescent="0.35">
      <c r="D755" s="9"/>
      <c r="E755" s="9"/>
      <c r="F755" s="9"/>
      <c r="G755" s="9"/>
    </row>
    <row r="756" spans="4:7" x14ac:dyDescent="0.35">
      <c r="D756" s="9"/>
      <c r="E756" s="9"/>
      <c r="F756" s="9"/>
      <c r="G756" s="9"/>
    </row>
    <row r="757" spans="4:7" x14ac:dyDescent="0.35">
      <c r="D757" s="9"/>
      <c r="E757" s="9"/>
      <c r="F757" s="9"/>
      <c r="G757" s="9"/>
    </row>
    <row r="758" spans="4:7" x14ac:dyDescent="0.35">
      <c r="D758" s="9"/>
      <c r="E758" s="9"/>
      <c r="F758" s="9"/>
      <c r="G758" s="9"/>
    </row>
    <row r="759" spans="4:7" x14ac:dyDescent="0.35">
      <c r="D759" s="9"/>
      <c r="E759" s="9"/>
      <c r="F759" s="9"/>
      <c r="G759" s="9"/>
    </row>
    <row r="760" spans="4:7" x14ac:dyDescent="0.35">
      <c r="D760" s="9"/>
      <c r="E760" s="9"/>
      <c r="F760" s="9"/>
      <c r="G760" s="9"/>
    </row>
    <row r="761" spans="4:7" x14ac:dyDescent="0.35">
      <c r="D761" s="9"/>
      <c r="E761" s="9"/>
      <c r="F761" s="9"/>
      <c r="G761" s="9"/>
    </row>
    <row r="762" spans="4:7" x14ac:dyDescent="0.35">
      <c r="D762" s="9"/>
      <c r="E762" s="9"/>
      <c r="F762" s="9"/>
      <c r="G762" s="9"/>
    </row>
    <row r="763" spans="4:7" x14ac:dyDescent="0.35">
      <c r="D763" s="9"/>
      <c r="E763" s="9"/>
      <c r="F763" s="9"/>
      <c r="G763" s="9"/>
    </row>
    <row r="764" spans="4:7" x14ac:dyDescent="0.35">
      <c r="D764" s="9"/>
      <c r="E764" s="9"/>
      <c r="F764" s="9"/>
      <c r="G764" s="9"/>
    </row>
    <row r="765" spans="4:7" x14ac:dyDescent="0.35">
      <c r="D765" s="9"/>
      <c r="E765" s="9"/>
      <c r="F765" s="9"/>
      <c r="G765" s="9"/>
    </row>
    <row r="766" spans="4:7" x14ac:dyDescent="0.35">
      <c r="D766" s="9"/>
      <c r="E766" s="9"/>
      <c r="F766" s="9"/>
      <c r="G766" s="9"/>
    </row>
    <row r="767" spans="4:7" x14ac:dyDescent="0.35">
      <c r="D767" s="9"/>
      <c r="E767" s="9"/>
      <c r="F767" s="9"/>
      <c r="G767" s="9"/>
    </row>
    <row r="768" spans="4:7" x14ac:dyDescent="0.35">
      <c r="D768" s="9"/>
      <c r="E768" s="9"/>
      <c r="F768" s="9"/>
      <c r="G768" s="9"/>
    </row>
    <row r="769" spans="4:7" x14ac:dyDescent="0.35">
      <c r="D769" s="9"/>
      <c r="E769" s="9"/>
      <c r="F769" s="9"/>
      <c r="G769" s="9"/>
    </row>
    <row r="770" spans="4:7" x14ac:dyDescent="0.35">
      <c r="D770" s="9"/>
      <c r="E770" s="9"/>
      <c r="F770" s="9"/>
      <c r="G770" s="9"/>
    </row>
    <row r="771" spans="4:7" x14ac:dyDescent="0.35">
      <c r="D771" s="9"/>
      <c r="E771" s="9"/>
      <c r="F771" s="9"/>
      <c r="G771" s="9"/>
    </row>
    <row r="772" spans="4:7" x14ac:dyDescent="0.35">
      <c r="D772" s="9"/>
      <c r="E772" s="9"/>
      <c r="F772" s="9"/>
      <c r="G772" s="9"/>
    </row>
    <row r="773" spans="4:7" x14ac:dyDescent="0.35">
      <c r="D773" s="9"/>
      <c r="E773" s="9"/>
      <c r="F773" s="9"/>
      <c r="G773" s="9"/>
    </row>
    <row r="774" spans="4:7" x14ac:dyDescent="0.35">
      <c r="D774" s="9"/>
      <c r="E774" s="9"/>
      <c r="F774" s="9"/>
      <c r="G774" s="9"/>
    </row>
    <row r="775" spans="4:7" x14ac:dyDescent="0.35">
      <c r="D775" s="9"/>
      <c r="E775" s="9"/>
      <c r="F775" s="9"/>
      <c r="G775" s="9"/>
    </row>
    <row r="776" spans="4:7" x14ac:dyDescent="0.35">
      <c r="D776" s="9"/>
      <c r="E776" s="9"/>
      <c r="F776" s="9"/>
      <c r="G776" s="9"/>
    </row>
    <row r="777" spans="4:7" x14ac:dyDescent="0.35">
      <c r="D777" s="9"/>
      <c r="E777" s="9"/>
      <c r="F777" s="9"/>
      <c r="G777" s="9"/>
    </row>
    <row r="778" spans="4:7" x14ac:dyDescent="0.35">
      <c r="D778" s="9"/>
      <c r="E778" s="9"/>
      <c r="F778" s="9"/>
      <c r="G778" s="9"/>
    </row>
    <row r="779" spans="4:7" x14ac:dyDescent="0.35">
      <c r="D779" s="9"/>
      <c r="E779" s="9"/>
      <c r="F779" s="9"/>
      <c r="G779" s="9"/>
    </row>
    <row r="780" spans="4:7" x14ac:dyDescent="0.35">
      <c r="D780" s="9"/>
      <c r="E780" s="9"/>
      <c r="F780" s="9"/>
      <c r="G780" s="9"/>
    </row>
    <row r="781" spans="4:7" x14ac:dyDescent="0.35">
      <c r="D781" s="9"/>
      <c r="E781" s="9"/>
      <c r="F781" s="9"/>
      <c r="G781" s="9"/>
    </row>
    <row r="782" spans="4:7" x14ac:dyDescent="0.35">
      <c r="D782" s="9"/>
      <c r="E782" s="9"/>
      <c r="F782" s="9"/>
      <c r="G782" s="9"/>
    </row>
    <row r="783" spans="4:7" x14ac:dyDescent="0.35">
      <c r="D783" s="9"/>
      <c r="E783" s="9"/>
      <c r="F783" s="9"/>
      <c r="G783" s="9"/>
    </row>
    <row r="784" spans="4:7" x14ac:dyDescent="0.35">
      <c r="D784" s="9"/>
      <c r="E784" s="9"/>
      <c r="F784" s="9"/>
      <c r="G784" s="9"/>
    </row>
    <row r="785" spans="4:7" x14ac:dyDescent="0.35">
      <c r="D785" s="9"/>
      <c r="E785" s="9"/>
      <c r="F785" s="9"/>
      <c r="G785" s="9"/>
    </row>
    <row r="786" spans="4:7" x14ac:dyDescent="0.35">
      <c r="D786" s="9"/>
      <c r="E786" s="9"/>
      <c r="F786" s="9"/>
      <c r="G786" s="9"/>
    </row>
    <row r="787" spans="4:7" x14ac:dyDescent="0.35">
      <c r="D787" s="9"/>
      <c r="E787" s="9"/>
      <c r="F787" s="9"/>
      <c r="G787" s="9"/>
    </row>
    <row r="788" spans="4:7" x14ac:dyDescent="0.35">
      <c r="D788" s="9"/>
      <c r="E788" s="9"/>
      <c r="F788" s="9"/>
      <c r="G788" s="9"/>
    </row>
    <row r="789" spans="4:7" x14ac:dyDescent="0.35">
      <c r="D789" s="9"/>
      <c r="E789" s="9"/>
      <c r="F789" s="9"/>
      <c r="G789" s="9"/>
    </row>
    <row r="790" spans="4:7" x14ac:dyDescent="0.35">
      <c r="D790" s="9"/>
      <c r="E790" s="9"/>
      <c r="F790" s="9"/>
      <c r="G790" s="9"/>
    </row>
    <row r="791" spans="4:7" x14ac:dyDescent="0.35">
      <c r="D791" s="9"/>
      <c r="E791" s="9"/>
      <c r="F791" s="9"/>
      <c r="G791" s="9"/>
    </row>
    <row r="792" spans="4:7" x14ac:dyDescent="0.35">
      <c r="D792" s="9"/>
      <c r="E792" s="9"/>
      <c r="F792" s="9"/>
      <c r="G792" s="9"/>
    </row>
    <row r="793" spans="4:7" x14ac:dyDescent="0.35">
      <c r="D793" s="9"/>
      <c r="E793" s="9"/>
      <c r="F793" s="9"/>
      <c r="G793" s="9"/>
    </row>
    <row r="794" spans="4:7" x14ac:dyDescent="0.35">
      <c r="D794" s="9"/>
      <c r="E794" s="9"/>
      <c r="F794" s="9"/>
      <c r="G794" s="9"/>
    </row>
    <row r="795" spans="4:7" x14ac:dyDescent="0.35">
      <c r="D795" s="9"/>
      <c r="E795" s="9"/>
      <c r="F795" s="9"/>
      <c r="G795" s="9"/>
    </row>
    <row r="796" spans="4:7" x14ac:dyDescent="0.35">
      <c r="D796" s="9"/>
      <c r="E796" s="9"/>
      <c r="F796" s="9"/>
      <c r="G796" s="9"/>
    </row>
    <row r="797" spans="4:7" x14ac:dyDescent="0.35">
      <c r="D797" s="9"/>
      <c r="E797" s="9"/>
      <c r="F797" s="9"/>
      <c r="G797" s="9"/>
    </row>
    <row r="798" spans="4:7" x14ac:dyDescent="0.35">
      <c r="D798" s="9"/>
      <c r="E798" s="9"/>
      <c r="F798" s="9"/>
      <c r="G798" s="9"/>
    </row>
    <row r="799" spans="4:7" x14ac:dyDescent="0.35">
      <c r="D799" s="9"/>
      <c r="E799" s="9"/>
      <c r="F799" s="9"/>
      <c r="G799" s="9"/>
    </row>
    <row r="800" spans="4:7" x14ac:dyDescent="0.35">
      <c r="D800" s="9"/>
      <c r="E800" s="9"/>
      <c r="F800" s="9"/>
      <c r="G800" s="9"/>
    </row>
    <row r="801" spans="4:7" x14ac:dyDescent="0.35">
      <c r="D801" s="9"/>
      <c r="E801" s="9"/>
      <c r="F801" s="9"/>
      <c r="G801" s="9"/>
    </row>
    <row r="802" spans="4:7" x14ac:dyDescent="0.35">
      <c r="D802" s="9"/>
      <c r="E802" s="9"/>
      <c r="F802" s="9"/>
      <c r="G802" s="9"/>
    </row>
    <row r="803" spans="4:7" x14ac:dyDescent="0.35">
      <c r="D803" s="9"/>
      <c r="E803" s="9"/>
      <c r="F803" s="9"/>
      <c r="G803" s="9"/>
    </row>
    <row r="804" spans="4:7" x14ac:dyDescent="0.35">
      <c r="D804" s="9"/>
      <c r="E804" s="9"/>
      <c r="F804" s="9"/>
      <c r="G804" s="9"/>
    </row>
    <row r="805" spans="4:7" x14ac:dyDescent="0.35">
      <c r="D805" s="9"/>
      <c r="E805" s="9"/>
      <c r="F805" s="9"/>
      <c r="G805" s="9"/>
    </row>
    <row r="806" spans="4:7" x14ac:dyDescent="0.35">
      <c r="D806" s="9"/>
      <c r="E806" s="9"/>
      <c r="F806" s="9"/>
      <c r="G806" s="9"/>
    </row>
    <row r="807" spans="4:7" x14ac:dyDescent="0.35">
      <c r="D807" s="9"/>
      <c r="E807" s="9"/>
      <c r="F807" s="9"/>
      <c r="G807" s="9"/>
    </row>
    <row r="808" spans="4:7" x14ac:dyDescent="0.35">
      <c r="D808" s="9"/>
      <c r="E808" s="9"/>
      <c r="F808" s="9"/>
      <c r="G808" s="9"/>
    </row>
    <row r="809" spans="4:7" x14ac:dyDescent="0.35">
      <c r="D809" s="9"/>
      <c r="E809" s="9"/>
      <c r="F809" s="9"/>
      <c r="G809" s="9"/>
    </row>
    <row r="810" spans="4:7" x14ac:dyDescent="0.35">
      <c r="D810" s="9"/>
      <c r="E810" s="9"/>
      <c r="F810" s="9"/>
      <c r="G810" s="9"/>
    </row>
    <row r="811" spans="4:7" x14ac:dyDescent="0.35">
      <c r="D811" s="9"/>
      <c r="E811" s="9"/>
      <c r="F811" s="9"/>
      <c r="G811" s="9"/>
    </row>
    <row r="812" spans="4:7" x14ac:dyDescent="0.35">
      <c r="D812" s="9"/>
      <c r="E812" s="9"/>
      <c r="F812" s="9"/>
      <c r="G812" s="9"/>
    </row>
    <row r="813" spans="4:7" x14ac:dyDescent="0.35">
      <c r="D813" s="9"/>
      <c r="E813" s="9"/>
      <c r="F813" s="9"/>
      <c r="G813" s="9"/>
    </row>
    <row r="814" spans="4:7" x14ac:dyDescent="0.35">
      <c r="D814" s="9"/>
      <c r="E814" s="9"/>
      <c r="F814" s="9"/>
      <c r="G814" s="9"/>
    </row>
    <row r="815" spans="4:7" x14ac:dyDescent="0.35">
      <c r="D815" s="9"/>
      <c r="E815" s="9"/>
      <c r="F815" s="9"/>
      <c r="G815" s="9"/>
    </row>
    <row r="816" spans="4:7" x14ac:dyDescent="0.35">
      <c r="D816" s="9"/>
      <c r="E816" s="9"/>
      <c r="F816" s="9"/>
      <c r="G816" s="9"/>
    </row>
    <row r="817" spans="4:7" x14ac:dyDescent="0.35">
      <c r="D817" s="9"/>
      <c r="E817" s="9"/>
      <c r="F817" s="9"/>
      <c r="G817" s="9"/>
    </row>
    <row r="818" spans="4:7" x14ac:dyDescent="0.35">
      <c r="D818" s="9"/>
      <c r="E818" s="9"/>
      <c r="F818" s="9"/>
      <c r="G818" s="9"/>
    </row>
    <row r="819" spans="4:7" x14ac:dyDescent="0.35">
      <c r="D819" s="9"/>
      <c r="E819" s="9"/>
      <c r="F819" s="9"/>
      <c r="G819" s="9"/>
    </row>
    <row r="820" spans="4:7" x14ac:dyDescent="0.35">
      <c r="D820" s="9"/>
      <c r="E820" s="9"/>
      <c r="F820" s="9"/>
      <c r="G820" s="9"/>
    </row>
    <row r="821" spans="4:7" x14ac:dyDescent="0.35">
      <c r="D821" s="9"/>
      <c r="E821" s="9"/>
      <c r="F821" s="9"/>
      <c r="G821" s="9"/>
    </row>
    <row r="822" spans="4:7" x14ac:dyDescent="0.35">
      <c r="D822" s="9"/>
      <c r="E822" s="9"/>
      <c r="F822" s="9"/>
      <c r="G822" s="9"/>
    </row>
    <row r="823" spans="4:7" x14ac:dyDescent="0.35">
      <c r="D823" s="9"/>
      <c r="E823" s="9"/>
      <c r="F823" s="9"/>
      <c r="G823" s="9"/>
    </row>
    <row r="824" spans="4:7" x14ac:dyDescent="0.35">
      <c r="D824" s="9"/>
      <c r="E824" s="9"/>
      <c r="F824" s="9"/>
      <c r="G824" s="9"/>
    </row>
    <row r="825" spans="4:7" x14ac:dyDescent="0.35">
      <c r="D825" s="9"/>
      <c r="E825" s="9"/>
      <c r="F825" s="9"/>
      <c r="G825" s="9"/>
    </row>
    <row r="826" spans="4:7" x14ac:dyDescent="0.35">
      <c r="D826" s="9"/>
      <c r="E826" s="9"/>
      <c r="F826" s="9"/>
      <c r="G826" s="9"/>
    </row>
    <row r="827" spans="4:7" x14ac:dyDescent="0.35">
      <c r="D827" s="9"/>
      <c r="E827" s="9"/>
      <c r="F827" s="9"/>
      <c r="G827" s="9"/>
    </row>
    <row r="828" spans="4:7" x14ac:dyDescent="0.35">
      <c r="D828" s="9"/>
      <c r="E828" s="9"/>
      <c r="F828" s="9"/>
      <c r="G828" s="9"/>
    </row>
    <row r="829" spans="4:7" x14ac:dyDescent="0.35">
      <c r="D829" s="9"/>
      <c r="E829" s="9"/>
      <c r="F829" s="9"/>
      <c r="G829" s="9"/>
    </row>
    <row r="830" spans="4:7" x14ac:dyDescent="0.35">
      <c r="D830" s="9"/>
      <c r="E830" s="9"/>
      <c r="F830" s="9"/>
      <c r="G830" s="9"/>
    </row>
    <row r="831" spans="4:7" x14ac:dyDescent="0.35">
      <c r="D831" s="9"/>
      <c r="E831" s="9"/>
      <c r="F831" s="9"/>
      <c r="G831" s="9"/>
    </row>
    <row r="832" spans="4:7" x14ac:dyDescent="0.35">
      <c r="D832" s="9"/>
      <c r="E832" s="9"/>
      <c r="F832" s="9"/>
      <c r="G832" s="9"/>
    </row>
    <row r="833" spans="4:7" x14ac:dyDescent="0.35">
      <c r="D833" s="9"/>
      <c r="E833" s="9"/>
      <c r="F833" s="9"/>
      <c r="G833" s="9"/>
    </row>
    <row r="834" spans="4:7" x14ac:dyDescent="0.35">
      <c r="D834" s="9"/>
      <c r="E834" s="9"/>
      <c r="F834" s="9"/>
      <c r="G834" s="9"/>
    </row>
    <row r="835" spans="4:7" x14ac:dyDescent="0.35">
      <c r="D835" s="9"/>
      <c r="E835" s="9"/>
      <c r="F835" s="9"/>
      <c r="G835" s="9"/>
    </row>
    <row r="836" spans="4:7" x14ac:dyDescent="0.35">
      <c r="D836" s="9"/>
      <c r="E836" s="9"/>
      <c r="F836" s="9"/>
      <c r="G836" s="9"/>
    </row>
    <row r="837" spans="4:7" x14ac:dyDescent="0.35">
      <c r="D837" s="9"/>
      <c r="E837" s="9"/>
      <c r="F837" s="9"/>
      <c r="G837" s="9"/>
    </row>
    <row r="838" spans="4:7" x14ac:dyDescent="0.35">
      <c r="D838" s="9"/>
      <c r="E838" s="9"/>
      <c r="F838" s="9"/>
      <c r="G838" s="9"/>
    </row>
    <row r="839" spans="4:7" x14ac:dyDescent="0.35">
      <c r="D839" s="9"/>
      <c r="E839" s="9"/>
      <c r="F839" s="9"/>
      <c r="G839" s="9"/>
    </row>
    <row r="840" spans="4:7" x14ac:dyDescent="0.35">
      <c r="D840" s="9"/>
      <c r="E840" s="9"/>
      <c r="F840" s="9"/>
      <c r="G840" s="9"/>
    </row>
    <row r="841" spans="4:7" x14ac:dyDescent="0.35">
      <c r="D841" s="9"/>
      <c r="E841" s="9"/>
      <c r="F841" s="9"/>
      <c r="G841" s="9"/>
    </row>
    <row r="842" spans="4:7" x14ac:dyDescent="0.35">
      <c r="D842" s="9"/>
      <c r="E842" s="9"/>
      <c r="F842" s="9"/>
      <c r="G842" s="9"/>
    </row>
    <row r="843" spans="4:7" x14ac:dyDescent="0.35">
      <c r="D843" s="9"/>
      <c r="E843" s="9"/>
      <c r="F843" s="9"/>
      <c r="G843" s="9"/>
    </row>
    <row r="844" spans="4:7" x14ac:dyDescent="0.35">
      <c r="D844" s="9"/>
      <c r="E844" s="9"/>
      <c r="F844" s="9"/>
      <c r="G844" s="9"/>
    </row>
    <row r="845" spans="4:7" x14ac:dyDescent="0.35">
      <c r="D845" s="9"/>
      <c r="E845" s="9"/>
      <c r="F845" s="9"/>
      <c r="G845" s="9"/>
    </row>
    <row r="846" spans="4:7" x14ac:dyDescent="0.35">
      <c r="D846" s="9"/>
      <c r="E846" s="9"/>
      <c r="F846" s="9"/>
      <c r="G846" s="9"/>
    </row>
    <row r="847" spans="4:7" x14ac:dyDescent="0.35">
      <c r="D847" s="9"/>
      <c r="E847" s="9"/>
      <c r="F847" s="9"/>
      <c r="G847" s="9"/>
    </row>
    <row r="848" spans="4:7" x14ac:dyDescent="0.35">
      <c r="D848" s="9"/>
      <c r="E848" s="9"/>
      <c r="F848" s="9"/>
      <c r="G848" s="9"/>
    </row>
    <row r="849" spans="4:7" x14ac:dyDescent="0.35">
      <c r="D849" s="9"/>
      <c r="E849" s="9"/>
      <c r="F849" s="9"/>
      <c r="G849" s="9"/>
    </row>
    <row r="850" spans="4:7" x14ac:dyDescent="0.35">
      <c r="D850" s="9"/>
      <c r="E850" s="9"/>
      <c r="F850" s="9"/>
      <c r="G850" s="9"/>
    </row>
    <row r="851" spans="4:7" x14ac:dyDescent="0.35">
      <c r="D851" s="9"/>
      <c r="E851" s="9"/>
      <c r="F851" s="9"/>
      <c r="G851" s="9"/>
    </row>
    <row r="852" spans="4:7" x14ac:dyDescent="0.35">
      <c r="D852" s="9"/>
      <c r="E852" s="9"/>
      <c r="F852" s="9"/>
      <c r="G852" s="9"/>
    </row>
    <row r="853" spans="4:7" x14ac:dyDescent="0.35">
      <c r="D853" s="9"/>
      <c r="E853" s="9"/>
      <c r="F853" s="9"/>
      <c r="G853" s="9"/>
    </row>
    <row r="854" spans="4:7" x14ac:dyDescent="0.35">
      <c r="D854" s="9"/>
      <c r="E854" s="9"/>
      <c r="F854" s="9"/>
      <c r="G854" s="9"/>
    </row>
    <row r="855" spans="4:7" x14ac:dyDescent="0.35">
      <c r="D855" s="9"/>
      <c r="E855" s="9"/>
      <c r="F855" s="9"/>
      <c r="G855" s="9"/>
    </row>
    <row r="856" spans="4:7" x14ac:dyDescent="0.35">
      <c r="D856" s="9"/>
      <c r="E856" s="9"/>
      <c r="F856" s="9"/>
      <c r="G856" s="9"/>
    </row>
    <row r="857" spans="4:7" x14ac:dyDescent="0.35">
      <c r="D857" s="9"/>
      <c r="E857" s="9"/>
      <c r="F857" s="9"/>
      <c r="G857" s="9"/>
    </row>
    <row r="858" spans="4:7" x14ac:dyDescent="0.35">
      <c r="D858" s="9"/>
      <c r="E858" s="9"/>
      <c r="F858" s="9"/>
      <c r="G858" s="9"/>
    </row>
    <row r="859" spans="4:7" x14ac:dyDescent="0.35">
      <c r="D859" s="9"/>
      <c r="E859" s="9"/>
      <c r="F859" s="9"/>
      <c r="G859" s="9"/>
    </row>
    <row r="860" spans="4:7" x14ac:dyDescent="0.35">
      <c r="D860" s="9"/>
      <c r="E860" s="9"/>
      <c r="F860" s="9"/>
      <c r="G860" s="9"/>
    </row>
    <row r="861" spans="4:7" x14ac:dyDescent="0.35">
      <c r="D861" s="9"/>
      <c r="E861" s="9"/>
      <c r="F861" s="9"/>
      <c r="G861" s="9"/>
    </row>
    <row r="862" spans="4:7" x14ac:dyDescent="0.35">
      <c r="D862" s="9"/>
      <c r="E862" s="9"/>
      <c r="F862" s="9"/>
      <c r="G862" s="9"/>
    </row>
    <row r="863" spans="4:7" x14ac:dyDescent="0.35">
      <c r="D863" s="9"/>
      <c r="E863" s="9"/>
      <c r="F863" s="9"/>
      <c r="G863" s="9"/>
    </row>
    <row r="864" spans="4:7" x14ac:dyDescent="0.35">
      <c r="D864" s="9"/>
      <c r="E864" s="9"/>
      <c r="F864" s="9"/>
      <c r="G864" s="9"/>
    </row>
    <row r="865" spans="4:7" x14ac:dyDescent="0.35">
      <c r="D865" s="9"/>
      <c r="E865" s="9"/>
      <c r="F865" s="9"/>
      <c r="G865" s="9"/>
    </row>
    <row r="866" spans="4:7" x14ac:dyDescent="0.35">
      <c r="D866" s="9"/>
      <c r="E866" s="9"/>
      <c r="F866" s="9"/>
      <c r="G866" s="9"/>
    </row>
    <row r="867" spans="4:7" x14ac:dyDescent="0.35">
      <c r="D867" s="9"/>
      <c r="E867" s="9"/>
      <c r="F867" s="9"/>
      <c r="G867" s="9"/>
    </row>
    <row r="868" spans="4:7" x14ac:dyDescent="0.35">
      <c r="D868" s="9"/>
      <c r="E868" s="9"/>
      <c r="F868" s="9"/>
      <c r="G868" s="9"/>
    </row>
    <row r="869" spans="4:7" x14ac:dyDescent="0.35">
      <c r="D869" s="9"/>
      <c r="E869" s="9"/>
      <c r="F869" s="9"/>
      <c r="G869" s="9"/>
    </row>
    <row r="870" spans="4:7" x14ac:dyDescent="0.35">
      <c r="D870" s="9"/>
      <c r="E870" s="9"/>
      <c r="F870" s="9"/>
      <c r="G870" s="9"/>
    </row>
    <row r="871" spans="4:7" x14ac:dyDescent="0.35">
      <c r="D871" s="9"/>
      <c r="E871" s="9"/>
      <c r="F871" s="9"/>
      <c r="G871" s="9"/>
    </row>
    <row r="872" spans="4:7" x14ac:dyDescent="0.35">
      <c r="D872" s="9"/>
      <c r="E872" s="9"/>
      <c r="F872" s="9"/>
      <c r="G872" s="9"/>
    </row>
    <row r="873" spans="4:7" x14ac:dyDescent="0.35">
      <c r="D873" s="9"/>
      <c r="E873" s="9"/>
      <c r="F873" s="9"/>
      <c r="G873" s="9"/>
    </row>
    <row r="874" spans="4:7" x14ac:dyDescent="0.35">
      <c r="D874" s="9"/>
      <c r="E874" s="9"/>
      <c r="F874" s="9"/>
      <c r="G874" s="9"/>
    </row>
    <row r="875" spans="4:7" x14ac:dyDescent="0.35">
      <c r="D875" s="9"/>
      <c r="E875" s="9"/>
      <c r="F875" s="9"/>
      <c r="G875" s="9"/>
    </row>
    <row r="876" spans="4:7" x14ac:dyDescent="0.35">
      <c r="D876" s="9"/>
      <c r="E876" s="9"/>
      <c r="F876" s="9"/>
      <c r="G876" s="9"/>
    </row>
    <row r="877" spans="4:7" x14ac:dyDescent="0.35">
      <c r="D877" s="9"/>
      <c r="E877" s="9"/>
      <c r="F877" s="9"/>
      <c r="G877" s="9"/>
    </row>
    <row r="878" spans="4:7" x14ac:dyDescent="0.35">
      <c r="D878" s="9"/>
      <c r="E878" s="9"/>
      <c r="F878" s="9"/>
      <c r="G878" s="9"/>
    </row>
    <row r="879" spans="4:7" x14ac:dyDescent="0.35">
      <c r="D879" s="9"/>
      <c r="E879" s="9"/>
      <c r="F879" s="9"/>
      <c r="G879" s="9"/>
    </row>
    <row r="880" spans="4:7" x14ac:dyDescent="0.35">
      <c r="D880" s="9"/>
      <c r="E880" s="9"/>
      <c r="F880" s="9"/>
      <c r="G880" s="9"/>
    </row>
    <row r="881" spans="4:7" x14ac:dyDescent="0.35">
      <c r="D881" s="9"/>
      <c r="E881" s="9"/>
      <c r="F881" s="9"/>
      <c r="G881" s="9"/>
    </row>
    <row r="882" spans="4:7" x14ac:dyDescent="0.35">
      <c r="D882" s="9"/>
      <c r="E882" s="9"/>
      <c r="F882" s="9"/>
      <c r="G882" s="9"/>
    </row>
    <row r="883" spans="4:7" x14ac:dyDescent="0.35">
      <c r="D883" s="9"/>
      <c r="E883" s="9"/>
      <c r="F883" s="9"/>
      <c r="G883" s="9"/>
    </row>
    <row r="884" spans="4:7" x14ac:dyDescent="0.35">
      <c r="D884" s="9"/>
      <c r="E884" s="9"/>
      <c r="F884" s="9"/>
      <c r="G884" s="9"/>
    </row>
    <row r="885" spans="4:7" x14ac:dyDescent="0.35">
      <c r="D885" s="9"/>
      <c r="E885" s="9"/>
      <c r="F885" s="9"/>
      <c r="G885" s="9"/>
    </row>
    <row r="886" spans="4:7" x14ac:dyDescent="0.35">
      <c r="D886" s="9"/>
      <c r="E886" s="9"/>
      <c r="F886" s="9"/>
      <c r="G886" s="9"/>
    </row>
    <row r="887" spans="4:7" x14ac:dyDescent="0.35">
      <c r="D887" s="9"/>
      <c r="E887" s="9"/>
      <c r="F887" s="9"/>
      <c r="G887" s="9"/>
    </row>
    <row r="888" spans="4:7" x14ac:dyDescent="0.35">
      <c r="D888" s="9"/>
      <c r="E888" s="9"/>
      <c r="F888" s="9"/>
      <c r="G888" s="9"/>
    </row>
    <row r="889" spans="4:7" x14ac:dyDescent="0.35">
      <c r="D889" s="9"/>
      <c r="E889" s="9"/>
      <c r="F889" s="9"/>
      <c r="G889" s="9"/>
    </row>
    <row r="890" spans="4:7" x14ac:dyDescent="0.35">
      <c r="D890" s="9"/>
      <c r="E890" s="9"/>
      <c r="F890" s="9"/>
      <c r="G890" s="9"/>
    </row>
    <row r="891" spans="4:7" x14ac:dyDescent="0.35">
      <c r="D891" s="9"/>
      <c r="E891" s="9"/>
      <c r="F891" s="9"/>
      <c r="G891" s="9"/>
    </row>
    <row r="892" spans="4:7" x14ac:dyDescent="0.35">
      <c r="D892" s="9"/>
      <c r="E892" s="9"/>
      <c r="F892" s="9"/>
      <c r="G892" s="9"/>
    </row>
    <row r="893" spans="4:7" x14ac:dyDescent="0.35">
      <c r="D893" s="9"/>
      <c r="E893" s="9"/>
      <c r="F893" s="9"/>
      <c r="G893" s="9"/>
    </row>
    <row r="894" spans="4:7" x14ac:dyDescent="0.35">
      <c r="D894" s="9"/>
      <c r="E894" s="9"/>
      <c r="F894" s="9"/>
      <c r="G894" s="9"/>
    </row>
    <row r="895" spans="4:7" x14ac:dyDescent="0.35">
      <c r="D895" s="9"/>
      <c r="E895" s="9"/>
      <c r="F895" s="9"/>
      <c r="G895" s="9"/>
    </row>
    <row r="896" spans="4:7" x14ac:dyDescent="0.35">
      <c r="D896" s="9"/>
      <c r="E896" s="9"/>
      <c r="F896" s="9"/>
      <c r="G896" s="9"/>
    </row>
    <row r="897" spans="4:7" x14ac:dyDescent="0.35">
      <c r="D897" s="9"/>
      <c r="E897" s="9"/>
      <c r="F897" s="9"/>
      <c r="G897" s="9"/>
    </row>
    <row r="898" spans="4:7" x14ac:dyDescent="0.35">
      <c r="D898" s="9"/>
      <c r="E898" s="9"/>
      <c r="F898" s="9"/>
      <c r="G898" s="9"/>
    </row>
    <row r="899" spans="4:7" x14ac:dyDescent="0.35">
      <c r="D899" s="9"/>
      <c r="E899" s="9"/>
      <c r="F899" s="9"/>
      <c r="G899" s="9"/>
    </row>
    <row r="900" spans="4:7" x14ac:dyDescent="0.35">
      <c r="D900" s="9"/>
      <c r="E900" s="9"/>
      <c r="F900" s="9"/>
      <c r="G900" s="9"/>
    </row>
    <row r="901" spans="4:7" x14ac:dyDescent="0.35">
      <c r="D901" s="9"/>
      <c r="E901" s="9"/>
      <c r="F901" s="9"/>
      <c r="G901" s="9"/>
    </row>
    <row r="902" spans="4:7" x14ac:dyDescent="0.35">
      <c r="D902" s="9"/>
      <c r="E902" s="9"/>
      <c r="F902" s="9"/>
      <c r="G902" s="9"/>
    </row>
    <row r="903" spans="4:7" x14ac:dyDescent="0.35">
      <c r="D903" s="9"/>
      <c r="E903" s="9"/>
      <c r="F903" s="9"/>
      <c r="G903" s="9"/>
    </row>
    <row r="904" spans="4:7" x14ac:dyDescent="0.35">
      <c r="D904" s="9"/>
      <c r="E904" s="9"/>
      <c r="F904" s="9"/>
      <c r="G904" s="9"/>
    </row>
    <row r="905" spans="4:7" x14ac:dyDescent="0.35">
      <c r="D905" s="9"/>
      <c r="E905" s="9"/>
      <c r="F905" s="9"/>
      <c r="G905" s="9"/>
    </row>
    <row r="906" spans="4:7" x14ac:dyDescent="0.35">
      <c r="D906" s="9"/>
      <c r="E906" s="9"/>
      <c r="F906" s="9"/>
      <c r="G906" s="9"/>
    </row>
    <row r="907" spans="4:7" x14ac:dyDescent="0.35">
      <c r="D907" s="9"/>
      <c r="E907" s="9"/>
      <c r="F907" s="9"/>
      <c r="G907" s="9"/>
    </row>
    <row r="908" spans="4:7" x14ac:dyDescent="0.35">
      <c r="D908" s="9"/>
      <c r="E908" s="9"/>
      <c r="F908" s="9"/>
      <c r="G908" s="9"/>
    </row>
    <row r="909" spans="4:7" x14ac:dyDescent="0.35">
      <c r="D909" s="9"/>
      <c r="E909" s="9"/>
      <c r="F909" s="9"/>
      <c r="G909" s="9"/>
    </row>
    <row r="910" spans="4:7" x14ac:dyDescent="0.35">
      <c r="D910" s="9"/>
      <c r="E910" s="9"/>
      <c r="F910" s="9"/>
      <c r="G910" s="9"/>
    </row>
    <row r="911" spans="4:7" x14ac:dyDescent="0.35">
      <c r="D911" s="9"/>
      <c r="E911" s="9"/>
      <c r="F911" s="9"/>
      <c r="G911" s="9"/>
    </row>
    <row r="912" spans="4:7" x14ac:dyDescent="0.35">
      <c r="D912" s="9"/>
      <c r="E912" s="9"/>
      <c r="F912" s="9"/>
      <c r="G912" s="9"/>
    </row>
    <row r="913" spans="4:7" x14ac:dyDescent="0.35">
      <c r="D913" s="9"/>
      <c r="E913" s="9"/>
      <c r="F913" s="9"/>
      <c r="G913" s="9"/>
    </row>
    <row r="914" spans="4:7" x14ac:dyDescent="0.35">
      <c r="D914" s="9"/>
      <c r="E914" s="9"/>
      <c r="F914" s="9"/>
      <c r="G914" s="9"/>
    </row>
    <row r="915" spans="4:7" x14ac:dyDescent="0.35">
      <c r="D915" s="9"/>
      <c r="E915" s="9"/>
      <c r="F915" s="9"/>
      <c r="G915" s="9"/>
    </row>
    <row r="916" spans="4:7" x14ac:dyDescent="0.35">
      <c r="D916" s="9"/>
      <c r="E916" s="9"/>
      <c r="F916" s="9"/>
      <c r="G916" s="9"/>
    </row>
    <row r="917" spans="4:7" x14ac:dyDescent="0.35">
      <c r="D917" s="9"/>
      <c r="E917" s="9"/>
      <c r="F917" s="9"/>
      <c r="G917" s="9"/>
    </row>
    <row r="918" spans="4:7" x14ac:dyDescent="0.35">
      <c r="D918" s="9"/>
      <c r="E918" s="9"/>
      <c r="F918" s="9"/>
      <c r="G918" s="9"/>
    </row>
    <row r="919" spans="4:7" x14ac:dyDescent="0.35">
      <c r="D919" s="9"/>
      <c r="E919" s="9"/>
      <c r="F919" s="9"/>
      <c r="G919" s="9"/>
    </row>
    <row r="920" spans="4:7" x14ac:dyDescent="0.35">
      <c r="D920" s="9"/>
      <c r="E920" s="9"/>
      <c r="F920" s="9"/>
      <c r="G920" s="9"/>
    </row>
    <row r="921" spans="4:7" x14ac:dyDescent="0.35">
      <c r="D921" s="9"/>
      <c r="E921" s="9"/>
      <c r="F921" s="9"/>
      <c r="G921" s="9"/>
    </row>
    <row r="922" spans="4:7" x14ac:dyDescent="0.35">
      <c r="D922" s="9"/>
      <c r="E922" s="9"/>
      <c r="F922" s="9"/>
      <c r="G922" s="9"/>
    </row>
    <row r="923" spans="4:7" x14ac:dyDescent="0.35">
      <c r="D923" s="9"/>
      <c r="E923" s="9"/>
      <c r="F923" s="9"/>
      <c r="G923" s="9"/>
    </row>
    <row r="924" spans="4:7" x14ac:dyDescent="0.35">
      <c r="D924" s="9"/>
      <c r="E924" s="9"/>
      <c r="F924" s="9"/>
      <c r="G924" s="9"/>
    </row>
    <row r="925" spans="4:7" x14ac:dyDescent="0.35">
      <c r="D925" s="9"/>
      <c r="E925" s="9"/>
      <c r="F925" s="9"/>
      <c r="G925" s="9"/>
    </row>
    <row r="926" spans="4:7" x14ac:dyDescent="0.35">
      <c r="D926" s="9"/>
      <c r="E926" s="9"/>
      <c r="F926" s="9"/>
      <c r="G926" s="9"/>
    </row>
    <row r="927" spans="4:7" x14ac:dyDescent="0.35">
      <c r="D927" s="9"/>
      <c r="E927" s="9"/>
      <c r="F927" s="9"/>
      <c r="G927" s="9"/>
    </row>
    <row r="928" spans="4:7" x14ac:dyDescent="0.35">
      <c r="D928" s="9"/>
      <c r="E928" s="9"/>
      <c r="F928" s="9"/>
      <c r="G928" s="9"/>
    </row>
    <row r="929" spans="4:7" x14ac:dyDescent="0.35">
      <c r="D929" s="9"/>
      <c r="E929" s="9"/>
      <c r="F929" s="9"/>
      <c r="G929" s="9"/>
    </row>
    <row r="930" spans="4:7" x14ac:dyDescent="0.35">
      <c r="D930" s="9"/>
      <c r="E930" s="9"/>
      <c r="F930" s="9"/>
      <c r="G930" s="9"/>
    </row>
    <row r="931" spans="4:7" x14ac:dyDescent="0.35">
      <c r="D931" s="9"/>
      <c r="E931" s="9"/>
      <c r="F931" s="9"/>
      <c r="G931" s="9"/>
    </row>
    <row r="932" spans="4:7" x14ac:dyDescent="0.35">
      <c r="D932" s="9"/>
      <c r="E932" s="9"/>
      <c r="F932" s="9"/>
      <c r="G932" s="9"/>
    </row>
    <row r="933" spans="4:7" x14ac:dyDescent="0.35">
      <c r="D933" s="9"/>
      <c r="E933" s="9"/>
      <c r="F933" s="9"/>
      <c r="G933" s="9"/>
    </row>
    <row r="934" spans="4:7" x14ac:dyDescent="0.35">
      <c r="D934" s="9"/>
      <c r="E934" s="9"/>
      <c r="F934" s="9"/>
      <c r="G934" s="9"/>
    </row>
    <row r="935" spans="4:7" x14ac:dyDescent="0.35">
      <c r="D935" s="9"/>
      <c r="E935" s="9"/>
      <c r="F935" s="9"/>
      <c r="G935" s="9"/>
    </row>
    <row r="936" spans="4:7" x14ac:dyDescent="0.35">
      <c r="D936" s="9"/>
      <c r="E936" s="9"/>
      <c r="F936" s="9"/>
      <c r="G936" s="9"/>
    </row>
    <row r="937" spans="4:7" x14ac:dyDescent="0.35">
      <c r="D937" s="9"/>
      <c r="E937" s="9"/>
      <c r="F937" s="9"/>
      <c r="G937" s="9"/>
    </row>
    <row r="938" spans="4:7" x14ac:dyDescent="0.35">
      <c r="D938" s="9"/>
      <c r="E938" s="9"/>
      <c r="F938" s="9"/>
      <c r="G938" s="9"/>
    </row>
    <row r="939" spans="4:7" x14ac:dyDescent="0.35">
      <c r="D939" s="9"/>
      <c r="E939" s="9"/>
      <c r="F939" s="9"/>
      <c r="G939" s="9"/>
    </row>
    <row r="940" spans="4:7" x14ac:dyDescent="0.35">
      <c r="D940" s="9"/>
      <c r="E940" s="9"/>
      <c r="F940" s="9"/>
      <c r="G940" s="9"/>
    </row>
    <row r="941" spans="4:7" x14ac:dyDescent="0.35">
      <c r="D941" s="9"/>
      <c r="E941" s="9"/>
      <c r="F941" s="9"/>
      <c r="G941" s="9"/>
    </row>
    <row r="942" spans="4:7" x14ac:dyDescent="0.35">
      <c r="D942" s="9"/>
      <c r="E942" s="9"/>
      <c r="F942" s="9"/>
      <c r="G942" s="9"/>
    </row>
    <row r="943" spans="4:7" x14ac:dyDescent="0.35">
      <c r="D943" s="9"/>
      <c r="E943" s="9"/>
      <c r="F943" s="9"/>
      <c r="G943" s="9"/>
    </row>
    <row r="944" spans="4:7" x14ac:dyDescent="0.35">
      <c r="D944" s="9"/>
      <c r="E944" s="9"/>
      <c r="F944" s="9"/>
      <c r="G944" s="9"/>
    </row>
    <row r="945" spans="4:7" x14ac:dyDescent="0.35">
      <c r="D945" s="9"/>
      <c r="E945" s="9"/>
      <c r="F945" s="9"/>
      <c r="G945" s="9"/>
    </row>
    <row r="946" spans="4:7" x14ac:dyDescent="0.35">
      <c r="D946" s="9"/>
      <c r="E946" s="9"/>
      <c r="F946" s="9"/>
      <c r="G946" s="9"/>
    </row>
    <row r="947" spans="4:7" x14ac:dyDescent="0.35">
      <c r="D947" s="9"/>
      <c r="E947" s="9"/>
      <c r="F947" s="9"/>
      <c r="G947" s="9"/>
    </row>
    <row r="948" spans="4:7" x14ac:dyDescent="0.35">
      <c r="D948" s="9"/>
      <c r="E948" s="9"/>
      <c r="F948" s="9"/>
      <c r="G948" s="9"/>
    </row>
    <row r="949" spans="4:7" x14ac:dyDescent="0.35">
      <c r="D949" s="9"/>
      <c r="E949" s="9"/>
      <c r="F949" s="9"/>
      <c r="G949" s="9"/>
    </row>
    <row r="950" spans="4:7" x14ac:dyDescent="0.35">
      <c r="D950" s="9"/>
      <c r="E950" s="9"/>
      <c r="F950" s="9"/>
      <c r="G950" s="9"/>
    </row>
    <row r="951" spans="4:7" x14ac:dyDescent="0.35">
      <c r="D951" s="9"/>
      <c r="E951" s="9"/>
      <c r="F951" s="9"/>
      <c r="G951" s="9"/>
    </row>
    <row r="952" spans="4:7" x14ac:dyDescent="0.35">
      <c r="D952" s="9"/>
      <c r="E952" s="9"/>
      <c r="F952" s="9"/>
      <c r="G952" s="9"/>
    </row>
    <row r="953" spans="4:7" x14ac:dyDescent="0.35">
      <c r="D953" s="9"/>
      <c r="E953" s="9"/>
      <c r="F953" s="9"/>
      <c r="G953" s="9"/>
    </row>
    <row r="954" spans="4:7" x14ac:dyDescent="0.35">
      <c r="D954" s="9"/>
      <c r="E954" s="9"/>
      <c r="F954" s="9"/>
      <c r="G954" s="9"/>
    </row>
    <row r="955" spans="4:7" x14ac:dyDescent="0.35">
      <c r="D955" s="9"/>
      <c r="E955" s="9"/>
      <c r="F955" s="9"/>
      <c r="G955" s="9"/>
    </row>
    <row r="956" spans="4:7" x14ac:dyDescent="0.35">
      <c r="D956" s="9"/>
      <c r="E956" s="9"/>
      <c r="F956" s="9"/>
      <c r="G956" s="9"/>
    </row>
    <row r="957" spans="4:7" x14ac:dyDescent="0.35">
      <c r="D957" s="9"/>
      <c r="E957" s="9"/>
      <c r="F957" s="9"/>
      <c r="G957" s="9"/>
    </row>
    <row r="958" spans="4:7" x14ac:dyDescent="0.35">
      <c r="D958" s="9"/>
      <c r="E958" s="9"/>
      <c r="F958" s="9"/>
      <c r="G958" s="9"/>
    </row>
    <row r="959" spans="4:7" x14ac:dyDescent="0.35">
      <c r="D959" s="9"/>
      <c r="E959" s="9"/>
      <c r="F959" s="9"/>
      <c r="G959" s="9"/>
    </row>
    <row r="960" spans="4:7" x14ac:dyDescent="0.35">
      <c r="D960" s="9"/>
      <c r="E960" s="9"/>
      <c r="F960" s="9"/>
      <c r="G960" s="9"/>
    </row>
    <row r="961" spans="4:7" x14ac:dyDescent="0.35">
      <c r="D961" s="9"/>
      <c r="E961" s="9"/>
      <c r="F961" s="9"/>
      <c r="G961" s="9"/>
    </row>
    <row r="962" spans="4:7" x14ac:dyDescent="0.35">
      <c r="D962" s="9"/>
      <c r="E962" s="9"/>
      <c r="F962" s="9"/>
      <c r="G962" s="9"/>
    </row>
    <row r="963" spans="4:7" x14ac:dyDescent="0.35">
      <c r="D963" s="9"/>
      <c r="E963" s="9"/>
      <c r="F963" s="9"/>
      <c r="G963" s="9"/>
    </row>
    <row r="964" spans="4:7" x14ac:dyDescent="0.35">
      <c r="D964" s="9"/>
      <c r="E964" s="9"/>
      <c r="F964" s="9"/>
      <c r="G964" s="9"/>
    </row>
    <row r="965" spans="4:7" x14ac:dyDescent="0.35">
      <c r="D965" s="9"/>
      <c r="E965" s="9"/>
      <c r="F965" s="9"/>
      <c r="G965" s="9"/>
    </row>
    <row r="966" spans="4:7" x14ac:dyDescent="0.35">
      <c r="D966" s="9"/>
      <c r="E966" s="9"/>
      <c r="F966" s="9"/>
      <c r="G966" s="9"/>
    </row>
    <row r="967" spans="4:7" x14ac:dyDescent="0.35">
      <c r="D967" s="9"/>
      <c r="E967" s="9"/>
      <c r="F967" s="9"/>
      <c r="G967" s="9"/>
    </row>
    <row r="968" spans="4:7" x14ac:dyDescent="0.35">
      <c r="D968" s="9"/>
      <c r="E968" s="9"/>
      <c r="F968" s="9"/>
      <c r="G968" s="9"/>
    </row>
    <row r="969" spans="4:7" x14ac:dyDescent="0.35">
      <c r="D969" s="9"/>
      <c r="E969" s="9"/>
      <c r="F969" s="9"/>
      <c r="G969" s="9"/>
    </row>
    <row r="970" spans="4:7" x14ac:dyDescent="0.35">
      <c r="D970" s="9"/>
      <c r="E970" s="9"/>
      <c r="F970" s="9"/>
      <c r="G970" s="9"/>
    </row>
    <row r="971" spans="4:7" x14ac:dyDescent="0.35">
      <c r="D971" s="9"/>
      <c r="E971" s="9"/>
      <c r="F971" s="9"/>
      <c r="G971" s="9"/>
    </row>
    <row r="972" spans="4:7" x14ac:dyDescent="0.35">
      <c r="D972" s="9"/>
      <c r="E972" s="9"/>
      <c r="F972" s="9"/>
      <c r="G972" s="9"/>
    </row>
    <row r="973" spans="4:7" x14ac:dyDescent="0.35">
      <c r="D973" s="9"/>
      <c r="E973" s="9"/>
      <c r="F973" s="9"/>
      <c r="G973" s="9"/>
    </row>
    <row r="974" spans="4:7" x14ac:dyDescent="0.35">
      <c r="D974" s="9"/>
      <c r="E974" s="9"/>
      <c r="F974" s="9"/>
      <c r="G974" s="9"/>
    </row>
    <row r="975" spans="4:7" x14ac:dyDescent="0.35">
      <c r="D975" s="9"/>
      <c r="E975" s="9"/>
      <c r="F975" s="9"/>
      <c r="G975" s="9"/>
    </row>
    <row r="976" spans="4:7" x14ac:dyDescent="0.35">
      <c r="D976" s="9"/>
      <c r="E976" s="9"/>
      <c r="F976" s="9"/>
      <c r="G976" s="9"/>
    </row>
    <row r="977" spans="4:7" x14ac:dyDescent="0.35">
      <c r="D977" s="9"/>
      <c r="E977" s="9"/>
      <c r="F977" s="9"/>
      <c r="G977" s="9"/>
    </row>
    <row r="978" spans="4:7" x14ac:dyDescent="0.35">
      <c r="D978" s="9"/>
      <c r="E978" s="9"/>
      <c r="F978" s="9"/>
      <c r="G978" s="9"/>
    </row>
    <row r="979" spans="4:7" x14ac:dyDescent="0.35">
      <c r="D979" s="9"/>
      <c r="E979" s="9"/>
      <c r="F979" s="9"/>
      <c r="G979" s="9"/>
    </row>
    <row r="980" spans="4:7" x14ac:dyDescent="0.35">
      <c r="D980" s="9"/>
      <c r="E980" s="9"/>
      <c r="F980" s="9"/>
      <c r="G980" s="9"/>
    </row>
    <row r="981" spans="4:7" x14ac:dyDescent="0.35">
      <c r="D981" s="9"/>
      <c r="E981" s="9"/>
      <c r="F981" s="9"/>
      <c r="G981" s="9"/>
    </row>
    <row r="982" spans="4:7" x14ac:dyDescent="0.35">
      <c r="D982" s="9"/>
      <c r="E982" s="9"/>
      <c r="F982" s="9"/>
      <c r="G982" s="9"/>
    </row>
    <row r="983" spans="4:7" x14ac:dyDescent="0.35">
      <c r="D983" s="9"/>
      <c r="E983" s="9"/>
      <c r="F983" s="9"/>
      <c r="G983" s="9"/>
    </row>
    <row r="984" spans="4:7" x14ac:dyDescent="0.35">
      <c r="D984" s="9"/>
      <c r="E984" s="9"/>
      <c r="F984" s="9"/>
      <c r="G984" s="9"/>
    </row>
    <row r="985" spans="4:7" x14ac:dyDescent="0.35">
      <c r="D985" s="9"/>
      <c r="E985" s="9"/>
      <c r="F985" s="9"/>
      <c r="G985" s="9"/>
    </row>
    <row r="986" spans="4:7" x14ac:dyDescent="0.35">
      <c r="D986" s="9"/>
      <c r="E986" s="9"/>
      <c r="F986" s="9"/>
      <c r="G986" s="9"/>
    </row>
    <row r="987" spans="4:7" x14ac:dyDescent="0.35">
      <c r="D987" s="9"/>
      <c r="E987" s="9"/>
      <c r="F987" s="9"/>
      <c r="G987" s="9"/>
    </row>
    <row r="988" spans="4:7" x14ac:dyDescent="0.35">
      <c r="D988" s="9"/>
      <c r="E988" s="9"/>
      <c r="F988" s="9"/>
      <c r="G988" s="9"/>
    </row>
    <row r="989" spans="4:7" x14ac:dyDescent="0.35">
      <c r="D989" s="9"/>
      <c r="E989" s="9"/>
      <c r="F989" s="9"/>
      <c r="G989" s="9"/>
    </row>
    <row r="990" spans="4:7" x14ac:dyDescent="0.35">
      <c r="D990" s="9"/>
      <c r="E990" s="9"/>
      <c r="F990" s="9"/>
      <c r="G990" s="9"/>
    </row>
    <row r="991" spans="4:7" x14ac:dyDescent="0.35">
      <c r="D991" s="9"/>
      <c r="E991" s="9"/>
      <c r="F991" s="9"/>
      <c r="G991" s="9"/>
    </row>
    <row r="992" spans="4:7" x14ac:dyDescent="0.35">
      <c r="D992" s="9"/>
      <c r="E992" s="9"/>
      <c r="F992" s="9"/>
      <c r="G992" s="9"/>
    </row>
    <row r="993" spans="4:7" x14ac:dyDescent="0.35">
      <c r="D993" s="9"/>
      <c r="E993" s="9"/>
      <c r="F993" s="9"/>
      <c r="G993" s="9"/>
    </row>
    <row r="994" spans="4:7" x14ac:dyDescent="0.35">
      <c r="D994" s="9"/>
      <c r="E994" s="9"/>
      <c r="F994" s="9"/>
      <c r="G994" s="9"/>
    </row>
    <row r="995" spans="4:7" x14ac:dyDescent="0.35">
      <c r="D995" s="9"/>
      <c r="E995" s="9"/>
      <c r="F995" s="9"/>
      <c r="G995" s="9"/>
    </row>
    <row r="996" spans="4:7" x14ac:dyDescent="0.35">
      <c r="D996" s="9"/>
      <c r="E996" s="9"/>
      <c r="F996" s="9"/>
      <c r="G996" s="9"/>
    </row>
    <row r="997" spans="4:7" x14ac:dyDescent="0.35">
      <c r="D997" s="9"/>
      <c r="E997" s="9"/>
      <c r="F997" s="9"/>
      <c r="G997" s="9"/>
    </row>
    <row r="998" spans="4:7" x14ac:dyDescent="0.35">
      <c r="D998" s="9"/>
      <c r="E998" s="9"/>
      <c r="F998" s="9"/>
      <c r="G998" s="9"/>
    </row>
    <row r="999" spans="4:7" x14ac:dyDescent="0.35">
      <c r="D999" s="9"/>
      <c r="E999" s="9"/>
      <c r="F999" s="9"/>
      <c r="G999" s="9"/>
    </row>
    <row r="1000" spans="4:7" x14ac:dyDescent="0.35">
      <c r="D1000" s="9"/>
      <c r="E1000" s="9"/>
      <c r="F1000" s="9"/>
      <c r="G1000" s="9"/>
    </row>
    <row r="1001" spans="4:7" x14ac:dyDescent="0.35">
      <c r="D1001" s="9"/>
      <c r="E1001" s="9"/>
      <c r="F1001" s="9"/>
      <c r="G1001" s="9"/>
    </row>
    <row r="1002" spans="4:7" x14ac:dyDescent="0.35">
      <c r="D1002" s="9"/>
      <c r="E1002" s="9"/>
      <c r="F1002" s="9"/>
      <c r="G1002" s="9"/>
    </row>
    <row r="1003" spans="4:7" x14ac:dyDescent="0.35">
      <c r="D1003" s="9"/>
      <c r="E1003" s="9"/>
      <c r="F1003" s="9"/>
      <c r="G1003" s="9"/>
    </row>
    <row r="1004" spans="4:7" x14ac:dyDescent="0.35">
      <c r="D1004" s="9"/>
      <c r="E1004" s="9"/>
      <c r="F1004" s="9"/>
      <c r="G1004" s="9"/>
    </row>
    <row r="1005" spans="4:7" x14ac:dyDescent="0.35">
      <c r="D1005" s="9"/>
      <c r="E1005" s="9"/>
      <c r="F1005" s="9"/>
      <c r="G1005" s="9"/>
    </row>
    <row r="1006" spans="4:7" x14ac:dyDescent="0.35">
      <c r="D1006" s="9"/>
      <c r="E1006" s="9"/>
      <c r="F1006" s="9"/>
      <c r="G1006" s="9"/>
    </row>
    <row r="1007" spans="4:7" x14ac:dyDescent="0.35">
      <c r="D1007" s="9"/>
      <c r="E1007" s="9"/>
      <c r="F1007" s="9"/>
      <c r="G1007" s="9"/>
    </row>
    <row r="1008" spans="4:7" x14ac:dyDescent="0.35">
      <c r="D1008" s="9"/>
      <c r="E1008" s="9"/>
      <c r="F1008" s="9"/>
      <c r="G1008" s="9"/>
    </row>
    <row r="1009" spans="4:7" x14ac:dyDescent="0.35">
      <c r="D1009" s="9"/>
      <c r="E1009" s="9"/>
      <c r="F1009" s="9"/>
      <c r="G1009" s="9"/>
    </row>
    <row r="1010" spans="4:7" x14ac:dyDescent="0.35">
      <c r="D1010" s="9"/>
      <c r="E1010" s="9"/>
      <c r="F1010" s="9"/>
      <c r="G1010" s="9"/>
    </row>
    <row r="1011" spans="4:7" x14ac:dyDescent="0.35">
      <c r="D1011" s="9"/>
      <c r="E1011" s="9"/>
      <c r="F1011" s="9"/>
      <c r="G1011" s="9"/>
    </row>
    <row r="1012" spans="4:7" x14ac:dyDescent="0.35">
      <c r="D1012" s="9"/>
      <c r="E1012" s="9"/>
      <c r="F1012" s="9"/>
      <c r="G1012" s="9"/>
    </row>
    <row r="1013" spans="4:7" x14ac:dyDescent="0.35">
      <c r="D1013" s="9"/>
      <c r="E1013" s="9"/>
      <c r="F1013" s="9"/>
      <c r="G1013" s="9"/>
    </row>
    <row r="1014" spans="4:7" x14ac:dyDescent="0.35">
      <c r="D1014" s="9"/>
      <c r="E1014" s="9"/>
      <c r="F1014" s="9"/>
      <c r="G1014" s="9"/>
    </row>
    <row r="1015" spans="4:7" x14ac:dyDescent="0.35">
      <c r="D1015" s="9"/>
      <c r="E1015" s="9"/>
      <c r="F1015" s="9"/>
      <c r="G1015" s="9"/>
    </row>
    <row r="1016" spans="4:7" x14ac:dyDescent="0.35">
      <c r="D1016" s="9"/>
      <c r="E1016" s="9"/>
      <c r="F1016" s="9"/>
      <c r="G1016" s="9"/>
    </row>
    <row r="1017" spans="4:7" x14ac:dyDescent="0.35">
      <c r="D1017" s="9"/>
      <c r="E1017" s="9"/>
      <c r="F1017" s="9"/>
      <c r="G1017" s="9"/>
    </row>
    <row r="1018" spans="4:7" x14ac:dyDescent="0.35">
      <c r="D1018" s="9"/>
      <c r="E1018" s="9"/>
      <c r="F1018" s="9"/>
      <c r="G1018" s="9"/>
    </row>
    <row r="1019" spans="4:7" x14ac:dyDescent="0.35">
      <c r="D1019" s="9"/>
      <c r="E1019" s="9"/>
      <c r="F1019" s="9"/>
      <c r="G1019" s="9"/>
    </row>
    <row r="1020" spans="4:7" x14ac:dyDescent="0.35">
      <c r="D1020" s="9"/>
      <c r="E1020" s="9"/>
      <c r="F1020" s="9"/>
      <c r="G1020" s="9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08F2-FBD8-4000-B8FA-B40C420C0256}">
  <sheetPr>
    <tabColor theme="5"/>
  </sheetPr>
  <dimension ref="A1:V29"/>
  <sheetViews>
    <sheetView workbookViewId="0">
      <selection activeCell="S19" sqref="S19"/>
    </sheetView>
  </sheetViews>
  <sheetFormatPr defaultRowHeight="14.5" x14ac:dyDescent="0.35"/>
  <cols>
    <col min="2" max="2" width="15.81640625" bestFit="1" customWidth="1"/>
    <col min="3" max="3" width="19.54296875" bestFit="1" customWidth="1"/>
    <col min="4" max="6" width="6.54296875" bestFit="1" customWidth="1"/>
    <col min="7" max="7" width="11.7265625" customWidth="1"/>
    <col min="11" max="11" width="15.81640625" bestFit="1" customWidth="1"/>
    <col min="12" max="12" width="19.81640625" bestFit="1" customWidth="1"/>
    <col min="22" max="22" width="14.453125" bestFit="1" customWidth="1"/>
  </cols>
  <sheetData>
    <row r="1" spans="1:22" x14ac:dyDescent="0.35">
      <c r="A1" s="19" t="s">
        <v>586</v>
      </c>
      <c r="J1" s="19" t="s">
        <v>586</v>
      </c>
    </row>
    <row r="2" spans="1:22" x14ac:dyDescent="0.35">
      <c r="A2" s="19" t="s">
        <v>587</v>
      </c>
      <c r="J2" s="19" t="s">
        <v>588</v>
      </c>
    </row>
    <row r="5" spans="1:22" x14ac:dyDescent="0.35">
      <c r="A5" t="s">
        <v>589</v>
      </c>
      <c r="B5" t="s">
        <v>590</v>
      </c>
      <c r="J5" t="s">
        <v>591</v>
      </c>
      <c r="K5" t="s">
        <v>590</v>
      </c>
    </row>
    <row r="7" spans="1:22" x14ac:dyDescent="0.35">
      <c r="A7" t="s">
        <v>592</v>
      </c>
      <c r="J7" t="s">
        <v>592</v>
      </c>
      <c r="S7" s="505" t="s">
        <v>593</v>
      </c>
      <c r="T7" s="505"/>
      <c r="U7" s="505"/>
    </row>
    <row r="8" spans="1:22" x14ac:dyDescent="0.35">
      <c r="A8" s="25" t="s">
        <v>594</v>
      </c>
      <c r="B8" s="25" t="s">
        <v>595</v>
      </c>
      <c r="C8" s="25" t="s">
        <v>591</v>
      </c>
      <c r="D8" s="25" t="s">
        <v>596</v>
      </c>
      <c r="E8" s="25" t="s">
        <v>597</v>
      </c>
      <c r="F8" s="25" t="s">
        <v>598</v>
      </c>
      <c r="G8" s="25" t="s">
        <v>262</v>
      </c>
      <c r="J8" s="25" t="s">
        <v>594</v>
      </c>
      <c r="K8" s="25" t="s">
        <v>595</v>
      </c>
      <c r="L8" s="25" t="s">
        <v>589</v>
      </c>
      <c r="M8" s="25" t="s">
        <v>596</v>
      </c>
      <c r="N8" s="25" t="s">
        <v>597</v>
      </c>
      <c r="O8" s="25" t="s">
        <v>598</v>
      </c>
      <c r="P8" s="25" t="s">
        <v>262</v>
      </c>
      <c r="R8" s="25" t="s">
        <v>599</v>
      </c>
      <c r="S8" s="25">
        <v>2022</v>
      </c>
      <c r="T8" s="25">
        <v>2023</v>
      </c>
      <c r="U8" s="25">
        <v>2024</v>
      </c>
      <c r="V8" t="s">
        <v>600</v>
      </c>
    </row>
    <row r="9" spans="1:22" x14ac:dyDescent="0.35">
      <c r="A9" t="s">
        <v>601</v>
      </c>
      <c r="B9" t="s">
        <v>602</v>
      </c>
      <c r="C9" t="s">
        <v>603</v>
      </c>
      <c r="D9" s="18">
        <v>41747</v>
      </c>
      <c r="E9" s="18">
        <v>41145.5</v>
      </c>
      <c r="F9" s="18">
        <v>36793.5</v>
      </c>
      <c r="G9" s="18">
        <v>160929.5</v>
      </c>
      <c r="J9" t="s">
        <v>601</v>
      </c>
      <c r="K9" t="s">
        <v>602</v>
      </c>
      <c r="L9" t="s">
        <v>604</v>
      </c>
      <c r="M9" s="18">
        <v>512.25</v>
      </c>
      <c r="N9" s="18">
        <v>311.75</v>
      </c>
      <c r="O9" s="18">
        <v>467.75</v>
      </c>
      <c r="P9" s="18">
        <v>1904.25</v>
      </c>
      <c r="R9" s="387">
        <v>1.5</v>
      </c>
    </row>
    <row r="10" spans="1:22" x14ac:dyDescent="0.35">
      <c r="C10" t="s">
        <v>605</v>
      </c>
      <c r="D10" s="18">
        <v>5778.9800000000005</v>
      </c>
      <c r="E10" s="18">
        <v>6746.75</v>
      </c>
      <c r="F10" s="18">
        <v>4461</v>
      </c>
      <c r="G10" s="18">
        <v>21221.370000000003</v>
      </c>
      <c r="L10" t="s">
        <v>606</v>
      </c>
      <c r="M10" s="18">
        <v>423.75</v>
      </c>
      <c r="N10" s="18">
        <v>122.75</v>
      </c>
      <c r="O10" s="18">
        <v>248.25</v>
      </c>
      <c r="P10" s="18">
        <v>1204</v>
      </c>
      <c r="R10" s="387">
        <v>2</v>
      </c>
    </row>
    <row r="11" spans="1:22" x14ac:dyDescent="0.35">
      <c r="C11" t="s">
        <v>607</v>
      </c>
      <c r="D11" s="18">
        <v>13</v>
      </c>
      <c r="E11" s="18">
        <v>15</v>
      </c>
      <c r="F11" s="18"/>
      <c r="G11" s="18">
        <v>30.75</v>
      </c>
      <c r="L11" t="s">
        <v>608</v>
      </c>
      <c r="M11" s="18">
        <v>51</v>
      </c>
      <c r="N11" s="18">
        <v>3.5</v>
      </c>
      <c r="O11" s="18">
        <v>4.75</v>
      </c>
      <c r="P11" s="18">
        <v>118.25</v>
      </c>
      <c r="R11" s="387">
        <v>1.5</v>
      </c>
    </row>
    <row r="12" spans="1:22" x14ac:dyDescent="0.35">
      <c r="B12" s="41" t="s">
        <v>609</v>
      </c>
      <c r="C12" s="41"/>
      <c r="D12" s="385">
        <v>47538.98</v>
      </c>
      <c r="E12" s="385">
        <v>47907.25</v>
      </c>
      <c r="F12" s="385">
        <v>41254.5</v>
      </c>
      <c r="G12" s="385">
        <v>182181.62</v>
      </c>
      <c r="L12" t="s">
        <v>610</v>
      </c>
      <c r="M12" s="18">
        <v>22.25</v>
      </c>
      <c r="N12" s="18">
        <v>0.25</v>
      </c>
      <c r="O12" s="18">
        <v>15.25</v>
      </c>
      <c r="P12" s="18">
        <v>63.5</v>
      </c>
      <c r="R12" s="387">
        <v>2</v>
      </c>
    </row>
    <row r="13" spans="1:22" x14ac:dyDescent="0.35">
      <c r="B13" t="s">
        <v>611</v>
      </c>
      <c r="C13" t="s">
        <v>603</v>
      </c>
      <c r="D13" s="18">
        <v>15054</v>
      </c>
      <c r="E13" s="18">
        <v>16706.5</v>
      </c>
      <c r="F13" s="18">
        <v>14907.25</v>
      </c>
      <c r="G13" s="18">
        <v>57930.75</v>
      </c>
      <c r="L13" t="s">
        <v>612</v>
      </c>
      <c r="M13" s="18">
        <v>13</v>
      </c>
      <c r="N13" s="18">
        <v>15</v>
      </c>
      <c r="O13" s="18"/>
      <c r="P13" s="18">
        <v>30.75</v>
      </c>
      <c r="R13" s="387">
        <v>1.5</v>
      </c>
    </row>
    <row r="14" spans="1:22" x14ac:dyDescent="0.35">
      <c r="C14" t="s">
        <v>605</v>
      </c>
      <c r="D14" s="18">
        <v>1640.6399999999999</v>
      </c>
      <c r="E14" s="18">
        <v>2018</v>
      </c>
      <c r="F14" s="18">
        <v>1900.25</v>
      </c>
      <c r="G14" s="18">
        <v>6818.73</v>
      </c>
      <c r="L14" t="s">
        <v>613</v>
      </c>
      <c r="M14" s="18">
        <v>3569.5</v>
      </c>
      <c r="N14" s="18">
        <v>4710</v>
      </c>
      <c r="O14" s="18">
        <v>2820.5</v>
      </c>
      <c r="P14" s="18">
        <v>13661.5</v>
      </c>
      <c r="R14" s="387">
        <v>1.5</v>
      </c>
    </row>
    <row r="15" spans="1:22" x14ac:dyDescent="0.35">
      <c r="C15" t="s">
        <v>607</v>
      </c>
      <c r="D15" s="18"/>
      <c r="E15" s="18"/>
      <c r="F15" s="18">
        <v>4</v>
      </c>
      <c r="G15" s="18">
        <v>4</v>
      </c>
      <c r="L15" t="s">
        <v>614</v>
      </c>
      <c r="M15" s="18">
        <v>1128.5</v>
      </c>
      <c r="N15" s="18">
        <v>1584</v>
      </c>
      <c r="O15" s="18">
        <v>869.5</v>
      </c>
      <c r="P15" s="18">
        <v>4013</v>
      </c>
      <c r="R15" s="387">
        <v>2</v>
      </c>
    </row>
    <row r="16" spans="1:22" x14ac:dyDescent="0.35">
      <c r="B16" s="41" t="s">
        <v>615</v>
      </c>
      <c r="C16" s="41"/>
      <c r="D16" s="385">
        <v>16694.64</v>
      </c>
      <c r="E16" s="385">
        <v>18724.5</v>
      </c>
      <c r="F16" s="385">
        <v>16811.5</v>
      </c>
      <c r="G16" s="385">
        <v>64753.479999999996</v>
      </c>
      <c r="L16" t="s">
        <v>616</v>
      </c>
      <c r="M16" s="18">
        <v>36.75</v>
      </c>
      <c r="N16" s="18">
        <v>14.5</v>
      </c>
      <c r="O16" s="18">
        <v>35</v>
      </c>
      <c r="P16" s="18">
        <v>121</v>
      </c>
      <c r="R16" s="387">
        <v>2.5</v>
      </c>
    </row>
    <row r="17" spans="1:22" x14ac:dyDescent="0.35">
      <c r="A17" t="s">
        <v>617</v>
      </c>
      <c r="D17" s="18">
        <v>64233.62</v>
      </c>
      <c r="E17" s="18">
        <v>66631.75</v>
      </c>
      <c r="F17" s="18">
        <v>58066</v>
      </c>
      <c r="G17" s="18">
        <v>246935.1</v>
      </c>
      <c r="L17" t="s">
        <v>618</v>
      </c>
      <c r="M17" s="18">
        <v>34.980000000000004</v>
      </c>
      <c r="N17" s="18"/>
      <c r="O17" s="18"/>
      <c r="P17" s="18">
        <v>135.87</v>
      </c>
      <c r="R17" s="387">
        <v>1.5</v>
      </c>
      <c r="S17" s="25"/>
      <c r="T17" s="25"/>
      <c r="U17" s="25"/>
      <c r="V17" s="25"/>
    </row>
    <row r="18" spans="1:22" x14ac:dyDescent="0.35">
      <c r="A18" t="s">
        <v>262</v>
      </c>
      <c r="D18" s="18">
        <v>64233.62</v>
      </c>
      <c r="E18" s="18">
        <v>66631.75</v>
      </c>
      <c r="F18" s="18">
        <v>58066</v>
      </c>
      <c r="G18" s="18">
        <v>246935.1</v>
      </c>
      <c r="K18" s="41" t="s">
        <v>609</v>
      </c>
      <c r="L18" s="41"/>
      <c r="M18" s="385">
        <v>5791.98</v>
      </c>
      <c r="N18" s="385">
        <v>6761.75</v>
      </c>
      <c r="O18" s="385">
        <v>4461</v>
      </c>
      <c r="P18" s="385">
        <v>21252.12</v>
      </c>
      <c r="R18" s="387"/>
      <c r="S18" s="36">
        <f>SUMPRODUCT($R$9:$R$17,M9:M17)/SUM(M9:M17)</f>
        <v>1.6422656846190766</v>
      </c>
      <c r="T18" s="36">
        <f t="shared" ref="T18:U18" si="0">SUMPRODUCT($R$9:$R$17,N9:N17)/SUM(N9:N17)</f>
        <v>1.6283691352090806</v>
      </c>
      <c r="U18" s="36">
        <f t="shared" si="0"/>
        <v>1.6348352387357095</v>
      </c>
      <c r="V18" s="37">
        <f>AVERAGE(S18:U18)</f>
        <v>1.6351566861879556</v>
      </c>
    </row>
    <row r="19" spans="1:22" x14ac:dyDescent="0.35">
      <c r="K19" t="s">
        <v>611</v>
      </c>
      <c r="L19" t="s">
        <v>604</v>
      </c>
      <c r="M19" s="18">
        <v>29.5</v>
      </c>
      <c r="N19" s="18">
        <v>222.25</v>
      </c>
      <c r="O19" s="18">
        <v>106.5</v>
      </c>
      <c r="P19" s="18">
        <v>463</v>
      </c>
      <c r="R19" s="387">
        <v>1.5</v>
      </c>
    </row>
    <row r="20" spans="1:22" x14ac:dyDescent="0.35">
      <c r="D20" s="25" t="s">
        <v>596</v>
      </c>
      <c r="E20" s="25" t="s">
        <v>597</v>
      </c>
      <c r="F20" s="25" t="s">
        <v>598</v>
      </c>
      <c r="G20" s="52" t="s">
        <v>619</v>
      </c>
      <c r="L20" t="s">
        <v>606</v>
      </c>
      <c r="M20" s="18">
        <v>31.5</v>
      </c>
      <c r="N20" s="18">
        <v>138</v>
      </c>
      <c r="O20" s="18">
        <v>37.75</v>
      </c>
      <c r="P20" s="18">
        <v>227.75</v>
      </c>
      <c r="R20" s="387">
        <v>2</v>
      </c>
    </row>
    <row r="21" spans="1:22" ht="18.5" x14ac:dyDescent="0.45">
      <c r="C21" t="s">
        <v>620</v>
      </c>
      <c r="D21" s="12">
        <f>SUM(D10:D11)/D12</f>
        <v>0.12183643822395852</v>
      </c>
      <c r="E21" s="12">
        <f>SUM(E10:E11)/E12</f>
        <v>0.14114252018222712</v>
      </c>
      <c r="F21" s="12">
        <f t="shared" ref="F21" si="1">SUM(F10:F11)/F12</f>
        <v>0.10813365814638404</v>
      </c>
      <c r="G21" s="386">
        <f>AVERAGE(D21:F21)</f>
        <v>0.12370420551752322</v>
      </c>
      <c r="L21" t="s">
        <v>608</v>
      </c>
      <c r="M21" s="18">
        <v>1</v>
      </c>
      <c r="N21" s="18">
        <v>2.5</v>
      </c>
      <c r="O21" s="18">
        <v>1.5</v>
      </c>
      <c r="P21" s="18">
        <v>6</v>
      </c>
      <c r="R21" s="387">
        <v>1.5</v>
      </c>
    </row>
    <row r="22" spans="1:22" ht="18.5" x14ac:dyDescent="0.45">
      <c r="C22" t="s">
        <v>621</v>
      </c>
      <c r="D22" s="12">
        <f t="shared" ref="D22:F22" si="2">SUM(D14:D15)/D16</f>
        <v>9.8273457828380845E-2</v>
      </c>
      <c r="E22" s="12">
        <f t="shared" si="2"/>
        <v>0.10777323827071483</v>
      </c>
      <c r="F22" s="12">
        <f t="shared" si="2"/>
        <v>0.11327067780983255</v>
      </c>
      <c r="G22" s="386">
        <f>AVERAGE(D22:F22)</f>
        <v>0.1064391246363094</v>
      </c>
      <c r="L22" t="s">
        <v>610</v>
      </c>
      <c r="M22" s="18">
        <v>1</v>
      </c>
      <c r="N22" s="18"/>
      <c r="O22" s="18"/>
      <c r="P22" s="18">
        <v>1</v>
      </c>
      <c r="R22" s="387">
        <v>2</v>
      </c>
    </row>
    <row r="23" spans="1:22" x14ac:dyDescent="0.35">
      <c r="H23" s="37"/>
      <c r="L23" t="s">
        <v>612</v>
      </c>
      <c r="M23" s="18"/>
      <c r="N23" s="18"/>
      <c r="O23" s="18">
        <v>4</v>
      </c>
      <c r="P23" s="18">
        <v>4</v>
      </c>
      <c r="R23" s="387">
        <v>1.5</v>
      </c>
    </row>
    <row r="24" spans="1:22" x14ac:dyDescent="0.35">
      <c r="L24" t="s">
        <v>613</v>
      </c>
      <c r="M24" s="18">
        <v>1169.5</v>
      </c>
      <c r="N24" s="18">
        <v>1317.25</v>
      </c>
      <c r="O24" s="18">
        <v>1522.75</v>
      </c>
      <c r="P24" s="18">
        <v>4898</v>
      </c>
      <c r="R24" s="387">
        <v>1.5</v>
      </c>
    </row>
    <row r="25" spans="1:22" ht="18.5" x14ac:dyDescent="0.45">
      <c r="C25" t="s">
        <v>622</v>
      </c>
      <c r="G25" s="386">
        <f>G21*$V$28+(1-G21)*1</f>
        <v>1.0768638763635432</v>
      </c>
      <c r="H25" s="37"/>
      <c r="L25" t="s">
        <v>614</v>
      </c>
      <c r="M25" s="18">
        <v>407</v>
      </c>
      <c r="N25" s="18">
        <v>338</v>
      </c>
      <c r="O25" s="18">
        <v>231.75</v>
      </c>
      <c r="P25" s="18">
        <v>1172.25</v>
      </c>
      <c r="R25" s="387">
        <v>2</v>
      </c>
    </row>
    <row r="26" spans="1:22" ht="18.5" x14ac:dyDescent="0.45">
      <c r="C26" t="s">
        <v>623</v>
      </c>
      <c r="G26" s="386">
        <f>G22*$V$28+(1-G22)*1</f>
        <v>1.0661361809169061</v>
      </c>
      <c r="L26" t="s">
        <v>618</v>
      </c>
      <c r="M26" s="18">
        <v>1.1399999999999999</v>
      </c>
      <c r="N26" s="18"/>
      <c r="O26" s="18"/>
      <c r="P26" s="18">
        <v>50.730000000000004</v>
      </c>
      <c r="R26" s="387">
        <v>1.5</v>
      </c>
      <c r="S26" s="25"/>
      <c r="T26" s="25"/>
      <c r="U26" s="25"/>
      <c r="V26" s="25"/>
    </row>
    <row r="27" spans="1:22" x14ac:dyDescent="0.35">
      <c r="K27" s="41" t="s">
        <v>615</v>
      </c>
      <c r="L27" s="41"/>
      <c r="M27" s="385">
        <v>1640.64</v>
      </c>
      <c r="N27" s="385">
        <v>2018</v>
      </c>
      <c r="O27" s="385">
        <v>1904.25</v>
      </c>
      <c r="P27" s="385">
        <v>6822.73</v>
      </c>
      <c r="S27" s="36">
        <f>SUMPRODUCT($R$19:$R$26,M19:M26)/SUM(M19:M26)</f>
        <v>1.6339416325336453</v>
      </c>
      <c r="T27" s="36">
        <f t="shared" ref="T27:U27" si="3">SUMPRODUCT($R$19:$R$26,N19:N26)/SUM(N19:N26)</f>
        <v>1.6179385530227948</v>
      </c>
      <c r="U27" s="36">
        <f t="shared" si="3"/>
        <v>1.5707627674937639</v>
      </c>
      <c r="V27" s="37">
        <f>AVERAGE(S27:U27)</f>
        <v>1.6075476510167348</v>
      </c>
    </row>
    <row r="28" spans="1:22" ht="18.5" x14ac:dyDescent="0.45">
      <c r="J28" t="s">
        <v>617</v>
      </c>
      <c r="M28" s="18">
        <v>7432.62</v>
      </c>
      <c r="N28" s="18">
        <v>8779.75</v>
      </c>
      <c r="O28" s="18">
        <v>6365.25</v>
      </c>
      <c r="P28" s="18">
        <v>28074.85</v>
      </c>
      <c r="V28" s="390">
        <f>AVERAGE(V18,V27)</f>
        <v>1.6213521686023453</v>
      </c>
    </row>
    <row r="29" spans="1:22" x14ac:dyDescent="0.35">
      <c r="J29" t="s">
        <v>262</v>
      </c>
      <c r="M29" s="18">
        <v>7432.62</v>
      </c>
      <c r="N29" s="18">
        <v>8779.75</v>
      </c>
      <c r="O29" s="18">
        <v>6365.25</v>
      </c>
      <c r="P29" s="18">
        <v>28074.85</v>
      </c>
    </row>
  </sheetData>
  <mergeCells count="1">
    <mergeCell ref="S7:U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6820-B03E-47A6-A2C3-0D3AB43B0723}">
  <sheetPr>
    <tabColor theme="5"/>
  </sheetPr>
  <dimension ref="A1:N111"/>
  <sheetViews>
    <sheetView zoomScale="70" zoomScaleNormal="70" workbookViewId="0">
      <selection activeCell="G105" sqref="G105"/>
    </sheetView>
  </sheetViews>
  <sheetFormatPr defaultRowHeight="14.5" outlineLevelRow="1" x14ac:dyDescent="0.35"/>
  <cols>
    <col min="1" max="1" width="4.54296875" customWidth="1"/>
    <col min="3" max="3" width="14.453125" bestFit="1" customWidth="1"/>
    <col min="4" max="4" width="51.453125" customWidth="1"/>
    <col min="5" max="5" width="19.81640625" customWidth="1"/>
    <col min="6" max="6" width="20.1796875" customWidth="1"/>
    <col min="7" max="7" width="6.1796875" customWidth="1"/>
    <col min="8" max="8" width="5.7265625" customWidth="1"/>
    <col min="10" max="10" width="11.1796875" bestFit="1" customWidth="1"/>
    <col min="11" max="11" width="44.54296875" customWidth="1"/>
    <col min="12" max="12" width="22.453125" customWidth="1"/>
    <col min="14" max="14" width="12.453125" bestFit="1" customWidth="1"/>
  </cols>
  <sheetData>
    <row r="1" spans="1:12" ht="18.5" x14ac:dyDescent="0.45">
      <c r="A1" s="191" t="s">
        <v>624</v>
      </c>
    </row>
    <row r="3" spans="1:12" x14ac:dyDescent="0.35">
      <c r="A3" t="s">
        <v>625</v>
      </c>
      <c r="H3" t="s">
        <v>625</v>
      </c>
    </row>
    <row r="4" spans="1:12" x14ac:dyDescent="0.35">
      <c r="A4" t="s">
        <v>626</v>
      </c>
      <c r="H4" t="s">
        <v>626</v>
      </c>
    </row>
    <row r="5" spans="1:12" x14ac:dyDescent="0.35">
      <c r="A5" t="s">
        <v>627</v>
      </c>
      <c r="H5" t="s">
        <v>628</v>
      </c>
    </row>
    <row r="6" spans="1:12" x14ac:dyDescent="0.35">
      <c r="A6" t="s">
        <v>629</v>
      </c>
      <c r="H6" t="s">
        <v>629</v>
      </c>
    </row>
    <row r="8" spans="1:12" x14ac:dyDescent="0.35">
      <c r="A8" t="s">
        <v>630</v>
      </c>
      <c r="H8" t="s">
        <v>630</v>
      </c>
    </row>
    <row r="9" spans="1:12" x14ac:dyDescent="0.35">
      <c r="A9" t="s">
        <v>631</v>
      </c>
      <c r="H9" t="s">
        <v>631</v>
      </c>
    </row>
    <row r="10" spans="1:12" x14ac:dyDescent="0.35">
      <c r="A10" t="s">
        <v>632</v>
      </c>
      <c r="H10" t="s">
        <v>632</v>
      </c>
    </row>
    <row r="11" spans="1:12" x14ac:dyDescent="0.35">
      <c r="A11" t="s">
        <v>633</v>
      </c>
      <c r="H11" t="s">
        <v>634</v>
      </c>
    </row>
    <row r="12" spans="1:12" x14ac:dyDescent="0.35">
      <c r="A12" t="s">
        <v>635</v>
      </c>
    </row>
    <row r="13" spans="1:12" ht="29" x14ac:dyDescent="0.35">
      <c r="A13" t="s">
        <v>626</v>
      </c>
      <c r="E13" s="64" t="str">
        <f>A11</f>
        <v>2024.01 -2024.16     Reporting periods</v>
      </c>
      <c r="F13" s="64" t="str">
        <f>A12</f>
        <v>2023.01 -2023.16     Comparison periods</v>
      </c>
      <c r="H13" t="s">
        <v>626</v>
      </c>
      <c r="L13" s="53" t="str">
        <f>H11</f>
        <v>2022.01 -2022.16     Reporting periods</v>
      </c>
    </row>
    <row r="14" spans="1:12" x14ac:dyDescent="0.35">
      <c r="B14" t="s">
        <v>636</v>
      </c>
      <c r="C14" t="s">
        <v>637</v>
      </c>
      <c r="D14" t="s">
        <v>638</v>
      </c>
      <c r="E14" t="s">
        <v>639</v>
      </c>
      <c r="F14" t="s">
        <v>640</v>
      </c>
      <c r="I14" t="s">
        <v>636</v>
      </c>
      <c r="J14" t="s">
        <v>637</v>
      </c>
      <c r="K14" t="s">
        <v>638</v>
      </c>
      <c r="L14" t="s">
        <v>639</v>
      </c>
    </row>
    <row r="15" spans="1:12" x14ac:dyDescent="0.35">
      <c r="A15" t="s">
        <v>626</v>
      </c>
      <c r="H15" t="s">
        <v>626</v>
      </c>
    </row>
    <row r="16" spans="1:12" outlineLevel="1" x14ac:dyDescent="0.35">
      <c r="B16">
        <v>1012</v>
      </c>
      <c r="C16">
        <v>50100000</v>
      </c>
      <c r="D16" t="s">
        <v>641</v>
      </c>
      <c r="E16" s="380">
        <v>5346918.21</v>
      </c>
      <c r="F16" s="380">
        <v>5257712.75</v>
      </c>
      <c r="I16">
        <v>1012</v>
      </c>
      <c r="J16">
        <v>50100000</v>
      </c>
      <c r="K16" t="s">
        <v>641</v>
      </c>
      <c r="L16" s="380">
        <v>4728601.57</v>
      </c>
    </row>
    <row r="17" spans="2:12" outlineLevel="1" x14ac:dyDescent="0.35">
      <c r="B17">
        <v>1012</v>
      </c>
      <c r="C17">
        <v>50100001</v>
      </c>
      <c r="D17" t="s">
        <v>642</v>
      </c>
      <c r="E17" s="380">
        <v>32163.67</v>
      </c>
      <c r="F17" s="380">
        <v>13080.97</v>
      </c>
      <c r="I17">
        <v>1012</v>
      </c>
      <c r="J17">
        <v>50100001</v>
      </c>
      <c r="K17" t="s">
        <v>642</v>
      </c>
      <c r="L17" s="380">
        <v>23644.1</v>
      </c>
    </row>
    <row r="18" spans="2:12" outlineLevel="1" x14ac:dyDescent="0.35">
      <c r="B18">
        <v>1012</v>
      </c>
      <c r="C18">
        <v>50101300</v>
      </c>
      <c r="D18" t="s">
        <v>643</v>
      </c>
      <c r="E18" s="380">
        <v>2331655.71</v>
      </c>
      <c r="F18" s="380">
        <v>2242321</v>
      </c>
      <c r="I18">
        <v>1012</v>
      </c>
      <c r="J18">
        <v>50101300</v>
      </c>
      <c r="K18" t="s">
        <v>643</v>
      </c>
      <c r="L18" s="380">
        <v>2163967.5</v>
      </c>
    </row>
    <row r="19" spans="2:12" outlineLevel="1" x14ac:dyDescent="0.35">
      <c r="B19">
        <v>1012</v>
      </c>
      <c r="C19">
        <v>50101305</v>
      </c>
      <c r="D19" t="s">
        <v>644</v>
      </c>
      <c r="E19" s="380">
        <v>85594.72</v>
      </c>
      <c r="F19" s="380">
        <v>83076.160000000003</v>
      </c>
      <c r="I19">
        <v>1012</v>
      </c>
      <c r="J19">
        <v>50101305</v>
      </c>
      <c r="K19" t="s">
        <v>644</v>
      </c>
      <c r="L19" s="380">
        <v>69369.350000000006</v>
      </c>
    </row>
    <row r="20" spans="2:12" outlineLevel="1" x14ac:dyDescent="0.35">
      <c r="B20">
        <v>1012</v>
      </c>
      <c r="C20">
        <v>50101400</v>
      </c>
      <c r="D20" t="s">
        <v>645</v>
      </c>
      <c r="E20" s="380">
        <v>270535.25</v>
      </c>
      <c r="F20" s="380">
        <v>237440.54</v>
      </c>
      <c r="I20">
        <v>1012</v>
      </c>
      <c r="J20">
        <v>50101400</v>
      </c>
      <c r="K20" t="s">
        <v>645</v>
      </c>
      <c r="L20" s="380">
        <v>165863.29999999999</v>
      </c>
    </row>
    <row r="21" spans="2:12" outlineLevel="1" x14ac:dyDescent="0.35">
      <c r="B21">
        <v>1012</v>
      </c>
      <c r="C21">
        <v>50101405</v>
      </c>
      <c r="D21" t="s">
        <v>646</v>
      </c>
      <c r="E21" s="380">
        <v>48143.29</v>
      </c>
      <c r="F21" s="380">
        <v>56967.77</v>
      </c>
      <c r="I21">
        <v>1012</v>
      </c>
      <c r="J21">
        <v>50101405</v>
      </c>
      <c r="K21" t="s">
        <v>646</v>
      </c>
      <c r="L21" s="380">
        <v>92886.16</v>
      </c>
    </row>
    <row r="22" spans="2:12" outlineLevel="1" x14ac:dyDescent="0.35">
      <c r="B22">
        <v>1012</v>
      </c>
      <c r="C22">
        <v>50101415</v>
      </c>
      <c r="D22" t="s">
        <v>647</v>
      </c>
      <c r="E22" s="380">
        <v>108091.82</v>
      </c>
      <c r="F22" s="380">
        <v>102784.37</v>
      </c>
      <c r="I22">
        <v>1012</v>
      </c>
      <c r="J22">
        <v>50101415</v>
      </c>
      <c r="K22" t="s">
        <v>647</v>
      </c>
      <c r="L22" s="380">
        <v>45380.58</v>
      </c>
    </row>
    <row r="23" spans="2:12" outlineLevel="1" x14ac:dyDescent="0.35">
      <c r="B23">
        <v>1012</v>
      </c>
      <c r="C23">
        <v>50101420</v>
      </c>
      <c r="D23" t="s">
        <v>648</v>
      </c>
      <c r="E23" s="380">
        <v>657331.1</v>
      </c>
      <c r="F23" s="380">
        <v>646916.02</v>
      </c>
      <c r="I23">
        <v>1012</v>
      </c>
      <c r="J23">
        <v>50101420</v>
      </c>
      <c r="K23" t="s">
        <v>648</v>
      </c>
      <c r="L23" s="380">
        <v>704209.28</v>
      </c>
    </row>
    <row r="24" spans="2:12" outlineLevel="1" x14ac:dyDescent="0.35">
      <c r="B24">
        <v>1012</v>
      </c>
      <c r="C24">
        <v>50101500</v>
      </c>
      <c r="D24" t="s">
        <v>649</v>
      </c>
      <c r="E24" s="380">
        <v>21591.69</v>
      </c>
      <c r="F24" s="380">
        <v>28460.5</v>
      </c>
      <c r="I24">
        <v>1012</v>
      </c>
      <c r="J24">
        <v>50101500</v>
      </c>
      <c r="K24" t="s">
        <v>649</v>
      </c>
      <c r="L24" s="380">
        <v>40009.42</v>
      </c>
    </row>
    <row r="25" spans="2:12" outlineLevel="1" x14ac:dyDescent="0.35">
      <c r="B25">
        <v>1012</v>
      </c>
      <c r="C25">
        <v>50101505</v>
      </c>
      <c r="D25" t="s">
        <v>650</v>
      </c>
      <c r="E25">
        <v>219.4</v>
      </c>
      <c r="F25" s="380">
        <v>1000</v>
      </c>
      <c r="I25">
        <v>1012</v>
      </c>
      <c r="J25">
        <v>50101505</v>
      </c>
      <c r="K25" t="s">
        <v>650</v>
      </c>
      <c r="L25" s="380">
        <v>1584.64</v>
      </c>
    </row>
    <row r="26" spans="2:12" outlineLevel="1" x14ac:dyDescent="0.35">
      <c r="B26">
        <v>1012</v>
      </c>
      <c r="C26">
        <v>50101510</v>
      </c>
      <c r="D26" t="s">
        <v>651</v>
      </c>
      <c r="E26" s="380">
        <v>313808.15000000002</v>
      </c>
      <c r="F26" s="380">
        <v>395673.46</v>
      </c>
      <c r="I26">
        <v>1012</v>
      </c>
      <c r="J26">
        <v>50101510</v>
      </c>
      <c r="K26" t="s">
        <v>651</v>
      </c>
      <c r="L26" s="380">
        <v>318089.24</v>
      </c>
    </row>
    <row r="27" spans="2:12" outlineLevel="1" x14ac:dyDescent="0.35">
      <c r="B27">
        <v>1012</v>
      </c>
      <c r="C27">
        <v>50101520</v>
      </c>
      <c r="D27" t="s">
        <v>652</v>
      </c>
      <c r="E27" s="380">
        <v>202603.83</v>
      </c>
      <c r="F27" s="380">
        <v>299238.75</v>
      </c>
      <c r="I27">
        <v>1012</v>
      </c>
      <c r="J27">
        <v>50101520</v>
      </c>
      <c r="K27" t="s">
        <v>652</v>
      </c>
      <c r="L27" s="380">
        <v>257729.3</v>
      </c>
    </row>
    <row r="28" spans="2:12" outlineLevel="1" x14ac:dyDescent="0.35">
      <c r="B28">
        <v>1012</v>
      </c>
      <c r="C28">
        <v>50101600</v>
      </c>
      <c r="D28" t="s">
        <v>653</v>
      </c>
      <c r="E28" s="380">
        <v>781295.03</v>
      </c>
      <c r="F28" s="380">
        <v>673659.25</v>
      </c>
      <c r="I28">
        <v>1012</v>
      </c>
      <c r="J28">
        <v>50101600</v>
      </c>
      <c r="K28" t="s">
        <v>653</v>
      </c>
      <c r="L28" s="380">
        <v>893627.35</v>
      </c>
    </row>
    <row r="29" spans="2:12" outlineLevel="1" x14ac:dyDescent="0.35">
      <c r="B29">
        <v>1012</v>
      </c>
      <c r="C29">
        <v>50102300</v>
      </c>
      <c r="D29" t="s">
        <v>654</v>
      </c>
      <c r="E29" s="380">
        <v>209692.62</v>
      </c>
      <c r="F29" s="380">
        <v>277946.49</v>
      </c>
      <c r="I29">
        <v>1012</v>
      </c>
      <c r="J29">
        <v>50102300</v>
      </c>
      <c r="K29" t="s">
        <v>654</v>
      </c>
      <c r="L29" s="380">
        <v>270610</v>
      </c>
    </row>
    <row r="30" spans="2:12" outlineLevel="1" x14ac:dyDescent="0.35">
      <c r="B30">
        <v>1012</v>
      </c>
      <c r="C30">
        <v>50102400</v>
      </c>
      <c r="D30" t="s">
        <v>655</v>
      </c>
      <c r="E30" s="380">
        <v>655789.26</v>
      </c>
      <c r="F30" s="380">
        <v>631759.74</v>
      </c>
      <c r="I30">
        <v>1012</v>
      </c>
      <c r="J30">
        <v>50102400</v>
      </c>
      <c r="K30" t="s">
        <v>655</v>
      </c>
      <c r="L30" s="380">
        <v>645496.09</v>
      </c>
    </row>
    <row r="31" spans="2:12" outlineLevel="1" x14ac:dyDescent="0.35">
      <c r="B31">
        <v>1012</v>
      </c>
      <c r="C31">
        <v>50102420</v>
      </c>
      <c r="D31" t="s">
        <v>656</v>
      </c>
      <c r="E31" s="380">
        <v>97893.45</v>
      </c>
      <c r="F31" s="380">
        <v>106836.56</v>
      </c>
      <c r="I31">
        <v>1012</v>
      </c>
      <c r="J31">
        <v>50102420</v>
      </c>
      <c r="K31" t="s">
        <v>656</v>
      </c>
      <c r="L31" s="380">
        <v>41163.31</v>
      </c>
    </row>
    <row r="32" spans="2:12" outlineLevel="1" x14ac:dyDescent="0.35">
      <c r="B32">
        <v>1012</v>
      </c>
      <c r="C32">
        <v>50102430</v>
      </c>
      <c r="D32" t="s">
        <v>657</v>
      </c>
      <c r="E32" s="380">
        <v>31847.97</v>
      </c>
      <c r="F32" s="380">
        <v>40467.06</v>
      </c>
      <c r="I32">
        <v>1012</v>
      </c>
      <c r="J32">
        <v>50102430</v>
      </c>
      <c r="K32" t="s">
        <v>657</v>
      </c>
      <c r="L32" s="380">
        <v>69201.98</v>
      </c>
    </row>
    <row r="33" spans="2:12" outlineLevel="1" x14ac:dyDescent="0.35">
      <c r="B33">
        <v>1012</v>
      </c>
      <c r="C33">
        <v>50102435</v>
      </c>
      <c r="D33" t="s">
        <v>658</v>
      </c>
      <c r="E33" s="380">
        <v>55733.599999999999</v>
      </c>
      <c r="F33" s="380">
        <v>64463.43</v>
      </c>
      <c r="I33">
        <v>1012</v>
      </c>
      <c r="J33">
        <v>50102435</v>
      </c>
      <c r="K33" t="s">
        <v>658</v>
      </c>
      <c r="L33" s="380">
        <v>48472.34</v>
      </c>
    </row>
    <row r="34" spans="2:12" outlineLevel="1" x14ac:dyDescent="0.35">
      <c r="B34">
        <v>1012</v>
      </c>
      <c r="C34">
        <v>50102440</v>
      </c>
      <c r="D34" t="s">
        <v>659</v>
      </c>
      <c r="E34" s="380">
        <v>61561.94</v>
      </c>
      <c r="F34" s="380">
        <v>48374.720000000001</v>
      </c>
      <c r="I34">
        <v>1012</v>
      </c>
      <c r="J34">
        <v>50102440</v>
      </c>
      <c r="K34" t="s">
        <v>659</v>
      </c>
      <c r="L34" s="380">
        <v>64644.5</v>
      </c>
    </row>
    <row r="35" spans="2:12" outlineLevel="1" x14ac:dyDescent="0.35">
      <c r="B35">
        <v>1012</v>
      </c>
      <c r="C35">
        <v>50109900</v>
      </c>
      <c r="D35" t="s">
        <v>660</v>
      </c>
      <c r="E35" s="380">
        <v>-4277984.92</v>
      </c>
      <c r="F35" s="380">
        <v>-4225036.04</v>
      </c>
      <c r="I35">
        <v>1012</v>
      </c>
      <c r="J35">
        <v>50109900</v>
      </c>
      <c r="K35" t="s">
        <v>660</v>
      </c>
      <c r="L35" s="380">
        <v>-3701232.54</v>
      </c>
    </row>
    <row r="36" spans="2:12" outlineLevel="1" x14ac:dyDescent="0.35">
      <c r="B36">
        <v>1012</v>
      </c>
      <c r="C36">
        <v>50110000</v>
      </c>
      <c r="D36" t="s">
        <v>661</v>
      </c>
      <c r="E36" s="380">
        <v>833232.06</v>
      </c>
      <c r="F36" s="380">
        <v>813610.82</v>
      </c>
      <c r="I36">
        <v>1012</v>
      </c>
      <c r="J36">
        <v>50110000</v>
      </c>
      <c r="K36" t="s">
        <v>661</v>
      </c>
      <c r="L36" s="380">
        <v>644850.28</v>
      </c>
    </row>
    <row r="37" spans="2:12" outlineLevel="1" x14ac:dyDescent="0.35">
      <c r="B37">
        <v>1012</v>
      </c>
      <c r="C37">
        <v>50111300</v>
      </c>
      <c r="D37" t="s">
        <v>662</v>
      </c>
      <c r="E37" s="380">
        <v>288083.86</v>
      </c>
      <c r="F37" s="380">
        <v>283780.84000000003</v>
      </c>
      <c r="I37">
        <v>1012</v>
      </c>
      <c r="J37">
        <v>50111300</v>
      </c>
      <c r="K37" t="s">
        <v>662</v>
      </c>
      <c r="L37" s="380">
        <v>323409.37</v>
      </c>
    </row>
    <row r="38" spans="2:12" outlineLevel="1" x14ac:dyDescent="0.35">
      <c r="B38">
        <v>1012</v>
      </c>
      <c r="C38">
        <v>50111400</v>
      </c>
      <c r="D38" t="s">
        <v>663</v>
      </c>
      <c r="E38" s="380">
        <v>30263.51</v>
      </c>
      <c r="F38" s="380">
        <v>26808.19</v>
      </c>
      <c r="I38">
        <v>1012</v>
      </c>
      <c r="J38">
        <v>50111400</v>
      </c>
      <c r="K38" t="s">
        <v>663</v>
      </c>
      <c r="L38" s="380">
        <v>46486.54</v>
      </c>
    </row>
    <row r="39" spans="2:12" outlineLevel="1" x14ac:dyDescent="0.35">
      <c r="B39">
        <v>1012</v>
      </c>
      <c r="C39">
        <v>50111405</v>
      </c>
      <c r="D39" t="s">
        <v>664</v>
      </c>
      <c r="E39" s="380">
        <v>14773.6</v>
      </c>
      <c r="F39" s="380">
        <v>5391.23</v>
      </c>
      <c r="I39">
        <v>1012</v>
      </c>
      <c r="J39">
        <v>50111405</v>
      </c>
      <c r="K39" t="s">
        <v>664</v>
      </c>
      <c r="L39" s="380">
        <v>20816.36</v>
      </c>
    </row>
    <row r="40" spans="2:12" outlineLevel="1" x14ac:dyDescent="0.35">
      <c r="B40">
        <v>1012</v>
      </c>
      <c r="C40">
        <v>50111415</v>
      </c>
      <c r="D40" t="s">
        <v>665</v>
      </c>
      <c r="E40" s="380">
        <v>3425.94</v>
      </c>
      <c r="F40" s="380">
        <v>4392.17</v>
      </c>
      <c r="I40">
        <v>1012</v>
      </c>
      <c r="J40">
        <v>50111415</v>
      </c>
      <c r="K40" t="s">
        <v>665</v>
      </c>
      <c r="L40" s="380">
        <v>3622.52</v>
      </c>
    </row>
    <row r="41" spans="2:12" outlineLevel="1" x14ac:dyDescent="0.35">
      <c r="B41">
        <v>1012</v>
      </c>
      <c r="C41">
        <v>50111420</v>
      </c>
      <c r="D41" t="s">
        <v>666</v>
      </c>
      <c r="E41" s="380">
        <v>111103.5</v>
      </c>
      <c r="F41" s="380">
        <v>153531.07999999999</v>
      </c>
      <c r="I41">
        <v>1012</v>
      </c>
      <c r="J41">
        <v>50111420</v>
      </c>
      <c r="K41" t="s">
        <v>666</v>
      </c>
      <c r="L41" s="380">
        <v>97624.95</v>
      </c>
    </row>
    <row r="42" spans="2:12" outlineLevel="1" x14ac:dyDescent="0.35">
      <c r="B42">
        <v>1012</v>
      </c>
      <c r="C42">
        <v>50111500</v>
      </c>
      <c r="D42" t="s">
        <v>667</v>
      </c>
      <c r="E42" s="380">
        <v>2578.77</v>
      </c>
      <c r="F42" s="380">
        <v>2972.76</v>
      </c>
      <c r="I42">
        <v>1012</v>
      </c>
      <c r="J42">
        <v>50111500</v>
      </c>
      <c r="K42" t="s">
        <v>667</v>
      </c>
      <c r="L42" s="380">
        <v>4377.2299999999996</v>
      </c>
    </row>
    <row r="43" spans="2:12" outlineLevel="1" x14ac:dyDescent="0.35">
      <c r="B43">
        <v>1012</v>
      </c>
      <c r="C43">
        <v>50111510</v>
      </c>
      <c r="D43" t="s">
        <v>668</v>
      </c>
      <c r="E43" s="380">
        <v>41854.9</v>
      </c>
      <c r="F43" s="380">
        <v>107030.7</v>
      </c>
      <c r="I43">
        <v>1012</v>
      </c>
      <c r="J43">
        <v>50111510</v>
      </c>
      <c r="K43" t="s">
        <v>668</v>
      </c>
      <c r="L43" s="380">
        <v>48093.57</v>
      </c>
    </row>
    <row r="44" spans="2:12" outlineLevel="1" x14ac:dyDescent="0.35">
      <c r="B44">
        <v>1012</v>
      </c>
      <c r="C44">
        <v>50111520</v>
      </c>
      <c r="D44" t="s">
        <v>669</v>
      </c>
      <c r="E44">
        <v>49.91</v>
      </c>
      <c r="F44">
        <v>64.5</v>
      </c>
      <c r="I44">
        <v>1012</v>
      </c>
      <c r="J44">
        <v>50111520</v>
      </c>
      <c r="K44" t="s">
        <v>669</v>
      </c>
      <c r="L44">
        <v>7.1</v>
      </c>
    </row>
    <row r="45" spans="2:12" outlineLevel="1" x14ac:dyDescent="0.35">
      <c r="B45">
        <v>1012</v>
      </c>
      <c r="C45">
        <v>50111600</v>
      </c>
      <c r="D45" t="s">
        <v>670</v>
      </c>
      <c r="E45">
        <v>720.81</v>
      </c>
      <c r="F45">
        <v>553.17999999999995</v>
      </c>
      <c r="I45">
        <v>1012</v>
      </c>
      <c r="J45">
        <v>50111600</v>
      </c>
      <c r="K45" t="s">
        <v>670</v>
      </c>
      <c r="L45" s="380">
        <v>1828.83</v>
      </c>
    </row>
    <row r="46" spans="2:12" outlineLevel="1" x14ac:dyDescent="0.35">
      <c r="B46">
        <v>1012</v>
      </c>
      <c r="C46">
        <v>50112300</v>
      </c>
      <c r="D46" t="s">
        <v>671</v>
      </c>
      <c r="E46" s="380">
        <v>59089.07</v>
      </c>
      <c r="F46" s="380">
        <v>46310.09</v>
      </c>
      <c r="I46">
        <v>1012</v>
      </c>
      <c r="J46">
        <v>50112300</v>
      </c>
      <c r="K46" t="s">
        <v>671</v>
      </c>
      <c r="L46" s="380">
        <v>48083.67</v>
      </c>
    </row>
    <row r="47" spans="2:12" outlineLevel="1" x14ac:dyDescent="0.35">
      <c r="B47">
        <v>1012</v>
      </c>
      <c r="C47">
        <v>50112400</v>
      </c>
      <c r="D47" t="s">
        <v>672</v>
      </c>
      <c r="E47" s="380">
        <v>101006.14</v>
      </c>
      <c r="F47" s="380">
        <v>168466.38</v>
      </c>
      <c r="I47">
        <v>1012</v>
      </c>
      <c r="J47">
        <v>50112400</v>
      </c>
      <c r="K47" t="s">
        <v>672</v>
      </c>
      <c r="L47" s="380">
        <v>78439.490000000005</v>
      </c>
    </row>
    <row r="48" spans="2:12" outlineLevel="1" x14ac:dyDescent="0.35">
      <c r="B48">
        <v>1012</v>
      </c>
      <c r="C48">
        <v>50112420</v>
      </c>
      <c r="D48" t="s">
        <v>673</v>
      </c>
      <c r="E48" s="380">
        <v>32879.919999999998</v>
      </c>
      <c r="F48" s="380">
        <v>38332.480000000003</v>
      </c>
      <c r="I48">
        <v>1012</v>
      </c>
      <c r="J48">
        <v>50112420</v>
      </c>
      <c r="K48" t="s">
        <v>673</v>
      </c>
      <c r="L48" s="380">
        <v>7619.51</v>
      </c>
    </row>
    <row r="49" spans="2:12" outlineLevel="1" x14ac:dyDescent="0.35">
      <c r="B49">
        <v>1012</v>
      </c>
      <c r="C49">
        <v>50112430</v>
      </c>
      <c r="D49" t="s">
        <v>674</v>
      </c>
      <c r="E49" s="380">
        <v>1409.58</v>
      </c>
      <c r="F49" s="380">
        <v>2659.63</v>
      </c>
      <c r="I49">
        <v>1012</v>
      </c>
      <c r="J49">
        <v>50112430</v>
      </c>
      <c r="K49" t="s">
        <v>674</v>
      </c>
      <c r="L49" s="380">
        <v>2988.82</v>
      </c>
    </row>
    <row r="50" spans="2:12" outlineLevel="1" x14ac:dyDescent="0.35">
      <c r="B50">
        <v>1012</v>
      </c>
      <c r="C50">
        <v>50112435</v>
      </c>
      <c r="D50" t="s">
        <v>675</v>
      </c>
      <c r="E50" s="380">
        <v>7648.4</v>
      </c>
      <c r="F50" s="380">
        <v>1360.11</v>
      </c>
      <c r="I50">
        <v>1012</v>
      </c>
      <c r="J50">
        <v>50112435</v>
      </c>
      <c r="K50" t="s">
        <v>675</v>
      </c>
      <c r="L50">
        <v>645.52</v>
      </c>
    </row>
    <row r="51" spans="2:12" outlineLevel="1" x14ac:dyDescent="0.35">
      <c r="B51">
        <v>1012</v>
      </c>
      <c r="C51">
        <v>50112440</v>
      </c>
      <c r="D51" t="s">
        <v>676</v>
      </c>
      <c r="E51" s="380">
        <v>40244.5</v>
      </c>
      <c r="F51" s="380">
        <v>21542.79</v>
      </c>
      <c r="I51">
        <v>1012</v>
      </c>
      <c r="J51">
        <v>50112440</v>
      </c>
      <c r="K51" t="s">
        <v>676</v>
      </c>
      <c r="L51" s="380">
        <v>33532.910000000003</v>
      </c>
    </row>
    <row r="52" spans="2:12" outlineLevel="1" x14ac:dyDescent="0.35">
      <c r="B52">
        <v>1012</v>
      </c>
      <c r="C52">
        <v>50119900</v>
      </c>
      <c r="D52" t="s">
        <v>677</v>
      </c>
      <c r="E52" s="380">
        <v>-828422.92</v>
      </c>
      <c r="F52" s="380">
        <v>-813284.2</v>
      </c>
      <c r="I52">
        <v>1012</v>
      </c>
      <c r="J52">
        <v>50119900</v>
      </c>
      <c r="K52" t="s">
        <v>677</v>
      </c>
      <c r="L52" s="380">
        <v>-644361.66</v>
      </c>
    </row>
    <row r="53" spans="2:12" outlineLevel="1" x14ac:dyDescent="0.35">
      <c r="B53">
        <v>1012</v>
      </c>
      <c r="C53">
        <v>50120000</v>
      </c>
      <c r="D53" t="s">
        <v>678</v>
      </c>
      <c r="E53" s="380">
        <v>2085.02</v>
      </c>
      <c r="F53" s="380">
        <v>1826.97</v>
      </c>
      <c r="I53">
        <v>1012</v>
      </c>
      <c r="J53">
        <v>50120000</v>
      </c>
      <c r="K53" t="s">
        <v>678</v>
      </c>
      <c r="L53">
        <v>882.97</v>
      </c>
    </row>
    <row r="54" spans="2:12" outlineLevel="1" x14ac:dyDescent="0.35">
      <c r="B54">
        <v>1012</v>
      </c>
      <c r="C54">
        <v>50121300</v>
      </c>
      <c r="D54" t="s">
        <v>679</v>
      </c>
      <c r="E54" s="380">
        <v>66913.899999999994</v>
      </c>
      <c r="F54" s="380">
        <v>75704.570000000007</v>
      </c>
      <c r="I54">
        <v>1012</v>
      </c>
      <c r="J54">
        <v>50121300</v>
      </c>
      <c r="K54" t="s">
        <v>679</v>
      </c>
      <c r="L54" s="380">
        <v>55945.69</v>
      </c>
    </row>
    <row r="55" spans="2:12" outlineLevel="1" x14ac:dyDescent="0.35">
      <c r="B55">
        <v>1012</v>
      </c>
      <c r="C55">
        <v>50121400</v>
      </c>
      <c r="D55" t="s">
        <v>680</v>
      </c>
      <c r="E55">
        <v>556.9</v>
      </c>
      <c r="F55">
        <v>583.35</v>
      </c>
      <c r="I55">
        <v>1012</v>
      </c>
      <c r="J55">
        <v>50121400</v>
      </c>
      <c r="K55" t="s">
        <v>680</v>
      </c>
      <c r="L55">
        <v>575.64</v>
      </c>
    </row>
    <row r="56" spans="2:12" outlineLevel="1" x14ac:dyDescent="0.35">
      <c r="B56">
        <v>1012</v>
      </c>
      <c r="C56">
        <v>50121405</v>
      </c>
      <c r="D56" t="s">
        <v>681</v>
      </c>
      <c r="E56">
        <v>985.26</v>
      </c>
      <c r="F56" s="380">
        <v>1098.97</v>
      </c>
      <c r="I56">
        <v>1012</v>
      </c>
      <c r="J56">
        <v>50121405</v>
      </c>
      <c r="K56" t="s">
        <v>681</v>
      </c>
      <c r="L56">
        <v>823.95</v>
      </c>
    </row>
    <row r="57" spans="2:12" outlineLevel="1" x14ac:dyDescent="0.35">
      <c r="B57">
        <v>1012</v>
      </c>
      <c r="C57">
        <v>50121420</v>
      </c>
      <c r="D57" t="s">
        <v>682</v>
      </c>
      <c r="E57">
        <v>0</v>
      </c>
      <c r="F57">
        <v>390.72</v>
      </c>
      <c r="I57">
        <v>1012</v>
      </c>
      <c r="J57">
        <v>50121420</v>
      </c>
      <c r="K57" t="s">
        <v>682</v>
      </c>
      <c r="L57">
        <v>415.14</v>
      </c>
    </row>
    <row r="58" spans="2:12" outlineLevel="1" x14ac:dyDescent="0.35">
      <c r="B58">
        <v>1012</v>
      </c>
      <c r="C58">
        <v>50121510</v>
      </c>
      <c r="D58" t="s">
        <v>683</v>
      </c>
      <c r="E58">
        <v>182.4</v>
      </c>
      <c r="F58">
        <v>198.8</v>
      </c>
      <c r="I58">
        <v>1012</v>
      </c>
      <c r="J58">
        <v>50122400</v>
      </c>
      <c r="K58" t="s">
        <v>684</v>
      </c>
      <c r="L58">
        <v>150.94999999999999</v>
      </c>
    </row>
    <row r="59" spans="2:12" outlineLevel="1" x14ac:dyDescent="0.35">
      <c r="B59">
        <v>1012</v>
      </c>
      <c r="C59">
        <v>50122400</v>
      </c>
      <c r="D59" t="s">
        <v>684</v>
      </c>
      <c r="E59">
        <v>521</v>
      </c>
      <c r="F59">
        <v>178.01</v>
      </c>
      <c r="I59">
        <v>1012</v>
      </c>
      <c r="J59">
        <v>50129900</v>
      </c>
      <c r="K59" t="s">
        <v>685</v>
      </c>
      <c r="L59">
        <v>-882.97</v>
      </c>
    </row>
    <row r="60" spans="2:12" outlineLevel="1" x14ac:dyDescent="0.35">
      <c r="B60">
        <v>1012</v>
      </c>
      <c r="C60">
        <v>50122420</v>
      </c>
      <c r="D60" t="s">
        <v>686</v>
      </c>
      <c r="E60">
        <v>503.17</v>
      </c>
      <c r="F60">
        <v>303.75</v>
      </c>
      <c r="I60">
        <v>1012</v>
      </c>
      <c r="J60">
        <v>50171000</v>
      </c>
      <c r="K60" t="s">
        <v>687</v>
      </c>
      <c r="L60" s="380">
        <v>824960.67</v>
      </c>
    </row>
    <row r="61" spans="2:12" outlineLevel="1" x14ac:dyDescent="0.35">
      <c r="B61">
        <v>1012</v>
      </c>
      <c r="C61">
        <v>50122440</v>
      </c>
      <c r="D61" t="s">
        <v>688</v>
      </c>
      <c r="E61">
        <v>0</v>
      </c>
      <c r="F61">
        <v>514.14</v>
      </c>
      <c r="I61">
        <v>1012</v>
      </c>
      <c r="J61">
        <v>50171800</v>
      </c>
      <c r="K61" t="s">
        <v>689</v>
      </c>
      <c r="L61" s="380">
        <v>69832.070000000007</v>
      </c>
    </row>
    <row r="62" spans="2:12" outlineLevel="1" x14ac:dyDescent="0.35">
      <c r="B62">
        <v>1012</v>
      </c>
      <c r="C62">
        <v>50129900</v>
      </c>
      <c r="D62" t="s">
        <v>685</v>
      </c>
      <c r="E62" s="380">
        <v>-2085.02</v>
      </c>
      <c r="F62" s="380">
        <v>-1826.97</v>
      </c>
      <c r="I62">
        <v>1012</v>
      </c>
      <c r="J62">
        <v>50185000</v>
      </c>
      <c r="K62" t="s">
        <v>690</v>
      </c>
      <c r="L62" s="380">
        <v>49857.24</v>
      </c>
    </row>
    <row r="63" spans="2:12" outlineLevel="1" x14ac:dyDescent="0.35">
      <c r="B63">
        <v>1012</v>
      </c>
      <c r="C63">
        <v>50171000</v>
      </c>
      <c r="D63" t="s">
        <v>687</v>
      </c>
      <c r="E63" s="380">
        <v>910532.88</v>
      </c>
      <c r="F63" s="380">
        <v>887833.51</v>
      </c>
      <c r="I63" t="s">
        <v>691</v>
      </c>
      <c r="J63" t="s">
        <v>692</v>
      </c>
      <c r="K63" t="s">
        <v>693</v>
      </c>
      <c r="L63" s="380">
        <v>8663943.8300000001</v>
      </c>
    </row>
    <row r="64" spans="2:12" outlineLevel="1" x14ac:dyDescent="0.35">
      <c r="B64">
        <v>1012</v>
      </c>
      <c r="C64">
        <v>50171800</v>
      </c>
      <c r="D64" t="s">
        <v>689</v>
      </c>
      <c r="E64" s="380">
        <v>172537.26</v>
      </c>
      <c r="F64" s="380">
        <v>186717.38</v>
      </c>
      <c r="I64">
        <v>1012</v>
      </c>
      <c r="J64">
        <v>50610000</v>
      </c>
      <c r="K64" t="s">
        <v>694</v>
      </c>
      <c r="L64" s="380">
        <v>350520</v>
      </c>
    </row>
    <row r="65" spans="2:14" outlineLevel="1" x14ac:dyDescent="0.35">
      <c r="B65" t="s">
        <v>691</v>
      </c>
      <c r="C65" t="s">
        <v>692</v>
      </c>
      <c r="D65" t="s">
        <v>693</v>
      </c>
      <c r="E65" s="380">
        <v>8927160.1099999994</v>
      </c>
      <c r="F65" s="380">
        <v>9000189.4499999993</v>
      </c>
      <c r="I65">
        <v>1012</v>
      </c>
      <c r="J65">
        <v>50610100</v>
      </c>
      <c r="K65" t="s">
        <v>695</v>
      </c>
      <c r="L65" s="380">
        <v>-135049.45000000001</v>
      </c>
    </row>
    <row r="66" spans="2:14" outlineLevel="1" x14ac:dyDescent="0.35">
      <c r="B66">
        <v>1012</v>
      </c>
      <c r="C66">
        <v>50610000</v>
      </c>
      <c r="D66" t="s">
        <v>694</v>
      </c>
      <c r="E66" s="380">
        <v>180636</v>
      </c>
      <c r="F66" s="380">
        <v>184200</v>
      </c>
      <c r="I66">
        <v>1012</v>
      </c>
      <c r="J66">
        <v>71810000</v>
      </c>
      <c r="K66" t="s">
        <v>696</v>
      </c>
      <c r="L66">
        <v>-913140</v>
      </c>
      <c r="N66" t="str">
        <f t="shared" ref="N66:N81" si="0">IF(ISNUMBER(L66),"",TRIM(L66))</f>
        <v/>
      </c>
    </row>
    <row r="67" spans="2:14" outlineLevel="1" x14ac:dyDescent="0.35">
      <c r="B67">
        <v>1012</v>
      </c>
      <c r="C67">
        <v>50610100</v>
      </c>
      <c r="D67" t="s">
        <v>695</v>
      </c>
      <c r="E67" s="380">
        <v>-74861.41</v>
      </c>
      <c r="F67" s="380">
        <v>-73890.58</v>
      </c>
      <c r="I67" t="s">
        <v>691</v>
      </c>
      <c r="J67" t="s">
        <v>692</v>
      </c>
      <c r="K67" t="s">
        <v>697</v>
      </c>
      <c r="L67">
        <v>-697669.45</v>
      </c>
      <c r="N67" t="str">
        <f t="shared" si="0"/>
        <v/>
      </c>
    </row>
    <row r="68" spans="2:14" outlineLevel="1" x14ac:dyDescent="0.35">
      <c r="B68">
        <v>1012</v>
      </c>
      <c r="C68">
        <v>71810000</v>
      </c>
      <c r="D68" t="s">
        <v>696</v>
      </c>
      <c r="E68" s="380">
        <v>147228</v>
      </c>
      <c r="F68" s="380">
        <v>20244</v>
      </c>
      <c r="I68">
        <v>1012</v>
      </c>
      <c r="J68">
        <v>50510000</v>
      </c>
      <c r="K68" t="s">
        <v>698</v>
      </c>
      <c r="L68" s="380">
        <v>70692</v>
      </c>
      <c r="N68" t="str">
        <f t="shared" si="0"/>
        <v/>
      </c>
    </row>
    <row r="69" spans="2:14" outlineLevel="1" x14ac:dyDescent="0.35">
      <c r="B69" t="s">
        <v>691</v>
      </c>
      <c r="C69" t="s">
        <v>692</v>
      </c>
      <c r="D69" t="s">
        <v>697</v>
      </c>
      <c r="E69" s="380">
        <v>253002.59</v>
      </c>
      <c r="F69" s="380">
        <v>130553.42</v>
      </c>
      <c r="I69">
        <v>1012</v>
      </c>
      <c r="J69">
        <v>50510100</v>
      </c>
      <c r="K69" t="s">
        <v>699</v>
      </c>
      <c r="L69">
        <v>-32150.31</v>
      </c>
      <c r="N69" t="str">
        <f t="shared" si="0"/>
        <v/>
      </c>
    </row>
    <row r="70" spans="2:14" outlineLevel="1" x14ac:dyDescent="0.35">
      <c r="B70">
        <v>1012</v>
      </c>
      <c r="C70">
        <v>50510000</v>
      </c>
      <c r="D70" t="s">
        <v>698</v>
      </c>
      <c r="E70" s="380">
        <v>30012</v>
      </c>
      <c r="F70" s="380">
        <v>35580</v>
      </c>
      <c r="I70">
        <v>1012</v>
      </c>
      <c r="J70">
        <v>50550000</v>
      </c>
      <c r="K70" t="s">
        <v>700</v>
      </c>
      <c r="L70" s="380">
        <v>2224433.2599999998</v>
      </c>
      <c r="N70" t="str">
        <f t="shared" si="0"/>
        <v/>
      </c>
    </row>
    <row r="71" spans="2:14" outlineLevel="1" x14ac:dyDescent="0.35">
      <c r="B71">
        <v>1012</v>
      </c>
      <c r="C71">
        <v>50510100</v>
      </c>
      <c r="D71" t="s">
        <v>699</v>
      </c>
      <c r="E71" s="380">
        <v>-19716.349999999999</v>
      </c>
      <c r="F71" s="380">
        <v>-20195.41</v>
      </c>
      <c r="I71">
        <v>1012</v>
      </c>
      <c r="J71">
        <v>50550100</v>
      </c>
      <c r="K71" t="s">
        <v>701</v>
      </c>
      <c r="L71">
        <v>-854098.01</v>
      </c>
      <c r="N71" t="str">
        <f t="shared" si="0"/>
        <v/>
      </c>
    </row>
    <row r="72" spans="2:14" outlineLevel="1" x14ac:dyDescent="0.35">
      <c r="B72">
        <v>1012</v>
      </c>
      <c r="C72">
        <v>50550000</v>
      </c>
      <c r="D72" t="s">
        <v>700</v>
      </c>
      <c r="E72" s="380">
        <v>2695724.84</v>
      </c>
      <c r="F72" s="380">
        <v>2337767.63</v>
      </c>
      <c r="I72">
        <v>1012</v>
      </c>
      <c r="J72">
        <v>50560000</v>
      </c>
      <c r="K72" t="s">
        <v>702</v>
      </c>
      <c r="L72" s="380">
        <v>17347</v>
      </c>
      <c r="N72" t="str">
        <f t="shared" si="0"/>
        <v/>
      </c>
    </row>
    <row r="73" spans="2:14" outlineLevel="1" x14ac:dyDescent="0.35">
      <c r="B73">
        <v>1012</v>
      </c>
      <c r="C73">
        <v>50550100</v>
      </c>
      <c r="D73" t="s">
        <v>701</v>
      </c>
      <c r="E73" s="380">
        <v>-1087299.7</v>
      </c>
      <c r="F73" s="380">
        <v>-908978.34</v>
      </c>
      <c r="I73">
        <v>1012</v>
      </c>
      <c r="J73">
        <v>71820000</v>
      </c>
      <c r="K73" t="s">
        <v>703</v>
      </c>
      <c r="L73">
        <v>-1154148</v>
      </c>
      <c r="N73" t="str">
        <f t="shared" si="0"/>
        <v/>
      </c>
    </row>
    <row r="74" spans="2:14" outlineLevel="1" x14ac:dyDescent="0.35">
      <c r="B74">
        <v>1012</v>
      </c>
      <c r="C74">
        <v>50560000</v>
      </c>
      <c r="D74" t="s">
        <v>702</v>
      </c>
      <c r="E74" s="380">
        <v>13031.36</v>
      </c>
      <c r="F74" s="380">
        <v>15824.71</v>
      </c>
      <c r="I74" t="s">
        <v>691</v>
      </c>
      <c r="J74" t="s">
        <v>692</v>
      </c>
      <c r="K74" t="s">
        <v>704</v>
      </c>
      <c r="L74" s="380">
        <v>272075.94</v>
      </c>
      <c r="N74" t="str">
        <f t="shared" si="0"/>
        <v/>
      </c>
    </row>
    <row r="75" spans="2:14" outlineLevel="1" x14ac:dyDescent="0.35">
      <c r="B75">
        <v>1012</v>
      </c>
      <c r="C75">
        <v>71820000</v>
      </c>
      <c r="D75" t="s">
        <v>703</v>
      </c>
      <c r="E75" s="380">
        <v>-777852</v>
      </c>
      <c r="F75" s="380">
        <v>-710964</v>
      </c>
      <c r="I75">
        <v>1012</v>
      </c>
      <c r="J75">
        <v>50421000</v>
      </c>
      <c r="K75" t="s">
        <v>705</v>
      </c>
      <c r="L75" s="380">
        <v>359338.65</v>
      </c>
      <c r="N75" t="str">
        <f t="shared" si="0"/>
        <v/>
      </c>
    </row>
    <row r="76" spans="2:14" outlineLevel="1" x14ac:dyDescent="0.35">
      <c r="B76" t="s">
        <v>691</v>
      </c>
      <c r="C76" t="s">
        <v>692</v>
      </c>
      <c r="D76" t="s">
        <v>704</v>
      </c>
      <c r="E76" s="380">
        <v>853900.15</v>
      </c>
      <c r="F76" s="380">
        <v>749034.59</v>
      </c>
      <c r="I76">
        <v>1012</v>
      </c>
      <c r="J76">
        <v>50421100</v>
      </c>
      <c r="K76" t="s">
        <v>706</v>
      </c>
      <c r="L76">
        <v>-133123.17000000001</v>
      </c>
      <c r="N76" t="str">
        <f t="shared" si="0"/>
        <v/>
      </c>
    </row>
    <row r="77" spans="2:14" outlineLevel="1" x14ac:dyDescent="0.35">
      <c r="B77">
        <v>1012</v>
      </c>
      <c r="C77">
        <v>50421000</v>
      </c>
      <c r="D77" t="s">
        <v>705</v>
      </c>
      <c r="E77" s="380">
        <v>391355.62</v>
      </c>
      <c r="F77" s="380">
        <v>382901.52</v>
      </c>
      <c r="I77">
        <v>1012</v>
      </c>
      <c r="J77">
        <v>50422000</v>
      </c>
      <c r="K77" t="s">
        <v>707</v>
      </c>
      <c r="L77" s="380">
        <v>481832.77</v>
      </c>
      <c r="N77" t="str">
        <f t="shared" si="0"/>
        <v/>
      </c>
    </row>
    <row r="78" spans="2:14" outlineLevel="1" x14ac:dyDescent="0.35">
      <c r="B78">
        <v>1012</v>
      </c>
      <c r="C78">
        <v>50421100</v>
      </c>
      <c r="D78" t="s">
        <v>706</v>
      </c>
      <c r="E78" s="380">
        <v>-162127.35999999999</v>
      </c>
      <c r="F78" s="380">
        <v>-154791.18</v>
      </c>
      <c r="I78">
        <v>1012</v>
      </c>
      <c r="J78">
        <v>50422100</v>
      </c>
      <c r="K78" t="s">
        <v>708</v>
      </c>
      <c r="L78">
        <v>-177006.17</v>
      </c>
      <c r="N78" t="str">
        <f t="shared" si="0"/>
        <v/>
      </c>
    </row>
    <row r="79" spans="2:14" outlineLevel="1" x14ac:dyDescent="0.35">
      <c r="B79">
        <v>1012</v>
      </c>
      <c r="C79">
        <v>50422000</v>
      </c>
      <c r="D79" t="s">
        <v>707</v>
      </c>
      <c r="E79" s="380">
        <v>534539.6</v>
      </c>
      <c r="F79" s="380">
        <v>520077.08</v>
      </c>
      <c r="I79">
        <v>1012</v>
      </c>
      <c r="J79">
        <v>50423000</v>
      </c>
      <c r="K79" t="s">
        <v>709</v>
      </c>
      <c r="L79" s="380">
        <v>29344.97</v>
      </c>
      <c r="N79" t="str">
        <f t="shared" si="0"/>
        <v/>
      </c>
    </row>
    <row r="80" spans="2:14" outlineLevel="1" x14ac:dyDescent="0.35">
      <c r="B80">
        <v>1012</v>
      </c>
      <c r="C80">
        <v>50422100</v>
      </c>
      <c r="D80" t="s">
        <v>708</v>
      </c>
      <c r="E80" s="380">
        <v>-214621.15</v>
      </c>
      <c r="F80" s="380">
        <v>-204640.33</v>
      </c>
      <c r="I80">
        <v>1012</v>
      </c>
      <c r="J80">
        <v>50426000</v>
      </c>
      <c r="K80" t="s">
        <v>710</v>
      </c>
      <c r="L80" s="380">
        <v>36000</v>
      </c>
      <c r="N80" t="str">
        <f t="shared" si="0"/>
        <v/>
      </c>
    </row>
    <row r="81" spans="2:14" outlineLevel="1" x14ac:dyDescent="0.35">
      <c r="B81">
        <v>1012</v>
      </c>
      <c r="C81">
        <v>50423000</v>
      </c>
      <c r="D81" t="s">
        <v>709</v>
      </c>
      <c r="E81" s="380">
        <v>31932.16</v>
      </c>
      <c r="F81" s="380">
        <v>30804.32</v>
      </c>
      <c r="I81">
        <v>1012</v>
      </c>
      <c r="J81">
        <v>50426100</v>
      </c>
      <c r="K81" t="s">
        <v>711</v>
      </c>
      <c r="L81">
        <v>-13917.06</v>
      </c>
      <c r="N81" t="str">
        <f t="shared" si="0"/>
        <v/>
      </c>
    </row>
    <row r="82" spans="2:14" outlineLevel="1" x14ac:dyDescent="0.35">
      <c r="B82">
        <v>1012</v>
      </c>
      <c r="C82">
        <v>50426000</v>
      </c>
      <c r="D82" t="s">
        <v>710</v>
      </c>
      <c r="E82" s="380">
        <v>38377.65</v>
      </c>
      <c r="F82" s="380">
        <v>38400</v>
      </c>
      <c r="I82">
        <v>1012</v>
      </c>
      <c r="J82">
        <v>50450013</v>
      </c>
      <c r="K82" t="s">
        <v>712</v>
      </c>
      <c r="L82">
        <v>410.22</v>
      </c>
    </row>
    <row r="83" spans="2:14" outlineLevel="1" x14ac:dyDescent="0.35">
      <c r="B83">
        <v>1012</v>
      </c>
      <c r="C83">
        <v>50426100</v>
      </c>
      <c r="D83" t="s">
        <v>711</v>
      </c>
      <c r="E83" s="380">
        <v>-15489.3</v>
      </c>
      <c r="F83" s="380">
        <v>-15490.07</v>
      </c>
      <c r="I83">
        <v>1012</v>
      </c>
      <c r="J83">
        <v>50450014</v>
      </c>
      <c r="K83" t="s">
        <v>713</v>
      </c>
      <c r="L83">
        <v>689.42</v>
      </c>
    </row>
    <row r="84" spans="2:14" outlineLevel="1" x14ac:dyDescent="0.35">
      <c r="B84">
        <v>1012</v>
      </c>
      <c r="C84">
        <v>50450011</v>
      </c>
      <c r="D84" t="s">
        <v>714</v>
      </c>
      <c r="E84" s="380">
        <v>1036.8900000000001</v>
      </c>
      <c r="F84">
        <v>0</v>
      </c>
      <c r="I84">
        <v>1012</v>
      </c>
      <c r="J84">
        <v>50450015</v>
      </c>
      <c r="K84" t="s">
        <v>715</v>
      </c>
      <c r="L84" s="380">
        <v>1000</v>
      </c>
    </row>
    <row r="85" spans="2:14" outlineLevel="1" x14ac:dyDescent="0.35">
      <c r="B85">
        <v>1012</v>
      </c>
      <c r="C85">
        <v>50450013</v>
      </c>
      <c r="D85" t="s">
        <v>712</v>
      </c>
      <c r="E85" s="380">
        <v>1150</v>
      </c>
      <c r="F85" s="380">
        <v>1087</v>
      </c>
      <c r="I85">
        <v>1012</v>
      </c>
      <c r="J85">
        <v>50450016</v>
      </c>
      <c r="K85" t="s">
        <v>716</v>
      </c>
      <c r="L85" s="380">
        <v>72666.429999999993</v>
      </c>
    </row>
    <row r="86" spans="2:14" outlineLevel="1" x14ac:dyDescent="0.35">
      <c r="B86">
        <v>1012</v>
      </c>
      <c r="C86">
        <v>50450014</v>
      </c>
      <c r="D86" t="s">
        <v>713</v>
      </c>
      <c r="E86">
        <v>73.67</v>
      </c>
      <c r="F86">
        <v>0</v>
      </c>
      <c r="I86">
        <v>1012</v>
      </c>
      <c r="J86">
        <v>50451000</v>
      </c>
      <c r="K86" t="s">
        <v>717</v>
      </c>
      <c r="L86" s="380">
        <v>7999.87</v>
      </c>
    </row>
    <row r="87" spans="2:14" outlineLevel="1" x14ac:dyDescent="0.35">
      <c r="B87">
        <v>1012</v>
      </c>
      <c r="C87">
        <v>50450016</v>
      </c>
      <c r="D87" t="s">
        <v>716</v>
      </c>
      <c r="E87" s="380">
        <v>20415.09</v>
      </c>
      <c r="F87" s="380">
        <v>26080.49</v>
      </c>
      <c r="I87">
        <v>1012</v>
      </c>
      <c r="J87">
        <v>50452000</v>
      </c>
      <c r="K87" t="s">
        <v>718</v>
      </c>
      <c r="L87" s="380">
        <v>6668.6</v>
      </c>
    </row>
    <row r="88" spans="2:14" outlineLevel="1" x14ac:dyDescent="0.35">
      <c r="B88">
        <v>1012</v>
      </c>
      <c r="C88">
        <v>50451000</v>
      </c>
      <c r="D88" t="s">
        <v>717</v>
      </c>
      <c r="E88">
        <v>674.04</v>
      </c>
      <c r="F88" s="380">
        <v>8348.94</v>
      </c>
      <c r="I88">
        <v>1012</v>
      </c>
      <c r="J88">
        <v>50454000</v>
      </c>
      <c r="K88" t="s">
        <v>719</v>
      </c>
      <c r="L88" s="380">
        <v>6935.64</v>
      </c>
    </row>
    <row r="89" spans="2:14" outlineLevel="1" x14ac:dyDescent="0.35">
      <c r="B89">
        <v>1012</v>
      </c>
      <c r="C89">
        <v>50452000</v>
      </c>
      <c r="D89" t="s">
        <v>718</v>
      </c>
      <c r="E89" s="380">
        <v>12224</v>
      </c>
      <c r="F89" s="380">
        <v>10018.280000000001</v>
      </c>
      <c r="I89">
        <v>1012</v>
      </c>
      <c r="J89">
        <v>50456000</v>
      </c>
      <c r="K89" t="s">
        <v>720</v>
      </c>
      <c r="L89" s="380">
        <v>5068.62</v>
      </c>
    </row>
    <row r="90" spans="2:14" outlineLevel="1" x14ac:dyDescent="0.35">
      <c r="B90">
        <v>1012</v>
      </c>
      <c r="C90">
        <v>50454000</v>
      </c>
      <c r="D90" t="s">
        <v>719</v>
      </c>
      <c r="E90">
        <v>901</v>
      </c>
      <c r="F90" s="380">
        <v>-3728.92</v>
      </c>
      <c r="I90">
        <v>1012</v>
      </c>
      <c r="J90">
        <v>50457000</v>
      </c>
      <c r="K90" t="s">
        <v>721</v>
      </c>
      <c r="L90" s="380">
        <v>67536.479999999996</v>
      </c>
    </row>
    <row r="91" spans="2:14" outlineLevel="1" x14ac:dyDescent="0.35">
      <c r="B91">
        <v>1012</v>
      </c>
      <c r="C91">
        <v>50456000</v>
      </c>
      <c r="D91" t="s">
        <v>720</v>
      </c>
      <c r="E91" s="380">
        <v>27079.1</v>
      </c>
      <c r="F91" s="380">
        <v>12150.01</v>
      </c>
      <c r="I91">
        <v>1012</v>
      </c>
      <c r="J91">
        <v>50458000</v>
      </c>
      <c r="K91" t="s">
        <v>722</v>
      </c>
      <c r="L91" s="380">
        <v>4754.3599999999997</v>
      </c>
    </row>
    <row r="92" spans="2:14" outlineLevel="1" x14ac:dyDescent="0.35">
      <c r="B92">
        <v>1012</v>
      </c>
      <c r="C92">
        <v>50457000</v>
      </c>
      <c r="D92" t="s">
        <v>721</v>
      </c>
      <c r="E92" s="380">
        <v>65868.800000000003</v>
      </c>
      <c r="F92" s="380">
        <v>52925.63</v>
      </c>
      <c r="I92" t="s">
        <v>691</v>
      </c>
      <c r="J92" t="s">
        <v>692</v>
      </c>
      <c r="K92" t="s">
        <v>723</v>
      </c>
      <c r="L92" s="380">
        <v>756199.63</v>
      </c>
    </row>
    <row r="93" spans="2:14" outlineLevel="1" x14ac:dyDescent="0.35">
      <c r="B93">
        <v>1012</v>
      </c>
      <c r="C93">
        <v>50458000</v>
      </c>
      <c r="D93" t="s">
        <v>722</v>
      </c>
      <c r="E93" s="380">
        <v>10722.98</v>
      </c>
      <c r="F93" s="380">
        <v>4644.92</v>
      </c>
      <c r="I93" t="s">
        <v>691</v>
      </c>
      <c r="J93" t="s">
        <v>692</v>
      </c>
      <c r="K93" t="s">
        <v>724</v>
      </c>
      <c r="L93" s="380">
        <v>8994549.9499999993</v>
      </c>
    </row>
    <row r="94" spans="2:14" outlineLevel="1" x14ac:dyDescent="0.35">
      <c r="B94" t="s">
        <v>691</v>
      </c>
      <c r="C94" t="s">
        <v>692</v>
      </c>
      <c r="D94" t="s">
        <v>723</v>
      </c>
      <c r="E94" s="380">
        <v>744112.79</v>
      </c>
      <c r="F94" s="380">
        <v>708787.69</v>
      </c>
    </row>
    <row r="95" spans="2:14" outlineLevel="1" x14ac:dyDescent="0.35">
      <c r="B95" t="s">
        <v>691</v>
      </c>
      <c r="C95" t="s">
        <v>692</v>
      </c>
      <c r="D95" t="s">
        <v>724</v>
      </c>
      <c r="E95" s="380">
        <v>10778175.640000001</v>
      </c>
      <c r="F95" s="380">
        <v>10588565.15</v>
      </c>
      <c r="I95">
        <v>1012</v>
      </c>
      <c r="J95">
        <v>68532000</v>
      </c>
      <c r="K95" t="s">
        <v>725</v>
      </c>
      <c r="L95" s="380">
        <v>6900.49</v>
      </c>
    </row>
    <row r="96" spans="2:14" outlineLevel="1" x14ac:dyDescent="0.35">
      <c r="I96">
        <v>1012</v>
      </c>
      <c r="J96">
        <v>68532100</v>
      </c>
      <c r="K96" t="s">
        <v>726</v>
      </c>
      <c r="L96" t="s">
        <v>727</v>
      </c>
    </row>
    <row r="97" spans="2:14" outlineLevel="1" x14ac:dyDescent="0.35">
      <c r="B97">
        <v>1012</v>
      </c>
      <c r="C97">
        <v>68532000</v>
      </c>
      <c r="D97" t="s">
        <v>725</v>
      </c>
      <c r="E97">
        <v>6665.73</v>
      </c>
      <c r="F97">
        <v>6639.2</v>
      </c>
      <c r="I97">
        <v>1012</v>
      </c>
      <c r="J97">
        <v>68533000</v>
      </c>
      <c r="K97" t="s">
        <v>728</v>
      </c>
      <c r="L97" s="380">
        <v>945313.21</v>
      </c>
    </row>
    <row r="98" spans="2:14" outlineLevel="1" x14ac:dyDescent="0.35">
      <c r="B98">
        <v>1012</v>
      </c>
      <c r="C98">
        <v>68532100</v>
      </c>
      <c r="D98" t="s">
        <v>726</v>
      </c>
      <c r="E98" t="s">
        <v>729</v>
      </c>
      <c r="F98" t="s">
        <v>730</v>
      </c>
      <c r="I98">
        <v>1012</v>
      </c>
      <c r="J98">
        <v>68533100</v>
      </c>
      <c r="K98" t="s">
        <v>731</v>
      </c>
      <c r="L98" t="s">
        <v>732</v>
      </c>
    </row>
    <row r="99" spans="2:14" outlineLevel="1" x14ac:dyDescent="0.35">
      <c r="B99">
        <v>1012</v>
      </c>
      <c r="C99">
        <v>68533000</v>
      </c>
      <c r="D99" t="s">
        <v>728</v>
      </c>
      <c r="E99">
        <v>1006419.17</v>
      </c>
      <c r="F99">
        <v>1006214.03</v>
      </c>
      <c r="I99">
        <v>1012</v>
      </c>
      <c r="J99">
        <v>68535000</v>
      </c>
      <c r="K99" t="s">
        <v>733</v>
      </c>
      <c r="L99" s="380">
        <v>32107.89</v>
      </c>
    </row>
    <row r="100" spans="2:14" outlineLevel="1" x14ac:dyDescent="0.35">
      <c r="B100">
        <v>1012</v>
      </c>
      <c r="C100">
        <v>68533100</v>
      </c>
      <c r="D100" t="s">
        <v>731</v>
      </c>
      <c r="E100" t="s">
        <v>734</v>
      </c>
      <c r="F100" t="s">
        <v>735</v>
      </c>
      <c r="I100">
        <v>1012</v>
      </c>
      <c r="J100">
        <v>68535100</v>
      </c>
      <c r="K100" t="s">
        <v>736</v>
      </c>
      <c r="L100" t="s">
        <v>737</v>
      </c>
    </row>
    <row r="101" spans="2:14" outlineLevel="1" x14ac:dyDescent="0.35">
      <c r="B101">
        <v>1012</v>
      </c>
      <c r="C101">
        <v>68535000</v>
      </c>
      <c r="D101" t="s">
        <v>733</v>
      </c>
      <c r="E101">
        <v>5371.7</v>
      </c>
      <c r="F101">
        <v>5692.19</v>
      </c>
    </row>
    <row r="102" spans="2:14" outlineLevel="1" x14ac:dyDescent="0.35">
      <c r="B102">
        <v>1012</v>
      </c>
      <c r="C102">
        <v>68535100</v>
      </c>
      <c r="D102" t="s">
        <v>736</v>
      </c>
      <c r="E102" t="s">
        <v>738</v>
      </c>
      <c r="F102" t="s">
        <v>739</v>
      </c>
    </row>
    <row r="106" spans="2:14" x14ac:dyDescent="0.35">
      <c r="D106" t="s">
        <v>740</v>
      </c>
      <c r="E106" s="380">
        <f>SUM(E72,E74,E77,E79,E81,E82,E84:E93)</f>
        <v>3845106.8</v>
      </c>
      <c r="F106" s="380">
        <f>SUM(F72,F74,F77,F79,F81,F82,F84:F93)</f>
        <v>3437301.6099999994</v>
      </c>
      <c r="K106" t="s">
        <v>740</v>
      </c>
      <c r="L106" s="380">
        <f>SUM(L70,L72,L75,L77,L79,L80,L82:L91)</f>
        <v>3322026.2900000005</v>
      </c>
    </row>
    <row r="107" spans="2:14" x14ac:dyDescent="0.35">
      <c r="D107" t="s">
        <v>741</v>
      </c>
      <c r="E107" s="380">
        <f>SUM(E16:E34,E36:E51,E53:E61)</f>
        <v>12952582.829999998</v>
      </c>
      <c r="F107" s="380">
        <f>SUM(F16:F34,F36:F51,F53:F61)</f>
        <v>12965785.770000005</v>
      </c>
      <c r="K107" t="s">
        <v>741</v>
      </c>
      <c r="L107" s="380">
        <f>SUM(L16:L34,L36:L51,L53:L58)</f>
        <v>12065771.019999996</v>
      </c>
    </row>
    <row r="109" spans="2:14" x14ac:dyDescent="0.35">
      <c r="D109" t="s">
        <v>742</v>
      </c>
      <c r="E109" s="2">
        <f>E106/E107</f>
        <v>0.29686023633017761</v>
      </c>
      <c r="F109" s="2">
        <f>F106/F107</f>
        <v>0.26510553783428725</v>
      </c>
      <c r="K109" t="s">
        <v>742</v>
      </c>
      <c r="L109" s="2">
        <f>L106/L107</f>
        <v>0.27532648220270978</v>
      </c>
    </row>
    <row r="110" spans="2:14" ht="37" x14ac:dyDescent="0.45">
      <c r="D110" t="s">
        <v>743</v>
      </c>
      <c r="E110" s="381">
        <v>0.03</v>
      </c>
      <c r="F110" s="381">
        <v>0.03</v>
      </c>
      <c r="K110" t="s">
        <v>743</v>
      </c>
      <c r="L110" s="381">
        <v>0.03</v>
      </c>
      <c r="N110" s="162" t="s">
        <v>600</v>
      </c>
    </row>
    <row r="111" spans="2:14" ht="18.5" x14ac:dyDescent="0.45">
      <c r="E111" s="38">
        <f>E109+E110</f>
        <v>0.32686023633017758</v>
      </c>
      <c r="F111" s="38">
        <f>F109+F110</f>
        <v>0.29510553783428728</v>
      </c>
      <c r="L111" s="38">
        <f>L109+L110</f>
        <v>0.30532648220270975</v>
      </c>
      <c r="N111" s="382">
        <f>AVERAGE(E111:F111,L111)</f>
        <v>0.30909741878905822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AF04-E8E2-48CA-BE00-C1FF6624F606}">
  <sheetPr>
    <tabColor theme="5"/>
  </sheetPr>
  <dimension ref="A1:E23"/>
  <sheetViews>
    <sheetView workbookViewId="0">
      <selection activeCell="E2" sqref="E2"/>
    </sheetView>
  </sheetViews>
  <sheetFormatPr defaultRowHeight="14.5" x14ac:dyDescent="0.35"/>
  <cols>
    <col min="1" max="1" width="36.26953125" bestFit="1" customWidth="1"/>
    <col min="2" max="2" width="9.54296875" bestFit="1" customWidth="1"/>
  </cols>
  <sheetData>
    <row r="1" spans="1:5" x14ac:dyDescent="0.35">
      <c r="B1" t="s">
        <v>744</v>
      </c>
      <c r="C1" t="s">
        <v>744</v>
      </c>
      <c r="E1" s="296" t="s">
        <v>1107</v>
      </c>
    </row>
    <row r="2" spans="1:5" x14ac:dyDescent="0.35">
      <c r="B2" s="25" t="s">
        <v>745</v>
      </c>
      <c r="C2" s="25" t="s">
        <v>746</v>
      </c>
    </row>
    <row r="3" spans="1:5" x14ac:dyDescent="0.35">
      <c r="A3" t="s">
        <v>747</v>
      </c>
      <c r="B3">
        <v>10</v>
      </c>
      <c r="C3">
        <f>200/8</f>
        <v>25</v>
      </c>
    </row>
    <row r="4" spans="1:5" x14ac:dyDescent="0.35">
      <c r="A4" t="s">
        <v>748</v>
      </c>
      <c r="B4">
        <v>0</v>
      </c>
      <c r="C4">
        <v>10</v>
      </c>
    </row>
    <row r="5" spans="1:5" x14ac:dyDescent="0.35">
      <c r="A5" t="s">
        <v>749</v>
      </c>
      <c r="B5">
        <v>7</v>
      </c>
      <c r="C5">
        <v>7</v>
      </c>
    </row>
    <row r="6" spans="1:5" x14ac:dyDescent="0.35">
      <c r="A6" t="s">
        <v>750</v>
      </c>
      <c r="B6">
        <v>6</v>
      </c>
      <c r="C6">
        <v>6</v>
      </c>
    </row>
    <row r="9" spans="1:5" x14ac:dyDescent="0.35">
      <c r="B9" t="s">
        <v>751</v>
      </c>
      <c r="C9" t="s">
        <v>751</v>
      </c>
    </row>
    <row r="10" spans="1:5" x14ac:dyDescent="0.35">
      <c r="B10" s="25" t="s">
        <v>745</v>
      </c>
      <c r="C10" s="25" t="s">
        <v>746</v>
      </c>
    </row>
    <row r="11" spans="1:5" x14ac:dyDescent="0.35">
      <c r="A11" t="s">
        <v>747</v>
      </c>
      <c r="B11">
        <f>B3*8</f>
        <v>80</v>
      </c>
      <c r="C11">
        <f>C3*8</f>
        <v>200</v>
      </c>
    </row>
    <row r="12" spans="1:5" x14ac:dyDescent="0.35">
      <c r="A12" t="s">
        <v>748</v>
      </c>
      <c r="B12">
        <f t="shared" ref="B12:C12" si="0">B4*8</f>
        <v>0</v>
      </c>
      <c r="C12">
        <f t="shared" si="0"/>
        <v>80</v>
      </c>
    </row>
    <row r="13" spans="1:5" x14ac:dyDescent="0.35">
      <c r="A13" t="s">
        <v>749</v>
      </c>
      <c r="B13">
        <f t="shared" ref="B13:C13" si="1">B5*8</f>
        <v>56</v>
      </c>
      <c r="C13">
        <f t="shared" si="1"/>
        <v>56</v>
      </c>
    </row>
    <row r="14" spans="1:5" x14ac:dyDescent="0.35">
      <c r="A14" t="s">
        <v>750</v>
      </c>
      <c r="B14">
        <f t="shared" ref="B14:C14" si="2">B6*8</f>
        <v>48</v>
      </c>
      <c r="C14">
        <f t="shared" si="2"/>
        <v>48</v>
      </c>
    </row>
    <row r="15" spans="1:5" x14ac:dyDescent="0.35">
      <c r="A15" t="s">
        <v>752</v>
      </c>
      <c r="B15">
        <v>25</v>
      </c>
      <c r="C15">
        <v>25</v>
      </c>
    </row>
    <row r="16" spans="1:5" x14ac:dyDescent="0.35">
      <c r="A16" t="s">
        <v>465</v>
      </c>
      <c r="B16" s="110">
        <f>SUM(B11:B15)</f>
        <v>209</v>
      </c>
      <c r="C16" s="110">
        <f>SUM(C11:C15)</f>
        <v>409</v>
      </c>
    </row>
    <row r="17" spans="1:4" x14ac:dyDescent="0.35">
      <c r="B17" s="2">
        <f>B16/2088</f>
        <v>0.10009578544061302</v>
      </c>
      <c r="C17" s="2">
        <f>C16/2088</f>
        <v>0.19588122605363983</v>
      </c>
    </row>
    <row r="19" spans="1:4" x14ac:dyDescent="0.35">
      <c r="A19" t="s">
        <v>753</v>
      </c>
      <c r="B19">
        <f>AVERAGE(B16:C16)</f>
        <v>309</v>
      </c>
    </row>
    <row r="20" spans="1:4" x14ac:dyDescent="0.35">
      <c r="A20" t="s">
        <v>754</v>
      </c>
      <c r="B20" s="21">
        <f>2088-B19</f>
        <v>1779</v>
      </c>
      <c r="D20" s="37">
        <f>12700/B20</f>
        <v>7.1388420460933109</v>
      </c>
    </row>
    <row r="21" spans="1:4" x14ac:dyDescent="0.35">
      <c r="A21" t="s">
        <v>755</v>
      </c>
      <c r="B21">
        <v>2088</v>
      </c>
      <c r="C21" s="119"/>
      <c r="D21" s="37"/>
    </row>
    <row r="22" spans="1:4" x14ac:dyDescent="0.35">
      <c r="A22" t="s">
        <v>756</v>
      </c>
      <c r="B22" s="12">
        <f>B19/B20</f>
        <v>0.17369308600337269</v>
      </c>
    </row>
    <row r="23" spans="1:4" x14ac:dyDescent="0.35">
      <c r="C23" s="37"/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5DB1-BE77-49F5-AFB0-27AAE98E4C3B}">
  <sheetPr>
    <tabColor theme="5"/>
  </sheetPr>
  <dimension ref="A1:O28"/>
  <sheetViews>
    <sheetView zoomScale="110" zoomScaleNormal="110" workbookViewId="0">
      <selection activeCell="H9" sqref="H9"/>
    </sheetView>
  </sheetViews>
  <sheetFormatPr defaultRowHeight="14.5" x14ac:dyDescent="0.35"/>
  <cols>
    <col min="1" max="1" width="32.26953125" style="11" bestFit="1" customWidth="1"/>
    <col min="2" max="2" width="1.7265625" style="11" customWidth="1"/>
    <col min="3" max="3" width="12.7265625" bestFit="1" customWidth="1"/>
    <col min="4" max="4" width="1.7265625" customWidth="1"/>
    <col min="5" max="5" width="16.1796875" bestFit="1" customWidth="1"/>
    <col min="6" max="6" width="13.26953125" bestFit="1" customWidth="1"/>
    <col min="7" max="7" width="11.1796875" customWidth="1"/>
    <col min="8" max="9" width="11" customWidth="1"/>
    <col min="10" max="10" width="11.54296875" bestFit="1" customWidth="1"/>
    <col min="11" max="11" width="1.7265625" customWidth="1"/>
    <col min="12" max="12" width="10.54296875" bestFit="1" customWidth="1"/>
    <col min="13" max="13" width="10.7265625" customWidth="1"/>
  </cols>
  <sheetData>
    <row r="1" spans="1:15" x14ac:dyDescent="0.35">
      <c r="A1" s="292" t="s">
        <v>757</v>
      </c>
      <c r="F1" s="37"/>
    </row>
    <row r="2" spans="1:15" x14ac:dyDescent="0.35">
      <c r="F2" s="37"/>
      <c r="I2" s="37"/>
    </row>
    <row r="3" spans="1:15" ht="58" x14ac:dyDescent="0.35">
      <c r="C3" s="53" t="s">
        <v>758</v>
      </c>
      <c r="D3" s="122"/>
      <c r="E3" s="1"/>
      <c r="F3" s="53" t="s">
        <v>759</v>
      </c>
      <c r="G3" s="53" t="s">
        <v>1084</v>
      </c>
      <c r="H3" s="1"/>
      <c r="I3" s="53" t="s">
        <v>760</v>
      </c>
      <c r="J3" s="53" t="s">
        <v>761</v>
      </c>
      <c r="K3" s="1"/>
      <c r="L3" s="53" t="s">
        <v>762</v>
      </c>
      <c r="M3" s="53" t="s">
        <v>763</v>
      </c>
      <c r="N3" s="296"/>
    </row>
    <row r="4" spans="1:15" ht="15.5" x14ac:dyDescent="0.35">
      <c r="A4" s="11" t="s">
        <v>465</v>
      </c>
      <c r="B4"/>
      <c r="C4" s="154">
        <f>SUM(C7:C22)</f>
        <v>51751</v>
      </c>
      <c r="D4" s="154"/>
      <c r="E4" s="1"/>
      <c r="F4" s="154">
        <f>SUM(F7:F22)</f>
        <v>1019604</v>
      </c>
      <c r="G4" s="419">
        <f>F4/C4</f>
        <v>19.702112036482387</v>
      </c>
      <c r="H4" s="1"/>
      <c r="I4" s="154">
        <f>SUM(I7:I22)</f>
        <v>394684.73189999996</v>
      </c>
      <c r="J4" s="444">
        <f>I4/C4</f>
        <v>7.6266107302274344</v>
      </c>
      <c r="K4" s="1"/>
      <c r="L4" s="154">
        <f>F4+I4</f>
        <v>1414288.7319</v>
      </c>
      <c r="M4" s="420">
        <f>L4/C4</f>
        <v>27.328722766709824</v>
      </c>
    </row>
    <row r="5" spans="1:15" x14ac:dyDescent="0.35">
      <c r="F5" s="37"/>
      <c r="G5" s="37"/>
      <c r="L5" s="37">
        <f>L4/60</f>
        <v>23571.478865000001</v>
      </c>
      <c r="M5" s="37"/>
    </row>
    <row r="6" spans="1:15" ht="43.5" x14ac:dyDescent="0.35">
      <c r="A6" s="11" t="s">
        <v>764</v>
      </c>
      <c r="C6" s="70" t="s">
        <v>765</v>
      </c>
      <c r="E6" s="20" t="s">
        <v>766</v>
      </c>
      <c r="F6" s="70" t="s">
        <v>767</v>
      </c>
      <c r="H6" s="290" t="s">
        <v>768</v>
      </c>
      <c r="I6" s="70" t="s">
        <v>769</v>
      </c>
      <c r="L6" s="13" t="s">
        <v>1083</v>
      </c>
    </row>
    <row r="7" spans="1:15" x14ac:dyDescent="0.35">
      <c r="A7" s="409" t="s">
        <v>161</v>
      </c>
      <c r="B7" s="408"/>
      <c r="C7" s="411">
        <v>255</v>
      </c>
      <c r="D7" s="412"/>
      <c r="E7">
        <v>30</v>
      </c>
      <c r="F7" s="414">
        <f>E7*C7</f>
        <v>7650</v>
      </c>
      <c r="G7" s="415"/>
      <c r="H7" s="413">
        <v>8.1</v>
      </c>
      <c r="I7" s="416">
        <f>C7*H7</f>
        <v>2065.5</v>
      </c>
      <c r="L7" s="12">
        <f>INDEX('ServOrderOpp-AMI'!$E$10:$E$59,MATCH(ServOrderMins!A7,'ServOrderOpp-AMI'!$A$10:$A$59,0))</f>
        <v>0.25</v>
      </c>
      <c r="O7" s="471"/>
    </row>
    <row r="8" spans="1:15" x14ac:dyDescent="0.35">
      <c r="A8" s="409" t="s">
        <v>162</v>
      </c>
      <c r="B8" s="408"/>
      <c r="C8" s="411">
        <v>7077</v>
      </c>
      <c r="D8" s="412"/>
      <c r="E8">
        <v>15</v>
      </c>
      <c r="F8" s="414">
        <f t="shared" ref="F8:F21" si="0">E8*C8</f>
        <v>106155</v>
      </c>
      <c r="G8" s="415"/>
      <c r="H8" s="413">
        <v>4.7617000000000003</v>
      </c>
      <c r="I8" s="416">
        <f t="shared" ref="I8:I21" si="1">C8*H8</f>
        <v>33698.550900000002</v>
      </c>
      <c r="L8" s="12">
        <f>INDEX('ServOrderOpp-AMI'!$E$10:$E$59,MATCH(ServOrderMins!A8,'ServOrderOpp-AMI'!$A$10:$A$59,0))</f>
        <v>0.25</v>
      </c>
      <c r="O8" s="37"/>
    </row>
    <row r="9" spans="1:15" x14ac:dyDescent="0.35">
      <c r="A9" s="409" t="s">
        <v>163</v>
      </c>
      <c r="B9" s="408"/>
      <c r="C9" s="411">
        <v>5242</v>
      </c>
      <c r="D9" s="412"/>
      <c r="E9">
        <v>30</v>
      </c>
      <c r="F9" s="414">
        <f t="shared" si="0"/>
        <v>157260</v>
      </c>
      <c r="G9" s="415"/>
      <c r="H9" s="413">
        <v>5.7820999999999998</v>
      </c>
      <c r="I9" s="416">
        <f t="shared" si="1"/>
        <v>30309.768199999999</v>
      </c>
      <c r="L9" s="12">
        <f>INDEX('ServOrderOpp-AMI'!$E$10:$E$59,MATCH(ServOrderMins!A9,'ServOrderOpp-AMI'!$A$10:$A$59,0))</f>
        <v>0.25</v>
      </c>
      <c r="O9" s="37"/>
    </row>
    <row r="10" spans="1:15" x14ac:dyDescent="0.35">
      <c r="A10" s="409" t="s">
        <v>164</v>
      </c>
      <c r="B10" s="408"/>
      <c r="C10" s="411">
        <v>2497</v>
      </c>
      <c r="D10" s="412"/>
      <c r="E10">
        <v>30</v>
      </c>
      <c r="F10" s="414">
        <f t="shared" si="0"/>
        <v>74910</v>
      </c>
      <c r="G10" s="415"/>
      <c r="H10" s="413">
        <v>12.382300000000001</v>
      </c>
      <c r="I10" s="416">
        <f t="shared" si="1"/>
        <v>30918.6031</v>
      </c>
      <c r="L10" s="12">
        <f>INDEX('ServOrderOpp-AMI'!$E$10:$E$59,MATCH(ServOrderMins!A10,'ServOrderOpp-AMI'!$A$10:$A$59,0))</f>
        <v>0.5</v>
      </c>
      <c r="O10" s="37"/>
    </row>
    <row r="11" spans="1:15" x14ac:dyDescent="0.35">
      <c r="A11" s="409" t="s">
        <v>165</v>
      </c>
      <c r="B11" s="408"/>
      <c r="C11" s="411">
        <v>1963</v>
      </c>
      <c r="D11" s="412"/>
      <c r="E11">
        <v>15</v>
      </c>
      <c r="F11" s="414">
        <f t="shared" si="0"/>
        <v>29445</v>
      </c>
      <c r="G11" s="415"/>
      <c r="H11" s="413">
        <v>9.2980999999999998</v>
      </c>
      <c r="I11" s="416">
        <f t="shared" si="1"/>
        <v>18252.170299999998</v>
      </c>
      <c r="L11" s="12">
        <f>INDEX('ServOrderOpp-AMI'!$E$10:$E$59,MATCH(ServOrderMins!A11,'ServOrderOpp-AMI'!$A$10:$A$59,0))</f>
        <v>0.95</v>
      </c>
      <c r="O11" s="37"/>
    </row>
    <row r="12" spans="1:15" x14ac:dyDescent="0.35">
      <c r="A12" s="409" t="s">
        <v>166</v>
      </c>
      <c r="B12" s="408"/>
      <c r="C12" s="411">
        <v>4563</v>
      </c>
      <c r="D12" s="412"/>
      <c r="E12">
        <v>15</v>
      </c>
      <c r="F12" s="414">
        <f t="shared" si="0"/>
        <v>68445</v>
      </c>
      <c r="G12" s="415"/>
      <c r="H12" s="413">
        <v>9.3954000000000004</v>
      </c>
      <c r="I12" s="416">
        <f t="shared" si="1"/>
        <v>42871.210200000001</v>
      </c>
      <c r="L12" s="12">
        <f>INDEX('ServOrderOpp-AMI'!$E$10:$E$59,MATCH(ServOrderMins!A12,'ServOrderOpp-AMI'!$A$10:$A$59,0))</f>
        <v>0.25</v>
      </c>
      <c r="O12" s="37"/>
    </row>
    <row r="13" spans="1:15" x14ac:dyDescent="0.35">
      <c r="A13" s="409" t="s">
        <v>167</v>
      </c>
      <c r="B13" s="408"/>
      <c r="C13" s="411">
        <v>18</v>
      </c>
      <c r="D13" s="412"/>
      <c r="E13">
        <v>23</v>
      </c>
      <c r="F13" s="414">
        <f t="shared" si="0"/>
        <v>414</v>
      </c>
      <c r="G13" s="415"/>
      <c r="H13" s="413">
        <v>1.8947000000000001</v>
      </c>
      <c r="I13" s="416">
        <f t="shared" si="1"/>
        <v>34.104599999999998</v>
      </c>
      <c r="L13" s="12">
        <f>INDEX('ServOrderOpp-AMI'!$E$10:$E$59,MATCH(ServOrderMins!A13,'ServOrderOpp-AMI'!$A$10:$A$59,0))</f>
        <v>0.75</v>
      </c>
      <c r="O13" s="37"/>
    </row>
    <row r="14" spans="1:15" x14ac:dyDescent="0.35">
      <c r="A14" s="409" t="s">
        <v>168</v>
      </c>
      <c r="B14" s="408"/>
      <c r="C14" s="411">
        <v>11426</v>
      </c>
      <c r="D14" s="412"/>
      <c r="E14">
        <v>15</v>
      </c>
      <c r="F14" s="414">
        <f t="shared" si="0"/>
        <v>171390</v>
      </c>
      <c r="G14" s="415"/>
      <c r="H14" s="413">
        <v>9.1165000000000003</v>
      </c>
      <c r="I14" s="416">
        <f t="shared" si="1"/>
        <v>104165.129</v>
      </c>
      <c r="L14" s="12">
        <f>INDEX('ServOrderOpp-AMI'!$E$10:$E$59,MATCH(ServOrderMins!A14,'ServOrderOpp-AMI'!$A$10:$A$59,0))</f>
        <v>0.95</v>
      </c>
      <c r="O14" s="37"/>
    </row>
    <row r="15" spans="1:15" x14ac:dyDescent="0.35">
      <c r="A15" s="409" t="s">
        <v>168</v>
      </c>
      <c r="B15" s="408"/>
      <c r="C15" s="411">
        <v>848</v>
      </c>
      <c r="D15" s="412"/>
      <c r="E15">
        <v>15</v>
      </c>
      <c r="F15" s="414">
        <f t="shared" si="0"/>
        <v>12720</v>
      </c>
      <c r="G15" s="415"/>
      <c r="H15" s="413">
        <v>8.7681000000000004</v>
      </c>
      <c r="I15" s="416">
        <f t="shared" si="1"/>
        <v>7435.3488000000007</v>
      </c>
      <c r="L15" s="12">
        <f>INDEX('ServOrderOpp-AMI'!$E$10:$E$59,MATCH(ServOrderMins!A15,'ServOrderOpp-AMI'!$A$10:$A$59,0))</f>
        <v>0.95</v>
      </c>
      <c r="O15" s="37"/>
    </row>
    <row r="16" spans="1:15" x14ac:dyDescent="0.35">
      <c r="A16" s="409" t="s">
        <v>168</v>
      </c>
      <c r="B16" s="408"/>
      <c r="C16" s="411">
        <v>2246</v>
      </c>
      <c r="D16" s="412"/>
      <c r="E16">
        <v>15</v>
      </c>
      <c r="F16" s="414">
        <f t="shared" si="0"/>
        <v>33690</v>
      </c>
      <c r="G16" s="415"/>
      <c r="H16" s="413">
        <v>9.4873999999999992</v>
      </c>
      <c r="I16" s="416">
        <f t="shared" si="1"/>
        <v>21308.700399999998</v>
      </c>
      <c r="L16" s="12">
        <f>INDEX('ServOrderOpp-AMI'!$E$10:$E$59,MATCH(ServOrderMins!A16,'ServOrderOpp-AMI'!$A$10:$A$59,0))</f>
        <v>0.95</v>
      </c>
      <c r="O16" s="37"/>
    </row>
    <row r="17" spans="1:15" x14ac:dyDescent="0.35">
      <c r="A17" s="409" t="s">
        <v>169</v>
      </c>
      <c r="B17" s="408"/>
      <c r="C17" s="411">
        <v>7245</v>
      </c>
      <c r="D17" s="412"/>
      <c r="E17">
        <v>15</v>
      </c>
      <c r="F17" s="414">
        <f t="shared" si="0"/>
        <v>108675</v>
      </c>
      <c r="G17" s="415"/>
      <c r="H17" s="413">
        <v>5.4298000000000002</v>
      </c>
      <c r="I17" s="416">
        <f t="shared" si="1"/>
        <v>39338.900999999998</v>
      </c>
      <c r="L17" s="12">
        <f>INDEX('ServOrderOpp-AMI'!$E$10:$E$59,MATCH(ServOrderMins!A17,'ServOrderOpp-AMI'!$A$10:$A$59,0))</f>
        <v>0.95</v>
      </c>
      <c r="O17" s="37"/>
    </row>
    <row r="18" spans="1:15" x14ac:dyDescent="0.35">
      <c r="A18" s="409" t="s">
        <v>170</v>
      </c>
      <c r="B18" s="408"/>
      <c r="C18" s="411">
        <v>152</v>
      </c>
      <c r="D18" s="412"/>
      <c r="E18">
        <v>15</v>
      </c>
      <c r="F18" s="414">
        <f t="shared" si="0"/>
        <v>2280</v>
      </c>
      <c r="G18" s="415"/>
      <c r="H18" s="413">
        <v>9.6339000000000006</v>
      </c>
      <c r="I18" s="416">
        <f t="shared" si="1"/>
        <v>1464.3528000000001</v>
      </c>
      <c r="L18" s="12">
        <f>INDEX('ServOrderOpp-AMI'!$E$10:$E$59,MATCH(ServOrderMins!A18,'ServOrderOpp-AMI'!$A$10:$A$59,0))</f>
        <v>0.95</v>
      </c>
      <c r="O18" s="37"/>
    </row>
    <row r="19" spans="1:15" x14ac:dyDescent="0.35">
      <c r="A19" s="409" t="s">
        <v>173</v>
      </c>
      <c r="B19" s="408"/>
      <c r="C19" s="411">
        <v>935</v>
      </c>
      <c r="D19" s="412"/>
      <c r="E19">
        <v>30</v>
      </c>
      <c r="F19" s="414">
        <f t="shared" si="0"/>
        <v>28050</v>
      </c>
      <c r="G19" s="415"/>
      <c r="H19" s="413">
        <v>5.5172999999999996</v>
      </c>
      <c r="I19" s="416">
        <f t="shared" si="1"/>
        <v>5158.6754999999994</v>
      </c>
      <c r="L19" s="12">
        <f>INDEX('ServOrderOpp-AMI'!$E$10:$E$59,MATCH(ServOrderMins!A19,'ServOrderOpp-AMI'!$A$10:$A$59,0))</f>
        <v>0.25</v>
      </c>
      <c r="O19" s="37"/>
    </row>
    <row r="20" spans="1:15" x14ac:dyDescent="0.35">
      <c r="A20" s="409" t="s">
        <v>171</v>
      </c>
      <c r="B20" s="408"/>
      <c r="C20" s="411">
        <v>17</v>
      </c>
      <c r="D20" s="412"/>
      <c r="E20">
        <v>30</v>
      </c>
      <c r="F20" s="414">
        <f t="shared" si="0"/>
        <v>510</v>
      </c>
      <c r="G20" s="415"/>
      <c r="H20" s="413">
        <v>10.117599999999999</v>
      </c>
      <c r="I20" s="416">
        <f t="shared" si="1"/>
        <v>171.9992</v>
      </c>
      <c r="L20" s="12">
        <f>INDEX('ServOrderOpp-AMI'!$E$10:$E$59,MATCH(ServOrderMins!A20,'ServOrderOpp-AMI'!$A$10:$A$59,0))</f>
        <v>0.25</v>
      </c>
      <c r="O20" s="37"/>
    </row>
    <row r="21" spans="1:15" x14ac:dyDescent="0.35">
      <c r="A21" s="409" t="s">
        <v>172</v>
      </c>
      <c r="B21" s="408"/>
      <c r="C21" s="411">
        <v>3326</v>
      </c>
      <c r="D21" s="412"/>
      <c r="E21">
        <v>30</v>
      </c>
      <c r="F21" s="414">
        <f t="shared" si="0"/>
        <v>99780</v>
      </c>
      <c r="G21" s="415"/>
      <c r="H21" s="413">
        <v>8.0441000000000003</v>
      </c>
      <c r="I21" s="416">
        <f t="shared" si="1"/>
        <v>26754.676600000003</v>
      </c>
      <c r="L21" s="12">
        <f>INDEX('ServOrderOpp-AMI'!$E$10:$E$59,MATCH(ServOrderMins!A21,'ServOrderOpp-AMI'!$A$10:$A$59,0))</f>
        <v>0.25</v>
      </c>
      <c r="O21" s="37"/>
    </row>
    <row r="22" spans="1:15" x14ac:dyDescent="0.35">
      <c r="A22" s="410" t="s">
        <v>174</v>
      </c>
      <c r="B22" s="408"/>
      <c r="C22" s="417">
        <v>3941</v>
      </c>
      <c r="D22" s="415"/>
      <c r="E22">
        <v>30</v>
      </c>
      <c r="F22" s="414">
        <f>E22*C22</f>
        <v>118230</v>
      </c>
      <c r="G22" s="415"/>
      <c r="H22" s="418">
        <v>7.7992999999999997</v>
      </c>
      <c r="I22" s="416">
        <f>C22*H22</f>
        <v>30737.041299999997</v>
      </c>
      <c r="L22" s="12">
        <f>INDEX('ServOrderOpp-AMI'!$E$10:$E$59,MATCH(ServOrderMins!A22,'ServOrderOpp-AMI'!$A$10:$A$59,0))</f>
        <v>0.25</v>
      </c>
      <c r="O22" s="37"/>
    </row>
    <row r="23" spans="1:15" x14ac:dyDescent="0.35">
      <c r="A23" s="69"/>
      <c r="B23" s="291"/>
      <c r="F23" s="54"/>
    </row>
    <row r="24" spans="1:15" x14ac:dyDescent="0.35">
      <c r="A24" s="69"/>
      <c r="B24" s="291"/>
      <c r="F24" s="21"/>
    </row>
    <row r="25" spans="1:15" x14ac:dyDescent="0.35">
      <c r="A25" s="69"/>
      <c r="B25" s="291"/>
      <c r="F25" s="21"/>
    </row>
    <row r="26" spans="1:15" x14ac:dyDescent="0.35">
      <c r="A26" s="69"/>
      <c r="B26" s="291"/>
      <c r="F26" s="21"/>
    </row>
    <row r="27" spans="1:15" x14ac:dyDescent="0.35">
      <c r="A27" s="69"/>
      <c r="B27" s="291"/>
      <c r="F27" s="21"/>
    </row>
    <row r="28" spans="1:15" x14ac:dyDescent="0.35">
      <c r="A28" s="69"/>
      <c r="B28" s="291"/>
      <c r="F28" s="21"/>
    </row>
  </sheetData>
  <autoFilter ref="A6:L22" xr:uid="{76C65DB1-BE77-49F5-AFB0-27AAE98E4C3B}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4712-F305-4A6B-9C23-1818393DF694}">
  <sheetPr>
    <tabColor theme="5"/>
  </sheetPr>
  <dimension ref="A1:T58"/>
  <sheetViews>
    <sheetView zoomScale="120" zoomScaleNormal="120" workbookViewId="0">
      <selection activeCell="G2" sqref="G2"/>
    </sheetView>
  </sheetViews>
  <sheetFormatPr defaultRowHeight="14.5" outlineLevelCol="1" x14ac:dyDescent="0.35"/>
  <cols>
    <col min="1" max="1" width="32.26953125" bestFit="1" customWidth="1"/>
    <col min="2" max="2" width="10.26953125" customWidth="1"/>
    <col min="3" max="3" width="14.453125" bestFit="1" customWidth="1"/>
    <col min="4" max="4" width="12.54296875" customWidth="1"/>
    <col min="5" max="5" width="13.26953125" bestFit="1" customWidth="1"/>
    <col min="6" max="6" width="5.81640625" customWidth="1"/>
    <col min="7" max="7" width="17" customWidth="1" outlineLevel="1"/>
    <col min="8" max="8" width="4" customWidth="1" outlineLevel="1"/>
    <col min="9" max="9" width="17" customWidth="1" outlineLevel="1"/>
    <col min="10" max="10" width="12.54296875" customWidth="1" outlineLevel="1"/>
    <col min="11" max="11" width="10.7265625" customWidth="1" outlineLevel="1"/>
    <col min="12" max="12" width="18.81640625" customWidth="1" outlineLevel="1"/>
    <col min="13" max="13" width="28" customWidth="1" outlineLevel="1"/>
    <col min="14" max="14" width="19.81640625" style="17" bestFit="1" customWidth="1"/>
    <col min="15" max="15" width="12" customWidth="1"/>
    <col min="20" max="20" width="12" bestFit="1" customWidth="1"/>
  </cols>
  <sheetData>
    <row r="1" spans="1:20" ht="15.5" x14ac:dyDescent="0.35">
      <c r="A1" s="67" t="s">
        <v>802</v>
      </c>
      <c r="G1" s="296" t="s">
        <v>1107</v>
      </c>
    </row>
    <row r="2" spans="1:20" x14ac:dyDescent="0.35">
      <c r="A2" s="19"/>
    </row>
    <row r="3" spans="1:20" x14ac:dyDescent="0.35">
      <c r="F3" s="65"/>
      <c r="G3" s="65"/>
      <c r="H3" s="13"/>
    </row>
    <row r="4" spans="1:20" x14ac:dyDescent="0.35">
      <c r="B4" s="1" t="s">
        <v>803</v>
      </c>
      <c r="C4" s="154" t="s">
        <v>804</v>
      </c>
      <c r="D4" s="1" t="s">
        <v>805</v>
      </c>
      <c r="E4" s="1"/>
      <c r="F4" s="203"/>
      <c r="G4" s="1" t="s">
        <v>806</v>
      </c>
      <c r="H4" s="154"/>
      <c r="I4" s="1" t="s">
        <v>807</v>
      </c>
    </row>
    <row r="5" spans="1:20" ht="47.25" customHeight="1" x14ac:dyDescent="0.45">
      <c r="B5" s="53" t="s">
        <v>808</v>
      </c>
      <c r="C5" s="66" t="s">
        <v>809</v>
      </c>
      <c r="D5" s="317" t="s">
        <v>810</v>
      </c>
      <c r="F5" s="64"/>
      <c r="G5" s="66" t="s">
        <v>811</v>
      </c>
      <c r="H5" s="216"/>
      <c r="I5" s="64" t="s">
        <v>812</v>
      </c>
      <c r="L5" s="70" t="s">
        <v>813</v>
      </c>
      <c r="M5" s="162" t="s">
        <v>814</v>
      </c>
      <c r="N5" s="460"/>
      <c r="O5" s="122"/>
    </row>
    <row r="6" spans="1:20" ht="18.5" x14ac:dyDescent="0.45">
      <c r="A6" t="s">
        <v>815</v>
      </c>
      <c r="B6" s="65">
        <f>SUM(B11:B58)</f>
        <v>103573</v>
      </c>
      <c r="C6" s="65">
        <f>SUM(C11:C58)</f>
        <v>99890</v>
      </c>
      <c r="D6" s="63">
        <f>C6/B6</f>
        <v>0.96444053952284858</v>
      </c>
      <c r="F6" s="63"/>
      <c r="G6" s="65">
        <f>SUM(G11:G58)</f>
        <v>73286</v>
      </c>
      <c r="H6" s="65"/>
      <c r="I6" s="65">
        <f>SUM(I11:I58)</f>
        <v>-29799.649999999998</v>
      </c>
      <c r="K6" t="s">
        <v>816</v>
      </c>
      <c r="L6" s="65">
        <f>SUM(L11:L58)</f>
        <v>-12351.613840783699</v>
      </c>
      <c r="M6" s="163">
        <f>IFERROR(L6/I6,0)</f>
        <v>0.41448855408649765</v>
      </c>
      <c r="N6" s="461"/>
      <c r="O6" s="6"/>
    </row>
    <row r="7" spans="1:20" ht="18.5" x14ac:dyDescent="0.45">
      <c r="B7" s="65"/>
      <c r="C7" s="65"/>
      <c r="F7" s="13"/>
      <c r="G7" s="18"/>
      <c r="H7" s="65"/>
      <c r="I7" s="65"/>
      <c r="L7" s="442"/>
      <c r="M7" s="443"/>
      <c r="N7" s="461"/>
      <c r="O7" s="6"/>
    </row>
    <row r="8" spans="1:20" x14ac:dyDescent="0.35">
      <c r="C8" s="37"/>
      <c r="N8" s="461"/>
      <c r="O8" s="36"/>
    </row>
    <row r="9" spans="1:20" x14ac:dyDescent="0.35">
      <c r="B9" s="1" t="s">
        <v>803</v>
      </c>
      <c r="C9" s="154" t="s">
        <v>804</v>
      </c>
      <c r="D9" s="1" t="s">
        <v>805</v>
      </c>
      <c r="E9" s="1" t="s">
        <v>817</v>
      </c>
      <c r="F9" s="289"/>
      <c r="G9" s="1" t="s">
        <v>818</v>
      </c>
      <c r="H9" s="154"/>
      <c r="I9" s="1" t="s">
        <v>807</v>
      </c>
      <c r="M9" s="37"/>
      <c r="N9" s="462"/>
      <c r="O9" s="37"/>
    </row>
    <row r="10" spans="1:20" ht="62.25" customHeight="1" x14ac:dyDescent="0.35">
      <c r="A10" s="64" t="s">
        <v>764</v>
      </c>
      <c r="B10" s="64" t="s">
        <v>808</v>
      </c>
      <c r="C10" s="64" t="s">
        <v>819</v>
      </c>
      <c r="D10" s="64" t="s">
        <v>820</v>
      </c>
      <c r="E10" s="64" t="s">
        <v>821</v>
      </c>
      <c r="F10" s="64"/>
      <c r="G10" s="30" t="s">
        <v>822</v>
      </c>
      <c r="H10" s="30"/>
      <c r="I10" s="64" t="s">
        <v>812</v>
      </c>
      <c r="J10" s="30" t="s">
        <v>823</v>
      </c>
      <c r="K10" s="30" t="s">
        <v>824</v>
      </c>
      <c r="L10" s="30" t="s">
        <v>825</v>
      </c>
      <c r="N10" s="497"/>
      <c r="Q10" s="20"/>
      <c r="R10" s="20"/>
    </row>
    <row r="11" spans="1:20" x14ac:dyDescent="0.35">
      <c r="A11" s="409" t="s">
        <v>161</v>
      </c>
      <c r="B11" s="411">
        <v>255</v>
      </c>
      <c r="C11" s="411">
        <v>243</v>
      </c>
      <c r="D11" s="63">
        <f>C11/B11</f>
        <v>0.95294117647058818</v>
      </c>
      <c r="E11" s="150">
        <v>0.25</v>
      </c>
      <c r="F11" s="63"/>
      <c r="G11" s="18">
        <f>B11*(1-E11)</f>
        <v>191.25</v>
      </c>
      <c r="H11" s="18"/>
      <c r="I11" s="13">
        <f>(G11-B11)*D11</f>
        <v>-60.75</v>
      </c>
      <c r="J11" s="54">
        <f>IF(E11&gt;0,VLOOKUP(A11,ServOrderMins!$A$7:$E$28,5,FALSE),"")</f>
        <v>30</v>
      </c>
      <c r="K11" s="54">
        <f>IF(LEN(J11)&gt;0,'0-Inputs'!$B$229,"")</f>
        <v>7.6266107302274344</v>
      </c>
      <c r="L11" s="21">
        <f>IF(E11&gt;0,I11*(J11+K11),0)/60</f>
        <v>-38.096943364355276</v>
      </c>
      <c r="M11" s="12"/>
      <c r="N11" s="463"/>
      <c r="O11" s="12"/>
      <c r="T11" s="21"/>
    </row>
    <row r="12" spans="1:20" x14ac:dyDescent="0.35">
      <c r="A12" s="409" t="s">
        <v>770</v>
      </c>
      <c r="B12" s="411">
        <v>8</v>
      </c>
      <c r="C12" s="411">
        <v>8</v>
      </c>
      <c r="D12" s="63">
        <f t="shared" ref="D12:D56" si="0">C12/B12</f>
        <v>1</v>
      </c>
      <c r="E12" s="150">
        <f>IFERROR(INDEX('0-Inputs'!$B$211:$B$226,MATCH(A12,'0-Inputs'!$A$211:$A$226,0)),0)</f>
        <v>0</v>
      </c>
      <c r="F12" s="63"/>
      <c r="G12" s="18">
        <f t="shared" ref="G12:G56" si="1">B12*(1-E12)</f>
        <v>8</v>
      </c>
      <c r="H12" s="18"/>
      <c r="I12" s="13">
        <f t="shared" ref="I12:I56" si="2">(G12-B12)*D12</f>
        <v>0</v>
      </c>
      <c r="J12" s="54" t="str">
        <f>IF(E12&gt;0,VLOOKUP(A12,ServOrderMins!$A$7:$E$28,5,FALSE),"")</f>
        <v/>
      </c>
      <c r="K12" s="54" t="str">
        <f>IF(LEN(J12)&gt;0,'0-Inputs'!$B$229,"")</f>
        <v/>
      </c>
      <c r="L12" s="21">
        <f t="shared" ref="L12:L56" si="3">IF(E12&gt;0,I12*(J12+K12),0)/60</f>
        <v>0</v>
      </c>
      <c r="M12" s="12"/>
      <c r="N12" s="463"/>
      <c r="O12" s="12"/>
      <c r="Q12" s="12"/>
      <c r="R12" s="288"/>
      <c r="T12" s="21"/>
    </row>
    <row r="13" spans="1:20" x14ac:dyDescent="0.35">
      <c r="A13" s="409" t="s">
        <v>162</v>
      </c>
      <c r="B13" s="411">
        <v>7077</v>
      </c>
      <c r="C13" s="411">
        <v>7016</v>
      </c>
      <c r="D13" s="63">
        <f t="shared" si="0"/>
        <v>0.99138052847251656</v>
      </c>
      <c r="E13" s="150">
        <v>0.25</v>
      </c>
      <c r="F13" s="63"/>
      <c r="G13" s="18">
        <f>B13*(1-E13)</f>
        <v>5307.75</v>
      </c>
      <c r="H13" s="18"/>
      <c r="I13" s="13">
        <f>(G13-B13)*D13</f>
        <v>-1754</v>
      </c>
      <c r="J13" s="54">
        <f>IF(E13&gt;0,VLOOKUP(A13,ServOrderMins!$A$7:$E$28,5,FALSE),"")</f>
        <v>15</v>
      </c>
      <c r="K13" s="54">
        <f>IF(LEN(J13)&gt;0,'0-Inputs'!$B$229,"")</f>
        <v>7.6266107302274344</v>
      </c>
      <c r="L13" s="21">
        <f>IF(E13&gt;0,I13*(J13+K13),0)/60</f>
        <v>-661.45125368031529</v>
      </c>
      <c r="M13" s="12"/>
      <c r="N13" s="463"/>
      <c r="O13" s="12"/>
      <c r="P13" s="12"/>
      <c r="Q13" s="12"/>
      <c r="R13" s="12"/>
      <c r="T13" s="21"/>
    </row>
    <row r="14" spans="1:20" x14ac:dyDescent="0.35">
      <c r="A14" s="409" t="s">
        <v>771</v>
      </c>
      <c r="B14" s="411">
        <v>2</v>
      </c>
      <c r="C14" s="411">
        <v>2</v>
      </c>
      <c r="D14" s="63">
        <f t="shared" si="0"/>
        <v>1</v>
      </c>
      <c r="E14" s="150">
        <f>IFERROR(INDEX('0-Inputs'!$B$211:$B$226,MATCH(A14,'0-Inputs'!$A$211:$A$226,0)),0)</f>
        <v>0</v>
      </c>
      <c r="F14" s="63"/>
      <c r="G14" s="18">
        <f t="shared" si="1"/>
        <v>2</v>
      </c>
      <c r="H14" s="18"/>
      <c r="I14" s="13">
        <f t="shared" si="2"/>
        <v>0</v>
      </c>
      <c r="J14" s="54" t="str">
        <f>IF(E14&gt;0,VLOOKUP(A14,ServOrderMins!$A$7:$E$28,5,FALSE),"")</f>
        <v/>
      </c>
      <c r="K14" s="54" t="str">
        <f>IF(LEN(J14)&gt;0,'0-Inputs'!$B$229,"")</f>
        <v/>
      </c>
      <c r="L14" s="21">
        <f t="shared" si="3"/>
        <v>0</v>
      </c>
      <c r="M14" s="12"/>
      <c r="N14" s="463"/>
      <c r="O14" s="12"/>
      <c r="Q14" s="12"/>
      <c r="R14" s="12"/>
      <c r="T14" s="21"/>
    </row>
    <row r="15" spans="1:20" x14ac:dyDescent="0.35">
      <c r="A15" s="409" t="s">
        <v>772</v>
      </c>
      <c r="B15" s="411">
        <v>12507</v>
      </c>
      <c r="C15" s="411">
        <v>12095</v>
      </c>
      <c r="D15" s="63">
        <f t="shared" si="0"/>
        <v>0.96705844726952905</v>
      </c>
      <c r="E15" s="150">
        <f>IFERROR(INDEX('0-Inputs'!$B$211:$B$226,MATCH(A15,'0-Inputs'!$A$211:$A$226,0)),0)</f>
        <v>0</v>
      </c>
      <c r="F15" s="63"/>
      <c r="G15" s="18">
        <f t="shared" si="1"/>
        <v>12507</v>
      </c>
      <c r="H15" s="18"/>
      <c r="I15" s="13">
        <f t="shared" si="2"/>
        <v>0</v>
      </c>
      <c r="J15" s="54" t="str">
        <f>IF(E15&gt;0,VLOOKUP(A15,ServOrderMins!$A$7:$E$28,5,FALSE),"")</f>
        <v/>
      </c>
      <c r="K15" s="54" t="str">
        <f>IF(LEN(J15)&gt;0,'0-Inputs'!$B$229,"")</f>
        <v/>
      </c>
      <c r="L15" s="21">
        <f t="shared" si="3"/>
        <v>0</v>
      </c>
      <c r="M15" s="12"/>
      <c r="N15" s="463"/>
      <c r="O15" s="12"/>
      <c r="Q15" s="12"/>
      <c r="R15" s="12"/>
      <c r="T15" s="21"/>
    </row>
    <row r="16" spans="1:20" x14ac:dyDescent="0.35">
      <c r="A16" s="409" t="s">
        <v>773</v>
      </c>
      <c r="B16" s="411">
        <v>10634</v>
      </c>
      <c r="C16" s="411">
        <v>9885</v>
      </c>
      <c r="D16" s="63">
        <f t="shared" si="0"/>
        <v>0.92956554447996986</v>
      </c>
      <c r="E16" s="150">
        <f>IFERROR(INDEX('0-Inputs'!$B$211:$B$226,MATCH(A16,'0-Inputs'!$A$211:$A$226,0)),0)</f>
        <v>0</v>
      </c>
      <c r="F16" s="63"/>
      <c r="G16" s="18">
        <f t="shared" si="1"/>
        <v>10634</v>
      </c>
      <c r="H16" s="18"/>
      <c r="I16" s="13">
        <f t="shared" si="2"/>
        <v>0</v>
      </c>
      <c r="J16" s="54" t="str">
        <f>IF(E16&gt;0,VLOOKUP(A16,ServOrderMins!$A$7:$E$28,5,FALSE),"")</f>
        <v/>
      </c>
      <c r="K16" s="54" t="str">
        <f>IF(LEN(J16)&gt;0,'0-Inputs'!$B$229,"")</f>
        <v/>
      </c>
      <c r="L16" s="21">
        <f t="shared" si="3"/>
        <v>0</v>
      </c>
      <c r="M16" s="12"/>
      <c r="N16" s="463"/>
      <c r="O16" s="12"/>
      <c r="Q16" s="12"/>
      <c r="R16" s="12"/>
      <c r="T16" s="21"/>
    </row>
    <row r="17" spans="1:20" x14ac:dyDescent="0.35">
      <c r="A17" s="409" t="s">
        <v>163</v>
      </c>
      <c r="B17" s="411">
        <v>5242</v>
      </c>
      <c r="C17" s="411">
        <v>5147</v>
      </c>
      <c r="D17" s="63">
        <f t="shared" si="0"/>
        <v>0.98187714612743227</v>
      </c>
      <c r="E17" s="150">
        <v>0.25</v>
      </c>
      <c r="F17" s="63"/>
      <c r="G17" s="18">
        <f t="shared" si="1"/>
        <v>3931.5</v>
      </c>
      <c r="H17" s="18"/>
      <c r="I17" s="13">
        <f t="shared" si="2"/>
        <v>-1286.75</v>
      </c>
      <c r="J17" s="54">
        <f>IF(E17&gt;0,VLOOKUP(A17,ServOrderMins!$A$7:$E$28,5,FALSE),"")</f>
        <v>30</v>
      </c>
      <c r="K17" s="54">
        <f>IF(LEN(J17)&gt;0,'0-Inputs'!$B$229,"")</f>
        <v>7.6266107302274344</v>
      </c>
      <c r="L17" s="21">
        <f t="shared" si="3"/>
        <v>-806.93402261866913</v>
      </c>
      <c r="M17" s="12"/>
      <c r="N17" s="463"/>
      <c r="O17" s="12"/>
      <c r="Q17" s="12"/>
      <c r="R17" s="12"/>
      <c r="T17" s="21"/>
    </row>
    <row r="18" spans="1:20" x14ac:dyDescent="0.35">
      <c r="A18" s="409" t="s">
        <v>774</v>
      </c>
      <c r="B18" s="411">
        <v>2683</v>
      </c>
      <c r="C18" s="411">
        <v>2599</v>
      </c>
      <c r="D18" s="63">
        <f t="shared" si="0"/>
        <v>0.9686917629519195</v>
      </c>
      <c r="E18" s="150">
        <f>IFERROR(INDEX('0-Inputs'!$B$211:$B$226,MATCH(A18,'0-Inputs'!$A$211:$A$226,0)),0)</f>
        <v>0</v>
      </c>
      <c r="F18" s="63"/>
      <c r="G18" s="18">
        <f t="shared" si="1"/>
        <v>2683</v>
      </c>
      <c r="H18" s="18"/>
      <c r="I18" s="13">
        <f t="shared" si="2"/>
        <v>0</v>
      </c>
      <c r="J18" s="54" t="str">
        <f>IF(E18&gt;0,VLOOKUP(A18,ServOrderMins!$A$7:$E$28,5,FALSE),"")</f>
        <v/>
      </c>
      <c r="K18" s="54" t="str">
        <f>IF(LEN(J18)&gt;0,'0-Inputs'!$B$229,"")</f>
        <v/>
      </c>
      <c r="L18" s="21">
        <f t="shared" si="3"/>
        <v>0</v>
      </c>
      <c r="M18" s="12"/>
      <c r="N18" s="463"/>
      <c r="O18" s="12"/>
      <c r="Q18" s="12"/>
      <c r="R18" s="12"/>
      <c r="T18" s="21"/>
    </row>
    <row r="19" spans="1:20" x14ac:dyDescent="0.35">
      <c r="A19" s="409" t="s">
        <v>775</v>
      </c>
      <c r="B19" s="411">
        <v>22</v>
      </c>
      <c r="C19" s="411">
        <v>17</v>
      </c>
      <c r="D19" s="63">
        <f t="shared" si="0"/>
        <v>0.77272727272727271</v>
      </c>
      <c r="E19" s="150">
        <f>IFERROR(INDEX('0-Inputs'!$B$211:$B$226,MATCH(A19,'0-Inputs'!$A$211:$A$226,0)),0)</f>
        <v>0</v>
      </c>
      <c r="F19" s="63"/>
      <c r="G19" s="18">
        <f t="shared" si="1"/>
        <v>22</v>
      </c>
      <c r="H19" s="18"/>
      <c r="I19" s="13">
        <f t="shared" si="2"/>
        <v>0</v>
      </c>
      <c r="J19" s="54" t="str">
        <f>IF(E19&gt;0,VLOOKUP(A19,ServOrderMins!$A$7:$E$28,5,FALSE),"")</f>
        <v/>
      </c>
      <c r="K19" s="54" t="str">
        <f>IF(LEN(J19)&gt;0,'0-Inputs'!$B$229,"")</f>
        <v/>
      </c>
      <c r="L19" s="21">
        <f t="shared" si="3"/>
        <v>0</v>
      </c>
      <c r="M19" s="12"/>
      <c r="N19" s="463"/>
      <c r="O19" s="12"/>
      <c r="Q19" s="12"/>
      <c r="R19" s="12"/>
      <c r="T19" s="21"/>
    </row>
    <row r="20" spans="1:20" x14ac:dyDescent="0.35">
      <c r="A20" s="409" t="s">
        <v>776</v>
      </c>
      <c r="B20" s="411">
        <v>24</v>
      </c>
      <c r="C20" s="411">
        <v>22</v>
      </c>
      <c r="D20" s="63">
        <f t="shared" si="0"/>
        <v>0.91666666666666663</v>
      </c>
      <c r="E20" s="150">
        <f>IFERROR(INDEX('0-Inputs'!$B$211:$B$226,MATCH(A20,'0-Inputs'!$A$211:$A$226,0)),0)</f>
        <v>0</v>
      </c>
      <c r="F20" s="63"/>
      <c r="G20" s="18">
        <f t="shared" si="1"/>
        <v>24</v>
      </c>
      <c r="H20" s="18"/>
      <c r="I20" s="13">
        <f t="shared" si="2"/>
        <v>0</v>
      </c>
      <c r="J20" s="54" t="str">
        <f>IF(E20&gt;0,VLOOKUP(A20,ServOrderMins!$A$7:$E$28,5,FALSE),"")</f>
        <v/>
      </c>
      <c r="K20" s="54" t="str">
        <f>IF(LEN(J20)&gt;0,'0-Inputs'!$B$229,"")</f>
        <v/>
      </c>
      <c r="L20" s="21">
        <f t="shared" si="3"/>
        <v>0</v>
      </c>
      <c r="M20" s="12"/>
      <c r="N20" s="463"/>
      <c r="O20" s="12"/>
      <c r="Q20" s="12"/>
      <c r="R20" s="12"/>
      <c r="T20" s="21"/>
    </row>
    <row r="21" spans="1:20" x14ac:dyDescent="0.35">
      <c r="A21" s="409" t="s">
        <v>777</v>
      </c>
      <c r="B21" s="411">
        <v>7</v>
      </c>
      <c r="C21" s="411">
        <v>7</v>
      </c>
      <c r="D21" s="63">
        <f t="shared" si="0"/>
        <v>1</v>
      </c>
      <c r="E21" s="150">
        <f>IFERROR(INDEX('0-Inputs'!$B$211:$B$226,MATCH(A21,'0-Inputs'!$A$211:$A$226,0)),0)</f>
        <v>0</v>
      </c>
      <c r="F21" s="63"/>
      <c r="G21" s="18">
        <f t="shared" si="1"/>
        <v>7</v>
      </c>
      <c r="H21" s="18"/>
      <c r="I21" s="13">
        <f t="shared" si="2"/>
        <v>0</v>
      </c>
      <c r="J21" s="54" t="str">
        <f>IF(E21&gt;0,VLOOKUP(A21,ServOrderMins!$A$7:$E$28,5,FALSE),"")</f>
        <v/>
      </c>
      <c r="K21" s="54" t="str">
        <f>IF(LEN(J21)&gt;0,'0-Inputs'!$B$229,"")</f>
        <v/>
      </c>
      <c r="L21" s="21">
        <f t="shared" si="3"/>
        <v>0</v>
      </c>
      <c r="M21" s="12"/>
      <c r="N21" s="463"/>
      <c r="O21" s="12"/>
      <c r="Q21" s="12"/>
      <c r="R21" s="12"/>
      <c r="T21" s="21"/>
    </row>
    <row r="22" spans="1:20" x14ac:dyDescent="0.35">
      <c r="A22" s="409" t="s">
        <v>778</v>
      </c>
      <c r="B22" s="411">
        <v>1</v>
      </c>
      <c r="C22" s="411">
        <v>1</v>
      </c>
      <c r="D22" s="63">
        <f t="shared" si="0"/>
        <v>1</v>
      </c>
      <c r="E22" s="150">
        <f>IFERROR(INDEX('0-Inputs'!$B$211:$B$226,MATCH(A22,'0-Inputs'!$A$211:$A$226,0)),0)</f>
        <v>0</v>
      </c>
      <c r="F22" s="63"/>
      <c r="G22" s="18">
        <f t="shared" si="1"/>
        <v>1</v>
      </c>
      <c r="H22" s="18"/>
      <c r="I22" s="13">
        <f t="shared" si="2"/>
        <v>0</v>
      </c>
      <c r="J22" s="54" t="str">
        <f>IF(E22&gt;0,VLOOKUP(A22,ServOrderMins!$A$7:$E$28,5,FALSE),"")</f>
        <v/>
      </c>
      <c r="K22" s="54" t="str">
        <f>IF(LEN(J22)&gt;0,'0-Inputs'!$B$229,"")</f>
        <v/>
      </c>
      <c r="L22" s="21">
        <f t="shared" si="3"/>
        <v>0</v>
      </c>
      <c r="M22" s="12"/>
      <c r="N22" s="463"/>
      <c r="O22" s="12"/>
      <c r="Q22" s="12"/>
      <c r="R22" s="12"/>
      <c r="T22" s="21"/>
    </row>
    <row r="23" spans="1:20" x14ac:dyDescent="0.35">
      <c r="A23" s="409" t="s">
        <v>164</v>
      </c>
      <c r="B23" s="411">
        <v>2497</v>
      </c>
      <c r="C23" s="411">
        <v>2468</v>
      </c>
      <c r="D23" s="63">
        <f t="shared" si="0"/>
        <v>0.98838606327593115</v>
      </c>
      <c r="E23" s="150">
        <v>0.5</v>
      </c>
      <c r="F23" s="63"/>
      <c r="G23" s="18">
        <f t="shared" si="1"/>
        <v>1248.5</v>
      </c>
      <c r="H23" s="18"/>
      <c r="I23" s="13">
        <f t="shared" si="2"/>
        <v>-1234</v>
      </c>
      <c r="J23" s="54">
        <f>IF(E23&gt;0,VLOOKUP(A23,ServOrderMins!$A$7:$E$28,5,FALSE),"")</f>
        <v>30</v>
      </c>
      <c r="K23" s="54">
        <f>IF(LEN(J23)&gt;0,'0-Inputs'!$B$229,"")</f>
        <v>7.6266107302274344</v>
      </c>
      <c r="L23" s="21">
        <f t="shared" si="3"/>
        <v>-773.85396068501097</v>
      </c>
      <c r="M23" s="12"/>
      <c r="N23" s="463"/>
      <c r="O23" s="12"/>
      <c r="Q23" s="12"/>
      <c r="R23" s="12"/>
      <c r="T23" s="21"/>
    </row>
    <row r="24" spans="1:20" x14ac:dyDescent="0.35">
      <c r="A24" s="409" t="s">
        <v>779</v>
      </c>
      <c r="B24" s="411">
        <v>416</v>
      </c>
      <c r="C24" s="411">
        <v>402</v>
      </c>
      <c r="D24" s="63">
        <f t="shared" si="0"/>
        <v>0.96634615384615385</v>
      </c>
      <c r="E24" s="150">
        <f>IFERROR(INDEX('0-Inputs'!$B$211:$B$226,MATCH(A24,'0-Inputs'!$A$211:$A$226,0)),0)</f>
        <v>0</v>
      </c>
      <c r="F24" s="63"/>
      <c r="G24" s="18">
        <f t="shared" si="1"/>
        <v>416</v>
      </c>
      <c r="H24" s="18"/>
      <c r="I24" s="13">
        <f t="shared" si="2"/>
        <v>0</v>
      </c>
      <c r="J24" s="54" t="str">
        <f>IF(E24&gt;0,VLOOKUP(A24,ServOrderMins!$A$7:$E$28,5,FALSE),"")</f>
        <v/>
      </c>
      <c r="K24" s="54" t="str">
        <f>IF(LEN(J24)&gt;0,'0-Inputs'!$B$229,"")</f>
        <v/>
      </c>
      <c r="L24" s="21">
        <f t="shared" si="3"/>
        <v>0</v>
      </c>
      <c r="M24" s="12"/>
      <c r="N24" s="463"/>
      <c r="O24" s="12"/>
      <c r="Q24" s="12"/>
      <c r="R24" s="12"/>
      <c r="T24" s="21"/>
    </row>
    <row r="25" spans="1:20" x14ac:dyDescent="0.35">
      <c r="A25" s="409" t="s">
        <v>780</v>
      </c>
      <c r="B25" s="411">
        <v>13</v>
      </c>
      <c r="C25" s="411">
        <v>13</v>
      </c>
      <c r="D25" s="63">
        <f t="shared" ref="D25" si="4">C25/B25</f>
        <v>1</v>
      </c>
      <c r="E25" s="150">
        <f>IFERROR(INDEX('0-Inputs'!$B$211:$B$226,MATCH(A25,'0-Inputs'!$A$211:$A$226,0)),0)</f>
        <v>0</v>
      </c>
      <c r="F25" s="63"/>
      <c r="G25" s="18">
        <f t="shared" si="1"/>
        <v>13</v>
      </c>
      <c r="H25" s="18"/>
      <c r="I25" s="13">
        <f t="shared" si="2"/>
        <v>0</v>
      </c>
      <c r="J25" s="54" t="str">
        <f>IF(E25&gt;0,VLOOKUP(A25,ServOrderMins!$A$7:$E$28,5,FALSE),"")</f>
        <v/>
      </c>
      <c r="K25" s="54" t="str">
        <f>IF(LEN(J25)&gt;0,'0-Inputs'!$B$229,"")</f>
        <v/>
      </c>
      <c r="L25" s="21">
        <f t="shared" si="3"/>
        <v>0</v>
      </c>
      <c r="M25" s="12"/>
      <c r="N25" s="463"/>
      <c r="O25" s="12"/>
      <c r="Q25" s="12"/>
      <c r="R25" s="12"/>
      <c r="T25" s="21"/>
    </row>
    <row r="26" spans="1:20" x14ac:dyDescent="0.35">
      <c r="A26" s="409" t="s">
        <v>781</v>
      </c>
      <c r="B26" s="411">
        <v>82</v>
      </c>
      <c r="C26" s="411">
        <v>74</v>
      </c>
      <c r="D26" s="63">
        <f t="shared" si="0"/>
        <v>0.90243902439024393</v>
      </c>
      <c r="E26" s="150">
        <f>IFERROR(INDEX('0-Inputs'!$B$211:$B$226,MATCH(A26,'0-Inputs'!$A$211:$A$226,0)),0)</f>
        <v>0</v>
      </c>
      <c r="F26" s="63"/>
      <c r="G26" s="18">
        <f t="shared" si="1"/>
        <v>82</v>
      </c>
      <c r="H26" s="18"/>
      <c r="I26" s="13">
        <f t="shared" si="2"/>
        <v>0</v>
      </c>
      <c r="J26" s="54" t="str">
        <f>IF(E26&gt;0,VLOOKUP(A26,ServOrderMins!$A$7:$E$28,5,FALSE),"")</f>
        <v/>
      </c>
      <c r="K26" s="54" t="str">
        <f>IF(LEN(J26)&gt;0,'0-Inputs'!$B$229,"")</f>
        <v/>
      </c>
      <c r="L26" s="21">
        <f t="shared" si="3"/>
        <v>0</v>
      </c>
      <c r="M26" s="12"/>
      <c r="N26" s="463"/>
      <c r="O26" s="12"/>
      <c r="Q26" s="12"/>
      <c r="R26" s="12"/>
      <c r="T26" s="21"/>
    </row>
    <row r="27" spans="1:20" x14ac:dyDescent="0.35">
      <c r="A27" s="409" t="s">
        <v>782</v>
      </c>
      <c r="B27" s="411">
        <v>93</v>
      </c>
      <c r="C27" s="411">
        <v>87</v>
      </c>
      <c r="D27" s="63">
        <f t="shared" si="0"/>
        <v>0.93548387096774188</v>
      </c>
      <c r="E27" s="150">
        <f>IFERROR(INDEX('0-Inputs'!$B$211:$B$226,MATCH(A27,'0-Inputs'!$A$211:$A$226,0)),0)</f>
        <v>0</v>
      </c>
      <c r="F27" s="63"/>
      <c r="G27" s="18">
        <f t="shared" si="1"/>
        <v>93</v>
      </c>
      <c r="H27" s="18"/>
      <c r="I27" s="13">
        <f t="shared" si="2"/>
        <v>0</v>
      </c>
      <c r="J27" s="54" t="str">
        <f>IF(E27&gt;0,VLOOKUP(A27,ServOrderMins!$A$7:$E$28,5,FALSE),"")</f>
        <v/>
      </c>
      <c r="K27" s="54" t="str">
        <f>IF(LEN(J27)&gt;0,'0-Inputs'!$B$229,"")</f>
        <v/>
      </c>
      <c r="L27" s="21">
        <f t="shared" si="3"/>
        <v>0</v>
      </c>
      <c r="M27" s="12"/>
      <c r="N27" s="463"/>
      <c r="O27" s="12"/>
      <c r="Q27" s="12"/>
      <c r="R27" s="12"/>
      <c r="T27" s="21"/>
    </row>
    <row r="28" spans="1:20" x14ac:dyDescent="0.35">
      <c r="A28" s="409" t="s">
        <v>783</v>
      </c>
      <c r="B28" s="411">
        <v>1</v>
      </c>
      <c r="C28" s="411">
        <v>1</v>
      </c>
      <c r="D28" s="63">
        <f t="shared" si="0"/>
        <v>1</v>
      </c>
      <c r="E28" s="150">
        <f>IFERROR(INDEX('0-Inputs'!$B$211:$B$226,MATCH(A28,'0-Inputs'!$A$211:$A$226,0)),0)</f>
        <v>0</v>
      </c>
      <c r="F28" s="63"/>
      <c r="G28" s="18">
        <f t="shared" si="1"/>
        <v>1</v>
      </c>
      <c r="H28" s="18"/>
      <c r="I28" s="13">
        <f t="shared" si="2"/>
        <v>0</v>
      </c>
      <c r="J28" s="54" t="str">
        <f>IF(E28&gt;0,VLOOKUP(A28,ServOrderMins!$A$7:$E$28,5,FALSE),"")</f>
        <v/>
      </c>
      <c r="K28" s="54" t="str">
        <f>IF(LEN(J28)&gt;0,'0-Inputs'!$B$229,"")</f>
        <v/>
      </c>
      <c r="L28" s="21">
        <f t="shared" si="3"/>
        <v>0</v>
      </c>
      <c r="M28" s="12"/>
      <c r="N28" s="463"/>
      <c r="O28" s="12"/>
      <c r="Q28" s="12"/>
      <c r="R28" s="12"/>
      <c r="T28" s="21"/>
    </row>
    <row r="29" spans="1:20" x14ac:dyDescent="0.35">
      <c r="A29" s="409" t="s">
        <v>165</v>
      </c>
      <c r="B29" s="411">
        <v>1963</v>
      </c>
      <c r="C29" s="411">
        <v>1951</v>
      </c>
      <c r="D29" s="63">
        <f t="shared" si="0"/>
        <v>0.99388690779419253</v>
      </c>
      <c r="E29" s="150">
        <f>IFERROR(INDEX('0-Inputs'!$B$211:$B$226,MATCH(A29,'0-Inputs'!$A$211:$A$226,0)),0)</f>
        <v>0.95</v>
      </c>
      <c r="F29" s="63"/>
      <c r="G29" s="18">
        <f t="shared" si="1"/>
        <v>98.150000000000091</v>
      </c>
      <c r="H29" s="18"/>
      <c r="I29" s="13">
        <f t="shared" si="2"/>
        <v>-1853.4499999999998</v>
      </c>
      <c r="J29" s="54">
        <f>IF(E29&gt;0,VLOOKUP(A29,ServOrderMins!$A$7:$E$28,5,FALSE),"")</f>
        <v>15</v>
      </c>
      <c r="K29" s="54">
        <f>IF(LEN(J29)&gt;0,'0-Inputs'!$B$229,"")</f>
        <v>7.6266107302274344</v>
      </c>
      <c r="L29" s="21">
        <f t="shared" si="3"/>
        <v>-698.95486096566719</v>
      </c>
      <c r="M29" s="12"/>
      <c r="N29" s="463"/>
      <c r="O29" s="12"/>
      <c r="Q29" s="12"/>
      <c r="R29" s="12"/>
      <c r="T29" s="21"/>
    </row>
    <row r="30" spans="1:20" x14ac:dyDescent="0.35">
      <c r="A30" s="409" t="s">
        <v>784</v>
      </c>
      <c r="B30" s="411">
        <v>4</v>
      </c>
      <c r="C30" s="411">
        <v>4</v>
      </c>
      <c r="D30" s="63">
        <f t="shared" si="0"/>
        <v>1</v>
      </c>
      <c r="E30" s="150">
        <f>IFERROR(INDEX('0-Inputs'!$B$211:$B$226,MATCH(A30,'0-Inputs'!$A$211:$A$226,0)),0)</f>
        <v>0</v>
      </c>
      <c r="F30" s="63"/>
      <c r="G30" s="18">
        <f t="shared" si="1"/>
        <v>4</v>
      </c>
      <c r="H30" s="18"/>
      <c r="I30" s="13">
        <f t="shared" si="2"/>
        <v>0</v>
      </c>
      <c r="J30" s="54" t="str">
        <f>IF(E30&gt;0,VLOOKUP(A30,ServOrderMins!$A$7:$E$28,5,FALSE),"")</f>
        <v/>
      </c>
      <c r="K30" s="54" t="str">
        <f>IF(LEN(J30)&gt;0,'0-Inputs'!$B$229,"")</f>
        <v/>
      </c>
      <c r="L30" s="21">
        <f t="shared" si="3"/>
        <v>0</v>
      </c>
      <c r="M30" s="12"/>
      <c r="N30" s="463"/>
      <c r="O30" s="12"/>
      <c r="Q30" s="12"/>
      <c r="R30" s="12"/>
      <c r="T30" s="21"/>
    </row>
    <row r="31" spans="1:20" x14ac:dyDescent="0.35">
      <c r="A31" s="409" t="s">
        <v>785</v>
      </c>
      <c r="B31" s="411">
        <v>4</v>
      </c>
      <c r="C31" s="411">
        <v>3</v>
      </c>
      <c r="D31" s="63">
        <f t="shared" si="0"/>
        <v>0.75</v>
      </c>
      <c r="E31" s="150">
        <f>IFERROR(INDEX('0-Inputs'!$B$211:$B$226,MATCH(A31,'0-Inputs'!$A$211:$A$226,0)),0)</f>
        <v>0</v>
      </c>
      <c r="F31" s="63"/>
      <c r="G31" s="18">
        <f t="shared" si="1"/>
        <v>4</v>
      </c>
      <c r="H31" s="18"/>
      <c r="I31" s="13">
        <f t="shared" si="2"/>
        <v>0</v>
      </c>
      <c r="J31" s="54" t="str">
        <f>IF(E31&gt;0,VLOOKUP(A31,ServOrderMins!$A$7:$E$28,5,FALSE),"")</f>
        <v/>
      </c>
      <c r="K31" s="54" t="str">
        <f>IF(LEN(J31)&gt;0,'0-Inputs'!$B$229,"")</f>
        <v/>
      </c>
      <c r="L31" s="21">
        <f t="shared" si="3"/>
        <v>0</v>
      </c>
      <c r="M31" s="12"/>
      <c r="N31" s="463"/>
      <c r="O31" s="12"/>
      <c r="Q31" s="12"/>
      <c r="R31" s="12"/>
      <c r="T31" s="21"/>
    </row>
    <row r="32" spans="1:20" x14ac:dyDescent="0.35">
      <c r="A32" s="409" t="s">
        <v>166</v>
      </c>
      <c r="B32" s="411">
        <v>4563</v>
      </c>
      <c r="C32" s="411">
        <v>4458</v>
      </c>
      <c r="D32" s="63">
        <f t="shared" si="0"/>
        <v>0.97698882314266933</v>
      </c>
      <c r="E32" s="150">
        <v>0.25</v>
      </c>
      <c r="F32" s="63"/>
      <c r="G32" s="18">
        <f t="shared" si="1"/>
        <v>3422.25</v>
      </c>
      <c r="H32" s="18"/>
      <c r="I32" s="13">
        <f t="shared" si="2"/>
        <v>-1114.5</v>
      </c>
      <c r="J32" s="54">
        <f>IF(E32&gt;0,VLOOKUP(A32,ServOrderMins!$A$7:$E$28,5,FALSE),"")</f>
        <v>15</v>
      </c>
      <c r="K32" s="54">
        <f>IF(LEN(J32)&gt;0,'0-Inputs'!$B$229,"")</f>
        <v>7.6266107302274344</v>
      </c>
      <c r="L32" s="21">
        <f t="shared" si="3"/>
        <v>-420.28929431397461</v>
      </c>
      <c r="M32" s="12"/>
      <c r="N32" s="463"/>
      <c r="O32" s="12"/>
      <c r="Q32" s="12"/>
      <c r="R32" s="12"/>
      <c r="T32" s="21"/>
    </row>
    <row r="33" spans="1:20" x14ac:dyDescent="0.35">
      <c r="A33" s="409" t="s">
        <v>786</v>
      </c>
      <c r="B33" s="411">
        <v>141</v>
      </c>
      <c r="C33" s="411">
        <v>141</v>
      </c>
      <c r="D33" s="63">
        <f t="shared" si="0"/>
        <v>1</v>
      </c>
      <c r="E33" s="150">
        <f>IFERROR(INDEX('0-Inputs'!$B$211:$B$226,MATCH(A33,'0-Inputs'!$A$211:$A$226,0)),0)</f>
        <v>0</v>
      </c>
      <c r="F33" s="63"/>
      <c r="G33" s="18">
        <f t="shared" si="1"/>
        <v>141</v>
      </c>
      <c r="H33" s="18"/>
      <c r="I33" s="13">
        <f t="shared" si="2"/>
        <v>0</v>
      </c>
      <c r="J33" s="54" t="str">
        <f>IF(E33&gt;0,VLOOKUP(A33,ServOrderMins!$A$7:$E$28,5,FALSE),"")</f>
        <v/>
      </c>
      <c r="K33" s="54" t="str">
        <f>IF(LEN(J33)&gt;0,'0-Inputs'!$B$229,"")</f>
        <v/>
      </c>
      <c r="L33" s="21">
        <f t="shared" si="3"/>
        <v>0</v>
      </c>
      <c r="M33" s="12"/>
      <c r="N33" s="463"/>
      <c r="O33" s="12"/>
      <c r="Q33" s="12"/>
      <c r="R33" s="12"/>
      <c r="T33" s="21"/>
    </row>
    <row r="34" spans="1:20" ht="15" customHeight="1" x14ac:dyDescent="0.35">
      <c r="A34" s="409" t="s">
        <v>787</v>
      </c>
      <c r="B34" s="411">
        <v>2</v>
      </c>
      <c r="C34" s="411">
        <v>1</v>
      </c>
      <c r="D34" s="63">
        <f t="shared" si="0"/>
        <v>0.5</v>
      </c>
      <c r="E34" s="150">
        <f>IFERROR(INDEX('0-Inputs'!$B$211:$B$226,MATCH(A34,'0-Inputs'!$A$211:$A$226,0)),0)</f>
        <v>0</v>
      </c>
      <c r="F34" s="63"/>
      <c r="G34" s="18">
        <f t="shared" si="1"/>
        <v>2</v>
      </c>
      <c r="H34" s="18"/>
      <c r="I34" s="13">
        <f t="shared" si="2"/>
        <v>0</v>
      </c>
      <c r="J34" s="54" t="str">
        <f>IF(E34&gt;0,VLOOKUP(A34,ServOrderMins!$A$7:$E$28,5,FALSE),"")</f>
        <v/>
      </c>
      <c r="K34" s="54" t="str">
        <f>IF(LEN(J34)&gt;0,'0-Inputs'!$B$229,"")</f>
        <v/>
      </c>
      <c r="L34" s="21">
        <f t="shared" si="3"/>
        <v>0</v>
      </c>
      <c r="M34" s="12"/>
      <c r="N34" s="463"/>
      <c r="O34" s="12"/>
      <c r="Q34" s="12"/>
      <c r="R34" s="12"/>
      <c r="T34" s="21"/>
    </row>
    <row r="35" spans="1:20" x14ac:dyDescent="0.35">
      <c r="A35" s="409" t="s">
        <v>167</v>
      </c>
      <c r="B35" s="411">
        <v>18</v>
      </c>
      <c r="C35" s="411">
        <v>18</v>
      </c>
      <c r="D35" s="63">
        <f t="shared" si="0"/>
        <v>1</v>
      </c>
      <c r="E35" s="150">
        <v>0.75</v>
      </c>
      <c r="F35" s="63"/>
      <c r="G35" s="18">
        <f t="shared" si="1"/>
        <v>4.5</v>
      </c>
      <c r="H35" s="18"/>
      <c r="I35" s="13">
        <f t="shared" si="2"/>
        <v>-13.5</v>
      </c>
      <c r="J35" s="54">
        <f>IF(E35&gt;0,VLOOKUP(A35,ServOrderMins!$A$7:$E$28,5,FALSE),"")</f>
        <v>23</v>
      </c>
      <c r="K35" s="54">
        <f>IF(LEN(J35)&gt;0,'0-Inputs'!$B$229,"")</f>
        <v>7.6266107302274344</v>
      </c>
      <c r="L35" s="21">
        <f t="shared" si="3"/>
        <v>-6.8909874143011729</v>
      </c>
      <c r="M35" s="12"/>
      <c r="N35" s="463"/>
      <c r="O35" s="12"/>
      <c r="Q35" s="12"/>
      <c r="R35" s="12"/>
      <c r="T35" s="21"/>
    </row>
    <row r="36" spans="1:20" x14ac:dyDescent="0.35">
      <c r="A36" s="409" t="s">
        <v>168</v>
      </c>
      <c r="B36" s="411">
        <v>11426</v>
      </c>
      <c r="C36" s="411">
        <v>11337</v>
      </c>
      <c r="D36" s="63">
        <f t="shared" si="0"/>
        <v>0.99221074741816906</v>
      </c>
      <c r="E36" s="150">
        <v>0.95</v>
      </c>
      <c r="F36" s="63"/>
      <c r="G36" s="18">
        <f t="shared" si="1"/>
        <v>571.30000000000052</v>
      </c>
      <c r="H36" s="18"/>
      <c r="I36" s="13">
        <f t="shared" si="2"/>
        <v>-10770.149999999998</v>
      </c>
      <c r="J36" s="54">
        <f>IF(E36&gt;0,VLOOKUP(A36,ServOrderMins!$A$7:$E$28,5,FALSE),"")</f>
        <v>15</v>
      </c>
      <c r="K36" s="54">
        <f>IF(LEN(J36)&gt;0,'0-Inputs'!$B$229,"")</f>
        <v>7.6266107302274344</v>
      </c>
      <c r="L36" s="21">
        <f t="shared" si="3"/>
        <v>-4061.5331926026488</v>
      </c>
      <c r="M36" s="12"/>
      <c r="N36" s="463"/>
      <c r="O36" s="12"/>
      <c r="Q36" s="12"/>
      <c r="R36" s="12"/>
      <c r="T36" s="21"/>
    </row>
    <row r="37" spans="1:20" x14ac:dyDescent="0.35">
      <c r="A37" s="409" t="s">
        <v>168</v>
      </c>
      <c r="B37" s="411">
        <v>848</v>
      </c>
      <c r="C37" s="411">
        <v>839</v>
      </c>
      <c r="D37" s="63">
        <f t="shared" si="0"/>
        <v>0.98938679245283023</v>
      </c>
      <c r="E37" s="150">
        <v>0.95</v>
      </c>
      <c r="F37" s="63"/>
      <c r="G37" s="18">
        <f t="shared" si="1"/>
        <v>42.400000000000034</v>
      </c>
      <c r="H37" s="18"/>
      <c r="I37" s="13">
        <f t="shared" si="2"/>
        <v>-797.05</v>
      </c>
      <c r="J37" s="54">
        <f>IF(E37&gt;0,VLOOKUP(A37,ServOrderMins!$A$7:$E$28,5,FALSE),"")</f>
        <v>15</v>
      </c>
      <c r="K37" s="54">
        <f>IF(LEN(J37)&gt;0,'0-Inputs'!$B$229,"")</f>
        <v>7.6266107302274344</v>
      </c>
      <c r="L37" s="21">
        <f t="shared" si="3"/>
        <v>-300.57566804212962</v>
      </c>
      <c r="M37" s="12"/>
      <c r="N37" s="463"/>
      <c r="O37" s="12"/>
      <c r="Q37" s="12"/>
      <c r="R37" s="12"/>
      <c r="T37" s="21"/>
    </row>
    <row r="38" spans="1:20" x14ac:dyDescent="0.35">
      <c r="A38" s="409" t="s">
        <v>168</v>
      </c>
      <c r="B38" s="411">
        <v>2246</v>
      </c>
      <c r="C38" s="411">
        <v>2230</v>
      </c>
      <c r="D38" s="63">
        <f t="shared" si="0"/>
        <v>0.99287622439893142</v>
      </c>
      <c r="E38" s="150">
        <v>0.95</v>
      </c>
      <c r="F38" s="63"/>
      <c r="G38" s="18">
        <f t="shared" si="1"/>
        <v>112.3000000000001</v>
      </c>
      <c r="H38" s="18"/>
      <c r="I38" s="13">
        <f t="shared" si="2"/>
        <v>-2118.5</v>
      </c>
      <c r="J38" s="54">
        <f>IF(E38&gt;0,VLOOKUP(A38,ServOrderMins!$A$7:$E$28,5,FALSE),"")</f>
        <v>15</v>
      </c>
      <c r="K38" s="54">
        <f>IF(LEN(J38)&gt;0,'0-Inputs'!$B$229,"")</f>
        <v>7.6266107302274344</v>
      </c>
      <c r="L38" s="21">
        <f t="shared" si="3"/>
        <v>-798.90791386644696</v>
      </c>
      <c r="M38" s="12"/>
      <c r="N38" s="463"/>
      <c r="O38" s="12"/>
      <c r="Q38" s="12"/>
      <c r="R38" s="12"/>
      <c r="T38" s="21"/>
    </row>
    <row r="39" spans="1:20" x14ac:dyDescent="0.35">
      <c r="A39" s="409" t="s">
        <v>788</v>
      </c>
      <c r="B39" s="411">
        <v>541</v>
      </c>
      <c r="C39" s="411">
        <v>503</v>
      </c>
      <c r="D39" s="63">
        <f t="shared" si="0"/>
        <v>0.92975970425138632</v>
      </c>
      <c r="E39" s="150">
        <f>IFERROR(INDEX('0-Inputs'!$B$211:$B$226,MATCH(A39,'0-Inputs'!$A$211:$A$226,0)),0)</f>
        <v>0</v>
      </c>
      <c r="F39" s="63"/>
      <c r="G39" s="18">
        <f t="shared" si="1"/>
        <v>541</v>
      </c>
      <c r="H39" s="18"/>
      <c r="I39" s="13">
        <f t="shared" si="2"/>
        <v>0</v>
      </c>
      <c r="J39" s="54" t="str">
        <f>IF(E39&gt;0,VLOOKUP(A39,ServOrderMins!$A$7:$E$28,5,FALSE),"")</f>
        <v/>
      </c>
      <c r="K39" s="54" t="str">
        <f>IF(LEN(J39)&gt;0,'0-Inputs'!$B$229,"")</f>
        <v/>
      </c>
      <c r="L39" s="21">
        <f t="shared" si="3"/>
        <v>0</v>
      </c>
      <c r="M39" s="12"/>
      <c r="N39" s="463"/>
      <c r="O39" s="12"/>
      <c r="Q39" s="12"/>
      <c r="R39" s="12"/>
      <c r="T39" s="21"/>
    </row>
    <row r="40" spans="1:20" x14ac:dyDescent="0.35">
      <c r="A40" s="409" t="s">
        <v>169</v>
      </c>
      <c r="B40" s="411">
        <v>7245</v>
      </c>
      <c r="C40" s="411">
        <v>7150</v>
      </c>
      <c r="D40" s="63">
        <f t="shared" si="0"/>
        <v>0.9868875086266391</v>
      </c>
      <c r="E40" s="150">
        <f>IFERROR(INDEX('0-Inputs'!$B$211:$B$226,MATCH(A40,'0-Inputs'!$A$211:$A$226,0)),0)</f>
        <v>0.95</v>
      </c>
      <c r="F40" s="63"/>
      <c r="G40" s="18">
        <f t="shared" si="1"/>
        <v>362.25000000000034</v>
      </c>
      <c r="H40" s="18"/>
      <c r="I40" s="13">
        <f t="shared" si="2"/>
        <v>-6792.5</v>
      </c>
      <c r="J40" s="54">
        <f>IF(E40&gt;0,VLOOKUP(A40,ServOrderMins!$A$7:$E$28,5,FALSE),"")</f>
        <v>15</v>
      </c>
      <c r="K40" s="54">
        <f>IF(LEN(J40)&gt;0,'0-Inputs'!$B$229,"")</f>
        <v>7.6266107302274344</v>
      </c>
      <c r="L40" s="21">
        <f t="shared" si="3"/>
        <v>-2561.5208897511638</v>
      </c>
      <c r="M40" s="12"/>
      <c r="N40" s="463"/>
      <c r="O40" s="12"/>
      <c r="Q40" s="12"/>
      <c r="R40" s="12"/>
      <c r="T40" s="21"/>
    </row>
    <row r="41" spans="1:20" x14ac:dyDescent="0.35">
      <c r="A41" s="409" t="s">
        <v>170</v>
      </c>
      <c r="B41" s="411">
        <v>152</v>
      </c>
      <c r="C41" s="411">
        <v>145</v>
      </c>
      <c r="D41" s="63">
        <f t="shared" si="0"/>
        <v>0.95394736842105265</v>
      </c>
      <c r="E41" s="150">
        <f>IFERROR(INDEX('0-Inputs'!$B$211:$B$226,MATCH(A41,'0-Inputs'!$A$211:$A$226,0)),0)</f>
        <v>0.95</v>
      </c>
      <c r="F41" s="63"/>
      <c r="G41" s="18">
        <f t="shared" si="1"/>
        <v>7.6000000000000068</v>
      </c>
      <c r="H41" s="18"/>
      <c r="I41" s="13">
        <f t="shared" si="2"/>
        <v>-137.75</v>
      </c>
      <c r="J41" s="54">
        <f>IF(E41&gt;0,VLOOKUP(A41,ServOrderMins!$A$7:$E$28,5,FALSE),"")</f>
        <v>15</v>
      </c>
      <c r="K41" s="54">
        <f>IF(LEN(J41)&gt;0,'0-Inputs'!$B$229,"")</f>
        <v>7.6266107302274344</v>
      </c>
      <c r="L41" s="21">
        <f t="shared" si="3"/>
        <v>-51.946927134813812</v>
      </c>
      <c r="M41" s="12"/>
      <c r="N41" s="463"/>
      <c r="O41" s="12"/>
      <c r="Q41" s="12"/>
      <c r="R41" s="12"/>
      <c r="T41" s="21"/>
    </row>
    <row r="42" spans="1:20" x14ac:dyDescent="0.35">
      <c r="A42" s="409" t="s">
        <v>789</v>
      </c>
      <c r="B42" s="411">
        <v>4</v>
      </c>
      <c r="C42" s="411">
        <v>4</v>
      </c>
      <c r="D42" s="63">
        <f t="shared" si="0"/>
        <v>1</v>
      </c>
      <c r="E42" s="150">
        <f>IFERROR(INDEX('0-Inputs'!$B$211:$B$226,MATCH(A42,'0-Inputs'!$A$211:$A$226,0)),0)</f>
        <v>0</v>
      </c>
      <c r="F42" s="63"/>
      <c r="G42" s="18">
        <f t="shared" si="1"/>
        <v>4</v>
      </c>
      <c r="H42" s="18"/>
      <c r="I42" s="13">
        <f t="shared" si="2"/>
        <v>0</v>
      </c>
      <c r="J42" s="54" t="str">
        <f>IF(E42&gt;0,VLOOKUP(A42,ServOrderMins!$A$7:$E$28,5,FALSE),"")</f>
        <v/>
      </c>
      <c r="K42" s="54" t="str">
        <f>IF(LEN(J42)&gt;0,'0-Inputs'!$B$229,"")</f>
        <v/>
      </c>
      <c r="L42" s="21">
        <f t="shared" si="3"/>
        <v>0</v>
      </c>
      <c r="M42" s="12"/>
      <c r="N42" s="463"/>
      <c r="O42" s="12"/>
      <c r="Q42" s="12"/>
      <c r="R42" s="12"/>
      <c r="T42" s="21"/>
    </row>
    <row r="43" spans="1:20" x14ac:dyDescent="0.35">
      <c r="A43" s="409" t="s">
        <v>790</v>
      </c>
      <c r="B43" s="411">
        <v>9</v>
      </c>
      <c r="C43" s="411">
        <v>9</v>
      </c>
      <c r="D43" s="63">
        <f t="shared" si="0"/>
        <v>1</v>
      </c>
      <c r="E43" s="150">
        <f>IFERROR(INDEX('0-Inputs'!$B$211:$B$226,MATCH(A43,'0-Inputs'!$A$211:$A$226,0)),0)</f>
        <v>0</v>
      </c>
      <c r="F43" s="63"/>
      <c r="G43" s="18">
        <f t="shared" si="1"/>
        <v>9</v>
      </c>
      <c r="H43" s="18"/>
      <c r="I43" s="13">
        <f t="shared" si="2"/>
        <v>0</v>
      </c>
      <c r="J43" s="54" t="str">
        <f>IF(E43&gt;0,VLOOKUP(A43,ServOrderMins!$A$7:$E$28,5,FALSE),"")</f>
        <v/>
      </c>
      <c r="K43" s="54" t="str">
        <f>IF(LEN(J43)&gt;0,'0-Inputs'!$B$229,"")</f>
        <v/>
      </c>
      <c r="L43" s="21">
        <f t="shared" si="3"/>
        <v>0</v>
      </c>
      <c r="M43" s="12"/>
      <c r="N43" s="463"/>
      <c r="O43" s="12"/>
      <c r="Q43" s="12"/>
      <c r="R43" s="12"/>
      <c r="T43" s="21"/>
    </row>
    <row r="44" spans="1:20" x14ac:dyDescent="0.35">
      <c r="A44" s="409" t="s">
        <v>173</v>
      </c>
      <c r="B44" s="411">
        <v>935</v>
      </c>
      <c r="C44" s="411">
        <v>761</v>
      </c>
      <c r="D44" s="63">
        <f t="shared" si="0"/>
        <v>0.81390374331550797</v>
      </c>
      <c r="E44" s="150">
        <f>IFERROR(INDEX('0-Inputs'!$B$211:$B$226,MATCH(A44,'0-Inputs'!$A$211:$A$226,0)),0)</f>
        <v>0.25</v>
      </c>
      <c r="F44" s="63"/>
      <c r="G44" s="18">
        <f t="shared" si="1"/>
        <v>701.25</v>
      </c>
      <c r="H44" s="18"/>
      <c r="I44" s="13">
        <f t="shared" si="2"/>
        <v>-190.25</v>
      </c>
      <c r="J44" s="54">
        <f>IF(E44&gt;0,VLOOKUP(A44,ServOrderMins!$A$7:$E$28,5,FALSE),"")</f>
        <v>30</v>
      </c>
      <c r="K44" s="54">
        <f>IF(LEN(J44)&gt;0,'0-Inputs'!$B$229,"")</f>
        <v>7.6266107302274344</v>
      </c>
      <c r="L44" s="21">
        <f t="shared" si="3"/>
        <v>-119.30771152376283</v>
      </c>
      <c r="M44" s="12"/>
      <c r="N44" s="463"/>
      <c r="O44" s="12"/>
      <c r="T44" s="21"/>
    </row>
    <row r="45" spans="1:20" x14ac:dyDescent="0.35">
      <c r="A45" s="409" t="s">
        <v>791</v>
      </c>
      <c r="B45" s="411">
        <v>98</v>
      </c>
      <c r="C45" s="411">
        <v>85</v>
      </c>
      <c r="D45" s="63">
        <f t="shared" si="0"/>
        <v>0.86734693877551017</v>
      </c>
      <c r="E45" s="150">
        <f>IFERROR(INDEX('0-Inputs'!$B$211:$B$226,MATCH(A45,'0-Inputs'!$A$211:$A$226,0)),0)</f>
        <v>0</v>
      </c>
      <c r="F45" s="63"/>
      <c r="G45" s="18">
        <f t="shared" si="1"/>
        <v>98</v>
      </c>
      <c r="H45" s="18"/>
      <c r="I45" s="13">
        <f t="shared" si="2"/>
        <v>0</v>
      </c>
      <c r="J45" s="54" t="str">
        <f>IF(E45&gt;0,VLOOKUP(A45,ServOrderMins!$A$7:$E$28,5,FALSE),"")</f>
        <v/>
      </c>
      <c r="K45" s="54" t="str">
        <f>IF(LEN(J45)&gt;0,'0-Inputs'!$B$229,"")</f>
        <v/>
      </c>
      <c r="L45" s="21">
        <f t="shared" si="3"/>
        <v>0</v>
      </c>
      <c r="M45" s="12"/>
      <c r="N45" s="463"/>
      <c r="O45" s="12"/>
      <c r="T45" s="21"/>
    </row>
    <row r="46" spans="1:20" x14ac:dyDescent="0.35">
      <c r="A46" s="409" t="s">
        <v>792</v>
      </c>
      <c r="B46" s="411">
        <v>12</v>
      </c>
      <c r="C46" s="411">
        <v>12</v>
      </c>
      <c r="D46" s="63">
        <f t="shared" si="0"/>
        <v>1</v>
      </c>
      <c r="E46" s="150">
        <f>IFERROR(INDEX('0-Inputs'!$B$211:$B$226,MATCH(A46,'0-Inputs'!$A$211:$A$226,0)),0)</f>
        <v>0</v>
      </c>
      <c r="F46" s="63"/>
      <c r="G46" s="18">
        <f t="shared" si="1"/>
        <v>12</v>
      </c>
      <c r="H46" s="18"/>
      <c r="I46" s="13">
        <f t="shared" si="2"/>
        <v>0</v>
      </c>
      <c r="J46" s="54" t="str">
        <f>IF(E46&gt;0,VLOOKUP(A46,ServOrderMins!$A$7:$E$28,5,FALSE),"")</f>
        <v/>
      </c>
      <c r="K46" s="54" t="str">
        <f>IF(LEN(J46)&gt;0,'0-Inputs'!$B$229,"")</f>
        <v/>
      </c>
      <c r="L46" s="21">
        <f t="shared" si="3"/>
        <v>0</v>
      </c>
      <c r="M46" s="12"/>
      <c r="N46" s="463"/>
      <c r="O46" s="12"/>
      <c r="T46" s="21"/>
    </row>
    <row r="47" spans="1:20" x14ac:dyDescent="0.35">
      <c r="A47" s="409" t="s">
        <v>171</v>
      </c>
      <c r="B47" s="411">
        <v>17</v>
      </c>
      <c r="C47" s="411">
        <v>15</v>
      </c>
      <c r="D47" s="63">
        <f t="shared" si="0"/>
        <v>0.88235294117647056</v>
      </c>
      <c r="E47" s="150">
        <f>IFERROR(INDEX('0-Inputs'!$B$211:$B$226,MATCH(A47,'0-Inputs'!$A$211:$A$226,0)),0)</f>
        <v>0.25</v>
      </c>
      <c r="F47" s="63"/>
      <c r="G47" s="18">
        <f t="shared" si="1"/>
        <v>12.75</v>
      </c>
      <c r="H47" s="18"/>
      <c r="I47" s="13">
        <f t="shared" si="2"/>
        <v>-3.75</v>
      </c>
      <c r="J47" s="54">
        <f>IF(E47&gt;0,VLOOKUP(A47,ServOrderMins!$A$7:$E$28,5,FALSE),"")</f>
        <v>30</v>
      </c>
      <c r="K47" s="54">
        <f>IF(LEN(J47)&gt;0,'0-Inputs'!$B$229,"")</f>
        <v>7.6266107302274344</v>
      </c>
      <c r="L47" s="21">
        <f t="shared" si="3"/>
        <v>-2.3516631706392146</v>
      </c>
      <c r="M47" s="12"/>
      <c r="N47" s="463"/>
      <c r="O47" s="12"/>
      <c r="T47" s="21"/>
    </row>
    <row r="48" spans="1:20" x14ac:dyDescent="0.35">
      <c r="A48" s="409" t="s">
        <v>172</v>
      </c>
      <c r="B48" s="411">
        <v>3326</v>
      </c>
      <c r="C48" s="411">
        <v>3025</v>
      </c>
      <c r="D48" s="63">
        <f t="shared" si="0"/>
        <v>0.90950090198436562</v>
      </c>
      <c r="E48" s="150">
        <f>IFERROR(INDEX('0-Inputs'!$B$211:$B$226,MATCH(A48,'0-Inputs'!$A$211:$A$226,0)),0)</f>
        <v>0.25</v>
      </c>
      <c r="F48" s="63"/>
      <c r="G48" s="18">
        <f t="shared" si="1"/>
        <v>2494.5</v>
      </c>
      <c r="H48" s="18"/>
      <c r="I48" s="13">
        <f t="shared" si="2"/>
        <v>-756.25</v>
      </c>
      <c r="J48" s="54">
        <f>IF(E48&gt;0,VLOOKUP(A48,ServOrderMins!$A$7:$E$28,5,FALSE),"")</f>
        <v>30</v>
      </c>
      <c r="K48" s="54">
        <f>IF(LEN(J48)&gt;0,'0-Inputs'!$B$229,"")</f>
        <v>7.6266107302274344</v>
      </c>
      <c r="L48" s="21">
        <f t="shared" si="3"/>
        <v>-474.25207274557494</v>
      </c>
      <c r="M48" s="12"/>
      <c r="N48" s="463"/>
      <c r="O48" s="12"/>
      <c r="T48" s="21"/>
    </row>
    <row r="49" spans="1:20" x14ac:dyDescent="0.35">
      <c r="A49" s="409" t="s">
        <v>793</v>
      </c>
      <c r="B49" s="411">
        <v>937</v>
      </c>
      <c r="C49" s="411">
        <v>890</v>
      </c>
      <c r="D49" s="63">
        <f t="shared" si="0"/>
        <v>0.94983991462113126</v>
      </c>
      <c r="E49" s="150">
        <f>IFERROR(INDEX('0-Inputs'!$B$211:$B$226,MATCH(A49,'0-Inputs'!$A$211:$A$226,0)),0)</f>
        <v>0</v>
      </c>
      <c r="F49" s="63"/>
      <c r="G49" s="18">
        <f t="shared" si="1"/>
        <v>937</v>
      </c>
      <c r="H49" s="18"/>
      <c r="I49" s="13">
        <f t="shared" si="2"/>
        <v>0</v>
      </c>
      <c r="J49" s="54" t="str">
        <f>IF(E49&gt;0,VLOOKUP(A49,ServOrderMins!$A$7:$E$28,5,FALSE),"")</f>
        <v/>
      </c>
      <c r="K49" s="54" t="str">
        <f>IF(LEN(J49)&gt;0,'0-Inputs'!$B$229,"")</f>
        <v/>
      </c>
      <c r="L49" s="21">
        <f t="shared" si="3"/>
        <v>0</v>
      </c>
      <c r="M49" s="12"/>
      <c r="N49" s="463"/>
      <c r="O49" s="12"/>
      <c r="T49" s="21"/>
    </row>
    <row r="50" spans="1:20" x14ac:dyDescent="0.35">
      <c r="A50" s="409" t="s">
        <v>794</v>
      </c>
      <c r="B50" s="411">
        <v>4296</v>
      </c>
      <c r="C50" s="411">
        <v>4068</v>
      </c>
      <c r="D50" s="63">
        <f t="shared" si="0"/>
        <v>0.94692737430167595</v>
      </c>
      <c r="E50" s="150">
        <f>IFERROR(INDEX('0-Inputs'!$B$211:$B$226,MATCH(A50,'0-Inputs'!$A$211:$A$226,0)),0)</f>
        <v>0</v>
      </c>
      <c r="F50" s="63"/>
      <c r="G50" s="18">
        <f t="shared" si="1"/>
        <v>4296</v>
      </c>
      <c r="H50" s="18"/>
      <c r="I50" s="13">
        <f t="shared" si="2"/>
        <v>0</v>
      </c>
      <c r="J50" s="54" t="str">
        <f>IF(E50&gt;0,VLOOKUP(A50,ServOrderMins!$A$7:$E$28,5,FALSE),"")</f>
        <v/>
      </c>
      <c r="K50" s="54" t="str">
        <f>IF(LEN(J50)&gt;0,'0-Inputs'!$B$229,"")</f>
        <v/>
      </c>
      <c r="L50" s="21">
        <f t="shared" si="3"/>
        <v>0</v>
      </c>
      <c r="M50" s="12"/>
      <c r="N50" s="463"/>
      <c r="O50" s="12"/>
      <c r="T50" s="21"/>
    </row>
    <row r="51" spans="1:20" x14ac:dyDescent="0.35">
      <c r="A51" s="409" t="s">
        <v>795</v>
      </c>
      <c r="B51" s="411">
        <v>5806</v>
      </c>
      <c r="C51" s="411">
        <v>5556</v>
      </c>
      <c r="D51" s="63">
        <f t="shared" si="0"/>
        <v>0.95694109541853256</v>
      </c>
      <c r="E51" s="150">
        <f>IFERROR(INDEX('0-Inputs'!$B$211:$B$226,MATCH(A51,'0-Inputs'!$A$211:$A$226,0)),0)</f>
        <v>0</v>
      </c>
      <c r="F51" s="63"/>
      <c r="G51" s="18">
        <f t="shared" si="1"/>
        <v>5806</v>
      </c>
      <c r="H51" s="18"/>
      <c r="I51" s="13">
        <f t="shared" si="2"/>
        <v>0</v>
      </c>
      <c r="J51" s="54" t="str">
        <f>IF(E51&gt;0,VLOOKUP(A51,ServOrderMins!$A$7:$E$28,5,FALSE),"")</f>
        <v/>
      </c>
      <c r="K51" s="54" t="str">
        <f>IF(LEN(J51)&gt;0,'0-Inputs'!$B$229,"")</f>
        <v/>
      </c>
      <c r="L51" s="21">
        <f t="shared" si="3"/>
        <v>0</v>
      </c>
      <c r="M51" s="12"/>
      <c r="N51" s="463"/>
      <c r="O51" s="12"/>
      <c r="T51" s="21"/>
    </row>
    <row r="52" spans="1:20" x14ac:dyDescent="0.35">
      <c r="A52" s="409" t="s">
        <v>796</v>
      </c>
      <c r="B52" s="411">
        <v>175</v>
      </c>
      <c r="C52" s="411">
        <v>167</v>
      </c>
      <c r="D52" s="63">
        <f t="shared" si="0"/>
        <v>0.95428571428571429</v>
      </c>
      <c r="E52" s="150">
        <f>IFERROR(INDEX('0-Inputs'!$B$211:$B$226,MATCH(A52,'0-Inputs'!$A$211:$A$226,0)),0)</f>
        <v>0</v>
      </c>
      <c r="F52" s="63"/>
      <c r="G52" s="18">
        <f t="shared" si="1"/>
        <v>175</v>
      </c>
      <c r="H52" s="18"/>
      <c r="I52" s="13">
        <f t="shared" si="2"/>
        <v>0</v>
      </c>
      <c r="J52" s="54" t="str">
        <f>IF(E52&gt;0,VLOOKUP(A52,ServOrderMins!$A$7:$E$28,5,FALSE),"")</f>
        <v/>
      </c>
      <c r="K52" s="54" t="str">
        <f>IF(LEN(J52)&gt;0,'0-Inputs'!$B$229,"")</f>
        <v/>
      </c>
      <c r="L52" s="21">
        <f t="shared" si="3"/>
        <v>0</v>
      </c>
      <c r="M52" s="12"/>
      <c r="N52" s="463"/>
      <c r="O52" s="12"/>
      <c r="T52" s="21"/>
    </row>
    <row r="53" spans="1:20" x14ac:dyDescent="0.35">
      <c r="A53" s="409" t="s">
        <v>797</v>
      </c>
      <c r="B53" s="411">
        <v>3777</v>
      </c>
      <c r="C53" s="411">
        <v>3467</v>
      </c>
      <c r="D53" s="63">
        <f t="shared" si="0"/>
        <v>0.91792427852793224</v>
      </c>
      <c r="E53" s="150">
        <f>IFERROR(INDEX('0-Inputs'!$B$211:$B$226,MATCH(A53,'0-Inputs'!$A$211:$A$226,0)),0)</f>
        <v>0</v>
      </c>
      <c r="F53" s="63"/>
      <c r="G53" s="18">
        <f t="shared" si="1"/>
        <v>3777</v>
      </c>
      <c r="H53" s="18"/>
      <c r="I53" s="13">
        <f t="shared" si="2"/>
        <v>0</v>
      </c>
      <c r="J53" s="54" t="str">
        <f>IF(E53&gt;0,VLOOKUP(A53,ServOrderMins!$A$7:$E$28,5,FALSE),"")</f>
        <v/>
      </c>
      <c r="K53" s="54" t="str">
        <f>IF(LEN(J53)&gt;0,'0-Inputs'!$B$229,"")</f>
        <v/>
      </c>
      <c r="L53" s="21">
        <f t="shared" si="3"/>
        <v>0</v>
      </c>
      <c r="M53" s="12"/>
      <c r="N53" s="463"/>
      <c r="O53" s="12"/>
      <c r="T53" s="21"/>
    </row>
    <row r="54" spans="1:20" x14ac:dyDescent="0.35">
      <c r="A54" s="409" t="s">
        <v>798</v>
      </c>
      <c r="B54" s="411">
        <v>1686</v>
      </c>
      <c r="C54" s="411">
        <v>1598</v>
      </c>
      <c r="D54" s="63">
        <f t="shared" si="0"/>
        <v>0.9478054567022538</v>
      </c>
      <c r="E54" s="150">
        <f>IFERROR(INDEX('0-Inputs'!$B$211:$B$226,MATCH(A54,'0-Inputs'!$A$211:$A$226,0)),0)</f>
        <v>0</v>
      </c>
      <c r="F54" s="63"/>
      <c r="G54" s="18">
        <f t="shared" si="1"/>
        <v>1686</v>
      </c>
      <c r="H54" s="18"/>
      <c r="I54" s="13">
        <f t="shared" si="2"/>
        <v>0</v>
      </c>
      <c r="J54" s="54" t="str">
        <f>IF(E54&gt;0,VLOOKUP(A54,ServOrderMins!$A$7:$E$28,5,FALSE),"")</f>
        <v/>
      </c>
      <c r="K54" s="54" t="str">
        <f>IF(LEN(J54)&gt;0,'0-Inputs'!$B$229,"")</f>
        <v/>
      </c>
      <c r="L54" s="21">
        <f t="shared" si="3"/>
        <v>0</v>
      </c>
      <c r="M54" s="12"/>
      <c r="N54" s="463"/>
      <c r="O54" s="12"/>
      <c r="T54" s="21"/>
    </row>
    <row r="55" spans="1:20" x14ac:dyDescent="0.35">
      <c r="A55" s="409" t="s">
        <v>799</v>
      </c>
      <c r="B55" s="411">
        <v>4650</v>
      </c>
      <c r="C55" s="411">
        <v>4564</v>
      </c>
      <c r="D55" s="63">
        <f t="shared" si="0"/>
        <v>0.98150537634408597</v>
      </c>
      <c r="E55" s="150">
        <f>IFERROR(INDEX('0-Inputs'!$B$211:$B$226,MATCH(A55,'0-Inputs'!$A$211:$A$226,0)),0)</f>
        <v>0</v>
      </c>
      <c r="F55" s="63"/>
      <c r="G55" s="18">
        <f t="shared" si="1"/>
        <v>4650</v>
      </c>
      <c r="H55" s="18"/>
      <c r="I55" s="13">
        <f t="shared" si="2"/>
        <v>0</v>
      </c>
      <c r="J55" s="54" t="str">
        <f>IF(E55&gt;0,VLOOKUP(A55,ServOrderMins!$A$7:$E$28,5,FALSE),"")</f>
        <v/>
      </c>
      <c r="K55" s="54" t="str">
        <f>IF(LEN(J55)&gt;0,'0-Inputs'!$B$229,"")</f>
        <v/>
      </c>
      <c r="L55" s="21">
        <f t="shared" si="3"/>
        <v>0</v>
      </c>
      <c r="M55" s="12"/>
      <c r="N55" s="463"/>
      <c r="O55" s="12"/>
      <c r="T55" s="21"/>
    </row>
    <row r="56" spans="1:20" x14ac:dyDescent="0.35">
      <c r="A56" s="409" t="s">
        <v>800</v>
      </c>
      <c r="B56" s="411">
        <v>3046</v>
      </c>
      <c r="C56" s="411">
        <v>2998</v>
      </c>
      <c r="D56" s="63">
        <f t="shared" si="0"/>
        <v>0.9842416283650689</v>
      </c>
      <c r="E56" s="150">
        <f>IFERROR(INDEX('0-Inputs'!$B$211:$B$226,MATCH(A56,'0-Inputs'!$A$211:$A$226,0)),0)</f>
        <v>0</v>
      </c>
      <c r="F56" s="63"/>
      <c r="G56" s="18">
        <f t="shared" si="1"/>
        <v>3046</v>
      </c>
      <c r="H56" s="18"/>
      <c r="I56" s="13">
        <f t="shared" si="2"/>
        <v>0</v>
      </c>
      <c r="J56" s="54" t="str">
        <f>IF(E56&gt;0,VLOOKUP(A56,ServOrderMins!$A$7:$E$28,5,FALSE),"")</f>
        <v/>
      </c>
      <c r="K56" s="54" t="str">
        <f>IF(LEN(J56)&gt;0,'0-Inputs'!$B$229,"")</f>
        <v/>
      </c>
      <c r="L56" s="21">
        <f t="shared" si="3"/>
        <v>0</v>
      </c>
      <c r="M56" s="12"/>
      <c r="N56" s="463"/>
      <c r="O56" s="12"/>
      <c r="T56" s="21"/>
    </row>
    <row r="57" spans="1:20" x14ac:dyDescent="0.35">
      <c r="A57" s="409" t="s">
        <v>801</v>
      </c>
      <c r="B57" s="411">
        <v>141</v>
      </c>
      <c r="C57" s="411">
        <v>138</v>
      </c>
      <c r="D57" s="63">
        <f>C57/B57</f>
        <v>0.97872340425531912</v>
      </c>
      <c r="E57" s="150">
        <f>IFERROR(INDEX('0-Inputs'!$B$211:$B$226,MATCH(A57,'0-Inputs'!$A$211:$A$226,0)),0)</f>
        <v>0</v>
      </c>
      <c r="F57" s="63"/>
      <c r="G57" s="18">
        <f>B57*(1-E57)</f>
        <v>141</v>
      </c>
      <c r="H57" s="18"/>
      <c r="I57" s="13">
        <f>(G57-B57)*D57</f>
        <v>0</v>
      </c>
      <c r="J57" s="54" t="str">
        <f>IF(E57&gt;0,VLOOKUP(A57,ServOrderMins!$A$7:$E$28,5,FALSE),"")</f>
        <v/>
      </c>
      <c r="K57" s="54" t="str">
        <f>IF(LEN(J57)&gt;0,'0-Inputs'!$B$229,"")</f>
        <v/>
      </c>
      <c r="L57" s="21">
        <f>IF(E57&gt;0,I57*(J57+K57),0)/60</f>
        <v>0</v>
      </c>
      <c r="M57" s="12"/>
      <c r="N57" s="463"/>
      <c r="O57" s="12"/>
    </row>
    <row r="58" spans="1:20" x14ac:dyDescent="0.35">
      <c r="A58" s="410" t="s">
        <v>174</v>
      </c>
      <c r="B58" s="417">
        <v>3941</v>
      </c>
      <c r="C58" s="417">
        <v>3666</v>
      </c>
      <c r="D58" s="63">
        <f>C58/B58</f>
        <v>0.93022075615326061</v>
      </c>
      <c r="E58" s="150">
        <v>0.25</v>
      </c>
      <c r="G58" s="18">
        <f>B58*(1-E58)</f>
        <v>2955.75</v>
      </c>
      <c r="I58" s="13">
        <f>(G58-B58)*D58</f>
        <v>-916.5</v>
      </c>
      <c r="J58" s="54">
        <f>IF(E58&gt;0,VLOOKUP(A58,ServOrderMins!$A$7:$E$28,5,FALSE),"")</f>
        <v>30</v>
      </c>
      <c r="K58" s="54">
        <f>IF(LEN(J58)&gt;0,'0-Inputs'!$B$229,"")</f>
        <v>7.6266107302274344</v>
      </c>
      <c r="L58" s="21">
        <f>IF(E58&gt;0,I58*(J58+K58),0)/60</f>
        <v>-574.74647890422409</v>
      </c>
    </row>
  </sheetData>
  <autoFilter ref="A10:N58" xr:uid="{96B14712-F305-4A6B-9C23-1818393DF694}"/>
  <conditionalFormatting sqref="E11:E58"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C3DF-1B37-4A7E-9FC1-336E54B72772}">
  <sheetPr>
    <tabColor theme="5"/>
  </sheetPr>
  <dimension ref="B1:G9"/>
  <sheetViews>
    <sheetView workbookViewId="0">
      <selection activeCell="G2" sqref="G2"/>
    </sheetView>
  </sheetViews>
  <sheetFormatPr defaultRowHeight="14.5" x14ac:dyDescent="0.35"/>
  <cols>
    <col min="2" max="2" width="13.7265625" bestFit="1" customWidth="1"/>
    <col min="3" max="3" width="23" bestFit="1" customWidth="1"/>
    <col min="4" max="5" width="19.26953125" bestFit="1" customWidth="1"/>
    <col min="6" max="6" width="28.453125" bestFit="1" customWidth="1"/>
    <col min="7" max="7" width="17.7265625" bestFit="1" customWidth="1"/>
  </cols>
  <sheetData>
    <row r="1" spans="2:7" x14ac:dyDescent="0.35">
      <c r="G1" s="296" t="s">
        <v>1107</v>
      </c>
    </row>
    <row r="3" spans="2:7" ht="15" customHeight="1" x14ac:dyDescent="0.35">
      <c r="B3" s="506" t="s">
        <v>826</v>
      </c>
      <c r="C3" s="506"/>
      <c r="D3" s="506"/>
      <c r="E3" s="506"/>
      <c r="F3" s="506"/>
    </row>
    <row r="4" spans="2:7" ht="15" customHeight="1" x14ac:dyDescent="0.35">
      <c r="B4" s="506"/>
      <c r="C4" s="506"/>
      <c r="D4" s="506"/>
      <c r="E4" s="506"/>
      <c r="F4" s="506"/>
    </row>
    <row r="5" spans="2:7" ht="15" customHeight="1" x14ac:dyDescent="0.35">
      <c r="B5" s="506"/>
      <c r="C5" s="506"/>
      <c r="D5" s="506"/>
      <c r="E5" s="506"/>
      <c r="F5" s="506"/>
    </row>
    <row r="7" spans="2:7" x14ac:dyDescent="0.35">
      <c r="B7" s="155"/>
      <c r="C7" s="157" t="s">
        <v>827</v>
      </c>
      <c r="D7" s="156" t="s">
        <v>828</v>
      </c>
      <c r="E7" s="285" t="s">
        <v>829</v>
      </c>
      <c r="F7" s="10"/>
      <c r="G7" s="10"/>
    </row>
    <row r="8" spans="2:7" ht="18.5" x14ac:dyDescent="0.45">
      <c r="B8" s="160" t="s">
        <v>830</v>
      </c>
      <c r="C8" s="158">
        <f>ServOrderMins!I4</f>
        <v>394684.73189999996</v>
      </c>
      <c r="D8" s="159">
        <f>ServOrderMins!C4</f>
        <v>51751</v>
      </c>
      <c r="E8" s="286">
        <f t="shared" ref="E8" si="0">C8/D8</f>
        <v>7.6266107302274344</v>
      </c>
      <c r="F8" s="287">
        <f>E8</f>
        <v>7.6266107302274344</v>
      </c>
      <c r="G8" s="164" t="s">
        <v>831</v>
      </c>
    </row>
    <row r="9" spans="2:7" x14ac:dyDescent="0.35">
      <c r="B9" s="213"/>
      <c r="C9" s="214"/>
      <c r="D9" s="214"/>
      <c r="E9" s="214"/>
      <c r="F9" s="213"/>
    </row>
  </sheetData>
  <mergeCells count="1">
    <mergeCell ref="B3:F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34196-BE04-452D-88E9-2F3B0307F61D}">
  <sheetPr>
    <tabColor theme="7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30F7-69FD-4F69-81FA-8837DC87204D}">
  <sheetPr>
    <tabColor theme="7"/>
  </sheetPr>
  <dimension ref="A1:G34"/>
  <sheetViews>
    <sheetView zoomScaleNormal="100" workbookViewId="0">
      <selection activeCell="C2" sqref="C2"/>
    </sheetView>
  </sheetViews>
  <sheetFormatPr defaultColWidth="9.26953125" defaultRowHeight="14.5" x14ac:dyDescent="0.35"/>
  <cols>
    <col min="1" max="2" width="26" bestFit="1" customWidth="1"/>
    <col min="3" max="3" width="18.26953125" bestFit="1" customWidth="1"/>
    <col min="4" max="4" width="16.26953125" bestFit="1" customWidth="1"/>
    <col min="5" max="5" width="15.26953125" bestFit="1" customWidth="1"/>
    <col min="6" max="7" width="21.7265625" bestFit="1" customWidth="1"/>
    <col min="8" max="11" width="33" bestFit="1" customWidth="1"/>
    <col min="12" max="12" width="13.7265625" bestFit="1" customWidth="1"/>
    <col min="13" max="13" width="16.453125" bestFit="1" customWidth="1"/>
    <col min="14" max="14" width="14.7265625" customWidth="1"/>
    <col min="15" max="16" width="11.7265625" bestFit="1" customWidth="1"/>
    <col min="17" max="17" width="12.7265625" bestFit="1" customWidth="1"/>
    <col min="18" max="18" width="11.7265625" bestFit="1" customWidth="1"/>
    <col min="19" max="19" width="12.7265625" bestFit="1" customWidth="1"/>
    <col min="20" max="20" width="11.7265625" bestFit="1" customWidth="1"/>
    <col min="21" max="21" width="10.26953125" bestFit="1" customWidth="1"/>
    <col min="22" max="22" width="11" bestFit="1" customWidth="1"/>
    <col min="23" max="23" width="11.7265625" bestFit="1" customWidth="1"/>
    <col min="24" max="24" width="10.26953125" bestFit="1" customWidth="1"/>
    <col min="25" max="25" width="13.7265625" bestFit="1" customWidth="1"/>
    <col min="26" max="26" width="12.7265625" bestFit="1" customWidth="1"/>
    <col min="27" max="27" width="11" bestFit="1" customWidth="1"/>
    <col min="28" max="28" width="11.7265625" bestFit="1" customWidth="1"/>
    <col min="29" max="30" width="12.7265625" bestFit="1" customWidth="1"/>
    <col min="31" max="32" width="11.7265625" bestFit="1" customWidth="1"/>
    <col min="33" max="33" width="11" bestFit="1" customWidth="1"/>
    <col min="34" max="34" width="10.26953125" bestFit="1" customWidth="1"/>
    <col min="35" max="35" width="11.7265625" bestFit="1" customWidth="1"/>
    <col min="36" max="36" width="12.7265625" bestFit="1" customWidth="1"/>
    <col min="37" max="37" width="10.26953125" bestFit="1" customWidth="1"/>
    <col min="38" max="38" width="11.7265625" bestFit="1" customWidth="1"/>
    <col min="40" max="40" width="12.7265625" bestFit="1" customWidth="1"/>
    <col min="41" max="41" width="11.7265625" bestFit="1" customWidth="1"/>
    <col min="43" max="43" width="10.26953125" bestFit="1" customWidth="1"/>
    <col min="46" max="47" width="11.7265625" bestFit="1" customWidth="1"/>
    <col min="48" max="48" width="8.26953125" bestFit="1" customWidth="1"/>
    <col min="50" max="50" width="11.7265625" bestFit="1" customWidth="1"/>
    <col min="52" max="52" width="10.26953125" bestFit="1" customWidth="1"/>
    <col min="53" max="53" width="11.7265625" bestFit="1" customWidth="1"/>
    <col min="54" max="54" width="12.7265625" bestFit="1" customWidth="1"/>
    <col min="55" max="55" width="11.7265625" bestFit="1" customWidth="1"/>
    <col min="56" max="56" width="8.26953125" bestFit="1" customWidth="1"/>
    <col min="57" max="57" width="11.7265625" bestFit="1" customWidth="1"/>
    <col min="58" max="58" width="10.26953125" bestFit="1" customWidth="1"/>
    <col min="59" max="60" width="11.7265625" bestFit="1" customWidth="1"/>
    <col min="61" max="61" width="11" bestFit="1" customWidth="1"/>
    <col min="62" max="62" width="11.7265625" bestFit="1" customWidth="1"/>
    <col min="63" max="63" width="10.26953125" bestFit="1" customWidth="1"/>
    <col min="64" max="65" width="11" bestFit="1" customWidth="1"/>
    <col min="66" max="68" width="11.7265625" bestFit="1" customWidth="1"/>
    <col min="69" max="70" width="10.26953125" bestFit="1" customWidth="1"/>
    <col min="72" max="72" width="6.54296875" bestFit="1" customWidth="1"/>
    <col min="73" max="73" width="12.7265625" bestFit="1" customWidth="1"/>
    <col min="74" max="74" width="13.7265625" bestFit="1" customWidth="1"/>
  </cols>
  <sheetData>
    <row r="1" spans="1:3" x14ac:dyDescent="0.35">
      <c r="A1" s="19" t="s">
        <v>832</v>
      </c>
      <c r="C1" s="422" t="s">
        <v>1107</v>
      </c>
    </row>
    <row r="2" spans="1:3" x14ac:dyDescent="0.35">
      <c r="A2" s="19" t="s">
        <v>833</v>
      </c>
    </row>
    <row r="4" spans="1:3" x14ac:dyDescent="0.35">
      <c r="A4" t="s">
        <v>834</v>
      </c>
    </row>
    <row r="6" spans="1:3" x14ac:dyDescent="0.35">
      <c r="A6" s="143" t="s">
        <v>835</v>
      </c>
    </row>
    <row r="7" spans="1:3" x14ac:dyDescent="0.35">
      <c r="A7" t="s">
        <v>836</v>
      </c>
    </row>
    <row r="8" spans="1:3" x14ac:dyDescent="0.35">
      <c r="A8" t="s">
        <v>837</v>
      </c>
    </row>
    <row r="9" spans="1:3" x14ac:dyDescent="0.35">
      <c r="A9" t="s">
        <v>838</v>
      </c>
    </row>
    <row r="10" spans="1:3" x14ac:dyDescent="0.35">
      <c r="A10" t="s">
        <v>839</v>
      </c>
    </row>
    <row r="11" spans="1:3" x14ac:dyDescent="0.35">
      <c r="A11" s="143" t="s">
        <v>840</v>
      </c>
    </row>
    <row r="12" spans="1:3" x14ac:dyDescent="0.35">
      <c r="A12" s="143" t="s">
        <v>841</v>
      </c>
    </row>
    <row r="13" spans="1:3" x14ac:dyDescent="0.35">
      <c r="A13" s="143" t="s">
        <v>842</v>
      </c>
    </row>
    <row r="15" spans="1:3" x14ac:dyDescent="0.35">
      <c r="A15" s="19" t="s">
        <v>843</v>
      </c>
    </row>
    <row r="16" spans="1:3" x14ac:dyDescent="0.35">
      <c r="A16" s="19"/>
    </row>
    <row r="17" spans="1:7" x14ac:dyDescent="0.35">
      <c r="C17" t="s">
        <v>844</v>
      </c>
    </row>
    <row r="18" spans="1:7" x14ac:dyDescent="0.35">
      <c r="A18" s="110" t="s">
        <v>845</v>
      </c>
      <c r="B18" s="110" t="s">
        <v>846</v>
      </c>
      <c r="C18" s="110" t="s">
        <v>847</v>
      </c>
      <c r="D18" s="110" t="s">
        <v>848</v>
      </c>
      <c r="E18" s="110" t="s">
        <v>849</v>
      </c>
      <c r="F18" s="423" t="s">
        <v>850</v>
      </c>
      <c r="G18" s="423" t="s">
        <v>851</v>
      </c>
    </row>
    <row r="19" spans="1:7" x14ac:dyDescent="0.35">
      <c r="A19">
        <v>1341001</v>
      </c>
      <c r="B19" s="143" t="s">
        <v>852</v>
      </c>
      <c r="C19" s="229">
        <v>0</v>
      </c>
      <c r="D19" s="229">
        <v>0</v>
      </c>
      <c r="E19" s="9">
        <v>0</v>
      </c>
      <c r="F19" s="9">
        <v>0</v>
      </c>
      <c r="G19" s="32">
        <v>0</v>
      </c>
    </row>
    <row r="20" spans="1:7" x14ac:dyDescent="0.35">
      <c r="A20">
        <v>1341100</v>
      </c>
      <c r="B20" s="143" t="s">
        <v>853</v>
      </c>
      <c r="C20" s="229">
        <v>5801792.1699999999</v>
      </c>
      <c r="D20" s="229">
        <v>3152857.9119430352</v>
      </c>
      <c r="E20" s="9">
        <v>2648934.2580569647</v>
      </c>
      <c r="F20" s="9">
        <v>554268.36</v>
      </c>
      <c r="G20" s="32">
        <v>9.4399999999999998E-2</v>
      </c>
    </row>
    <row r="21" spans="1:7" x14ac:dyDescent="0.35">
      <c r="A21">
        <v>1341200</v>
      </c>
      <c r="B21" s="143" t="s">
        <v>854</v>
      </c>
      <c r="C21" s="229">
        <v>4504827.2100000009</v>
      </c>
      <c r="D21" s="229">
        <v>1579221.7778461685</v>
      </c>
      <c r="E21" s="9">
        <v>2925605.4321538322</v>
      </c>
      <c r="F21" s="9">
        <v>241810.68</v>
      </c>
      <c r="G21" s="32">
        <v>4.6588240000000003E-2</v>
      </c>
    </row>
    <row r="22" spans="1:7" x14ac:dyDescent="0.35">
      <c r="A22">
        <v>1341300</v>
      </c>
      <c r="B22" s="143" t="s">
        <v>855</v>
      </c>
      <c r="C22" s="229">
        <v>925741.53999999992</v>
      </c>
      <c r="D22" s="229">
        <v>151943.37446419871</v>
      </c>
      <c r="E22" s="9">
        <v>773798.16553580121</v>
      </c>
      <c r="F22" s="9">
        <v>81358.080000000002</v>
      </c>
      <c r="G22" s="32">
        <v>9.2624999999999999E-2</v>
      </c>
    </row>
    <row r="23" spans="1:7" x14ac:dyDescent="0.35">
      <c r="A23">
        <v>1341400</v>
      </c>
      <c r="B23" s="143" t="s">
        <v>856</v>
      </c>
      <c r="C23" s="229">
        <v>1819054.5999999999</v>
      </c>
      <c r="D23" s="229">
        <v>1039135.223001863</v>
      </c>
      <c r="E23" s="9">
        <v>779919.37699813687</v>
      </c>
      <c r="F23" s="9">
        <v>0</v>
      </c>
      <c r="G23" s="32">
        <v>0</v>
      </c>
    </row>
    <row r="24" spans="1:7" x14ac:dyDescent="0.35">
      <c r="A24">
        <v>2391000</v>
      </c>
      <c r="B24" s="143" t="s">
        <v>857</v>
      </c>
      <c r="C24" s="229">
        <v>0</v>
      </c>
      <c r="D24" s="229">
        <v>0</v>
      </c>
      <c r="E24" s="9">
        <v>0</v>
      </c>
      <c r="F24" s="9">
        <v>0</v>
      </c>
      <c r="G24" s="32">
        <v>0.2</v>
      </c>
    </row>
    <row r="25" spans="1:7" x14ac:dyDescent="0.35">
      <c r="A25">
        <v>2391100</v>
      </c>
      <c r="B25" s="143" t="s">
        <v>858</v>
      </c>
      <c r="C25" s="229">
        <v>78555.490000000005</v>
      </c>
      <c r="D25" s="229">
        <v>1968.1897341873</v>
      </c>
      <c r="E25" s="9">
        <v>76587.300265812708</v>
      </c>
      <c r="F25" s="9">
        <v>7855.5599999999995</v>
      </c>
      <c r="G25" s="32">
        <v>0.1</v>
      </c>
    </row>
    <row r="26" spans="1:7" x14ac:dyDescent="0.35">
      <c r="A26">
        <v>2391200</v>
      </c>
      <c r="B26" s="143" t="s">
        <v>859</v>
      </c>
      <c r="C26" s="229">
        <v>0</v>
      </c>
      <c r="D26" s="229">
        <v>0</v>
      </c>
      <c r="E26" s="9">
        <v>0</v>
      </c>
      <c r="F26" s="9">
        <v>0</v>
      </c>
      <c r="G26" s="32">
        <v>0</v>
      </c>
    </row>
    <row r="27" spans="1:7" x14ac:dyDescent="0.35">
      <c r="A27" s="110" t="s">
        <v>262</v>
      </c>
      <c r="B27" s="110"/>
      <c r="C27" s="39">
        <v>13129971.01</v>
      </c>
      <c r="D27" s="39">
        <v>5925126.4769894527</v>
      </c>
      <c r="E27" s="39">
        <v>7204844.533010547</v>
      </c>
      <c r="F27" s="39">
        <v>885292.68</v>
      </c>
      <c r="G27" s="421"/>
    </row>
    <row r="30" spans="1:7" x14ac:dyDescent="0.35">
      <c r="A30" t="s">
        <v>860</v>
      </c>
      <c r="C30" s="57">
        <v>80</v>
      </c>
      <c r="E30" s="41">
        <f>$C30</f>
        <v>80</v>
      </c>
      <c r="F30" s="41">
        <f>$C30</f>
        <v>80</v>
      </c>
    </row>
    <row r="31" spans="1:7" x14ac:dyDescent="0.35">
      <c r="A31" t="s">
        <v>861</v>
      </c>
      <c r="C31" s="14">
        <f>C20/C30</f>
        <v>72522.402124999993</v>
      </c>
      <c r="D31" s="14"/>
      <c r="E31" s="14">
        <f>E20/E30</f>
        <v>33111.678225712058</v>
      </c>
      <c r="F31" s="424">
        <f>F20/F30</f>
        <v>6928.3544999999995</v>
      </c>
    </row>
    <row r="32" spans="1:7" x14ac:dyDescent="0.35">
      <c r="C32" s="7"/>
      <c r="E32" s="7"/>
    </row>
    <row r="33" spans="3:5" x14ac:dyDescent="0.35">
      <c r="C33" s="7"/>
      <c r="E33" s="7"/>
    </row>
    <row r="34" spans="3:5" x14ac:dyDescent="0.35">
      <c r="C34" s="7"/>
      <c r="E34" s="7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3B71-1F7A-43AF-BC99-59606EA6F3B0}">
  <sheetPr>
    <tabColor theme="7"/>
  </sheetPr>
  <dimension ref="A1:E22"/>
  <sheetViews>
    <sheetView workbookViewId="0">
      <selection activeCell="E2" sqref="E2"/>
    </sheetView>
  </sheetViews>
  <sheetFormatPr defaultRowHeight="14.5" x14ac:dyDescent="0.35"/>
  <cols>
    <col min="1" max="1" width="24.7265625" bestFit="1" customWidth="1"/>
    <col min="2" max="2" width="12.7265625" bestFit="1" customWidth="1"/>
    <col min="3" max="3" width="15" bestFit="1" customWidth="1"/>
    <col min="4" max="4" width="12.7265625" bestFit="1" customWidth="1"/>
    <col min="5" max="5" width="14.26953125" bestFit="1" customWidth="1"/>
  </cols>
  <sheetData>
    <row r="1" spans="1:5" x14ac:dyDescent="0.35">
      <c r="A1" s="19" t="s">
        <v>862</v>
      </c>
      <c r="E1" s="296" t="s">
        <v>1107</v>
      </c>
    </row>
    <row r="2" spans="1:5" x14ac:dyDescent="0.35">
      <c r="A2" s="19" t="s">
        <v>863</v>
      </c>
    </row>
    <row r="3" spans="1:5" x14ac:dyDescent="0.35">
      <c r="A3" s="19"/>
    </row>
    <row r="5" spans="1:5" x14ac:dyDescent="0.35">
      <c r="A5" t="s">
        <v>864</v>
      </c>
      <c r="B5" t="s">
        <v>865</v>
      </c>
    </row>
    <row r="7" spans="1:5" x14ac:dyDescent="0.35">
      <c r="B7" t="s">
        <v>564</v>
      </c>
    </row>
    <row r="8" spans="1:5" x14ac:dyDescent="0.35">
      <c r="A8" s="25" t="s">
        <v>844</v>
      </c>
      <c r="B8" s="25">
        <v>2023</v>
      </c>
      <c r="C8" s="25">
        <v>2024</v>
      </c>
    </row>
    <row r="9" spans="1:5" x14ac:dyDescent="0.35">
      <c r="A9" t="s">
        <v>866</v>
      </c>
      <c r="B9" s="438">
        <v>21139.01</v>
      </c>
      <c r="C9" s="9">
        <v>35725.919999999998</v>
      </c>
    </row>
    <row r="10" spans="1:5" x14ac:dyDescent="0.35">
      <c r="A10" t="s">
        <v>867</v>
      </c>
      <c r="B10" s="438">
        <v>3015.34</v>
      </c>
      <c r="C10" s="9">
        <v>121.16</v>
      </c>
    </row>
    <row r="11" spans="1:5" x14ac:dyDescent="0.35">
      <c r="A11" t="s">
        <v>868</v>
      </c>
      <c r="B11" s="438">
        <v>127397.6</v>
      </c>
      <c r="C11" s="9">
        <v>134696.25</v>
      </c>
    </row>
    <row r="12" spans="1:5" x14ac:dyDescent="0.35">
      <c r="A12" t="s">
        <v>869</v>
      </c>
      <c r="B12" s="438">
        <v>6284.8</v>
      </c>
      <c r="C12" s="9">
        <v>1128.56</v>
      </c>
    </row>
    <row r="13" spans="1:5" x14ac:dyDescent="0.35">
      <c r="A13" t="s">
        <v>870</v>
      </c>
      <c r="B13" s="438">
        <v>19665</v>
      </c>
      <c r="C13" s="9">
        <v>21092.58</v>
      </c>
    </row>
    <row r="14" spans="1:5" x14ac:dyDescent="0.35">
      <c r="A14" t="s">
        <v>871</v>
      </c>
      <c r="B14" s="438">
        <v>40637.33</v>
      </c>
      <c r="C14" s="9">
        <v>29743.52</v>
      </c>
    </row>
    <row r="15" spans="1:5" x14ac:dyDescent="0.35">
      <c r="A15" t="s">
        <v>872</v>
      </c>
      <c r="B15" s="454"/>
      <c r="C15" s="9"/>
    </row>
    <row r="16" spans="1:5" x14ac:dyDescent="0.35">
      <c r="A16" t="s">
        <v>873</v>
      </c>
      <c r="B16" s="438">
        <v>35</v>
      </c>
      <c r="C16" s="9">
        <v>-415.31</v>
      </c>
    </row>
    <row r="17" spans="1:4" x14ac:dyDescent="0.35">
      <c r="A17" t="s">
        <v>874</v>
      </c>
      <c r="B17" s="438">
        <v>11755.98</v>
      </c>
      <c r="C17" s="9">
        <v>8836.3799999999992</v>
      </c>
    </row>
    <row r="18" spans="1:4" x14ac:dyDescent="0.35">
      <c r="A18" t="s">
        <v>875</v>
      </c>
      <c r="B18" s="439">
        <v>28785.439999999999</v>
      </c>
      <c r="C18" s="81">
        <v>20009.2</v>
      </c>
    </row>
    <row r="19" spans="1:4" x14ac:dyDescent="0.35">
      <c r="B19" s="14">
        <f>SUM(B9:B18)</f>
        <v>258715.50000000003</v>
      </c>
      <c r="C19" s="14">
        <f>SUM(C9:C18)</f>
        <v>250938.26000000004</v>
      </c>
    </row>
    <row r="21" spans="1:4" ht="43.5" x14ac:dyDescent="0.35">
      <c r="A21" t="s">
        <v>876</v>
      </c>
      <c r="B21">
        <v>82</v>
      </c>
      <c r="C21" s="437">
        <v>80</v>
      </c>
      <c r="D21" s="53" t="s">
        <v>877</v>
      </c>
    </row>
    <row r="22" spans="1:4" x14ac:dyDescent="0.35">
      <c r="A22" t="s">
        <v>878</v>
      </c>
      <c r="B22" s="14">
        <f>B19/B21</f>
        <v>3155.0670731707319</v>
      </c>
      <c r="C22" s="14">
        <f>C19/C21</f>
        <v>3136.7282500000006</v>
      </c>
      <c r="D22" s="14">
        <f>AVERAGE(B22:C22)</f>
        <v>3145.8976615853662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AC140-017E-4330-93A6-BF9635D5CD18}">
  <sheetPr>
    <tabColor theme="7"/>
  </sheetPr>
  <dimension ref="A1:H29"/>
  <sheetViews>
    <sheetView workbookViewId="0">
      <selection activeCell="C2" sqref="C2"/>
    </sheetView>
  </sheetViews>
  <sheetFormatPr defaultRowHeight="14.5" x14ac:dyDescent="0.35"/>
  <cols>
    <col min="1" max="1" width="33.26953125" bestFit="1" customWidth="1"/>
  </cols>
  <sheetData>
    <row r="1" spans="1:8" x14ac:dyDescent="0.35">
      <c r="A1" t="s">
        <v>879</v>
      </c>
      <c r="C1" s="296" t="s">
        <v>1107</v>
      </c>
    </row>
    <row r="3" spans="1:8" x14ac:dyDescent="0.35">
      <c r="A3" s="327" t="s">
        <v>597</v>
      </c>
    </row>
    <row r="5" spans="1:8" ht="39" x14ac:dyDescent="0.35">
      <c r="A5" s="425" t="s">
        <v>880</v>
      </c>
      <c r="B5" s="323" t="s">
        <v>95</v>
      </c>
      <c r="C5" s="323" t="s">
        <v>881</v>
      </c>
      <c r="D5" s="323" t="s">
        <v>882</v>
      </c>
      <c r="E5" s="323" t="s">
        <v>883</v>
      </c>
      <c r="F5" s="323" t="s">
        <v>884</v>
      </c>
      <c r="G5" s="323" t="s">
        <v>885</v>
      </c>
      <c r="H5" s="323" t="s">
        <v>886</v>
      </c>
    </row>
    <row r="6" spans="1:8" x14ac:dyDescent="0.35">
      <c r="A6" s="432" t="s">
        <v>887</v>
      </c>
      <c r="B6" s="324">
        <v>3</v>
      </c>
      <c r="C6" s="325">
        <v>6.77351451616265</v>
      </c>
      <c r="D6" s="326">
        <v>719.71500000000003</v>
      </c>
      <c r="E6" s="326">
        <v>719.71500000000003</v>
      </c>
      <c r="F6" s="326">
        <v>4875</v>
      </c>
      <c r="G6" s="326">
        <v>443.18181818181802</v>
      </c>
      <c r="H6" s="326">
        <v>4875</v>
      </c>
    </row>
    <row r="7" spans="1:8" x14ac:dyDescent="0.35">
      <c r="A7" s="432" t="s">
        <v>888</v>
      </c>
      <c r="B7" s="324">
        <v>2</v>
      </c>
      <c r="C7" s="325"/>
      <c r="D7" s="326"/>
      <c r="E7" s="326"/>
      <c r="F7" s="326"/>
      <c r="G7" s="326"/>
      <c r="H7" s="326"/>
    </row>
    <row r="8" spans="1:8" x14ac:dyDescent="0.35">
      <c r="A8" s="432" t="s">
        <v>889</v>
      </c>
      <c r="B8" s="324">
        <v>14</v>
      </c>
      <c r="C8" s="426">
        <v>18.798079584708699</v>
      </c>
      <c r="D8" s="326">
        <v>2372.0540000000001</v>
      </c>
      <c r="E8" s="326">
        <v>237.2054</v>
      </c>
      <c r="F8" s="326">
        <v>43748</v>
      </c>
      <c r="G8" s="326">
        <v>416.05165584415602</v>
      </c>
      <c r="H8" s="427">
        <v>4374.8</v>
      </c>
    </row>
    <row r="9" spans="1:8" x14ac:dyDescent="0.35">
      <c r="A9" s="432" t="s">
        <v>890</v>
      </c>
      <c r="B9" s="428">
        <v>52</v>
      </c>
      <c r="C9" s="426">
        <v>9.0183044012475992</v>
      </c>
      <c r="D9" s="427">
        <v>1808.0039999999999</v>
      </c>
      <c r="E9" s="427">
        <v>120.53360000000001</v>
      </c>
      <c r="F9" s="427">
        <v>2080</v>
      </c>
      <c r="G9" s="427">
        <v>44.724025974025999</v>
      </c>
      <c r="H9" s="427">
        <v>260</v>
      </c>
    </row>
    <row r="10" spans="1:8" x14ac:dyDescent="0.35">
      <c r="A10" s="433" t="s">
        <v>891</v>
      </c>
      <c r="B10" s="434">
        <v>110</v>
      </c>
      <c r="C10" s="435">
        <v>12.564554701783299</v>
      </c>
      <c r="D10" s="328">
        <v>78936.903999999995</v>
      </c>
      <c r="E10" s="328">
        <v>1066.7149189189199</v>
      </c>
      <c r="F10" s="328">
        <v>919071</v>
      </c>
      <c r="G10" s="328">
        <v>1135.59032659933</v>
      </c>
      <c r="H10" s="436">
        <v>12254.28</v>
      </c>
    </row>
    <row r="11" spans="1:8" x14ac:dyDescent="0.35">
      <c r="A11" s="432" t="s">
        <v>892</v>
      </c>
      <c r="B11" s="324">
        <v>40</v>
      </c>
      <c r="C11" s="325"/>
      <c r="D11" s="326"/>
      <c r="E11" s="326"/>
      <c r="F11" s="326"/>
      <c r="G11" s="326"/>
      <c r="H11" s="326"/>
    </row>
    <row r="12" spans="1:8" x14ac:dyDescent="0.35">
      <c r="A12" s="432" t="s">
        <v>893</v>
      </c>
      <c r="B12" s="324">
        <v>20</v>
      </c>
      <c r="C12" s="325">
        <v>6.5580407566594898</v>
      </c>
      <c r="D12" s="326">
        <v>22858.198</v>
      </c>
      <c r="E12" s="326">
        <v>1203.0630526315799</v>
      </c>
      <c r="F12" s="326">
        <v>103553</v>
      </c>
      <c r="G12" s="326">
        <v>522.79849244322895</v>
      </c>
      <c r="H12" s="326">
        <v>5450.1578947368398</v>
      </c>
    </row>
    <row r="13" spans="1:8" x14ac:dyDescent="0.35">
      <c r="A13" s="432" t="s">
        <v>894</v>
      </c>
      <c r="B13" s="428">
        <v>2</v>
      </c>
      <c r="C13" s="426">
        <v>10.9434749831809</v>
      </c>
      <c r="D13" s="427">
        <v>4538.7929999999997</v>
      </c>
      <c r="E13" s="427">
        <v>2269.3964999999998</v>
      </c>
      <c r="F13" s="427">
        <v>51429</v>
      </c>
      <c r="G13" s="427">
        <v>2471.7083333333298</v>
      </c>
      <c r="H13" s="427">
        <v>25714.5</v>
      </c>
    </row>
    <row r="14" spans="1:8" x14ac:dyDescent="0.35">
      <c r="A14" s="431">
        <v>8</v>
      </c>
      <c r="B14" s="429">
        <v>243</v>
      </c>
      <c r="C14" s="430">
        <v>12.791258485464599</v>
      </c>
      <c r="D14" s="431">
        <v>111233.66800000001</v>
      </c>
      <c r="E14" s="431">
        <v>919.28651239669398</v>
      </c>
      <c r="F14" s="431">
        <v>1124756</v>
      </c>
      <c r="G14" s="431">
        <v>913.10741828220102</v>
      </c>
      <c r="H14" s="431">
        <v>9780.4869565217396</v>
      </c>
    </row>
    <row r="16" spans="1:8" x14ac:dyDescent="0.35">
      <c r="A16" s="327" t="s">
        <v>598</v>
      </c>
    </row>
    <row r="18" spans="1:8" ht="39" x14ac:dyDescent="0.35">
      <c r="A18" s="425" t="s">
        <v>880</v>
      </c>
      <c r="B18" s="323" t="s">
        <v>95</v>
      </c>
      <c r="C18" s="323" t="s">
        <v>881</v>
      </c>
      <c r="D18" s="323" t="s">
        <v>882</v>
      </c>
      <c r="E18" s="323" t="s">
        <v>883</v>
      </c>
      <c r="F18" s="323" t="s">
        <v>884</v>
      </c>
      <c r="G18" s="323" t="s">
        <v>885</v>
      </c>
      <c r="H18" s="323" t="s">
        <v>886</v>
      </c>
    </row>
    <row r="19" spans="1:8" x14ac:dyDescent="0.35">
      <c r="A19" s="432" t="s">
        <v>887</v>
      </c>
      <c r="B19" s="324">
        <v>3</v>
      </c>
      <c r="C19" s="325">
        <v>6.6466407435391801</v>
      </c>
      <c r="D19" s="326">
        <v>162.78899999999999</v>
      </c>
      <c r="E19" s="326">
        <v>162.78899999999999</v>
      </c>
      <c r="F19" s="326">
        <v>1082</v>
      </c>
      <c r="G19" s="326">
        <v>98.363636363636402</v>
      </c>
      <c r="H19" s="326">
        <v>1082</v>
      </c>
    </row>
    <row r="20" spans="1:8" x14ac:dyDescent="0.35">
      <c r="A20" s="432" t="s">
        <v>888</v>
      </c>
      <c r="B20" s="324">
        <v>2</v>
      </c>
      <c r="C20" s="325"/>
      <c r="D20" s="326"/>
      <c r="E20" s="326"/>
      <c r="F20" s="326"/>
      <c r="G20" s="326"/>
      <c r="H20" s="326"/>
    </row>
    <row r="21" spans="1:8" x14ac:dyDescent="0.35">
      <c r="A21" s="432" t="s">
        <v>889</v>
      </c>
      <c r="B21" s="324">
        <v>13</v>
      </c>
      <c r="C21" s="426">
        <v>20.609063812452298</v>
      </c>
      <c r="D21" s="326">
        <v>2149.067</v>
      </c>
      <c r="E21" s="326">
        <v>165.31284615384601</v>
      </c>
      <c r="F21" s="326">
        <v>42947</v>
      </c>
      <c r="G21" s="326">
        <v>429.59926346801302</v>
      </c>
      <c r="H21" s="427">
        <v>3578.9166666666702</v>
      </c>
    </row>
    <row r="22" spans="1:8" x14ac:dyDescent="0.35">
      <c r="A22" s="432" t="s">
        <v>890</v>
      </c>
      <c r="B22" s="428">
        <v>48</v>
      </c>
      <c r="C22" s="426"/>
      <c r="D22" s="427">
        <v>1565.384</v>
      </c>
      <c r="E22" s="427">
        <v>82.388631578947397</v>
      </c>
      <c r="F22" s="427">
        <v>577</v>
      </c>
      <c r="G22" s="427">
        <v>10.5933333333333</v>
      </c>
      <c r="H22" s="427">
        <v>57.7</v>
      </c>
    </row>
    <row r="23" spans="1:8" x14ac:dyDescent="0.35">
      <c r="A23" s="433" t="s">
        <v>891</v>
      </c>
      <c r="B23" s="434">
        <v>109</v>
      </c>
      <c r="C23" s="435">
        <v>11.8017410858498</v>
      </c>
      <c r="D23" s="328">
        <v>75454.986999999994</v>
      </c>
      <c r="E23" s="328">
        <v>857.44303409090901</v>
      </c>
      <c r="F23" s="328">
        <v>870852</v>
      </c>
      <c r="G23" s="328">
        <v>1086.0055678738599</v>
      </c>
      <c r="H23" s="436">
        <v>10620.1463414634</v>
      </c>
    </row>
    <row r="24" spans="1:8" x14ac:dyDescent="0.35">
      <c r="A24" s="432" t="s">
        <v>892</v>
      </c>
      <c r="B24" s="324">
        <v>32</v>
      </c>
      <c r="C24" s="325"/>
      <c r="D24" s="326"/>
      <c r="E24" s="326"/>
      <c r="F24" s="326"/>
      <c r="G24" s="326"/>
      <c r="H24" s="326"/>
    </row>
    <row r="25" spans="1:8" x14ac:dyDescent="0.35">
      <c r="A25" s="432" t="s">
        <v>893</v>
      </c>
      <c r="B25" s="324">
        <v>20</v>
      </c>
      <c r="C25" s="325">
        <v>6.7646064968045003</v>
      </c>
      <c r="D25" s="326">
        <v>21623.183000000001</v>
      </c>
      <c r="E25" s="326">
        <v>1201.28794444444</v>
      </c>
      <c r="F25" s="326">
        <v>97084</v>
      </c>
      <c r="G25" s="326">
        <v>492.46387085137098</v>
      </c>
      <c r="H25" s="326">
        <v>5393.5555555555602</v>
      </c>
    </row>
    <row r="26" spans="1:8" x14ac:dyDescent="0.35">
      <c r="A26" s="432" t="s">
        <v>894</v>
      </c>
      <c r="B26" s="428">
        <v>2</v>
      </c>
      <c r="C26" s="426">
        <v>9.99959149806703</v>
      </c>
      <c r="D26" s="427">
        <v>3808.2069999999999</v>
      </c>
      <c r="E26" s="427">
        <v>1904.1034999999999</v>
      </c>
      <c r="F26" s="427">
        <v>36138</v>
      </c>
      <c r="G26" s="427">
        <v>1772.4722222222199</v>
      </c>
      <c r="H26" s="427">
        <v>18069</v>
      </c>
    </row>
    <row r="27" spans="1:8" x14ac:dyDescent="0.35">
      <c r="A27" s="431">
        <v>8</v>
      </c>
      <c r="B27" s="429">
        <v>229</v>
      </c>
      <c r="C27" s="430">
        <v>12.533810476218401</v>
      </c>
      <c r="D27" s="431">
        <v>104763.617</v>
      </c>
      <c r="E27" s="431">
        <v>743.00437588652403</v>
      </c>
      <c r="F27" s="431">
        <v>1048680</v>
      </c>
      <c r="G27" s="431">
        <v>854.56991053391096</v>
      </c>
      <c r="H27" s="431">
        <v>8389.44</v>
      </c>
    </row>
    <row r="28" spans="1:8" ht="15" thickBot="1" x14ac:dyDescent="0.4"/>
    <row r="29" spans="1:8" ht="15" thickBot="1" x14ac:dyDescent="0.4">
      <c r="B29" s="3" t="s">
        <v>895</v>
      </c>
      <c r="C29" s="329">
        <f>AVERAGE(C10,C23)</f>
        <v>12.18314789381655</v>
      </c>
      <c r="G29" s="3" t="s">
        <v>896</v>
      </c>
      <c r="H29" s="330">
        <f>AVERAGE(H10,H23)</f>
        <v>11437.2131707317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AD79E-DF1A-41AD-82D1-BEB92E49A27A}">
  <sheetPr>
    <tabColor theme="7"/>
  </sheetPr>
  <dimension ref="A1:AI79"/>
  <sheetViews>
    <sheetView zoomScale="80" zoomScaleNormal="80" workbookViewId="0">
      <selection activeCell="L82" sqref="L82"/>
    </sheetView>
  </sheetViews>
  <sheetFormatPr defaultColWidth="9.26953125" defaultRowHeight="14.5" outlineLevelRow="1" x14ac:dyDescent="0.35"/>
  <cols>
    <col min="1" max="1" width="38.26953125" customWidth="1"/>
    <col min="2" max="2" width="39.26953125" customWidth="1"/>
    <col min="3" max="3" width="30.7265625" bestFit="1" customWidth="1"/>
    <col min="4" max="4" width="14.7265625" bestFit="1" customWidth="1"/>
    <col min="5" max="5" width="6.7265625" customWidth="1"/>
    <col min="6" max="16" width="10" bestFit="1" customWidth="1"/>
    <col min="17" max="17" width="11" bestFit="1" customWidth="1"/>
    <col min="18" max="18" width="10" bestFit="1" customWidth="1"/>
    <col min="19" max="35" width="11" bestFit="1" customWidth="1"/>
    <col min="36" max="45" width="11" customWidth="1"/>
    <col min="46" max="46" width="11" bestFit="1" customWidth="1"/>
    <col min="47" max="47" width="18.453125" bestFit="1" customWidth="1"/>
  </cols>
  <sheetData>
    <row r="1" spans="1:35" ht="21" x14ac:dyDescent="0.5">
      <c r="A1" s="59" t="s">
        <v>897</v>
      </c>
    </row>
    <row r="2" spans="1:35" x14ac:dyDescent="0.35">
      <c r="A2" s="472" t="s">
        <v>898</v>
      </c>
    </row>
    <row r="3" spans="1:35" ht="21" x14ac:dyDescent="0.5">
      <c r="A3" s="59" t="s">
        <v>899</v>
      </c>
    </row>
    <row r="4" spans="1:35" ht="21" x14ac:dyDescent="0.5">
      <c r="A4" s="59" t="s">
        <v>900</v>
      </c>
    </row>
    <row r="5" spans="1:35" x14ac:dyDescent="0.35">
      <c r="B5" t="s">
        <v>901</v>
      </c>
      <c r="C5" t="s">
        <v>902</v>
      </c>
      <c r="D5" t="s">
        <v>903</v>
      </c>
      <c r="E5">
        <v>2021</v>
      </c>
      <c r="F5">
        <v>2022</v>
      </c>
      <c r="G5">
        <v>2023</v>
      </c>
      <c r="H5">
        <v>2024</v>
      </c>
      <c r="I5">
        <v>2025</v>
      </c>
      <c r="J5">
        <v>2026</v>
      </c>
      <c r="K5">
        <v>2027</v>
      </c>
      <c r="L5">
        <v>2028</v>
      </c>
      <c r="M5">
        <v>2029</v>
      </c>
      <c r="N5">
        <v>2030</v>
      </c>
      <c r="O5">
        <v>2031</v>
      </c>
      <c r="P5">
        <v>2032</v>
      </c>
      <c r="Q5">
        <v>2033</v>
      </c>
      <c r="R5">
        <v>2034</v>
      </c>
      <c r="S5">
        <v>2035</v>
      </c>
      <c r="T5">
        <v>2036</v>
      </c>
      <c r="U5">
        <v>2037</v>
      </c>
      <c r="V5">
        <v>2038</v>
      </c>
      <c r="W5">
        <v>2039</v>
      </c>
      <c r="X5">
        <v>2040</v>
      </c>
      <c r="Y5">
        <v>2041</v>
      </c>
      <c r="Z5">
        <v>2042</v>
      </c>
      <c r="AA5">
        <v>2043</v>
      </c>
      <c r="AB5">
        <v>2044</v>
      </c>
      <c r="AC5">
        <v>2045</v>
      </c>
      <c r="AD5">
        <v>2046</v>
      </c>
      <c r="AE5">
        <v>2047</v>
      </c>
      <c r="AF5">
        <v>2048</v>
      </c>
      <c r="AG5">
        <v>2049</v>
      </c>
      <c r="AH5">
        <v>2050</v>
      </c>
      <c r="AI5" t="s">
        <v>904</v>
      </c>
    </row>
    <row r="6" spans="1:35" hidden="1" outlineLevel="1" x14ac:dyDescent="0.35">
      <c r="A6" t="s">
        <v>905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5" hidden="1" outlineLevel="1" x14ac:dyDescent="0.35">
      <c r="A7" t="s">
        <v>906</v>
      </c>
      <c r="B7" t="s">
        <v>907</v>
      </c>
      <c r="C7" t="s">
        <v>908</v>
      </c>
      <c r="D7" t="s">
        <v>909</v>
      </c>
      <c r="F7" s="6">
        <v>102.129997</v>
      </c>
      <c r="G7" s="6">
        <v>91.544692999999995</v>
      </c>
      <c r="H7" s="6">
        <v>92.531395000000003</v>
      </c>
      <c r="I7" s="6">
        <v>87.048607000000004</v>
      </c>
      <c r="J7" s="6">
        <v>87.882819999999995</v>
      </c>
      <c r="K7" s="6">
        <v>88.306426999999999</v>
      </c>
      <c r="L7" s="6">
        <v>88.879097000000002</v>
      </c>
      <c r="M7" s="6">
        <v>89.470894000000001</v>
      </c>
      <c r="N7" s="6">
        <v>90.163071000000002</v>
      </c>
      <c r="O7" s="6">
        <v>90.724143999999995</v>
      </c>
      <c r="P7" s="6">
        <v>91.546386999999996</v>
      </c>
      <c r="Q7" s="6">
        <v>92.007187000000002</v>
      </c>
      <c r="R7" s="6">
        <v>92.694916000000006</v>
      </c>
      <c r="S7" s="6">
        <v>93.552750000000003</v>
      </c>
      <c r="T7" s="6">
        <v>94.142882999999998</v>
      </c>
      <c r="U7" s="6">
        <v>94.796172999999996</v>
      </c>
      <c r="V7" s="6">
        <v>95.331740999999994</v>
      </c>
      <c r="W7" s="6">
        <v>95.867317</v>
      </c>
      <c r="X7" s="6">
        <v>96.392180999999994</v>
      </c>
      <c r="Y7" s="6">
        <v>96.938461000000004</v>
      </c>
      <c r="Z7" s="6">
        <v>97.381507999999997</v>
      </c>
      <c r="AA7" s="6">
        <v>97.758681999999993</v>
      </c>
      <c r="AB7" s="6">
        <v>98.241776000000002</v>
      </c>
      <c r="AC7" s="6">
        <v>98.596687000000003</v>
      </c>
      <c r="AD7" s="6">
        <v>99.377373000000006</v>
      </c>
      <c r="AE7" s="6">
        <v>99.794150999999999</v>
      </c>
      <c r="AF7" s="6">
        <v>100.384407</v>
      </c>
      <c r="AG7" s="6">
        <v>101.06875599999999</v>
      </c>
      <c r="AH7" s="6">
        <v>101.34071400000001</v>
      </c>
      <c r="AI7" s="32">
        <v>0</v>
      </c>
    </row>
    <row r="8" spans="1:35" hidden="1" outlineLevel="1" x14ac:dyDescent="0.35">
      <c r="A8" t="s">
        <v>910</v>
      </c>
      <c r="B8" t="s">
        <v>911</v>
      </c>
      <c r="C8" t="s">
        <v>912</v>
      </c>
      <c r="D8" t="s">
        <v>909</v>
      </c>
      <c r="F8" s="6">
        <v>95.875998999999993</v>
      </c>
      <c r="G8" s="6">
        <v>85.782882999999998</v>
      </c>
      <c r="H8" s="6">
        <v>91.164046999999997</v>
      </c>
      <c r="I8" s="6">
        <v>85.233161999999993</v>
      </c>
      <c r="J8" s="6">
        <v>85.255095999999995</v>
      </c>
      <c r="K8" s="6">
        <v>85.532898000000003</v>
      </c>
      <c r="L8" s="6">
        <v>86.264731999999995</v>
      </c>
      <c r="M8" s="6">
        <v>86.738144000000005</v>
      </c>
      <c r="N8" s="6">
        <v>87.188271</v>
      </c>
      <c r="O8" s="6">
        <v>87.748749000000004</v>
      </c>
      <c r="P8" s="6">
        <v>88.512123000000003</v>
      </c>
      <c r="Q8" s="6">
        <v>88.937447000000006</v>
      </c>
      <c r="R8" s="6">
        <v>89.608727000000002</v>
      </c>
      <c r="S8" s="6">
        <v>90.032150000000001</v>
      </c>
      <c r="T8" s="6">
        <v>90.825806</v>
      </c>
      <c r="U8" s="6">
        <v>91.434028999999995</v>
      </c>
      <c r="V8" s="6">
        <v>91.807198</v>
      </c>
      <c r="W8" s="6">
        <v>92.341896000000006</v>
      </c>
      <c r="X8" s="6">
        <v>92.759917999999999</v>
      </c>
      <c r="Y8" s="6">
        <v>93.263626000000002</v>
      </c>
      <c r="Z8" s="6">
        <v>93.719948000000002</v>
      </c>
      <c r="AA8" s="6">
        <v>94.111892999999995</v>
      </c>
      <c r="AB8" s="6">
        <v>94.517478999999994</v>
      </c>
      <c r="AC8" s="6">
        <v>94.856955999999997</v>
      </c>
      <c r="AD8" s="6">
        <v>95.591453999999999</v>
      </c>
      <c r="AE8" s="6">
        <v>96.024887000000007</v>
      </c>
      <c r="AF8" s="6">
        <v>96.717949000000004</v>
      </c>
      <c r="AG8" s="6">
        <v>97.444785999999993</v>
      </c>
      <c r="AH8" s="6">
        <v>97.681374000000005</v>
      </c>
      <c r="AI8" s="32">
        <v>1E-3</v>
      </c>
    </row>
    <row r="9" spans="1:35" hidden="1" outlineLevel="1" x14ac:dyDescent="0.35">
      <c r="A9" t="s">
        <v>913</v>
      </c>
      <c r="B9" t="s">
        <v>914</v>
      </c>
      <c r="C9" t="s">
        <v>915</v>
      </c>
      <c r="D9" t="s">
        <v>909</v>
      </c>
      <c r="F9" s="6">
        <v>93.169998000000007</v>
      </c>
      <c r="G9" s="6">
        <v>83.181426999999999</v>
      </c>
      <c r="H9" s="6">
        <v>89.115829000000005</v>
      </c>
      <c r="I9" s="6">
        <v>83.701424000000003</v>
      </c>
      <c r="J9" s="6">
        <v>83.868926999999999</v>
      </c>
      <c r="K9" s="6">
        <v>84.332938999999996</v>
      </c>
      <c r="L9" s="6">
        <v>84.598572000000004</v>
      </c>
      <c r="M9" s="6">
        <v>85.159949999999995</v>
      </c>
      <c r="N9" s="6">
        <v>85.657050999999996</v>
      </c>
      <c r="O9" s="6">
        <v>85.925101999999995</v>
      </c>
      <c r="P9" s="6">
        <v>86.563086999999996</v>
      </c>
      <c r="Q9" s="6">
        <v>86.998703000000006</v>
      </c>
      <c r="R9" s="6">
        <v>87.270179999999996</v>
      </c>
      <c r="S9" s="6">
        <v>87.783455000000004</v>
      </c>
      <c r="T9" s="6">
        <v>88.702636999999996</v>
      </c>
      <c r="U9" s="6">
        <v>89.085898999999998</v>
      </c>
      <c r="V9" s="6">
        <v>89.644301999999996</v>
      </c>
      <c r="W9" s="6">
        <v>90.130309999999994</v>
      </c>
      <c r="X9" s="6">
        <v>90.801186000000001</v>
      </c>
      <c r="Y9" s="6">
        <v>91.362633000000002</v>
      </c>
      <c r="Z9" s="6">
        <v>91.912300000000002</v>
      </c>
      <c r="AA9" s="6">
        <v>91.944991999999999</v>
      </c>
      <c r="AB9" s="6">
        <v>92.211074999999994</v>
      </c>
      <c r="AC9" s="6">
        <v>92.521377999999999</v>
      </c>
      <c r="AD9" s="6">
        <v>93.186806000000004</v>
      </c>
      <c r="AE9" s="6">
        <v>93.653473000000005</v>
      </c>
      <c r="AF9" s="6">
        <v>94.190331</v>
      </c>
      <c r="AG9" s="6">
        <v>94.782402000000005</v>
      </c>
      <c r="AH9" s="6">
        <v>95.239243000000002</v>
      </c>
      <c r="AI9" s="32">
        <v>1E-3</v>
      </c>
    </row>
    <row r="10" spans="1:35" hidden="1" outlineLevel="1" x14ac:dyDescent="0.35">
      <c r="A10" t="s">
        <v>916</v>
      </c>
      <c r="B10" t="s">
        <v>917</v>
      </c>
      <c r="C10" t="s">
        <v>918</v>
      </c>
      <c r="D10" t="s">
        <v>909</v>
      </c>
      <c r="F10" s="6">
        <v>6.2539980000000002</v>
      </c>
      <c r="G10" s="6">
        <v>5.7618099999999997</v>
      </c>
      <c r="H10" s="6">
        <v>1.367348</v>
      </c>
      <c r="I10" s="6">
        <v>1.815445</v>
      </c>
      <c r="J10" s="6">
        <v>2.6277240000000002</v>
      </c>
      <c r="K10" s="6">
        <v>2.7735289999999999</v>
      </c>
      <c r="L10" s="6">
        <v>2.6143649999999998</v>
      </c>
      <c r="M10" s="6">
        <v>2.7327499999999998</v>
      </c>
      <c r="N10" s="6">
        <v>2.9748000000000001</v>
      </c>
      <c r="O10" s="6">
        <v>2.9753949999999998</v>
      </c>
      <c r="P10" s="6">
        <v>3.0342639999999999</v>
      </c>
      <c r="Q10" s="6">
        <v>3.0697399999999999</v>
      </c>
      <c r="R10" s="6">
        <v>3.0861890000000001</v>
      </c>
      <c r="S10" s="6">
        <v>3.5205989999999998</v>
      </c>
      <c r="T10" s="6">
        <v>3.317078</v>
      </c>
      <c r="U10" s="6">
        <v>3.3621439999999998</v>
      </c>
      <c r="V10" s="6">
        <v>3.5245440000000001</v>
      </c>
      <c r="W10" s="6">
        <v>3.5254210000000001</v>
      </c>
      <c r="X10" s="6">
        <v>3.632263</v>
      </c>
      <c r="Y10" s="6">
        <v>3.6748349999999999</v>
      </c>
      <c r="Z10" s="6">
        <v>3.6615600000000001</v>
      </c>
      <c r="AA10" s="6">
        <v>3.6467900000000002</v>
      </c>
      <c r="AB10" s="6">
        <v>3.724297</v>
      </c>
      <c r="AC10" s="6">
        <v>3.7397309999999999</v>
      </c>
      <c r="AD10" s="6">
        <v>3.7859189999999998</v>
      </c>
      <c r="AE10" s="6">
        <v>3.7692640000000002</v>
      </c>
      <c r="AF10" s="6">
        <v>3.666458</v>
      </c>
      <c r="AG10" s="6">
        <v>3.6239699999999999</v>
      </c>
      <c r="AH10" s="6">
        <v>3.6593399999999998</v>
      </c>
      <c r="AI10" s="32">
        <v>-1.9E-2</v>
      </c>
    </row>
    <row r="11" spans="1:35" hidden="1" outlineLevel="1" x14ac:dyDescent="0.35">
      <c r="A11" t="s">
        <v>919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5" hidden="1" outlineLevel="1" x14ac:dyDescent="0.35">
      <c r="A12" t="s">
        <v>920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5" hidden="1" outlineLevel="1" x14ac:dyDescent="0.35">
      <c r="A13" t="s">
        <v>921</v>
      </c>
      <c r="B13" t="s">
        <v>922</v>
      </c>
      <c r="C13" t="s">
        <v>923</v>
      </c>
      <c r="D13" t="s">
        <v>924</v>
      </c>
      <c r="F13" s="6">
        <v>2.6643159999999999</v>
      </c>
      <c r="G13" s="6">
        <v>2.8630779999999998</v>
      </c>
      <c r="H13" s="6">
        <v>2.8797419999999998</v>
      </c>
      <c r="I13" s="6">
        <v>2.7814679999999998</v>
      </c>
      <c r="J13" s="6">
        <v>2.681082</v>
      </c>
      <c r="K13" s="6">
        <v>2.6001979999999998</v>
      </c>
      <c r="L13" s="6">
        <v>2.5540069999999999</v>
      </c>
      <c r="M13" s="6">
        <v>2.536594</v>
      </c>
      <c r="N13" s="6">
        <v>2.5447959999999998</v>
      </c>
      <c r="O13" s="6">
        <v>2.571148</v>
      </c>
      <c r="P13" s="6">
        <v>2.6134659999999998</v>
      </c>
      <c r="Q13" s="6">
        <v>2.6673170000000002</v>
      </c>
      <c r="R13" s="6">
        <v>2.7211690000000002</v>
      </c>
      <c r="S13" s="6">
        <v>2.7643490000000002</v>
      </c>
      <c r="T13" s="6">
        <v>2.796783</v>
      </c>
      <c r="U13" s="6">
        <v>2.8257850000000002</v>
      </c>
      <c r="V13" s="6">
        <v>2.8631180000000001</v>
      </c>
      <c r="W13" s="6">
        <v>2.8814160000000002</v>
      </c>
      <c r="X13" s="6">
        <v>2.9110900000000002</v>
      </c>
      <c r="Y13" s="6">
        <v>2.9402020000000002</v>
      </c>
      <c r="Z13" s="6">
        <v>2.961004</v>
      </c>
      <c r="AA13" s="6">
        <v>2.971813</v>
      </c>
      <c r="AB13" s="6">
        <v>2.9747400000000002</v>
      </c>
      <c r="AC13" s="6">
        <v>2.9815019999999999</v>
      </c>
      <c r="AD13" s="6">
        <v>3.0013160000000001</v>
      </c>
      <c r="AE13" s="6">
        <v>3.0050089999999998</v>
      </c>
      <c r="AF13" s="6">
        <v>3.012823</v>
      </c>
      <c r="AG13" s="6">
        <v>3.015603</v>
      </c>
      <c r="AH13" s="6">
        <v>3.0145979999999999</v>
      </c>
      <c r="AI13" s="32">
        <v>4.0000000000000001E-3</v>
      </c>
    </row>
    <row r="14" spans="1:35" hidden="1" outlineLevel="1" x14ac:dyDescent="0.35">
      <c r="A14" t="s">
        <v>925</v>
      </c>
      <c r="B14" t="s">
        <v>926</v>
      </c>
      <c r="C14" t="s">
        <v>927</v>
      </c>
      <c r="D14" t="s">
        <v>924</v>
      </c>
      <c r="F14" s="6">
        <v>4.8463640000000003</v>
      </c>
      <c r="G14" s="6">
        <v>4.5140390000000004</v>
      </c>
      <c r="H14" s="6">
        <v>4.347709</v>
      </c>
      <c r="I14" s="6">
        <v>4.1217839999999999</v>
      </c>
      <c r="J14" s="6">
        <v>4.0582060000000002</v>
      </c>
      <c r="K14" s="6">
        <v>3.9971329999999998</v>
      </c>
      <c r="L14" s="6">
        <v>3.9580090000000001</v>
      </c>
      <c r="M14" s="6">
        <v>3.9700790000000001</v>
      </c>
      <c r="N14" s="6">
        <v>3.9710869999999998</v>
      </c>
      <c r="O14" s="6">
        <v>3.995463</v>
      </c>
      <c r="P14" s="6">
        <v>4.0073780000000001</v>
      </c>
      <c r="Q14" s="6">
        <v>4.0234160000000001</v>
      </c>
      <c r="R14" s="6">
        <v>4.0295750000000004</v>
      </c>
      <c r="S14" s="6">
        <v>4.053515</v>
      </c>
      <c r="T14" s="6">
        <v>4.0556989999999997</v>
      </c>
      <c r="U14" s="6">
        <v>4.0724479999999996</v>
      </c>
      <c r="V14" s="6">
        <v>4.0845859999999998</v>
      </c>
      <c r="W14" s="6">
        <v>4.0903140000000002</v>
      </c>
      <c r="X14" s="6">
        <v>4.0967500000000001</v>
      </c>
      <c r="Y14" s="6">
        <v>4.1182420000000004</v>
      </c>
      <c r="Z14" s="6">
        <v>4.1173159999999998</v>
      </c>
      <c r="AA14" s="6">
        <v>4.1329140000000004</v>
      </c>
      <c r="AB14" s="6">
        <v>4.1198990000000002</v>
      </c>
      <c r="AC14" s="6">
        <v>4.1259519999999998</v>
      </c>
      <c r="AD14" s="6">
        <v>4.1547200000000002</v>
      </c>
      <c r="AE14" s="6">
        <v>4.1582730000000003</v>
      </c>
      <c r="AF14" s="6">
        <v>4.1627400000000003</v>
      </c>
      <c r="AG14" s="6">
        <v>4.1717849999999999</v>
      </c>
      <c r="AH14" s="6">
        <v>4.1716879999999996</v>
      </c>
      <c r="AI14" s="32">
        <v>-5.0000000000000001E-3</v>
      </c>
    </row>
    <row r="15" spans="1:35" hidden="1" outlineLevel="1" x14ac:dyDescent="0.35">
      <c r="A15" t="s">
        <v>928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5" hidden="1" outlineLevel="1" x14ac:dyDescent="0.35">
      <c r="A16" t="s">
        <v>925</v>
      </c>
      <c r="B16" t="s">
        <v>929</v>
      </c>
      <c r="C16" t="s">
        <v>930</v>
      </c>
      <c r="D16" t="s">
        <v>924</v>
      </c>
      <c r="F16" s="6">
        <v>4.8492800000000003</v>
      </c>
      <c r="G16" s="6">
        <v>4.5354159999999997</v>
      </c>
      <c r="H16" s="6">
        <v>4.2103200000000003</v>
      </c>
      <c r="I16" s="6">
        <v>3.8251140000000001</v>
      </c>
      <c r="J16" s="6">
        <v>3.5996990000000002</v>
      </c>
      <c r="K16" s="6">
        <v>3.3800509999999999</v>
      </c>
      <c r="L16" s="6">
        <v>3.1807460000000001</v>
      </c>
      <c r="M16" s="6">
        <v>3.1921550000000001</v>
      </c>
      <c r="N16" s="6">
        <v>3.1924000000000001</v>
      </c>
      <c r="O16" s="6">
        <v>3.215271</v>
      </c>
      <c r="P16" s="6">
        <v>3.2281240000000002</v>
      </c>
      <c r="Q16" s="6">
        <v>3.2425609999999998</v>
      </c>
      <c r="R16" s="6">
        <v>3.2499929999999999</v>
      </c>
      <c r="S16" s="6">
        <v>3.2709790000000001</v>
      </c>
      <c r="T16" s="6">
        <v>3.2745950000000001</v>
      </c>
      <c r="U16" s="6">
        <v>3.290133</v>
      </c>
      <c r="V16" s="6">
        <v>3.301542</v>
      </c>
      <c r="W16" s="6">
        <v>3.3072140000000001</v>
      </c>
      <c r="X16" s="6">
        <v>3.313672</v>
      </c>
      <c r="Y16" s="6">
        <v>3.3349549999999999</v>
      </c>
      <c r="Z16" s="6">
        <v>3.3340209999999999</v>
      </c>
      <c r="AA16" s="6">
        <v>3.3497509999999999</v>
      </c>
      <c r="AB16" s="6">
        <v>3.3373059999999999</v>
      </c>
      <c r="AC16" s="6">
        <v>3.346911</v>
      </c>
      <c r="AD16" s="6">
        <v>3.418501</v>
      </c>
      <c r="AE16" s="6">
        <v>3.4204050000000001</v>
      </c>
      <c r="AF16" s="6">
        <v>3.4248080000000001</v>
      </c>
      <c r="AG16" s="6">
        <v>3.4345129999999999</v>
      </c>
      <c r="AH16" s="6">
        <v>3.434647</v>
      </c>
      <c r="AI16" s="32">
        <v>-1.2E-2</v>
      </c>
    </row>
    <row r="17" spans="1:35" hidden="1" outlineLevel="1" x14ac:dyDescent="0.35">
      <c r="A17" t="s">
        <v>931</v>
      </c>
      <c r="B17" t="s">
        <v>932</v>
      </c>
      <c r="C17" t="s">
        <v>933</v>
      </c>
      <c r="D17" t="s">
        <v>924</v>
      </c>
      <c r="F17" s="6">
        <v>1.8904399999999999</v>
      </c>
      <c r="G17" s="6">
        <v>1.177325</v>
      </c>
      <c r="H17" s="6">
        <v>1.412236</v>
      </c>
      <c r="I17" s="6">
        <v>1.457727</v>
      </c>
      <c r="J17" s="6">
        <v>1.666647</v>
      </c>
      <c r="K17" s="6">
        <v>1.8763049999999999</v>
      </c>
      <c r="L17" s="6">
        <v>2.0994519999999999</v>
      </c>
      <c r="M17" s="6">
        <v>2.1110579999999999</v>
      </c>
      <c r="N17" s="6">
        <v>2.1236519999999999</v>
      </c>
      <c r="O17" s="6">
        <v>2.139758</v>
      </c>
      <c r="P17" s="6">
        <v>2.154433</v>
      </c>
      <c r="Q17" s="6">
        <v>2.1678649999999999</v>
      </c>
      <c r="R17" s="6">
        <v>2.1828439999999998</v>
      </c>
      <c r="S17" s="6">
        <v>2.1996030000000002</v>
      </c>
      <c r="T17" s="6">
        <v>2.2129699999999999</v>
      </c>
      <c r="U17" s="6">
        <v>2.227471</v>
      </c>
      <c r="V17" s="6">
        <v>2.2432460000000001</v>
      </c>
      <c r="W17" s="6">
        <v>2.2532719999999999</v>
      </c>
      <c r="X17" s="6">
        <v>2.2659319999999998</v>
      </c>
      <c r="Y17" s="6">
        <v>2.2849089999999999</v>
      </c>
      <c r="Z17" s="6">
        <v>2.286969</v>
      </c>
      <c r="AA17" s="6">
        <v>2.2973309999999998</v>
      </c>
      <c r="AB17" s="6">
        <v>2.3017270000000001</v>
      </c>
      <c r="AC17" s="6">
        <v>2.3101980000000002</v>
      </c>
      <c r="AD17" s="6">
        <v>2.334409</v>
      </c>
      <c r="AE17" s="6">
        <v>2.3342909999999999</v>
      </c>
      <c r="AF17" s="6">
        <v>2.352319</v>
      </c>
      <c r="AG17" s="6">
        <v>2.365767</v>
      </c>
      <c r="AH17" s="6">
        <v>2.3760479999999999</v>
      </c>
      <c r="AI17" s="32">
        <v>8.0000000000000002E-3</v>
      </c>
    </row>
    <row r="18" spans="1:35" hidden="1" outlineLevel="1" x14ac:dyDescent="0.35">
      <c r="A18" t="s">
        <v>934</v>
      </c>
      <c r="B18" t="s">
        <v>932</v>
      </c>
      <c r="C18" t="s">
        <v>935</v>
      </c>
      <c r="D18" t="s">
        <v>909</v>
      </c>
      <c r="F18" s="6">
        <v>79.398491000000007</v>
      </c>
      <c r="G18" s="6">
        <v>49.447670000000002</v>
      </c>
      <c r="H18" s="6">
        <v>59.313910999999997</v>
      </c>
      <c r="I18" s="6">
        <v>61.224522</v>
      </c>
      <c r="J18" s="6">
        <v>69.999184</v>
      </c>
      <c r="K18" s="6">
        <v>78.804794000000001</v>
      </c>
      <c r="L18" s="6">
        <v>88.176963999999998</v>
      </c>
      <c r="M18" s="6">
        <v>88.664444000000003</v>
      </c>
      <c r="N18" s="6">
        <v>89.193382</v>
      </c>
      <c r="O18" s="6">
        <v>89.869820000000004</v>
      </c>
      <c r="P18" s="6">
        <v>90.486191000000005</v>
      </c>
      <c r="Q18" s="6">
        <v>91.050346000000005</v>
      </c>
      <c r="R18" s="6">
        <v>91.679443000000006</v>
      </c>
      <c r="S18" s="6">
        <v>92.383324000000002</v>
      </c>
      <c r="T18" s="6">
        <v>92.944762999999995</v>
      </c>
      <c r="U18" s="6">
        <v>93.553771999999995</v>
      </c>
      <c r="V18" s="6">
        <v>94.216346999999999</v>
      </c>
      <c r="W18" s="6">
        <v>94.637428</v>
      </c>
      <c r="X18" s="6">
        <v>95.169144000000003</v>
      </c>
      <c r="Y18" s="6">
        <v>95.966194000000002</v>
      </c>
      <c r="Z18" s="6">
        <v>96.052711000000002</v>
      </c>
      <c r="AA18" s="6">
        <v>96.487915000000001</v>
      </c>
      <c r="AB18" s="6">
        <v>96.672522999999998</v>
      </c>
      <c r="AC18" s="6">
        <v>97.028312999999997</v>
      </c>
      <c r="AD18" s="6">
        <v>98.045188999999993</v>
      </c>
      <c r="AE18" s="6">
        <v>98.040199000000001</v>
      </c>
      <c r="AF18" s="6">
        <v>98.797393999999997</v>
      </c>
      <c r="AG18" s="6">
        <v>99.362212999999997</v>
      </c>
      <c r="AH18" s="6">
        <v>99.794021999999998</v>
      </c>
      <c r="AI18" s="32">
        <v>8.0000000000000002E-3</v>
      </c>
    </row>
    <row r="19" spans="1:35" hidden="1" outlineLevel="1" x14ac:dyDescent="0.35">
      <c r="A19" t="s">
        <v>936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5" hidden="1" outlineLevel="1" x14ac:dyDescent="0.35">
      <c r="A20" t="s">
        <v>921</v>
      </c>
      <c r="B20" t="s">
        <v>937</v>
      </c>
      <c r="C20" t="s">
        <v>938</v>
      </c>
      <c r="D20" t="s">
        <v>924</v>
      </c>
      <c r="F20" s="6">
        <v>2.1431879999999999</v>
      </c>
      <c r="G20" s="6">
        <v>1.963403</v>
      </c>
      <c r="H20" s="6">
        <v>1.7563899999999999</v>
      </c>
      <c r="I20" s="6">
        <v>1.5550539999999999</v>
      </c>
      <c r="J20" s="6">
        <v>1.457074</v>
      </c>
      <c r="K20" s="6">
        <v>1.405451</v>
      </c>
      <c r="L20" s="6">
        <v>1.396488</v>
      </c>
      <c r="M20" s="6">
        <v>1.408512</v>
      </c>
      <c r="N20" s="6">
        <v>1.438361</v>
      </c>
      <c r="O20" s="6">
        <v>1.4768140000000001</v>
      </c>
      <c r="P20" s="6">
        <v>1.5256419999999999</v>
      </c>
      <c r="Q20" s="6">
        <v>1.5801799999999999</v>
      </c>
      <c r="R20" s="6">
        <v>1.6250610000000001</v>
      </c>
      <c r="S20" s="6">
        <v>1.651143</v>
      </c>
      <c r="T20" s="6">
        <v>1.666981</v>
      </c>
      <c r="U20" s="6">
        <v>1.6858869999999999</v>
      </c>
      <c r="V20" s="6">
        <v>1.722269</v>
      </c>
      <c r="W20" s="6">
        <v>1.7224630000000001</v>
      </c>
      <c r="X20" s="6">
        <v>1.753614</v>
      </c>
      <c r="Y20" s="6">
        <v>1.7780860000000001</v>
      </c>
      <c r="Z20" s="6">
        <v>1.788373</v>
      </c>
      <c r="AA20" s="6">
        <v>1.7879309999999999</v>
      </c>
      <c r="AB20" s="6">
        <v>1.7823910000000001</v>
      </c>
      <c r="AC20" s="6">
        <v>1.7880469999999999</v>
      </c>
      <c r="AD20" s="6">
        <v>1.787463</v>
      </c>
      <c r="AE20" s="6">
        <v>1.791263</v>
      </c>
      <c r="AF20" s="6">
        <v>1.801131</v>
      </c>
      <c r="AG20" s="6">
        <v>1.7997559999999999</v>
      </c>
      <c r="AH20" s="6">
        <v>1.795212</v>
      </c>
      <c r="AI20" s="32">
        <v>-6.0000000000000001E-3</v>
      </c>
    </row>
    <row r="21" spans="1:35" hidden="1" outlineLevel="1" x14ac:dyDescent="0.35">
      <c r="A21" t="s">
        <v>925</v>
      </c>
      <c r="B21" t="s">
        <v>939</v>
      </c>
      <c r="C21" t="s">
        <v>940</v>
      </c>
      <c r="D21" t="s">
        <v>924</v>
      </c>
      <c r="F21" s="6">
        <v>4.838775</v>
      </c>
      <c r="G21" s="6">
        <v>4.5111429999999997</v>
      </c>
      <c r="H21" s="6">
        <v>4.191262</v>
      </c>
      <c r="I21" s="6">
        <v>3.8006980000000001</v>
      </c>
      <c r="J21" s="6">
        <v>3.5697489999999998</v>
      </c>
      <c r="K21" s="6">
        <v>3.345469</v>
      </c>
      <c r="L21" s="6">
        <v>3.1411560000000001</v>
      </c>
      <c r="M21" s="6">
        <v>3.154404</v>
      </c>
      <c r="N21" s="6">
        <v>3.1552929999999999</v>
      </c>
      <c r="O21" s="6">
        <v>3.178633</v>
      </c>
      <c r="P21" s="6">
        <v>3.1927840000000001</v>
      </c>
      <c r="Q21" s="6">
        <v>3.2095259999999999</v>
      </c>
      <c r="R21" s="6">
        <v>3.2171979999999998</v>
      </c>
      <c r="S21" s="6">
        <v>3.2407659999999998</v>
      </c>
      <c r="T21" s="6">
        <v>3.244532</v>
      </c>
      <c r="U21" s="6">
        <v>3.2617189999999998</v>
      </c>
      <c r="V21" s="6">
        <v>3.2740960000000001</v>
      </c>
      <c r="W21" s="6">
        <v>3.2807770000000001</v>
      </c>
      <c r="X21" s="6">
        <v>3.2883239999999998</v>
      </c>
      <c r="Y21" s="6">
        <v>3.3109489999999999</v>
      </c>
      <c r="Z21" s="6">
        <v>3.3110439999999999</v>
      </c>
      <c r="AA21" s="6">
        <v>3.3282090000000002</v>
      </c>
      <c r="AB21" s="6">
        <v>3.3171210000000002</v>
      </c>
      <c r="AC21" s="6">
        <v>3.3249339999999998</v>
      </c>
      <c r="AD21" s="6">
        <v>3.355874</v>
      </c>
      <c r="AE21" s="6">
        <v>3.359229</v>
      </c>
      <c r="AF21" s="6">
        <v>3.3648400000000001</v>
      </c>
      <c r="AG21" s="6">
        <v>3.3754819999999999</v>
      </c>
      <c r="AH21" s="6">
        <v>3.3764479999999999</v>
      </c>
      <c r="AI21" s="32">
        <v>-1.2999999999999999E-2</v>
      </c>
    </row>
    <row r="22" spans="1:35" hidden="1" outlineLevel="1" x14ac:dyDescent="0.35">
      <c r="A22" t="s">
        <v>931</v>
      </c>
      <c r="B22" t="s">
        <v>941</v>
      </c>
      <c r="C22" t="s">
        <v>942</v>
      </c>
      <c r="D22" t="s">
        <v>924</v>
      </c>
      <c r="F22" s="6">
        <v>1.9976419999999999</v>
      </c>
      <c r="G22" s="6">
        <v>1.271792</v>
      </c>
      <c r="H22" s="6">
        <v>1.5221199999999999</v>
      </c>
      <c r="I22" s="6">
        <v>1.607081</v>
      </c>
      <c r="J22" s="6">
        <v>1.83802</v>
      </c>
      <c r="K22" s="6">
        <v>2.0842230000000002</v>
      </c>
      <c r="L22" s="6">
        <v>2.326254</v>
      </c>
      <c r="M22" s="6">
        <v>2.3387730000000002</v>
      </c>
      <c r="N22" s="6">
        <v>2.3543880000000001</v>
      </c>
      <c r="O22" s="6">
        <v>2.372655</v>
      </c>
      <c r="P22" s="6">
        <v>2.3906550000000002</v>
      </c>
      <c r="Q22" s="6">
        <v>2.4077679999999999</v>
      </c>
      <c r="R22" s="6">
        <v>2.4258229999999998</v>
      </c>
      <c r="S22" s="6">
        <v>2.4452539999999998</v>
      </c>
      <c r="T22" s="6">
        <v>2.460013</v>
      </c>
      <c r="U22" s="6">
        <v>2.4755509999999998</v>
      </c>
      <c r="V22" s="6">
        <v>2.4935779999999999</v>
      </c>
      <c r="W22" s="6">
        <v>2.5050490000000001</v>
      </c>
      <c r="X22" s="6">
        <v>2.519933</v>
      </c>
      <c r="Y22" s="6">
        <v>2.5404770000000001</v>
      </c>
      <c r="Z22" s="6">
        <v>2.5436290000000001</v>
      </c>
      <c r="AA22" s="6">
        <v>2.5546519999999999</v>
      </c>
      <c r="AB22" s="6">
        <v>2.5531950000000001</v>
      </c>
      <c r="AC22" s="6">
        <v>2.5622569999999998</v>
      </c>
      <c r="AD22" s="6">
        <v>2.5884939999999999</v>
      </c>
      <c r="AE22" s="6">
        <v>2.5892140000000001</v>
      </c>
      <c r="AF22" s="6">
        <v>2.6063320000000001</v>
      </c>
      <c r="AG22" s="6">
        <v>2.6191870000000002</v>
      </c>
      <c r="AH22" s="6">
        <v>2.630169</v>
      </c>
      <c r="AI22" s="32">
        <v>0.01</v>
      </c>
    </row>
    <row r="23" spans="1:35" hidden="1" outlineLevel="1" x14ac:dyDescent="0.35">
      <c r="A23" t="s">
        <v>934</v>
      </c>
      <c r="B23" t="s">
        <v>941</v>
      </c>
      <c r="C23" t="s">
        <v>943</v>
      </c>
      <c r="D23" t="s">
        <v>909</v>
      </c>
      <c r="F23" s="6">
        <v>83.900963000000004</v>
      </c>
      <c r="G23" s="6">
        <v>53.415267999999998</v>
      </c>
      <c r="H23" s="6">
        <v>63.929031000000002</v>
      </c>
      <c r="I23" s="6">
        <v>67.497398000000004</v>
      </c>
      <c r="J23" s="6">
        <v>77.196831000000003</v>
      </c>
      <c r="K23" s="6">
        <v>87.537368999999998</v>
      </c>
      <c r="L23" s="6">
        <v>97.702674999999999</v>
      </c>
      <c r="M23" s="6">
        <v>98.228470000000002</v>
      </c>
      <c r="N23" s="6">
        <v>98.884315000000001</v>
      </c>
      <c r="O23" s="6">
        <v>99.651497000000006</v>
      </c>
      <c r="P23" s="6">
        <v>100.407509</v>
      </c>
      <c r="Q23" s="6">
        <v>101.12623600000001</v>
      </c>
      <c r="R23" s="6">
        <v>101.88458300000001</v>
      </c>
      <c r="S23" s="6">
        <v>102.700684</v>
      </c>
      <c r="T23" s="6">
        <v>103.320564</v>
      </c>
      <c r="U23" s="6">
        <v>103.97315999999999</v>
      </c>
      <c r="V23" s="6">
        <v>104.730293</v>
      </c>
      <c r="W23" s="6">
        <v>105.212067</v>
      </c>
      <c r="X23" s="6">
        <v>105.837181</v>
      </c>
      <c r="Y23" s="6">
        <v>106.70005</v>
      </c>
      <c r="Z23" s="6">
        <v>106.83242799999999</v>
      </c>
      <c r="AA23" s="6">
        <v>107.295372</v>
      </c>
      <c r="AB23" s="6">
        <v>107.23421500000001</v>
      </c>
      <c r="AC23" s="6">
        <v>107.614799</v>
      </c>
      <c r="AD23" s="6">
        <v>108.716728</v>
      </c>
      <c r="AE23" s="6">
        <v>108.746979</v>
      </c>
      <c r="AF23" s="6">
        <v>109.46595000000001</v>
      </c>
      <c r="AG23" s="6">
        <v>110.005844</v>
      </c>
      <c r="AH23" s="6">
        <v>110.467102</v>
      </c>
      <c r="AI23" s="32">
        <v>0.01</v>
      </c>
    </row>
    <row r="24" spans="1:35" hidden="1" outlineLevel="1" x14ac:dyDescent="0.35">
      <c r="A24" t="s">
        <v>944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5" hidden="1" outlineLevel="1" x14ac:dyDescent="0.35">
      <c r="A25" t="s">
        <v>921</v>
      </c>
      <c r="B25" t="s">
        <v>945</v>
      </c>
      <c r="C25" t="s">
        <v>946</v>
      </c>
      <c r="D25" t="s">
        <v>924</v>
      </c>
      <c r="F25" s="6">
        <v>2.3479260000000002</v>
      </c>
      <c r="G25" s="6">
        <v>2.2066249999999998</v>
      </c>
      <c r="H25" s="6">
        <v>2.0551140000000001</v>
      </c>
      <c r="I25" s="6">
        <v>1.9036690000000001</v>
      </c>
      <c r="J25" s="6">
        <v>1.8289500000000001</v>
      </c>
      <c r="K25" s="6">
        <v>1.788991</v>
      </c>
      <c r="L25" s="6">
        <v>1.7826040000000001</v>
      </c>
      <c r="M25" s="6">
        <v>1.7926709999999999</v>
      </c>
      <c r="N25" s="6">
        <v>1.816743</v>
      </c>
      <c r="O25" s="6">
        <v>1.847197</v>
      </c>
      <c r="P25" s="6">
        <v>1.885391</v>
      </c>
      <c r="Q25" s="6">
        <v>1.9274119999999999</v>
      </c>
      <c r="R25" s="6">
        <v>1.9613529999999999</v>
      </c>
      <c r="S25" s="6">
        <v>1.9806859999999999</v>
      </c>
      <c r="T25" s="6">
        <v>1.9923599999999999</v>
      </c>
      <c r="U25" s="6">
        <v>2.0064739999999999</v>
      </c>
      <c r="V25" s="6">
        <v>2.0337640000000001</v>
      </c>
      <c r="W25" s="6">
        <v>2.033407</v>
      </c>
      <c r="X25" s="6">
        <v>2.056775</v>
      </c>
      <c r="Y25" s="6">
        <v>2.074668</v>
      </c>
      <c r="Z25" s="6">
        <v>2.0819719999999999</v>
      </c>
      <c r="AA25" s="6">
        <v>2.0814759999999999</v>
      </c>
      <c r="AB25" s="6">
        <v>2.0773579999999998</v>
      </c>
      <c r="AC25" s="6">
        <v>2.082856</v>
      </c>
      <c r="AD25" s="6">
        <v>2.1056810000000001</v>
      </c>
      <c r="AE25" s="6">
        <v>2.108654</v>
      </c>
      <c r="AF25" s="6">
        <v>2.1160830000000002</v>
      </c>
      <c r="AG25" s="6">
        <v>2.115075</v>
      </c>
      <c r="AH25" s="6">
        <v>2.1118459999999999</v>
      </c>
      <c r="AI25" s="32">
        <v>-4.0000000000000001E-3</v>
      </c>
    </row>
    <row r="26" spans="1:35" hidden="1" outlineLevel="1" x14ac:dyDescent="0.35">
      <c r="A26" t="s">
        <v>947</v>
      </c>
      <c r="B26" t="s">
        <v>948</v>
      </c>
      <c r="C26" t="s">
        <v>949</v>
      </c>
      <c r="D26" t="s">
        <v>924</v>
      </c>
      <c r="F26" s="6">
        <v>3.6287739999999999</v>
      </c>
      <c r="G26" s="6">
        <v>3.2092299999999998</v>
      </c>
      <c r="H26" s="6">
        <v>3.082716</v>
      </c>
      <c r="I26" s="6">
        <v>2.877373</v>
      </c>
      <c r="J26" s="6">
        <v>2.8500909999999999</v>
      </c>
      <c r="K26" s="6">
        <v>2.8347180000000001</v>
      </c>
      <c r="L26" s="6">
        <v>2.8384230000000001</v>
      </c>
      <c r="M26" s="6">
        <v>2.8456999999999999</v>
      </c>
      <c r="N26" s="6">
        <v>2.8585970000000001</v>
      </c>
      <c r="O26" s="6">
        <v>2.856427</v>
      </c>
      <c r="P26" s="6">
        <v>2.8747340000000001</v>
      </c>
      <c r="Q26" s="6">
        <v>2.8845730000000001</v>
      </c>
      <c r="R26" s="6">
        <v>2.8976389999999999</v>
      </c>
      <c r="S26" s="6">
        <v>2.90673</v>
      </c>
      <c r="T26" s="6">
        <v>2.941217</v>
      </c>
      <c r="U26" s="6">
        <v>2.9479160000000002</v>
      </c>
      <c r="V26" s="6">
        <v>2.959406</v>
      </c>
      <c r="W26" s="6">
        <v>2.974275</v>
      </c>
      <c r="X26" s="6">
        <v>2.9800339999999998</v>
      </c>
      <c r="Y26" s="6">
        <v>2.981684</v>
      </c>
      <c r="Z26" s="6">
        <v>2.9911240000000001</v>
      </c>
      <c r="AA26" s="6">
        <v>2.98021</v>
      </c>
      <c r="AB26" s="6">
        <v>3.0009670000000002</v>
      </c>
      <c r="AC26" s="6">
        <v>3.0034200000000002</v>
      </c>
      <c r="AD26" s="6">
        <v>3.083377</v>
      </c>
      <c r="AE26" s="6">
        <v>3.0842700000000001</v>
      </c>
      <c r="AF26" s="6">
        <v>3.111135</v>
      </c>
      <c r="AG26" s="6">
        <v>3.1206330000000002</v>
      </c>
      <c r="AH26" s="6">
        <v>3.1498550000000001</v>
      </c>
      <c r="AI26" s="32">
        <v>-5.0000000000000001E-3</v>
      </c>
    </row>
    <row r="27" spans="1:35" hidden="1" outlineLevel="1" x14ac:dyDescent="0.35">
      <c r="A27" t="s">
        <v>950</v>
      </c>
      <c r="B27" t="s">
        <v>951</v>
      </c>
      <c r="C27" t="s">
        <v>952</v>
      </c>
      <c r="D27" t="s">
        <v>924</v>
      </c>
      <c r="F27" s="6">
        <v>1.5593049999999999</v>
      </c>
      <c r="G27" s="6">
        <v>1.5593049999999999</v>
      </c>
      <c r="H27" s="6">
        <v>1.581998</v>
      </c>
      <c r="I27" s="6">
        <v>1.4752050000000001</v>
      </c>
      <c r="J27" s="6">
        <v>1.472151</v>
      </c>
      <c r="K27" s="6">
        <v>1.46807</v>
      </c>
      <c r="L27" s="6">
        <v>1.466637</v>
      </c>
      <c r="M27" s="6">
        <v>1.464696</v>
      </c>
      <c r="N27" s="6">
        <v>1.4683649999999999</v>
      </c>
      <c r="O27" s="6">
        <v>1.467147</v>
      </c>
      <c r="P27" s="6">
        <v>1.463506</v>
      </c>
      <c r="Q27" s="6">
        <v>1.421122</v>
      </c>
      <c r="R27" s="6">
        <v>1.435924</v>
      </c>
      <c r="S27" s="6">
        <v>1.40917</v>
      </c>
      <c r="T27" s="6">
        <v>1.4301889999999999</v>
      </c>
      <c r="U27" s="6">
        <v>1.4173990000000001</v>
      </c>
      <c r="V27" s="6">
        <v>1.4003920000000001</v>
      </c>
      <c r="W27" s="6">
        <v>1.3850180000000001</v>
      </c>
      <c r="X27" s="6">
        <v>1.383724</v>
      </c>
      <c r="Y27" s="6">
        <v>1.373453</v>
      </c>
      <c r="Z27" s="6">
        <v>1.37069</v>
      </c>
      <c r="AA27" s="6">
        <v>1.3708800000000001</v>
      </c>
      <c r="AB27" s="6">
        <v>1.4269849999999999</v>
      </c>
      <c r="AC27" s="6">
        <v>1.4443699999999999</v>
      </c>
      <c r="AD27" s="6">
        <v>1.495598</v>
      </c>
      <c r="AE27" s="6">
        <v>1.478124</v>
      </c>
      <c r="AF27" s="6">
        <v>1.4730019999999999</v>
      </c>
      <c r="AG27" s="6">
        <v>1.507854</v>
      </c>
      <c r="AH27" s="6">
        <v>1.7244600000000001</v>
      </c>
      <c r="AI27" s="32">
        <v>4.0000000000000001E-3</v>
      </c>
    </row>
    <row r="28" spans="1:35" hidden="1" outlineLevel="1" x14ac:dyDescent="0.35">
      <c r="A28" t="s">
        <v>953</v>
      </c>
      <c r="B28" t="s">
        <v>954</v>
      </c>
      <c r="C28" t="s">
        <v>955</v>
      </c>
      <c r="D28" t="s">
        <v>924</v>
      </c>
      <c r="F28" s="6">
        <v>4.1839969999999997</v>
      </c>
      <c r="G28" s="6">
        <v>3.6677590000000002</v>
      </c>
      <c r="H28" s="6">
        <v>3.3247</v>
      </c>
      <c r="I28" s="6">
        <v>3.1027680000000002</v>
      </c>
      <c r="J28" s="6">
        <v>3.069134</v>
      </c>
      <c r="K28" s="6">
        <v>3.050068</v>
      </c>
      <c r="L28" s="6">
        <v>3.0508000000000002</v>
      </c>
      <c r="M28" s="6">
        <v>3.0554380000000001</v>
      </c>
      <c r="N28" s="6">
        <v>3.065353</v>
      </c>
      <c r="O28" s="6">
        <v>3.0602819999999999</v>
      </c>
      <c r="P28" s="6">
        <v>3.075698</v>
      </c>
      <c r="Q28" s="6">
        <v>3.0825239999999998</v>
      </c>
      <c r="R28" s="6">
        <v>3.0924680000000002</v>
      </c>
      <c r="S28" s="6">
        <v>3.0986539999999998</v>
      </c>
      <c r="T28" s="6">
        <v>3.1315810000000002</v>
      </c>
      <c r="U28" s="6">
        <v>3.1356619999999999</v>
      </c>
      <c r="V28" s="6">
        <v>3.1447769999999999</v>
      </c>
      <c r="W28" s="6">
        <v>3.1580710000000001</v>
      </c>
      <c r="X28" s="6">
        <v>3.161826</v>
      </c>
      <c r="Y28" s="6">
        <v>3.161508</v>
      </c>
      <c r="Z28" s="6">
        <v>3.169308</v>
      </c>
      <c r="AA28" s="6">
        <v>3.1561599999999999</v>
      </c>
      <c r="AB28" s="6">
        <v>3.1765319999999999</v>
      </c>
      <c r="AC28" s="6">
        <v>3.1773859999999998</v>
      </c>
      <c r="AD28" s="6">
        <v>3.2653660000000002</v>
      </c>
      <c r="AE28" s="6">
        <v>3.2646809999999999</v>
      </c>
      <c r="AF28" s="6">
        <v>3.2908629999999999</v>
      </c>
      <c r="AG28" s="6">
        <v>3.2989959999999998</v>
      </c>
      <c r="AH28" s="6">
        <v>3.327496</v>
      </c>
      <c r="AI28" s="32">
        <v>-8.0000000000000002E-3</v>
      </c>
    </row>
    <row r="29" spans="1:35" hidden="1" outlineLevel="1" x14ac:dyDescent="0.35">
      <c r="A29" t="s">
        <v>956</v>
      </c>
      <c r="B29" t="s">
        <v>957</v>
      </c>
      <c r="C29" t="s">
        <v>958</v>
      </c>
      <c r="D29" t="s">
        <v>924</v>
      </c>
      <c r="F29" s="6">
        <v>3.6098750000000002</v>
      </c>
      <c r="G29" s="6">
        <v>3.0466530000000001</v>
      </c>
      <c r="H29" s="6">
        <v>2.9238960000000001</v>
      </c>
      <c r="I29" s="6">
        <v>2.7237170000000002</v>
      </c>
      <c r="J29" s="6">
        <v>2.6927949999999998</v>
      </c>
      <c r="K29" s="6">
        <v>2.6613739999999999</v>
      </c>
      <c r="L29" s="6">
        <v>2.6486499999999999</v>
      </c>
      <c r="M29" s="6">
        <v>2.6639539999999999</v>
      </c>
      <c r="N29" s="6">
        <v>2.6669100000000001</v>
      </c>
      <c r="O29" s="6">
        <v>2.6962769999999998</v>
      </c>
      <c r="P29" s="6">
        <v>2.717784</v>
      </c>
      <c r="Q29" s="6">
        <v>2.7295210000000001</v>
      </c>
      <c r="R29" s="6">
        <v>2.7497220000000002</v>
      </c>
      <c r="S29" s="6">
        <v>2.770591</v>
      </c>
      <c r="T29" s="6">
        <v>2.7839860000000001</v>
      </c>
      <c r="U29" s="6">
        <v>2.8007270000000002</v>
      </c>
      <c r="V29" s="6">
        <v>2.8173349999999999</v>
      </c>
      <c r="W29" s="6">
        <v>2.8305150000000001</v>
      </c>
      <c r="X29" s="6">
        <v>2.8468330000000002</v>
      </c>
      <c r="Y29" s="6">
        <v>2.874746</v>
      </c>
      <c r="Z29" s="6">
        <v>2.8813240000000002</v>
      </c>
      <c r="AA29" s="6">
        <v>2.9034469999999999</v>
      </c>
      <c r="AB29" s="6">
        <v>2.8980489999999999</v>
      </c>
      <c r="AC29" s="6">
        <v>2.9190800000000001</v>
      </c>
      <c r="AD29" s="6">
        <v>2.9625029999999999</v>
      </c>
      <c r="AE29" s="6">
        <v>2.968712</v>
      </c>
      <c r="AF29" s="6">
        <v>2.9768970000000001</v>
      </c>
      <c r="AG29" s="6">
        <v>2.9904410000000001</v>
      </c>
      <c r="AH29" s="6">
        <v>2.9943379999999999</v>
      </c>
      <c r="AI29" s="32">
        <v>-7.0000000000000001E-3</v>
      </c>
    </row>
    <row r="30" spans="1:35" hidden="1" outlineLevel="1" x14ac:dyDescent="0.35">
      <c r="A30" t="s">
        <v>959</v>
      </c>
      <c r="B30" t="s">
        <v>960</v>
      </c>
      <c r="C30" t="s">
        <v>961</v>
      </c>
      <c r="D30" t="s">
        <v>924</v>
      </c>
      <c r="F30" s="6">
        <v>5.1050589999999998</v>
      </c>
      <c r="G30" s="6">
        <v>4.5184139999999999</v>
      </c>
      <c r="H30" s="6">
        <v>4.2866369999999998</v>
      </c>
      <c r="I30" s="6">
        <v>3.996505</v>
      </c>
      <c r="J30" s="6">
        <v>3.8693710000000001</v>
      </c>
      <c r="K30" s="6">
        <v>3.7410540000000001</v>
      </c>
      <c r="L30" s="6">
        <v>3.6345890000000001</v>
      </c>
      <c r="M30" s="6">
        <v>3.647751</v>
      </c>
      <c r="N30" s="6">
        <v>3.6511490000000002</v>
      </c>
      <c r="O30" s="6">
        <v>3.6727180000000001</v>
      </c>
      <c r="P30" s="6">
        <v>3.6899760000000001</v>
      </c>
      <c r="Q30" s="6">
        <v>3.7063929999999998</v>
      </c>
      <c r="R30" s="6">
        <v>3.7128269999999999</v>
      </c>
      <c r="S30" s="6">
        <v>3.7413090000000002</v>
      </c>
      <c r="T30" s="6">
        <v>3.7421289999999998</v>
      </c>
      <c r="U30" s="6">
        <v>3.7611910000000002</v>
      </c>
      <c r="V30" s="6">
        <v>3.7750789999999999</v>
      </c>
      <c r="W30" s="6">
        <v>3.7809750000000002</v>
      </c>
      <c r="X30" s="6">
        <v>3.787541</v>
      </c>
      <c r="Y30" s="6">
        <v>3.810997</v>
      </c>
      <c r="Z30" s="6">
        <v>3.8124370000000001</v>
      </c>
      <c r="AA30" s="6">
        <v>3.8289230000000001</v>
      </c>
      <c r="AB30" s="6">
        <v>3.8159420000000002</v>
      </c>
      <c r="AC30" s="6">
        <v>3.82362</v>
      </c>
      <c r="AD30" s="6">
        <v>3.9042400000000002</v>
      </c>
      <c r="AE30" s="6">
        <v>3.9077069999999998</v>
      </c>
      <c r="AF30" s="6">
        <v>3.9143530000000002</v>
      </c>
      <c r="AG30" s="6">
        <v>3.9231009999999999</v>
      </c>
      <c r="AH30" s="6">
        <v>3.9241450000000002</v>
      </c>
      <c r="AI30" s="32">
        <v>-8.9999999999999993E-3</v>
      </c>
    </row>
    <row r="31" spans="1:35" hidden="1" outlineLevel="1" x14ac:dyDescent="0.35">
      <c r="A31" t="s">
        <v>931</v>
      </c>
      <c r="B31" t="s">
        <v>962</v>
      </c>
      <c r="C31" t="s">
        <v>963</v>
      </c>
      <c r="D31" t="s">
        <v>924</v>
      </c>
      <c r="F31" s="6">
        <v>2.3040080000000001</v>
      </c>
      <c r="G31" s="6">
        <v>2.3279770000000002</v>
      </c>
      <c r="H31" s="6">
        <v>2.5897610000000002</v>
      </c>
      <c r="I31" s="6">
        <v>2.4563440000000001</v>
      </c>
      <c r="J31" s="6">
        <v>2.4590679999999998</v>
      </c>
      <c r="K31" s="6">
        <v>2.4703020000000002</v>
      </c>
      <c r="L31" s="6">
        <v>2.4751850000000002</v>
      </c>
      <c r="M31" s="6">
        <v>2.48699</v>
      </c>
      <c r="N31" s="6">
        <v>2.5019779999999998</v>
      </c>
      <c r="O31" s="6">
        <v>2.5135969999999999</v>
      </c>
      <c r="P31" s="6">
        <v>2.5283009999999999</v>
      </c>
      <c r="Q31" s="6">
        <v>2.542367</v>
      </c>
      <c r="R31" s="6">
        <v>2.5562969999999998</v>
      </c>
      <c r="S31" s="6">
        <v>2.5734979999999998</v>
      </c>
      <c r="T31" s="6">
        <v>2.5821580000000002</v>
      </c>
      <c r="U31" s="6">
        <v>2.5956999999999999</v>
      </c>
      <c r="V31" s="6">
        <v>2.6105429999999998</v>
      </c>
      <c r="W31" s="6">
        <v>2.6213199999999999</v>
      </c>
      <c r="X31" s="6">
        <v>2.6310989999999999</v>
      </c>
      <c r="Y31" s="6">
        <v>2.6474310000000001</v>
      </c>
      <c r="Z31" s="6">
        <v>2.6513390000000001</v>
      </c>
      <c r="AA31" s="6">
        <v>2.6629170000000002</v>
      </c>
      <c r="AB31" s="6">
        <v>2.6625019999999999</v>
      </c>
      <c r="AC31" s="6">
        <v>2.6692269999999998</v>
      </c>
      <c r="AD31" s="6">
        <v>2.6963599999999999</v>
      </c>
      <c r="AE31" s="6">
        <v>2.6958600000000001</v>
      </c>
      <c r="AF31" s="6">
        <v>2.7113369999999999</v>
      </c>
      <c r="AG31" s="6">
        <v>2.7242839999999999</v>
      </c>
      <c r="AH31" s="6">
        <v>2.7377379999999998</v>
      </c>
      <c r="AI31" s="32">
        <v>6.0000000000000001E-3</v>
      </c>
    </row>
    <row r="32" spans="1:35" hidden="1" outlineLevel="1" x14ac:dyDescent="0.35">
      <c r="A32" t="s">
        <v>934</v>
      </c>
      <c r="B32" t="s">
        <v>962</v>
      </c>
      <c r="C32" t="s">
        <v>964</v>
      </c>
      <c r="D32" t="s">
        <v>909</v>
      </c>
      <c r="F32" s="6">
        <v>96.768317999999994</v>
      </c>
      <c r="G32" s="6">
        <v>97.775040000000004</v>
      </c>
      <c r="H32" s="6">
        <v>108.769981</v>
      </c>
      <c r="I32" s="6">
        <v>103.16643500000001</v>
      </c>
      <c r="J32" s="6">
        <v>103.280869</v>
      </c>
      <c r="K32" s="6">
        <v>103.752701</v>
      </c>
      <c r="L32" s="6">
        <v>103.957787</v>
      </c>
      <c r="M32" s="6">
        <v>104.453575</v>
      </c>
      <c r="N32" s="6">
        <v>105.08306899999999</v>
      </c>
      <c r="O32" s="6">
        <v>105.57107499999999</v>
      </c>
      <c r="P32" s="6">
        <v>106.18862900000001</v>
      </c>
      <c r="Q32" s="6">
        <v>106.779404</v>
      </c>
      <c r="R32" s="6">
        <v>107.364464</v>
      </c>
      <c r="S32" s="6">
        <v>108.086929</v>
      </c>
      <c r="T32" s="6">
        <v>108.45062299999999</v>
      </c>
      <c r="U32" s="6">
        <v>109.019402</v>
      </c>
      <c r="V32" s="6">
        <v>109.642792</v>
      </c>
      <c r="W32" s="6">
        <v>110.095421</v>
      </c>
      <c r="X32" s="6">
        <v>110.506165</v>
      </c>
      <c r="Y32" s="6">
        <v>111.192108</v>
      </c>
      <c r="Z32" s="6">
        <v>111.35623200000001</v>
      </c>
      <c r="AA32" s="6">
        <v>111.842499</v>
      </c>
      <c r="AB32" s="6">
        <v>111.82508900000001</v>
      </c>
      <c r="AC32" s="6">
        <v>112.107552</v>
      </c>
      <c r="AD32" s="6">
        <v>113.247139</v>
      </c>
      <c r="AE32" s="6">
        <v>113.226105</v>
      </c>
      <c r="AF32" s="6">
        <v>113.876167</v>
      </c>
      <c r="AG32" s="6">
        <v>114.41992999999999</v>
      </c>
      <c r="AH32" s="6">
        <v>114.985016</v>
      </c>
      <c r="AI32" s="32">
        <v>6.0000000000000001E-3</v>
      </c>
    </row>
    <row r="33" spans="1:35" hidden="1" outlineLevel="1" x14ac:dyDescent="0.35">
      <c r="A33" t="s">
        <v>965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5" hidden="1" outlineLevel="1" x14ac:dyDescent="0.35">
      <c r="A34" t="s">
        <v>925</v>
      </c>
      <c r="B34" t="s">
        <v>966</v>
      </c>
      <c r="C34" t="s">
        <v>967</v>
      </c>
      <c r="D34" t="s">
        <v>924</v>
      </c>
      <c r="F34" s="6">
        <v>4.8486900000000004</v>
      </c>
      <c r="G34" s="6">
        <v>4.5254430000000001</v>
      </c>
      <c r="H34" s="6">
        <v>4.2241049999999998</v>
      </c>
      <c r="I34" s="6">
        <v>3.8336610000000002</v>
      </c>
      <c r="J34" s="6">
        <v>3.6123069999999999</v>
      </c>
      <c r="K34" s="6">
        <v>3.3906109999999998</v>
      </c>
      <c r="L34" s="6">
        <v>3.1805569999999999</v>
      </c>
      <c r="M34" s="6">
        <v>3.2053769999999999</v>
      </c>
      <c r="N34" s="6">
        <v>3.2244760000000001</v>
      </c>
      <c r="O34" s="6">
        <v>3.2227969999999999</v>
      </c>
      <c r="P34" s="6">
        <v>3.2384010000000001</v>
      </c>
      <c r="Q34" s="6">
        <v>3.2372359999999998</v>
      </c>
      <c r="R34" s="6">
        <v>3.2561330000000002</v>
      </c>
      <c r="S34" s="6">
        <v>3.2694070000000002</v>
      </c>
      <c r="T34" s="6">
        <v>3.279118</v>
      </c>
      <c r="U34" s="6">
        <v>3.2860149999999999</v>
      </c>
      <c r="V34" s="6">
        <v>3.291461</v>
      </c>
      <c r="W34" s="6">
        <v>3.301774</v>
      </c>
      <c r="X34" s="6">
        <v>3.314584</v>
      </c>
      <c r="Y34" s="6">
        <v>3.3363809999999998</v>
      </c>
      <c r="Z34" s="6">
        <v>3.3352900000000001</v>
      </c>
      <c r="AA34" s="6">
        <v>3.3507389999999999</v>
      </c>
      <c r="AB34" s="6">
        <v>3.3427419999999999</v>
      </c>
      <c r="AC34" s="6">
        <v>3.3585750000000001</v>
      </c>
      <c r="AD34" s="6">
        <v>3.3915470000000001</v>
      </c>
      <c r="AE34" s="6">
        <v>3.396712</v>
      </c>
      <c r="AF34" s="6">
        <v>3.4034450000000001</v>
      </c>
      <c r="AG34" s="6">
        <v>3.4199099999999998</v>
      </c>
      <c r="AH34" s="6">
        <v>3.4207770000000002</v>
      </c>
      <c r="AI34" s="32">
        <v>-1.2E-2</v>
      </c>
    </row>
    <row r="35" spans="1:35" hidden="1" outlineLevel="1" x14ac:dyDescent="0.35">
      <c r="A35" t="s">
        <v>931</v>
      </c>
      <c r="B35" t="s">
        <v>968</v>
      </c>
      <c r="C35" t="s">
        <v>969</v>
      </c>
      <c r="D35" t="s">
        <v>924</v>
      </c>
      <c r="F35" s="6">
        <v>3.2552680000000001</v>
      </c>
      <c r="G35" s="6">
        <v>2.7817859999999999</v>
      </c>
      <c r="H35" s="6">
        <v>2.759954</v>
      </c>
      <c r="I35" s="6">
        <v>2.608609</v>
      </c>
      <c r="J35" s="6">
        <v>2.6040359999999998</v>
      </c>
      <c r="K35" s="6">
        <v>2.6122320000000001</v>
      </c>
      <c r="L35" s="6">
        <v>2.6114250000000001</v>
      </c>
      <c r="M35" s="6">
        <v>2.620187</v>
      </c>
      <c r="N35" s="6">
        <v>2.6323599999999998</v>
      </c>
      <c r="O35" s="6">
        <v>2.6387049999999999</v>
      </c>
      <c r="P35" s="6">
        <v>2.6515689999999998</v>
      </c>
      <c r="Q35" s="6">
        <v>2.662893</v>
      </c>
      <c r="R35" s="6">
        <v>2.6735549999999999</v>
      </c>
      <c r="S35" s="6">
        <v>2.6913299999999998</v>
      </c>
      <c r="T35" s="6">
        <v>2.6992050000000001</v>
      </c>
      <c r="U35" s="6">
        <v>2.7084830000000002</v>
      </c>
      <c r="V35" s="6">
        <v>2.7191109999999998</v>
      </c>
      <c r="W35" s="6">
        <v>2.7277149999999999</v>
      </c>
      <c r="X35" s="6">
        <v>2.729606</v>
      </c>
      <c r="Y35" s="6">
        <v>2.725908</v>
      </c>
      <c r="Z35" s="6">
        <v>2.7102970000000002</v>
      </c>
      <c r="AA35" s="6">
        <v>2.6926060000000001</v>
      </c>
      <c r="AB35" s="6">
        <v>2.663948</v>
      </c>
      <c r="AC35" s="6">
        <v>2.6315249999999999</v>
      </c>
      <c r="AD35" s="6">
        <v>2.664361</v>
      </c>
      <c r="AE35" s="6">
        <v>2.6684269999999999</v>
      </c>
      <c r="AF35" s="6">
        <v>2.6841569999999999</v>
      </c>
      <c r="AG35" s="6">
        <v>2.6984469999999998</v>
      </c>
      <c r="AH35" s="6">
        <v>2.708278</v>
      </c>
      <c r="AI35" s="32">
        <v>-7.0000000000000001E-3</v>
      </c>
    </row>
    <row r="36" spans="1:35" hidden="1" outlineLevel="1" x14ac:dyDescent="0.35">
      <c r="A36" t="s">
        <v>934</v>
      </c>
      <c r="B36" t="s">
        <v>968</v>
      </c>
      <c r="C36" t="s">
        <v>970</v>
      </c>
      <c r="D36" t="s">
        <v>909</v>
      </c>
      <c r="F36" s="6">
        <v>136.721237</v>
      </c>
      <c r="G36" s="6">
        <v>116.835022</v>
      </c>
      <c r="H36" s="6">
        <v>115.91806800000001</v>
      </c>
      <c r="I36" s="6">
        <v>109.561584</v>
      </c>
      <c r="J36" s="6">
        <v>109.36949199999999</v>
      </c>
      <c r="K36" s="6">
        <v>109.713745</v>
      </c>
      <c r="L36" s="6">
        <v>109.679855</v>
      </c>
      <c r="M36" s="6">
        <v>110.047844</v>
      </c>
      <c r="N36" s="6">
        <v>110.55914300000001</v>
      </c>
      <c r="O36" s="6">
        <v>110.82560700000001</v>
      </c>
      <c r="P36" s="6">
        <v>111.365891</v>
      </c>
      <c r="Q36" s="6">
        <v>111.84148399999999</v>
      </c>
      <c r="R36" s="6">
        <v>112.28929100000001</v>
      </c>
      <c r="S36" s="6">
        <v>113.035873</v>
      </c>
      <c r="T36" s="6">
        <v>113.366631</v>
      </c>
      <c r="U36" s="6">
        <v>113.756271</v>
      </c>
      <c r="V36" s="6">
        <v>114.202682</v>
      </c>
      <c r="W36" s="6">
        <v>114.56403400000001</v>
      </c>
      <c r="X36" s="6">
        <v>114.64344</v>
      </c>
      <c r="Y36" s="6">
        <v>114.488136</v>
      </c>
      <c r="Z36" s="6">
        <v>113.832466</v>
      </c>
      <c r="AA36" s="6">
        <v>113.089439</v>
      </c>
      <c r="AB36" s="6">
        <v>111.885803</v>
      </c>
      <c r="AC36" s="6">
        <v>110.524033</v>
      </c>
      <c r="AD36" s="6">
        <v>111.90316799999999</v>
      </c>
      <c r="AE36" s="6">
        <v>112.073914</v>
      </c>
      <c r="AF36" s="6">
        <v>112.734596</v>
      </c>
      <c r="AG36" s="6">
        <v>113.334763</v>
      </c>
      <c r="AH36" s="6">
        <v>113.747665</v>
      </c>
      <c r="AI36" s="32">
        <v>-7.0000000000000001E-3</v>
      </c>
    </row>
    <row r="37" spans="1:35" hidden="1" outlineLevel="1" x14ac:dyDescent="0.35">
      <c r="A37" t="s">
        <v>971</v>
      </c>
      <c r="B37" t="s">
        <v>972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5" hidden="1" outlineLevel="1" x14ac:dyDescent="0.35">
      <c r="A38" t="s">
        <v>921</v>
      </c>
      <c r="B38" t="s">
        <v>973</v>
      </c>
      <c r="C38" t="s">
        <v>974</v>
      </c>
      <c r="D38" t="s">
        <v>924</v>
      </c>
      <c r="F38" s="6">
        <v>2.567952</v>
      </c>
      <c r="G38" s="6">
        <v>2.6395970000000002</v>
      </c>
      <c r="H38" s="6">
        <v>2.5220400000000001</v>
      </c>
      <c r="I38" s="6">
        <v>2.3806780000000001</v>
      </c>
      <c r="J38" s="6">
        <v>2.2791610000000002</v>
      </c>
      <c r="K38" s="6">
        <v>2.2087379999999999</v>
      </c>
      <c r="L38" s="6">
        <v>2.1763780000000001</v>
      </c>
      <c r="M38" s="6">
        <v>2.1687729999999998</v>
      </c>
      <c r="N38" s="6">
        <v>2.1835800000000001</v>
      </c>
      <c r="O38" s="6">
        <v>2.212358</v>
      </c>
      <c r="P38" s="6">
        <v>2.2536510000000001</v>
      </c>
      <c r="Q38" s="6">
        <v>2.304405</v>
      </c>
      <c r="R38" s="6">
        <v>2.3509370000000001</v>
      </c>
      <c r="S38" s="6">
        <v>2.3835130000000002</v>
      </c>
      <c r="T38" s="6">
        <v>2.4058440000000001</v>
      </c>
      <c r="U38" s="6">
        <v>2.4271250000000002</v>
      </c>
      <c r="V38" s="6">
        <v>2.46034</v>
      </c>
      <c r="W38" s="6">
        <v>2.4682279999999999</v>
      </c>
      <c r="X38" s="6">
        <v>2.4952610000000002</v>
      </c>
      <c r="Y38" s="6">
        <v>2.5194239999999999</v>
      </c>
      <c r="Z38" s="6">
        <v>2.5330879999999998</v>
      </c>
      <c r="AA38" s="6">
        <v>2.5369320000000002</v>
      </c>
      <c r="AB38" s="6">
        <v>2.5344229999999999</v>
      </c>
      <c r="AC38" s="6">
        <v>2.5390929999999998</v>
      </c>
      <c r="AD38" s="6">
        <v>2.5535030000000001</v>
      </c>
      <c r="AE38" s="6">
        <v>2.555444</v>
      </c>
      <c r="AF38" s="6">
        <v>2.5623779999999998</v>
      </c>
      <c r="AG38" s="6">
        <v>2.5619000000000001</v>
      </c>
      <c r="AH38" s="6">
        <v>2.5577700000000001</v>
      </c>
      <c r="AI38" s="32">
        <v>0</v>
      </c>
    </row>
    <row r="39" spans="1:35" hidden="1" outlineLevel="1" x14ac:dyDescent="0.35">
      <c r="A39" t="s">
        <v>953</v>
      </c>
      <c r="B39" t="s">
        <v>975</v>
      </c>
      <c r="C39" t="s">
        <v>976</v>
      </c>
      <c r="D39" t="s">
        <v>924</v>
      </c>
      <c r="F39" s="6">
        <v>4.1836200000000003</v>
      </c>
      <c r="G39" s="6">
        <v>3.6619549999999998</v>
      </c>
      <c r="H39" s="6">
        <v>3.3248639999999998</v>
      </c>
      <c r="I39" s="6">
        <v>3.1057049999999999</v>
      </c>
      <c r="J39" s="6">
        <v>3.0728080000000002</v>
      </c>
      <c r="K39" s="6">
        <v>3.0532469999999998</v>
      </c>
      <c r="L39" s="6">
        <v>3.0528710000000001</v>
      </c>
      <c r="M39" s="6">
        <v>3.057626</v>
      </c>
      <c r="N39" s="6">
        <v>3.0676570000000001</v>
      </c>
      <c r="O39" s="6">
        <v>3.0627360000000001</v>
      </c>
      <c r="P39" s="6">
        <v>3.078265</v>
      </c>
      <c r="Q39" s="6">
        <v>3.0852170000000001</v>
      </c>
      <c r="R39" s="6">
        <v>3.0952579999999998</v>
      </c>
      <c r="S39" s="6">
        <v>3.1015570000000001</v>
      </c>
      <c r="T39" s="6">
        <v>3.134493</v>
      </c>
      <c r="U39" s="6">
        <v>3.1386980000000002</v>
      </c>
      <c r="V39" s="6">
        <v>3.1479089999999998</v>
      </c>
      <c r="W39" s="6">
        <v>3.1612650000000002</v>
      </c>
      <c r="X39" s="6">
        <v>3.1651120000000001</v>
      </c>
      <c r="Y39" s="6">
        <v>3.164898</v>
      </c>
      <c r="Z39" s="6">
        <v>3.1727780000000001</v>
      </c>
      <c r="AA39" s="6">
        <v>3.159735</v>
      </c>
      <c r="AB39" s="6">
        <v>3.1801680000000001</v>
      </c>
      <c r="AC39" s="6">
        <v>3.1811430000000001</v>
      </c>
      <c r="AD39" s="6">
        <v>3.2696860000000001</v>
      </c>
      <c r="AE39" s="6">
        <v>3.269069</v>
      </c>
      <c r="AF39" s="6">
        <v>3.2952659999999998</v>
      </c>
      <c r="AG39" s="6">
        <v>3.3034560000000002</v>
      </c>
      <c r="AH39" s="6">
        <v>3.3319719999999999</v>
      </c>
      <c r="AI39" s="32">
        <v>-8.0000000000000002E-3</v>
      </c>
    </row>
    <row r="40" spans="1:35" hidden="1" outlineLevel="1" x14ac:dyDescent="0.35">
      <c r="A40" t="s">
        <v>956</v>
      </c>
      <c r="B40" t="s">
        <v>977</v>
      </c>
      <c r="C40" t="s">
        <v>978</v>
      </c>
      <c r="D40" t="s">
        <v>924</v>
      </c>
      <c r="F40" s="6">
        <v>3.6098750000000002</v>
      </c>
      <c r="G40" s="6">
        <v>3.0466530000000001</v>
      </c>
      <c r="H40" s="6">
        <v>2.9238960000000001</v>
      </c>
      <c r="I40" s="6">
        <v>2.7237170000000002</v>
      </c>
      <c r="J40" s="6">
        <v>2.6927949999999998</v>
      </c>
      <c r="K40" s="6">
        <v>2.6613739999999999</v>
      </c>
      <c r="L40" s="6">
        <v>2.6486499999999999</v>
      </c>
      <c r="M40" s="6">
        <v>2.6639539999999999</v>
      </c>
      <c r="N40" s="6">
        <v>2.6669100000000001</v>
      </c>
      <c r="O40" s="6">
        <v>2.6962769999999998</v>
      </c>
      <c r="P40" s="6">
        <v>2.717784</v>
      </c>
      <c r="Q40" s="6">
        <v>2.7295210000000001</v>
      </c>
      <c r="R40" s="6">
        <v>2.7497220000000002</v>
      </c>
      <c r="S40" s="6">
        <v>2.770591</v>
      </c>
      <c r="T40" s="6">
        <v>2.7839860000000001</v>
      </c>
      <c r="U40" s="6">
        <v>2.8007270000000002</v>
      </c>
      <c r="V40" s="6">
        <v>2.8173349999999999</v>
      </c>
      <c r="W40" s="6">
        <v>2.8305150000000001</v>
      </c>
      <c r="X40" s="6">
        <v>2.8468330000000002</v>
      </c>
      <c r="Y40" s="6">
        <v>2.874746</v>
      </c>
      <c r="Z40" s="6">
        <v>2.8813240000000002</v>
      </c>
      <c r="AA40" s="6">
        <v>2.9034469999999999</v>
      </c>
      <c r="AB40" s="6">
        <v>2.8980489999999999</v>
      </c>
      <c r="AC40" s="6">
        <v>2.9190800000000001</v>
      </c>
      <c r="AD40" s="6">
        <v>2.9625029999999999</v>
      </c>
      <c r="AE40" s="6">
        <v>2.968712</v>
      </c>
      <c r="AF40" s="6">
        <v>2.9768970000000001</v>
      </c>
      <c r="AG40" s="6">
        <v>2.9904410000000001</v>
      </c>
      <c r="AH40" s="6">
        <v>2.9943379999999999</v>
      </c>
      <c r="AI40" s="32">
        <v>-7.0000000000000001E-3</v>
      </c>
    </row>
    <row r="41" spans="1:35" hidden="1" outlineLevel="1" x14ac:dyDescent="0.35">
      <c r="A41" t="s">
        <v>925</v>
      </c>
      <c r="B41" t="s">
        <v>979</v>
      </c>
      <c r="C41" t="s">
        <v>980</v>
      </c>
      <c r="D41" t="s">
        <v>924</v>
      </c>
      <c r="F41" s="6">
        <v>5.0437149999999997</v>
      </c>
      <c r="G41" s="6">
        <v>4.5170019999999997</v>
      </c>
      <c r="H41" s="6">
        <v>4.2724820000000001</v>
      </c>
      <c r="I41" s="6">
        <v>3.9676870000000002</v>
      </c>
      <c r="J41" s="6">
        <v>3.8243260000000001</v>
      </c>
      <c r="K41" s="6">
        <v>3.6825730000000001</v>
      </c>
      <c r="L41" s="6">
        <v>3.56162</v>
      </c>
      <c r="M41" s="6">
        <v>3.5750510000000002</v>
      </c>
      <c r="N41" s="6">
        <v>3.5763799999999999</v>
      </c>
      <c r="O41" s="6">
        <v>3.5994060000000001</v>
      </c>
      <c r="P41" s="6">
        <v>3.6140110000000001</v>
      </c>
      <c r="Q41" s="6">
        <v>3.6315849999999998</v>
      </c>
      <c r="R41" s="6">
        <v>3.637683</v>
      </c>
      <c r="S41" s="6">
        <v>3.6633939999999998</v>
      </c>
      <c r="T41" s="6">
        <v>3.6649419999999999</v>
      </c>
      <c r="U41" s="6">
        <v>3.6825190000000001</v>
      </c>
      <c r="V41" s="6">
        <v>3.6947510000000001</v>
      </c>
      <c r="W41" s="6">
        <v>3.7008740000000002</v>
      </c>
      <c r="X41" s="6">
        <v>3.7076720000000001</v>
      </c>
      <c r="Y41" s="6">
        <v>3.7295069999999999</v>
      </c>
      <c r="Z41" s="6">
        <v>3.7288619999999999</v>
      </c>
      <c r="AA41" s="6">
        <v>3.7453210000000001</v>
      </c>
      <c r="AB41" s="6">
        <v>3.7334369999999999</v>
      </c>
      <c r="AC41" s="6">
        <v>3.741387</v>
      </c>
      <c r="AD41" s="6">
        <v>3.808516</v>
      </c>
      <c r="AE41" s="6">
        <v>3.811788</v>
      </c>
      <c r="AF41" s="6">
        <v>3.8165610000000001</v>
      </c>
      <c r="AG41" s="6">
        <v>3.8263159999999998</v>
      </c>
      <c r="AH41" s="6">
        <v>3.8265769999999999</v>
      </c>
      <c r="AI41" s="32">
        <v>-0.01</v>
      </c>
    </row>
    <row r="42" spans="1:35" hidden="1" outlineLevel="1" x14ac:dyDescent="0.35">
      <c r="A42" t="s">
        <v>931</v>
      </c>
      <c r="B42" t="s">
        <v>981</v>
      </c>
      <c r="C42" t="s">
        <v>982</v>
      </c>
      <c r="D42" t="s">
        <v>924</v>
      </c>
      <c r="F42" s="6">
        <v>2.327985</v>
      </c>
      <c r="G42" s="6">
        <v>2.2464140000000001</v>
      </c>
      <c r="H42" s="6">
        <v>2.5193629999999998</v>
      </c>
      <c r="I42" s="6">
        <v>2.4086319999999999</v>
      </c>
      <c r="J42" s="6">
        <v>2.4282970000000001</v>
      </c>
      <c r="K42" s="6">
        <v>2.4554330000000002</v>
      </c>
      <c r="L42" s="6">
        <v>2.4744329999999999</v>
      </c>
      <c r="M42" s="6">
        <v>2.4861930000000001</v>
      </c>
      <c r="N42" s="6">
        <v>2.501036</v>
      </c>
      <c r="O42" s="6">
        <v>2.5127009999999999</v>
      </c>
      <c r="P42" s="6">
        <v>2.52738</v>
      </c>
      <c r="Q42" s="6">
        <v>2.5412710000000001</v>
      </c>
      <c r="R42" s="6">
        <v>2.5550389999999998</v>
      </c>
      <c r="S42" s="6">
        <v>2.5721609999999999</v>
      </c>
      <c r="T42" s="6">
        <v>2.580854</v>
      </c>
      <c r="U42" s="6">
        <v>2.5939559999999999</v>
      </c>
      <c r="V42" s="6">
        <v>2.6083630000000002</v>
      </c>
      <c r="W42" s="6">
        <v>2.618859</v>
      </c>
      <c r="X42" s="6">
        <v>2.628136</v>
      </c>
      <c r="Y42" s="6">
        <v>2.643081</v>
      </c>
      <c r="Z42" s="6">
        <v>2.6454710000000001</v>
      </c>
      <c r="AA42" s="6">
        <v>2.6553290000000001</v>
      </c>
      <c r="AB42" s="6">
        <v>2.6534450000000001</v>
      </c>
      <c r="AC42" s="6">
        <v>2.6587149999999999</v>
      </c>
      <c r="AD42" s="6">
        <v>2.6861109999999999</v>
      </c>
      <c r="AE42" s="6">
        <v>2.685797</v>
      </c>
      <c r="AF42" s="6">
        <v>2.7013210000000001</v>
      </c>
      <c r="AG42" s="6">
        <v>2.7142460000000002</v>
      </c>
      <c r="AH42" s="6">
        <v>2.7272090000000002</v>
      </c>
      <c r="AI42" s="32">
        <v>6.0000000000000001E-3</v>
      </c>
    </row>
    <row r="43" spans="1:35" hidden="1" outlineLevel="1" x14ac:dyDescent="0.35">
      <c r="A43" t="s">
        <v>934</v>
      </c>
      <c r="B43" t="s">
        <v>981</v>
      </c>
      <c r="C43" t="s">
        <v>983</v>
      </c>
      <c r="D43" t="s">
        <v>909</v>
      </c>
      <c r="F43" s="6">
        <v>97.775383000000005</v>
      </c>
      <c r="G43" s="6">
        <v>94.349379999999996</v>
      </c>
      <c r="H43" s="6">
        <v>105.813255</v>
      </c>
      <c r="I43" s="6">
        <v>101.16256</v>
      </c>
      <c r="J43" s="6">
        <v>101.98848700000001</v>
      </c>
      <c r="K43" s="6">
        <v>103.128204</v>
      </c>
      <c r="L43" s="6">
        <v>103.92617</v>
      </c>
      <c r="M43" s="6">
        <v>104.42012</v>
      </c>
      <c r="N43" s="6">
        <v>105.043533</v>
      </c>
      <c r="O43" s="6">
        <v>105.53344</v>
      </c>
      <c r="P43" s="6">
        <v>106.14997099999999</v>
      </c>
      <c r="Q43" s="6">
        <v>106.73337600000001</v>
      </c>
      <c r="R43" s="6">
        <v>107.31165300000001</v>
      </c>
      <c r="S43" s="6">
        <v>108.030754</v>
      </c>
      <c r="T43" s="6">
        <v>108.395882</v>
      </c>
      <c r="U43" s="6">
        <v>108.94615899999999</v>
      </c>
      <c r="V43" s="6">
        <v>109.55126199999999</v>
      </c>
      <c r="W43" s="6">
        <v>109.992081</v>
      </c>
      <c r="X43" s="6">
        <v>110.381699</v>
      </c>
      <c r="Y43" s="6">
        <v>111.009407</v>
      </c>
      <c r="Z43" s="6">
        <v>111.109787</v>
      </c>
      <c r="AA43" s="6">
        <v>111.523827</v>
      </c>
      <c r="AB43" s="6">
        <v>111.444695</v>
      </c>
      <c r="AC43" s="6">
        <v>111.66604599999999</v>
      </c>
      <c r="AD43" s="6">
        <v>112.816681</v>
      </c>
      <c r="AE43" s="6">
        <v>112.80347399999999</v>
      </c>
      <c r="AF43" s="6">
        <v>113.455467</v>
      </c>
      <c r="AG43" s="6">
        <v>113.99833700000001</v>
      </c>
      <c r="AH43" s="6">
        <v>114.54278600000001</v>
      </c>
      <c r="AI43" s="32">
        <v>6.0000000000000001E-3</v>
      </c>
    </row>
    <row r="44" spans="1:35" hidden="1" outlineLevel="1" x14ac:dyDescent="0.35">
      <c r="A44" t="s">
        <v>534</v>
      </c>
      <c r="B44" t="s">
        <v>984</v>
      </c>
      <c r="C44" t="s">
        <v>985</v>
      </c>
      <c r="D44" t="s">
        <v>924</v>
      </c>
      <c r="F44" s="6">
        <v>3.6236540000000002</v>
      </c>
      <c r="G44" s="6">
        <v>3.1975440000000002</v>
      </c>
      <c r="H44" s="6">
        <v>2.9665219999999999</v>
      </c>
      <c r="I44" s="6">
        <v>2.75047</v>
      </c>
      <c r="J44" s="6">
        <v>2.6742520000000001</v>
      </c>
      <c r="K44" s="6">
        <v>2.6097760000000001</v>
      </c>
      <c r="L44" s="6">
        <v>2.568613</v>
      </c>
      <c r="M44" s="6">
        <v>2.5648659999999999</v>
      </c>
      <c r="N44" s="6">
        <v>2.563437</v>
      </c>
      <c r="O44" s="6">
        <v>2.56839</v>
      </c>
      <c r="P44" s="6">
        <v>2.5791580000000001</v>
      </c>
      <c r="Q44" s="6">
        <v>2.5877849999999998</v>
      </c>
      <c r="R44" s="6">
        <v>2.5931289999999998</v>
      </c>
      <c r="S44" s="6">
        <v>2.6014979999999999</v>
      </c>
      <c r="T44" s="6">
        <v>2.6131440000000001</v>
      </c>
      <c r="U44" s="6">
        <v>2.6200999999999999</v>
      </c>
      <c r="V44" s="6">
        <v>2.631872</v>
      </c>
      <c r="W44" s="6">
        <v>2.6322890000000001</v>
      </c>
      <c r="X44" s="6">
        <v>2.6405099999999999</v>
      </c>
      <c r="Y44" s="6">
        <v>2.6460360000000001</v>
      </c>
      <c r="Z44" s="6">
        <v>2.6463749999999999</v>
      </c>
      <c r="AA44" s="6">
        <v>2.6417600000000001</v>
      </c>
      <c r="AB44" s="6">
        <v>2.6448640000000001</v>
      </c>
      <c r="AC44" s="6">
        <v>2.6500590000000002</v>
      </c>
      <c r="AD44" s="6">
        <v>2.7027139999999998</v>
      </c>
      <c r="AE44" s="6">
        <v>2.7062560000000002</v>
      </c>
      <c r="AF44" s="6">
        <v>2.7217069999999999</v>
      </c>
      <c r="AG44" s="6">
        <v>2.729587</v>
      </c>
      <c r="AH44" s="6">
        <v>2.7414200000000002</v>
      </c>
      <c r="AI44" s="32">
        <v>-0.01</v>
      </c>
    </row>
    <row r="45" spans="1:35" collapsed="1" x14ac:dyDescent="0.35">
      <c r="A45" s="41" t="s">
        <v>986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5" x14ac:dyDescent="0.35">
      <c r="A46" t="s">
        <v>987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5" x14ac:dyDescent="0.35">
      <c r="A47" t="s">
        <v>906</v>
      </c>
      <c r="B47" t="s">
        <v>988</v>
      </c>
      <c r="C47" t="s">
        <v>989</v>
      </c>
      <c r="D47" t="s">
        <v>990</v>
      </c>
      <c r="F47" s="6">
        <v>102.129997</v>
      </c>
      <c r="G47" s="6">
        <v>95.329002000000003</v>
      </c>
      <c r="H47" s="6">
        <v>98.708404999999999</v>
      </c>
      <c r="I47" s="6">
        <v>94.878890999999996</v>
      </c>
      <c r="J47" s="6">
        <v>97.830475000000007</v>
      </c>
      <c r="K47" s="6">
        <v>100.425552</v>
      </c>
      <c r="L47" s="6">
        <v>103.260544</v>
      </c>
      <c r="M47" s="6">
        <v>106.227829</v>
      </c>
      <c r="N47" s="6">
        <v>109.43918600000001</v>
      </c>
      <c r="O47" s="6">
        <v>112.639786</v>
      </c>
      <c r="P47" s="6">
        <v>116.265869</v>
      </c>
      <c r="Q47" s="6">
        <v>119.61837800000001</v>
      </c>
      <c r="R47" s="6">
        <v>123.399551</v>
      </c>
      <c r="S47" s="6">
        <v>127.457848</v>
      </c>
      <c r="T47" s="6">
        <v>131.21597299999999</v>
      </c>
      <c r="U47" s="6">
        <v>135.083923</v>
      </c>
      <c r="V47" s="6">
        <v>138.85072299999999</v>
      </c>
      <c r="W47" s="6">
        <v>142.69729599999999</v>
      </c>
      <c r="X47" s="6">
        <v>146.67823799999999</v>
      </c>
      <c r="Y47" s="6">
        <v>150.81691000000001</v>
      </c>
      <c r="Z47" s="6">
        <v>154.928268</v>
      </c>
      <c r="AA47" s="6">
        <v>159.09347500000001</v>
      </c>
      <c r="AB47" s="6">
        <v>163.57148699999999</v>
      </c>
      <c r="AC47" s="6">
        <v>167.987595</v>
      </c>
      <c r="AD47" s="6">
        <v>173.312363</v>
      </c>
      <c r="AE47" s="6">
        <v>178.174057</v>
      </c>
      <c r="AF47" s="6">
        <v>183.52430699999999</v>
      </c>
      <c r="AG47" s="6">
        <v>189.210342</v>
      </c>
      <c r="AH47" s="6">
        <v>194.299271</v>
      </c>
      <c r="AI47" s="32">
        <v>2.3E-2</v>
      </c>
    </row>
    <row r="48" spans="1:35" x14ac:dyDescent="0.35">
      <c r="A48" t="s">
        <v>910</v>
      </c>
      <c r="B48" t="s">
        <v>991</v>
      </c>
      <c r="C48" t="s">
        <v>992</v>
      </c>
      <c r="D48" t="s">
        <v>990</v>
      </c>
      <c r="F48" s="6">
        <v>95.875998999999993</v>
      </c>
      <c r="G48" s="6">
        <v>89.329002000000003</v>
      </c>
      <c r="H48" s="6">
        <v>97.249779000000004</v>
      </c>
      <c r="I48" s="6">
        <v>92.900146000000007</v>
      </c>
      <c r="J48" s="6">
        <v>94.905304000000001</v>
      </c>
      <c r="K48" s="6">
        <v>97.271384999999995</v>
      </c>
      <c r="L48" s="6">
        <v>100.22315999999999</v>
      </c>
      <c r="M48" s="6">
        <v>102.98326900000001</v>
      </c>
      <c r="N48" s="6">
        <v>105.828407</v>
      </c>
      <c r="O48" s="6">
        <v>108.94564099999999</v>
      </c>
      <c r="P48" s="6">
        <v>112.41229199999999</v>
      </c>
      <c r="Q48" s="6">
        <v>115.627411</v>
      </c>
      <c r="R48" s="6">
        <v>119.291077</v>
      </c>
      <c r="S48" s="6">
        <v>122.66132399999999</v>
      </c>
      <c r="T48" s="6">
        <v>126.59264400000001</v>
      </c>
      <c r="U48" s="6">
        <v>130.29289199999999</v>
      </c>
      <c r="V48" s="6">
        <v>133.71722399999999</v>
      </c>
      <c r="W48" s="6">
        <v>137.44975299999999</v>
      </c>
      <c r="X48" s="6">
        <v>141.151093</v>
      </c>
      <c r="Y48" s="6">
        <v>145.09960899999999</v>
      </c>
      <c r="Z48" s="6">
        <v>149.102936</v>
      </c>
      <c r="AA48" s="6">
        <v>153.158661</v>
      </c>
      <c r="AB48" s="6">
        <v>157.370575</v>
      </c>
      <c r="AC48" s="6">
        <v>161.615891</v>
      </c>
      <c r="AD48" s="6">
        <v>166.70979299999999</v>
      </c>
      <c r="AE48" s="6">
        <v>171.44435100000001</v>
      </c>
      <c r="AF48" s="6">
        <v>176.82122799999999</v>
      </c>
      <c r="AG48" s="6">
        <v>182.42593400000001</v>
      </c>
      <c r="AH48" s="6">
        <v>187.283264</v>
      </c>
      <c r="AI48" s="32">
        <v>2.4E-2</v>
      </c>
    </row>
    <row r="49" spans="1:35" x14ac:dyDescent="0.35">
      <c r="A49" t="s">
        <v>913</v>
      </c>
      <c r="B49" t="s">
        <v>993</v>
      </c>
      <c r="C49" t="s">
        <v>994</v>
      </c>
      <c r="D49" t="s">
        <v>990</v>
      </c>
      <c r="F49" s="6">
        <v>93.169998000000007</v>
      </c>
      <c r="G49" s="6">
        <v>86.620002999999997</v>
      </c>
      <c r="H49" s="6">
        <v>95.064835000000002</v>
      </c>
      <c r="I49" s="6">
        <v>91.230620999999999</v>
      </c>
      <c r="J49" s="6">
        <v>93.362235999999996</v>
      </c>
      <c r="K49" s="6">
        <v>95.906745999999998</v>
      </c>
      <c r="L49" s="6">
        <v>98.287398999999994</v>
      </c>
      <c r="M49" s="6">
        <v>101.109497</v>
      </c>
      <c r="N49" s="6">
        <v>103.969826</v>
      </c>
      <c r="O49" s="6">
        <v>106.68147999999999</v>
      </c>
      <c r="P49" s="6">
        <v>109.936981</v>
      </c>
      <c r="Q49" s="6">
        <v>113.10684999999999</v>
      </c>
      <c r="R49" s="6">
        <v>116.17791</v>
      </c>
      <c r="S49" s="6">
        <v>119.59766399999999</v>
      </c>
      <c r="T49" s="6">
        <v>123.633385</v>
      </c>
      <c r="U49" s="6">
        <v>126.946815</v>
      </c>
      <c r="V49" s="6">
        <v>130.566971</v>
      </c>
      <c r="W49" s="6">
        <v>134.157837</v>
      </c>
      <c r="X49" s="6">
        <v>138.17053200000001</v>
      </c>
      <c r="Y49" s="6">
        <v>142.142044</v>
      </c>
      <c r="Z49" s="6">
        <v>146.22706600000001</v>
      </c>
      <c r="AA49" s="6">
        <v>149.632217</v>
      </c>
      <c r="AB49" s="6">
        <v>153.53042600000001</v>
      </c>
      <c r="AC49" s="6">
        <v>157.63656599999999</v>
      </c>
      <c r="AD49" s="6">
        <v>162.51611299999999</v>
      </c>
      <c r="AE49" s="6">
        <v>167.21038799999999</v>
      </c>
      <c r="AF49" s="6">
        <v>172.20019500000001</v>
      </c>
      <c r="AG49" s="6">
        <v>177.44169600000001</v>
      </c>
      <c r="AH49" s="6">
        <v>182.600998</v>
      </c>
      <c r="AI49" s="32">
        <v>2.4E-2</v>
      </c>
    </row>
    <row r="50" spans="1:35" x14ac:dyDescent="0.35">
      <c r="A50" t="s">
        <v>919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5" x14ac:dyDescent="0.35">
      <c r="A51" t="s">
        <v>995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5" x14ac:dyDescent="0.35">
      <c r="A52" t="s">
        <v>920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5" x14ac:dyDescent="0.35">
      <c r="A53" t="s">
        <v>921</v>
      </c>
      <c r="B53" t="s">
        <v>996</v>
      </c>
      <c r="C53" t="s">
        <v>997</v>
      </c>
      <c r="D53" t="s">
        <v>998</v>
      </c>
      <c r="F53" s="6">
        <v>2.6643159999999999</v>
      </c>
      <c r="G53" s="6">
        <v>2.981433</v>
      </c>
      <c r="H53" s="6">
        <v>3.0719810000000001</v>
      </c>
      <c r="I53" s="6">
        <v>3.0316689999999999</v>
      </c>
      <c r="J53" s="6">
        <v>2.984559</v>
      </c>
      <c r="K53" s="6">
        <v>2.9570479999999999</v>
      </c>
      <c r="L53" s="6">
        <v>2.9672689999999999</v>
      </c>
      <c r="M53" s="6">
        <v>3.0116710000000002</v>
      </c>
      <c r="N53" s="6">
        <v>3.0888520000000002</v>
      </c>
      <c r="O53" s="6">
        <v>3.1922429999999999</v>
      </c>
      <c r="P53" s="6">
        <v>3.3191579999999998</v>
      </c>
      <c r="Q53" s="6">
        <v>3.4677739999999999</v>
      </c>
      <c r="R53" s="6">
        <v>3.6225390000000002</v>
      </c>
      <c r="S53" s="6">
        <v>3.7661959999999999</v>
      </c>
      <c r="T53" s="6">
        <v>3.898145</v>
      </c>
      <c r="U53" s="6">
        <v>4.0267239999999997</v>
      </c>
      <c r="V53" s="6">
        <v>4.1701329999999999</v>
      </c>
      <c r="W53" s="6">
        <v>4.288951</v>
      </c>
      <c r="X53" s="6">
        <v>4.4297529999999998</v>
      </c>
      <c r="Y53" s="6">
        <v>4.5743679999999998</v>
      </c>
      <c r="Z53" s="6">
        <v>4.7107830000000002</v>
      </c>
      <c r="AA53" s="6">
        <v>4.8363589999999999</v>
      </c>
      <c r="AB53" s="6">
        <v>4.9529100000000001</v>
      </c>
      <c r="AC53" s="6">
        <v>5.0798389999999998</v>
      </c>
      <c r="AD53" s="6">
        <v>5.2342409999999999</v>
      </c>
      <c r="AE53" s="6">
        <v>5.3651910000000003</v>
      </c>
      <c r="AF53" s="6">
        <v>5.508089</v>
      </c>
      <c r="AG53" s="6">
        <v>5.6454950000000004</v>
      </c>
      <c r="AH53" s="6">
        <v>5.7798499999999997</v>
      </c>
      <c r="AI53" s="32">
        <v>2.8000000000000001E-2</v>
      </c>
    </row>
    <row r="54" spans="1:35" x14ac:dyDescent="0.35">
      <c r="A54" t="s">
        <v>925</v>
      </c>
      <c r="B54" t="s">
        <v>999</v>
      </c>
      <c r="C54" t="s">
        <v>1000</v>
      </c>
      <c r="D54" t="s">
        <v>998</v>
      </c>
      <c r="F54" s="6">
        <v>4.8463640000000003</v>
      </c>
      <c r="G54" s="6">
        <v>4.7006420000000002</v>
      </c>
      <c r="H54" s="6">
        <v>4.6379440000000001</v>
      </c>
      <c r="I54" s="6">
        <v>4.4925509999999997</v>
      </c>
      <c r="J54" s="6">
        <v>4.517563</v>
      </c>
      <c r="K54" s="6">
        <v>4.5456979999999998</v>
      </c>
      <c r="L54" s="6">
        <v>4.5984509999999998</v>
      </c>
      <c r="M54" s="6">
        <v>4.7136329999999997</v>
      </c>
      <c r="N54" s="6">
        <v>4.8200719999999997</v>
      </c>
      <c r="O54" s="6">
        <v>4.9606199999999996</v>
      </c>
      <c r="P54" s="6">
        <v>5.0894560000000002</v>
      </c>
      <c r="Q54" s="6">
        <v>5.2308349999999999</v>
      </c>
      <c r="R54" s="6">
        <v>5.3643479999999997</v>
      </c>
      <c r="S54" s="6">
        <v>5.5225780000000002</v>
      </c>
      <c r="T54" s="6">
        <v>5.6528169999999998</v>
      </c>
      <c r="U54" s="6">
        <v>5.8032110000000001</v>
      </c>
      <c r="V54" s="6">
        <v>5.9492019999999997</v>
      </c>
      <c r="W54" s="6">
        <v>6.088381</v>
      </c>
      <c r="X54" s="6">
        <v>6.2339510000000002</v>
      </c>
      <c r="Y54" s="6">
        <v>6.4071639999999999</v>
      </c>
      <c r="Z54" s="6">
        <v>6.550408</v>
      </c>
      <c r="AA54" s="6">
        <v>6.7259460000000004</v>
      </c>
      <c r="AB54" s="6">
        <v>6.8595860000000002</v>
      </c>
      <c r="AC54" s="6">
        <v>7.0297369999999999</v>
      </c>
      <c r="AD54" s="6">
        <v>7.2457580000000004</v>
      </c>
      <c r="AE54" s="6">
        <v>7.4242460000000001</v>
      </c>
      <c r="AF54" s="6">
        <v>7.610385</v>
      </c>
      <c r="AG54" s="6">
        <v>7.8099790000000002</v>
      </c>
      <c r="AH54" s="6">
        <v>7.9983240000000002</v>
      </c>
      <c r="AI54" s="32">
        <v>1.7999999999999999E-2</v>
      </c>
    </row>
    <row r="55" spans="1:35" x14ac:dyDescent="0.35">
      <c r="A55" t="s">
        <v>928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5" x14ac:dyDescent="0.35">
      <c r="A56" t="s">
        <v>925</v>
      </c>
      <c r="B56" t="s">
        <v>1001</v>
      </c>
      <c r="C56" t="s">
        <v>1002</v>
      </c>
      <c r="D56" t="s">
        <v>998</v>
      </c>
      <c r="F56" s="6">
        <v>4.8492800000000003</v>
      </c>
      <c r="G56" s="6">
        <v>4.7229029999999996</v>
      </c>
      <c r="H56" s="6">
        <v>4.4913829999999999</v>
      </c>
      <c r="I56" s="6">
        <v>4.1691950000000002</v>
      </c>
      <c r="J56" s="6">
        <v>4.0071570000000003</v>
      </c>
      <c r="K56" s="6">
        <v>3.843928</v>
      </c>
      <c r="L56" s="6">
        <v>3.6954199999999999</v>
      </c>
      <c r="M56" s="6">
        <v>3.7900109999999998</v>
      </c>
      <c r="N56" s="6">
        <v>3.874908</v>
      </c>
      <c r="O56" s="6">
        <v>3.9919630000000002</v>
      </c>
      <c r="P56" s="6">
        <v>4.0997870000000001</v>
      </c>
      <c r="Q56" s="6">
        <v>4.2156479999999998</v>
      </c>
      <c r="R56" s="6">
        <v>4.3265339999999997</v>
      </c>
      <c r="S56" s="6">
        <v>4.4564370000000002</v>
      </c>
      <c r="T56" s="6">
        <v>4.5641170000000004</v>
      </c>
      <c r="U56" s="6">
        <v>4.6884170000000003</v>
      </c>
      <c r="V56" s="6">
        <v>4.8086979999999997</v>
      </c>
      <c r="W56" s="6">
        <v>4.9227460000000001</v>
      </c>
      <c r="X56" s="6">
        <v>5.0423559999999998</v>
      </c>
      <c r="Y56" s="6">
        <v>5.1885260000000004</v>
      </c>
      <c r="Z56" s="6">
        <v>5.3042319999999998</v>
      </c>
      <c r="AA56" s="6">
        <v>5.4514189999999996</v>
      </c>
      <c r="AB56" s="6">
        <v>5.556578</v>
      </c>
      <c r="AC56" s="6">
        <v>5.7024179999999998</v>
      </c>
      <c r="AD56" s="6">
        <v>5.961805</v>
      </c>
      <c r="AE56" s="6">
        <v>6.1068449999999999</v>
      </c>
      <c r="AF56" s="6">
        <v>6.2612870000000003</v>
      </c>
      <c r="AG56" s="6">
        <v>6.429735</v>
      </c>
      <c r="AH56" s="6">
        <v>6.5852060000000003</v>
      </c>
      <c r="AI56" s="32">
        <v>1.0999999999999999E-2</v>
      </c>
    </row>
    <row r="57" spans="1:35" x14ac:dyDescent="0.35">
      <c r="A57" t="s">
        <v>931</v>
      </c>
      <c r="B57" t="s">
        <v>1003</v>
      </c>
      <c r="C57" t="s">
        <v>1004</v>
      </c>
      <c r="D57" t="s">
        <v>998</v>
      </c>
      <c r="F57" s="6">
        <v>1.8904399999999999</v>
      </c>
      <c r="G57" s="6">
        <v>1.225994</v>
      </c>
      <c r="H57" s="6">
        <v>1.5065109999999999</v>
      </c>
      <c r="I57" s="6">
        <v>1.588854</v>
      </c>
      <c r="J57" s="6">
        <v>1.855299</v>
      </c>
      <c r="K57" s="6">
        <v>2.1338080000000001</v>
      </c>
      <c r="L57" s="6">
        <v>2.4391620000000001</v>
      </c>
      <c r="M57" s="6">
        <v>2.506437</v>
      </c>
      <c r="N57" s="6">
        <v>2.577671</v>
      </c>
      <c r="O57" s="6">
        <v>2.6566450000000001</v>
      </c>
      <c r="P57" s="6">
        <v>2.7361759999999999</v>
      </c>
      <c r="Q57" s="6">
        <v>2.818438</v>
      </c>
      <c r="R57" s="6">
        <v>2.9058980000000001</v>
      </c>
      <c r="S57" s="6">
        <v>2.9967760000000001</v>
      </c>
      <c r="T57" s="6">
        <v>3.0844299999999998</v>
      </c>
      <c r="U57" s="6">
        <v>3.174131</v>
      </c>
      <c r="V57" s="6">
        <v>3.2672889999999999</v>
      </c>
      <c r="W57" s="6">
        <v>3.3539669999999999</v>
      </c>
      <c r="X57" s="6">
        <v>3.4480279999999999</v>
      </c>
      <c r="Y57" s="6">
        <v>3.5548630000000001</v>
      </c>
      <c r="Z57" s="6">
        <v>3.6384340000000002</v>
      </c>
      <c r="AA57" s="6">
        <v>3.7387009999999998</v>
      </c>
      <c r="AB57" s="6">
        <v>3.8323499999999999</v>
      </c>
      <c r="AC57" s="6">
        <v>3.9360819999999999</v>
      </c>
      <c r="AD57" s="6">
        <v>4.0711680000000001</v>
      </c>
      <c r="AE57" s="6">
        <v>4.1676789999999997</v>
      </c>
      <c r="AF57" s="6">
        <v>4.3005449999999996</v>
      </c>
      <c r="AG57" s="6">
        <v>4.428941</v>
      </c>
      <c r="AH57" s="6">
        <v>4.5555669999999999</v>
      </c>
      <c r="AI57" s="32">
        <v>3.2000000000000001E-2</v>
      </c>
    </row>
    <row r="58" spans="1:35" x14ac:dyDescent="0.35">
      <c r="A58" t="s">
        <v>936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5" x14ac:dyDescent="0.35">
      <c r="A59" t="s">
        <v>921</v>
      </c>
      <c r="B59" t="s">
        <v>1005</v>
      </c>
      <c r="C59" t="s">
        <v>1006</v>
      </c>
      <c r="D59" t="s">
        <v>998</v>
      </c>
      <c r="F59" s="6">
        <v>2.1431879999999999</v>
      </c>
      <c r="G59" s="6">
        <v>2.0445669999999998</v>
      </c>
      <c r="H59" s="6">
        <v>1.8736390000000001</v>
      </c>
      <c r="I59" s="6">
        <v>1.694936</v>
      </c>
      <c r="J59" s="6">
        <v>1.622004</v>
      </c>
      <c r="K59" s="6">
        <v>1.5983339999999999</v>
      </c>
      <c r="L59" s="6">
        <v>1.622452</v>
      </c>
      <c r="M59" s="6">
        <v>1.672312</v>
      </c>
      <c r="N59" s="6">
        <v>1.74587</v>
      </c>
      <c r="O59" s="6">
        <v>1.8335589999999999</v>
      </c>
      <c r="P59" s="6">
        <v>1.9375979999999999</v>
      </c>
      <c r="Q59" s="6">
        <v>2.054389</v>
      </c>
      <c r="R59" s="6">
        <v>2.1633520000000002</v>
      </c>
      <c r="S59" s="6">
        <v>2.2495449999999999</v>
      </c>
      <c r="T59" s="6">
        <v>2.3234319999999999</v>
      </c>
      <c r="U59" s="6">
        <v>2.4023780000000001</v>
      </c>
      <c r="V59" s="6">
        <v>2.5084849999999999</v>
      </c>
      <c r="W59" s="6">
        <v>2.5638640000000001</v>
      </c>
      <c r="X59" s="6">
        <v>2.6684429999999999</v>
      </c>
      <c r="Y59" s="6">
        <v>2.7663479999999998</v>
      </c>
      <c r="Z59" s="6">
        <v>2.8451960000000001</v>
      </c>
      <c r="AA59" s="6">
        <v>2.909697</v>
      </c>
      <c r="AB59" s="6">
        <v>2.9676619999999998</v>
      </c>
      <c r="AC59" s="6">
        <v>3.0464479999999998</v>
      </c>
      <c r="AD59" s="6">
        <v>3.1173030000000002</v>
      </c>
      <c r="AE59" s="6">
        <v>3.1981480000000002</v>
      </c>
      <c r="AF59" s="6">
        <v>3.2928540000000002</v>
      </c>
      <c r="AG59" s="6">
        <v>3.3693140000000001</v>
      </c>
      <c r="AH59" s="6">
        <v>3.4419369999999998</v>
      </c>
      <c r="AI59" s="32">
        <v>1.7000000000000001E-2</v>
      </c>
    </row>
    <row r="60" spans="1:35" x14ac:dyDescent="0.35">
      <c r="A60" t="s">
        <v>925</v>
      </c>
      <c r="B60" t="s">
        <v>1007</v>
      </c>
      <c r="C60" t="s">
        <v>1008</v>
      </c>
      <c r="D60" t="s">
        <v>998</v>
      </c>
      <c r="F60" s="6">
        <v>4.838775</v>
      </c>
      <c r="G60" s="6">
        <v>4.6976259999999996</v>
      </c>
      <c r="H60" s="6">
        <v>4.4710539999999996</v>
      </c>
      <c r="I60" s="6">
        <v>4.142582</v>
      </c>
      <c r="J60" s="6">
        <v>3.9738169999999999</v>
      </c>
      <c r="K60" s="6">
        <v>3.8045990000000001</v>
      </c>
      <c r="L60" s="6">
        <v>3.6494239999999998</v>
      </c>
      <c r="M60" s="6">
        <v>3.74519</v>
      </c>
      <c r="N60" s="6">
        <v>3.829869</v>
      </c>
      <c r="O60" s="6">
        <v>3.946475</v>
      </c>
      <c r="P60" s="6">
        <v>4.0549039999999996</v>
      </c>
      <c r="Q60" s="6">
        <v>4.1726979999999996</v>
      </c>
      <c r="R60" s="6">
        <v>4.2828749999999998</v>
      </c>
      <c r="S60" s="6">
        <v>4.4152740000000001</v>
      </c>
      <c r="T60" s="6">
        <v>4.5222160000000002</v>
      </c>
      <c r="U60" s="6">
        <v>4.6479280000000003</v>
      </c>
      <c r="V60" s="6">
        <v>4.7687229999999996</v>
      </c>
      <c r="W60" s="6">
        <v>4.8833960000000003</v>
      </c>
      <c r="X60" s="6">
        <v>5.0037830000000003</v>
      </c>
      <c r="Y60" s="6">
        <v>5.1511750000000003</v>
      </c>
      <c r="Z60" s="6">
        <v>5.2676759999999998</v>
      </c>
      <c r="AA60" s="6">
        <v>5.4163610000000002</v>
      </c>
      <c r="AB60" s="6">
        <v>5.5229699999999999</v>
      </c>
      <c r="AC60" s="6">
        <v>5.664974</v>
      </c>
      <c r="AD60" s="6">
        <v>5.8525840000000002</v>
      </c>
      <c r="AE60" s="6">
        <v>5.9976209999999996</v>
      </c>
      <c r="AF60" s="6">
        <v>6.1516510000000002</v>
      </c>
      <c r="AG60" s="6">
        <v>6.3192240000000002</v>
      </c>
      <c r="AH60" s="6">
        <v>6.4736200000000004</v>
      </c>
      <c r="AI60" s="32">
        <v>0.01</v>
      </c>
    </row>
    <row r="61" spans="1:35" x14ac:dyDescent="0.35">
      <c r="A61" t="s">
        <v>931</v>
      </c>
      <c r="B61" t="s">
        <v>1009</v>
      </c>
      <c r="C61" t="s">
        <v>1010</v>
      </c>
      <c r="D61" t="s">
        <v>998</v>
      </c>
      <c r="F61" s="6">
        <v>1.9976419999999999</v>
      </c>
      <c r="G61" s="6">
        <v>1.3243659999999999</v>
      </c>
      <c r="H61" s="6">
        <v>1.6237299999999999</v>
      </c>
      <c r="I61" s="6">
        <v>1.7516430000000001</v>
      </c>
      <c r="J61" s="6">
        <v>2.0460690000000001</v>
      </c>
      <c r="K61" s="6">
        <v>2.3702610000000002</v>
      </c>
      <c r="L61" s="6">
        <v>2.7026629999999998</v>
      </c>
      <c r="M61" s="6">
        <v>2.7768000000000002</v>
      </c>
      <c r="N61" s="6">
        <v>2.8577370000000002</v>
      </c>
      <c r="O61" s="6">
        <v>2.9458009999999999</v>
      </c>
      <c r="P61" s="6">
        <v>3.0361829999999999</v>
      </c>
      <c r="Q61" s="6">
        <v>3.1303339999999999</v>
      </c>
      <c r="R61" s="6">
        <v>3.2293630000000002</v>
      </c>
      <c r="S61" s="6">
        <v>3.3314560000000002</v>
      </c>
      <c r="T61" s="6">
        <v>3.4287570000000001</v>
      </c>
      <c r="U61" s="6">
        <v>3.527644</v>
      </c>
      <c r="V61" s="6">
        <v>3.6318980000000001</v>
      </c>
      <c r="W61" s="6">
        <v>3.7287340000000002</v>
      </c>
      <c r="X61" s="6">
        <v>3.8345370000000001</v>
      </c>
      <c r="Y61" s="6">
        <v>3.9524759999999999</v>
      </c>
      <c r="Z61" s="6">
        <v>4.0467639999999996</v>
      </c>
      <c r="AA61" s="6">
        <v>4.1574660000000003</v>
      </c>
      <c r="AB61" s="6">
        <v>4.251042</v>
      </c>
      <c r="AC61" s="6">
        <v>4.3655359999999996</v>
      </c>
      <c r="AD61" s="6">
        <v>4.5142870000000004</v>
      </c>
      <c r="AE61" s="6">
        <v>4.6228239999999996</v>
      </c>
      <c r="AF61" s="6">
        <v>4.7649359999999996</v>
      </c>
      <c r="AG61" s="6">
        <v>4.9033680000000004</v>
      </c>
      <c r="AH61" s="6">
        <v>5.0427900000000001</v>
      </c>
      <c r="AI61" s="32">
        <v>3.4000000000000002E-2</v>
      </c>
    </row>
    <row r="62" spans="1:35" x14ac:dyDescent="0.35">
      <c r="A62" t="s">
        <v>944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5" x14ac:dyDescent="0.35">
      <c r="A63" t="s">
        <v>921</v>
      </c>
      <c r="B63" t="s">
        <v>1011</v>
      </c>
      <c r="C63" t="s">
        <v>1012</v>
      </c>
      <c r="D63" t="s">
        <v>998</v>
      </c>
      <c r="F63" s="6">
        <v>2.3479260000000002</v>
      </c>
      <c r="G63" s="6">
        <v>2.2978429999999999</v>
      </c>
      <c r="H63" s="6">
        <v>2.192304</v>
      </c>
      <c r="I63" s="6">
        <v>2.07491</v>
      </c>
      <c r="J63" s="6">
        <v>2.0359720000000001</v>
      </c>
      <c r="K63" s="6">
        <v>2.0345110000000002</v>
      </c>
      <c r="L63" s="6">
        <v>2.0710459999999999</v>
      </c>
      <c r="M63" s="6">
        <v>2.1284190000000001</v>
      </c>
      <c r="N63" s="6">
        <v>2.2051470000000002</v>
      </c>
      <c r="O63" s="6">
        <v>2.293412</v>
      </c>
      <c r="P63" s="6">
        <v>2.3944860000000001</v>
      </c>
      <c r="Q63" s="6">
        <v>2.5058250000000002</v>
      </c>
      <c r="R63" s="6">
        <v>2.6110389999999999</v>
      </c>
      <c r="S63" s="6">
        <v>2.6985199999999998</v>
      </c>
      <c r="T63" s="6">
        <v>2.7769430000000002</v>
      </c>
      <c r="U63" s="6">
        <v>2.8592119999999999</v>
      </c>
      <c r="V63" s="6">
        <v>2.9621780000000002</v>
      </c>
      <c r="W63" s="6">
        <v>3.0266999999999999</v>
      </c>
      <c r="X63" s="6">
        <v>3.1297570000000001</v>
      </c>
      <c r="Y63" s="6">
        <v>3.22777</v>
      </c>
      <c r="Z63" s="6">
        <v>3.3122950000000002</v>
      </c>
      <c r="AA63" s="6">
        <v>3.387416</v>
      </c>
      <c r="AB63" s="6">
        <v>3.4587780000000001</v>
      </c>
      <c r="AC63" s="6">
        <v>3.5487389999999999</v>
      </c>
      <c r="AD63" s="6">
        <v>3.6722700000000001</v>
      </c>
      <c r="AE63" s="6">
        <v>3.7648239999999999</v>
      </c>
      <c r="AF63" s="6">
        <v>3.8686560000000001</v>
      </c>
      <c r="AG63" s="6">
        <v>3.959622</v>
      </c>
      <c r="AH63" s="6">
        <v>4.0490159999999999</v>
      </c>
      <c r="AI63" s="32">
        <v>0.02</v>
      </c>
    </row>
    <row r="64" spans="1:35" x14ac:dyDescent="0.35">
      <c r="A64" t="s">
        <v>947</v>
      </c>
      <c r="B64" t="s">
        <v>1013</v>
      </c>
      <c r="C64" t="s">
        <v>1014</v>
      </c>
      <c r="D64" t="s">
        <v>998</v>
      </c>
      <c r="F64" s="6">
        <v>3.6287739999999999</v>
      </c>
      <c r="G64" s="6">
        <v>3.3418939999999999</v>
      </c>
      <c r="H64" s="6">
        <v>3.2885059999999999</v>
      </c>
      <c r="I64" s="6">
        <v>3.1362009999999998</v>
      </c>
      <c r="J64" s="6">
        <v>3.172698</v>
      </c>
      <c r="K64" s="6">
        <v>3.2237529999999999</v>
      </c>
      <c r="L64" s="6">
        <v>3.2977050000000001</v>
      </c>
      <c r="M64" s="6">
        <v>3.3786689999999999</v>
      </c>
      <c r="N64" s="6">
        <v>3.4697420000000001</v>
      </c>
      <c r="O64" s="6">
        <v>3.5464349999999998</v>
      </c>
      <c r="P64" s="6">
        <v>3.6509740000000002</v>
      </c>
      <c r="Q64" s="6">
        <v>3.7502279999999999</v>
      </c>
      <c r="R64" s="6">
        <v>3.8574649999999999</v>
      </c>
      <c r="S64" s="6">
        <v>3.9601790000000001</v>
      </c>
      <c r="T64" s="6">
        <v>4.0994570000000001</v>
      </c>
      <c r="U64" s="6">
        <v>4.200761</v>
      </c>
      <c r="V64" s="6">
        <v>4.3103759999999998</v>
      </c>
      <c r="W64" s="6">
        <v>4.4271719999999997</v>
      </c>
      <c r="X64" s="6">
        <v>4.5346650000000004</v>
      </c>
      <c r="Y64" s="6">
        <v>4.6389060000000004</v>
      </c>
      <c r="Z64" s="6">
        <v>4.7587020000000004</v>
      </c>
      <c r="AA64" s="6">
        <v>4.8500240000000003</v>
      </c>
      <c r="AB64" s="6">
        <v>4.9965770000000003</v>
      </c>
      <c r="AC64" s="6">
        <v>5.1171829999999998</v>
      </c>
      <c r="AD64" s="6">
        <v>5.3773540000000004</v>
      </c>
      <c r="AE64" s="6">
        <v>5.5067050000000002</v>
      </c>
      <c r="AF64" s="6">
        <v>5.687824</v>
      </c>
      <c r="AG64" s="6">
        <v>5.842123</v>
      </c>
      <c r="AH64" s="6">
        <v>6.0391769999999996</v>
      </c>
      <c r="AI64" s="32">
        <v>1.7999999999999999E-2</v>
      </c>
    </row>
    <row r="65" spans="1:35" x14ac:dyDescent="0.35">
      <c r="A65" t="s">
        <v>950</v>
      </c>
      <c r="B65" t="s">
        <v>1015</v>
      </c>
      <c r="C65" t="s">
        <v>1016</v>
      </c>
      <c r="D65" t="s">
        <v>998</v>
      </c>
      <c r="F65" s="6">
        <v>1.5593049999999999</v>
      </c>
      <c r="G65" s="6">
        <v>1.623764</v>
      </c>
      <c r="H65" s="6">
        <v>1.6876059999999999</v>
      </c>
      <c r="I65" s="6">
        <v>1.607904</v>
      </c>
      <c r="J65" s="6">
        <v>1.638787</v>
      </c>
      <c r="K65" s="6">
        <v>1.6695469999999999</v>
      </c>
      <c r="L65" s="6">
        <v>1.7039519999999999</v>
      </c>
      <c r="M65" s="6">
        <v>1.739018</v>
      </c>
      <c r="N65" s="6">
        <v>1.7822899999999999</v>
      </c>
      <c r="O65" s="6">
        <v>1.821556</v>
      </c>
      <c r="P65" s="6">
        <v>1.858684</v>
      </c>
      <c r="Q65" s="6">
        <v>1.8475980000000001</v>
      </c>
      <c r="R65" s="6">
        <v>1.9115660000000001</v>
      </c>
      <c r="S65" s="6">
        <v>1.9198770000000001</v>
      </c>
      <c r="T65" s="6">
        <v>1.9933909999999999</v>
      </c>
      <c r="U65" s="6">
        <v>2.019784</v>
      </c>
      <c r="V65" s="6">
        <v>2.0396719999999999</v>
      </c>
      <c r="W65" s="6">
        <v>2.061582</v>
      </c>
      <c r="X65" s="6">
        <v>2.105588</v>
      </c>
      <c r="Y65" s="6">
        <v>2.1368179999999999</v>
      </c>
      <c r="Z65" s="6">
        <v>2.1806869999999998</v>
      </c>
      <c r="AA65" s="6">
        <v>2.230985</v>
      </c>
      <c r="AB65" s="6">
        <v>2.375915</v>
      </c>
      <c r="AC65" s="6">
        <v>2.460896</v>
      </c>
      <c r="AD65" s="6">
        <v>2.608295</v>
      </c>
      <c r="AE65" s="6">
        <v>2.639065</v>
      </c>
      <c r="AF65" s="6">
        <v>2.6929650000000001</v>
      </c>
      <c r="AG65" s="6">
        <v>2.8228460000000002</v>
      </c>
      <c r="AH65" s="6">
        <v>3.3062849999999999</v>
      </c>
      <c r="AI65" s="32">
        <v>2.7E-2</v>
      </c>
    </row>
    <row r="66" spans="1:35" s="377" customFormat="1" x14ac:dyDescent="0.35">
      <c r="A66" s="377" t="s">
        <v>953</v>
      </c>
      <c r="B66" s="377" t="s">
        <v>1017</v>
      </c>
      <c r="C66" s="377" t="s">
        <v>1018</v>
      </c>
      <c r="D66" s="377" t="s">
        <v>998</v>
      </c>
      <c r="F66" s="378">
        <v>4.1839969999999997</v>
      </c>
      <c r="G66" s="378">
        <v>3.8193779999999999</v>
      </c>
      <c r="H66" s="378">
        <v>3.546643</v>
      </c>
      <c r="I66" s="378">
        <v>3.3818709999999998</v>
      </c>
      <c r="J66" s="378">
        <v>3.4165350000000001</v>
      </c>
      <c r="K66" s="378">
        <v>3.468658</v>
      </c>
      <c r="L66" s="378">
        <v>3.5444469999999999</v>
      </c>
      <c r="M66" s="378">
        <v>3.627688</v>
      </c>
      <c r="N66" s="378">
        <v>3.7206999999999999</v>
      </c>
      <c r="O66" s="378">
        <v>3.7995350000000001</v>
      </c>
      <c r="P66" s="378">
        <v>3.906202</v>
      </c>
      <c r="Q66" s="378">
        <v>4.0075830000000003</v>
      </c>
      <c r="R66" s="378">
        <v>4.1168290000000001</v>
      </c>
      <c r="S66" s="378">
        <v>4.2216589999999998</v>
      </c>
      <c r="T66" s="378">
        <v>4.3647850000000004</v>
      </c>
      <c r="U66" s="378">
        <v>4.4682969999999997</v>
      </c>
      <c r="V66" s="378">
        <v>4.5803690000000001</v>
      </c>
      <c r="W66" s="378">
        <v>4.7007490000000001</v>
      </c>
      <c r="X66" s="378">
        <v>4.8112940000000002</v>
      </c>
      <c r="Y66" s="378">
        <v>4.9186759999999996</v>
      </c>
      <c r="Z66" s="378">
        <v>5.0421829999999996</v>
      </c>
      <c r="AA66" s="378">
        <v>5.1363669999999999</v>
      </c>
      <c r="AB66" s="378">
        <v>5.2888909999999996</v>
      </c>
      <c r="AC66" s="378">
        <v>5.413583</v>
      </c>
      <c r="AD66" s="378">
        <v>5.6947390000000002</v>
      </c>
      <c r="AE66" s="378">
        <v>5.8288130000000002</v>
      </c>
      <c r="AF66" s="378">
        <v>6.0164059999999999</v>
      </c>
      <c r="AG66" s="378">
        <v>6.1760349999999997</v>
      </c>
      <c r="AH66" s="378">
        <v>6.379766</v>
      </c>
      <c r="AI66" s="379">
        <v>1.4999999999999999E-2</v>
      </c>
    </row>
    <row r="67" spans="1:35" x14ac:dyDescent="0.35">
      <c r="A67" t="s">
        <v>956</v>
      </c>
      <c r="B67" t="s">
        <v>1019</v>
      </c>
      <c r="C67" t="s">
        <v>1020</v>
      </c>
      <c r="D67" t="s">
        <v>998</v>
      </c>
      <c r="F67" s="6">
        <v>3.6098750000000002</v>
      </c>
      <c r="G67" s="6">
        <v>3.172596</v>
      </c>
      <c r="H67" s="6">
        <v>3.1190829999999998</v>
      </c>
      <c r="I67" s="6">
        <v>2.9687239999999999</v>
      </c>
      <c r="J67" s="6">
        <v>2.997598</v>
      </c>
      <c r="K67" s="6">
        <v>3.0266190000000002</v>
      </c>
      <c r="L67" s="6">
        <v>3.077226</v>
      </c>
      <c r="M67" s="6">
        <v>3.162884</v>
      </c>
      <c r="N67" s="6">
        <v>3.2370730000000001</v>
      </c>
      <c r="O67" s="6">
        <v>3.3475990000000002</v>
      </c>
      <c r="P67" s="6">
        <v>3.4516439999999999</v>
      </c>
      <c r="Q67" s="6">
        <v>3.548645</v>
      </c>
      <c r="R67" s="6">
        <v>3.6605509999999999</v>
      </c>
      <c r="S67" s="6">
        <v>3.7747000000000002</v>
      </c>
      <c r="T67" s="6">
        <v>3.8803079999999999</v>
      </c>
      <c r="U67" s="6">
        <v>3.9910169999999998</v>
      </c>
      <c r="V67" s="6">
        <v>4.1034490000000003</v>
      </c>
      <c r="W67" s="6">
        <v>4.2131869999999996</v>
      </c>
      <c r="X67" s="6">
        <v>4.3319739999999998</v>
      </c>
      <c r="Y67" s="6">
        <v>4.472531</v>
      </c>
      <c r="Z67" s="6">
        <v>4.5840180000000004</v>
      </c>
      <c r="AA67" s="6">
        <v>4.7251000000000003</v>
      </c>
      <c r="AB67" s="6">
        <v>4.8252199999999998</v>
      </c>
      <c r="AC67" s="6">
        <v>4.9734860000000003</v>
      </c>
      <c r="AD67" s="6">
        <v>5.1665530000000004</v>
      </c>
      <c r="AE67" s="6">
        <v>5.3003859999999996</v>
      </c>
      <c r="AF67" s="6">
        <v>5.4424099999999997</v>
      </c>
      <c r="AG67" s="6">
        <v>5.5983910000000003</v>
      </c>
      <c r="AH67" s="6">
        <v>5.7410059999999996</v>
      </c>
      <c r="AI67" s="32">
        <v>1.7000000000000001E-2</v>
      </c>
    </row>
    <row r="68" spans="1:35" x14ac:dyDescent="0.35">
      <c r="A68" t="s">
        <v>959</v>
      </c>
      <c r="B68" t="s">
        <v>1021</v>
      </c>
      <c r="C68" t="s">
        <v>1022</v>
      </c>
      <c r="D68" t="s">
        <v>998</v>
      </c>
      <c r="F68" s="6">
        <v>5.1050589999999998</v>
      </c>
      <c r="G68" s="6">
        <v>4.7051970000000001</v>
      </c>
      <c r="H68" s="6">
        <v>4.5727950000000002</v>
      </c>
      <c r="I68" s="6">
        <v>4.3560030000000003</v>
      </c>
      <c r="J68" s="6">
        <v>4.307353</v>
      </c>
      <c r="K68" s="6">
        <v>4.2544740000000001</v>
      </c>
      <c r="L68" s="6">
        <v>4.2226990000000004</v>
      </c>
      <c r="M68" s="6">
        <v>4.3309350000000002</v>
      </c>
      <c r="N68" s="6">
        <v>4.4317349999999998</v>
      </c>
      <c r="O68" s="6">
        <v>4.5599129999999999</v>
      </c>
      <c r="P68" s="6">
        <v>4.6863489999999999</v>
      </c>
      <c r="Q68" s="6">
        <v>4.8186739999999997</v>
      </c>
      <c r="R68" s="6">
        <v>4.9426779999999999</v>
      </c>
      <c r="S68" s="6">
        <v>5.0972239999999998</v>
      </c>
      <c r="T68" s="6">
        <v>5.2157650000000002</v>
      </c>
      <c r="U68" s="6">
        <v>5.3596719999999998</v>
      </c>
      <c r="V68" s="6">
        <v>5.498405</v>
      </c>
      <c r="W68" s="6">
        <v>5.6279339999999998</v>
      </c>
      <c r="X68" s="6">
        <v>5.763433</v>
      </c>
      <c r="Y68" s="6">
        <v>5.9291510000000001</v>
      </c>
      <c r="Z68" s="6">
        <v>6.0653629999999996</v>
      </c>
      <c r="AA68" s="6">
        <v>6.2312279999999998</v>
      </c>
      <c r="AB68" s="6">
        <v>6.3535009999999996</v>
      </c>
      <c r="AC68" s="6">
        <v>6.5146280000000001</v>
      </c>
      <c r="AD68" s="6">
        <v>6.8089240000000002</v>
      </c>
      <c r="AE68" s="6">
        <v>6.9768819999999998</v>
      </c>
      <c r="AF68" s="6">
        <v>7.1562799999999998</v>
      </c>
      <c r="AG68" s="6">
        <v>7.3444190000000003</v>
      </c>
      <c r="AH68" s="6">
        <v>7.523714</v>
      </c>
      <c r="AI68" s="32">
        <v>1.4E-2</v>
      </c>
    </row>
    <row r="69" spans="1:35" x14ac:dyDescent="0.35">
      <c r="A69" t="s">
        <v>931</v>
      </c>
      <c r="B69" t="s">
        <v>1023</v>
      </c>
      <c r="C69" t="s">
        <v>1024</v>
      </c>
      <c r="D69" t="s">
        <v>998</v>
      </c>
      <c r="F69" s="6">
        <v>2.3040080000000001</v>
      </c>
      <c r="G69" s="6">
        <v>2.4242119999999998</v>
      </c>
      <c r="H69" s="6">
        <v>2.7626430000000002</v>
      </c>
      <c r="I69" s="6">
        <v>2.6772990000000001</v>
      </c>
      <c r="J69" s="6">
        <v>2.7374160000000001</v>
      </c>
      <c r="K69" s="6">
        <v>2.8093249999999999</v>
      </c>
      <c r="L69" s="6">
        <v>2.8756930000000001</v>
      </c>
      <c r="M69" s="6">
        <v>2.9527760000000001</v>
      </c>
      <c r="N69" s="6">
        <v>3.03688</v>
      </c>
      <c r="O69" s="6">
        <v>3.12079</v>
      </c>
      <c r="P69" s="6">
        <v>3.2109960000000002</v>
      </c>
      <c r="Q69" s="6">
        <v>3.305326</v>
      </c>
      <c r="R69" s="6">
        <v>3.4030550000000002</v>
      </c>
      <c r="S69" s="6">
        <v>3.5061779999999998</v>
      </c>
      <c r="T69" s="6">
        <v>3.5990009999999999</v>
      </c>
      <c r="U69" s="6">
        <v>3.6988560000000001</v>
      </c>
      <c r="V69" s="6">
        <v>3.802257</v>
      </c>
      <c r="W69" s="6">
        <v>3.9018009999999999</v>
      </c>
      <c r="X69" s="6">
        <v>4.0036959999999997</v>
      </c>
      <c r="Y69" s="6">
        <v>4.1188750000000001</v>
      </c>
      <c r="Z69" s="6">
        <v>4.2181240000000004</v>
      </c>
      <c r="AA69" s="6">
        <v>4.3336579999999998</v>
      </c>
      <c r="AB69" s="6">
        <v>4.4330369999999997</v>
      </c>
      <c r="AC69" s="6">
        <v>4.5477910000000001</v>
      </c>
      <c r="AD69" s="6">
        <v>4.7024039999999996</v>
      </c>
      <c r="AE69" s="6">
        <v>4.813231</v>
      </c>
      <c r="AF69" s="6">
        <v>4.9569080000000003</v>
      </c>
      <c r="AG69" s="6">
        <v>5.1001190000000003</v>
      </c>
      <c r="AH69" s="6">
        <v>5.2490309999999996</v>
      </c>
      <c r="AI69" s="32">
        <v>0.03</v>
      </c>
    </row>
    <row r="70" spans="1:35" x14ac:dyDescent="0.35">
      <c r="A70" t="s">
        <v>965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5" x14ac:dyDescent="0.35">
      <c r="A71" t="s">
        <v>925</v>
      </c>
      <c r="B71" t="s">
        <v>1025</v>
      </c>
      <c r="C71" t="s">
        <v>1026</v>
      </c>
      <c r="D71" t="s">
        <v>998</v>
      </c>
      <c r="F71" s="6">
        <v>4.8486900000000004</v>
      </c>
      <c r="G71" s="6">
        <v>4.7125170000000001</v>
      </c>
      <c r="H71" s="6">
        <v>4.5060890000000002</v>
      </c>
      <c r="I71" s="6">
        <v>4.1785100000000002</v>
      </c>
      <c r="J71" s="6">
        <v>4.0211920000000001</v>
      </c>
      <c r="K71" s="6">
        <v>3.8559369999999999</v>
      </c>
      <c r="L71" s="6">
        <v>3.6951999999999998</v>
      </c>
      <c r="M71" s="6">
        <v>3.8057099999999999</v>
      </c>
      <c r="N71" s="6">
        <v>3.913843</v>
      </c>
      <c r="O71" s="6">
        <v>4.0013069999999997</v>
      </c>
      <c r="P71" s="6">
        <v>4.112838</v>
      </c>
      <c r="Q71" s="6">
        <v>4.2087240000000001</v>
      </c>
      <c r="R71" s="6">
        <v>4.334708</v>
      </c>
      <c r="S71" s="6">
        <v>4.4542960000000003</v>
      </c>
      <c r="T71" s="6">
        <v>4.5704219999999998</v>
      </c>
      <c r="U71" s="6">
        <v>4.6825489999999999</v>
      </c>
      <c r="V71" s="6">
        <v>4.7940139999999998</v>
      </c>
      <c r="W71" s="6">
        <v>4.9146489999999998</v>
      </c>
      <c r="X71" s="6">
        <v>5.0437430000000001</v>
      </c>
      <c r="Y71" s="6">
        <v>5.1907430000000003</v>
      </c>
      <c r="Z71" s="6">
        <v>5.3062509999999996</v>
      </c>
      <c r="AA71" s="6">
        <v>5.4530269999999996</v>
      </c>
      <c r="AB71" s="6">
        <v>5.5656299999999996</v>
      </c>
      <c r="AC71" s="6">
        <v>5.7222910000000002</v>
      </c>
      <c r="AD71" s="6">
        <v>5.9147970000000001</v>
      </c>
      <c r="AE71" s="6">
        <v>6.0645439999999997</v>
      </c>
      <c r="AF71" s="6">
        <v>6.2222289999999996</v>
      </c>
      <c r="AG71" s="6">
        <v>6.4023979999999998</v>
      </c>
      <c r="AH71" s="6">
        <v>6.5586120000000001</v>
      </c>
      <c r="AI71" s="32">
        <v>1.0999999999999999E-2</v>
      </c>
    </row>
    <row r="72" spans="1:35" x14ac:dyDescent="0.35">
      <c r="A72" t="s">
        <v>931</v>
      </c>
      <c r="B72" t="s">
        <v>1027</v>
      </c>
      <c r="C72" t="s">
        <v>1028</v>
      </c>
      <c r="D72" t="s">
        <v>998</v>
      </c>
      <c r="F72" s="6">
        <v>3.2552680000000001</v>
      </c>
      <c r="G72" s="6">
        <v>2.8967809999999998</v>
      </c>
      <c r="H72" s="6">
        <v>2.944197</v>
      </c>
      <c r="I72" s="6">
        <v>2.843261</v>
      </c>
      <c r="J72" s="6">
        <v>2.8987919999999998</v>
      </c>
      <c r="K72" s="6">
        <v>2.9707330000000001</v>
      </c>
      <c r="L72" s="6">
        <v>3.0339779999999998</v>
      </c>
      <c r="M72" s="6">
        <v>3.110919</v>
      </c>
      <c r="N72" s="6">
        <v>3.1951369999999999</v>
      </c>
      <c r="O72" s="6">
        <v>3.2761200000000001</v>
      </c>
      <c r="P72" s="6">
        <v>3.3675489999999999</v>
      </c>
      <c r="Q72" s="6">
        <v>3.4620220000000002</v>
      </c>
      <c r="R72" s="6">
        <v>3.5591539999999999</v>
      </c>
      <c r="S72" s="6">
        <v>3.6667139999999998</v>
      </c>
      <c r="T72" s="6">
        <v>3.7621419999999999</v>
      </c>
      <c r="U72" s="6">
        <v>3.8595700000000002</v>
      </c>
      <c r="V72" s="6">
        <v>3.9603869999999999</v>
      </c>
      <c r="W72" s="6">
        <v>4.0601700000000003</v>
      </c>
      <c r="X72" s="6">
        <v>4.1535919999999997</v>
      </c>
      <c r="Y72" s="6">
        <v>4.2409699999999999</v>
      </c>
      <c r="Z72" s="6">
        <v>4.3119230000000002</v>
      </c>
      <c r="AA72" s="6">
        <v>4.3819739999999996</v>
      </c>
      <c r="AB72" s="6">
        <v>4.4354430000000002</v>
      </c>
      <c r="AC72" s="6">
        <v>4.4835529999999997</v>
      </c>
      <c r="AD72" s="6">
        <v>4.646598</v>
      </c>
      <c r="AE72" s="6">
        <v>4.7642509999999998</v>
      </c>
      <c r="AF72" s="6">
        <v>4.9072170000000002</v>
      </c>
      <c r="AG72" s="6">
        <v>5.051749</v>
      </c>
      <c r="AH72" s="6">
        <v>5.1925460000000001</v>
      </c>
      <c r="AI72" s="32">
        <v>1.7000000000000001E-2</v>
      </c>
    </row>
    <row r="73" spans="1:35" x14ac:dyDescent="0.35">
      <c r="A73" t="s">
        <v>971</v>
      </c>
      <c r="B73" t="s">
        <v>972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5" x14ac:dyDescent="0.35">
      <c r="A74" t="s">
        <v>921</v>
      </c>
      <c r="B74" t="s">
        <v>1029</v>
      </c>
      <c r="C74" t="s">
        <v>1030</v>
      </c>
      <c r="D74" t="s">
        <v>998</v>
      </c>
      <c r="F74" s="6">
        <v>2.567952</v>
      </c>
      <c r="G74" s="6">
        <v>2.748713</v>
      </c>
      <c r="H74" s="6">
        <v>2.690401</v>
      </c>
      <c r="I74" s="6">
        <v>2.594827</v>
      </c>
      <c r="J74" s="6">
        <v>2.5371450000000002</v>
      </c>
      <c r="K74" s="6">
        <v>2.5118640000000001</v>
      </c>
      <c r="L74" s="6">
        <v>2.5285359999999999</v>
      </c>
      <c r="M74" s="6">
        <v>2.5749610000000001</v>
      </c>
      <c r="N74" s="6">
        <v>2.6504120000000002</v>
      </c>
      <c r="O74" s="6">
        <v>2.7467830000000002</v>
      </c>
      <c r="P74" s="6">
        <v>2.8621850000000002</v>
      </c>
      <c r="Q74" s="6">
        <v>2.9959530000000001</v>
      </c>
      <c r="R74" s="6">
        <v>3.1296710000000001</v>
      </c>
      <c r="S74" s="6">
        <v>3.2473390000000002</v>
      </c>
      <c r="T74" s="6">
        <v>3.353256</v>
      </c>
      <c r="U74" s="6">
        <v>3.458637</v>
      </c>
      <c r="V74" s="6">
        <v>3.5834860000000002</v>
      </c>
      <c r="W74" s="6">
        <v>3.6739259999999998</v>
      </c>
      <c r="X74" s="6">
        <v>3.7969930000000001</v>
      </c>
      <c r="Y74" s="6">
        <v>3.919721</v>
      </c>
      <c r="Z74" s="6">
        <v>4.0299940000000003</v>
      </c>
      <c r="AA74" s="6">
        <v>4.1286290000000001</v>
      </c>
      <c r="AB74" s="6">
        <v>4.219786</v>
      </c>
      <c r="AC74" s="6">
        <v>4.3260699999999996</v>
      </c>
      <c r="AD74" s="6">
        <v>4.4532629999999997</v>
      </c>
      <c r="AE74" s="6">
        <v>4.5625309999999999</v>
      </c>
      <c r="AF74" s="6">
        <v>4.6845780000000001</v>
      </c>
      <c r="AG74" s="6">
        <v>4.7961200000000002</v>
      </c>
      <c r="AH74" s="6">
        <v>4.9039799999999998</v>
      </c>
      <c r="AI74" s="32">
        <v>2.3E-2</v>
      </c>
    </row>
    <row r="75" spans="1:35" x14ac:dyDescent="0.35">
      <c r="A75" t="s">
        <v>953</v>
      </c>
      <c r="B75" t="s">
        <v>1031</v>
      </c>
      <c r="C75" t="s">
        <v>1032</v>
      </c>
      <c r="D75" t="s">
        <v>998</v>
      </c>
      <c r="F75" s="6">
        <v>4.1836200000000003</v>
      </c>
      <c r="G75" s="6">
        <v>3.8133339999999998</v>
      </c>
      <c r="H75" s="6">
        <v>3.546818</v>
      </c>
      <c r="I75" s="6">
        <v>3.3850720000000001</v>
      </c>
      <c r="J75" s="6">
        <v>3.4206259999999999</v>
      </c>
      <c r="K75" s="6">
        <v>3.4722719999999998</v>
      </c>
      <c r="L75" s="6">
        <v>3.5468540000000002</v>
      </c>
      <c r="M75" s="6">
        <v>3.630287</v>
      </c>
      <c r="N75" s="6">
        <v>3.7234970000000001</v>
      </c>
      <c r="O75" s="6">
        <v>3.802581</v>
      </c>
      <c r="P75" s="6">
        <v>3.9094630000000001</v>
      </c>
      <c r="Q75" s="6">
        <v>4.0110859999999997</v>
      </c>
      <c r="R75" s="6">
        <v>4.1205439999999998</v>
      </c>
      <c r="S75" s="6">
        <v>4.2256150000000003</v>
      </c>
      <c r="T75" s="6">
        <v>4.3688440000000002</v>
      </c>
      <c r="U75" s="6">
        <v>4.4726229999999996</v>
      </c>
      <c r="V75" s="6">
        <v>4.5849310000000001</v>
      </c>
      <c r="W75" s="6">
        <v>4.7055030000000002</v>
      </c>
      <c r="X75" s="6">
        <v>4.8162950000000002</v>
      </c>
      <c r="Y75" s="6">
        <v>4.9239509999999997</v>
      </c>
      <c r="Z75" s="6">
        <v>5.0477030000000003</v>
      </c>
      <c r="AA75" s="6">
        <v>5.1421849999999996</v>
      </c>
      <c r="AB75" s="6">
        <v>5.2949440000000001</v>
      </c>
      <c r="AC75" s="6">
        <v>5.4199840000000004</v>
      </c>
      <c r="AD75" s="6">
        <v>5.7022740000000001</v>
      </c>
      <c r="AE75" s="6">
        <v>5.8366470000000001</v>
      </c>
      <c r="AF75" s="6">
        <v>6.0244549999999997</v>
      </c>
      <c r="AG75" s="6">
        <v>6.1843849999999998</v>
      </c>
      <c r="AH75" s="6">
        <v>6.3883479999999997</v>
      </c>
      <c r="AI75" s="32">
        <v>1.4999999999999999E-2</v>
      </c>
    </row>
    <row r="76" spans="1:35" x14ac:dyDescent="0.35">
      <c r="A76" t="s">
        <v>956</v>
      </c>
      <c r="B76" t="s">
        <v>1033</v>
      </c>
      <c r="C76" t="s">
        <v>1034</v>
      </c>
      <c r="D76" t="s">
        <v>998</v>
      </c>
      <c r="F76" s="6">
        <v>3.6098750000000002</v>
      </c>
      <c r="G76" s="6">
        <v>3.172596</v>
      </c>
      <c r="H76" s="6">
        <v>3.1190829999999998</v>
      </c>
      <c r="I76" s="6">
        <v>2.9687239999999999</v>
      </c>
      <c r="J76" s="6">
        <v>2.997598</v>
      </c>
      <c r="K76" s="6">
        <v>3.0266190000000002</v>
      </c>
      <c r="L76" s="6">
        <v>3.077226</v>
      </c>
      <c r="M76" s="6">
        <v>3.162884</v>
      </c>
      <c r="N76" s="6">
        <v>3.2370730000000001</v>
      </c>
      <c r="O76" s="6">
        <v>3.3475990000000002</v>
      </c>
      <c r="P76" s="6">
        <v>3.4516439999999999</v>
      </c>
      <c r="Q76" s="6">
        <v>3.548645</v>
      </c>
      <c r="R76" s="6">
        <v>3.6605509999999999</v>
      </c>
      <c r="S76" s="6">
        <v>3.7747000000000002</v>
      </c>
      <c r="T76" s="6">
        <v>3.8803079999999999</v>
      </c>
      <c r="U76" s="6">
        <v>3.9910169999999998</v>
      </c>
      <c r="V76" s="6">
        <v>4.1034490000000003</v>
      </c>
      <c r="W76" s="6">
        <v>4.2131869999999996</v>
      </c>
      <c r="X76" s="6">
        <v>4.3319739999999998</v>
      </c>
      <c r="Y76" s="6">
        <v>4.472531</v>
      </c>
      <c r="Z76" s="6">
        <v>4.5840180000000004</v>
      </c>
      <c r="AA76" s="6">
        <v>4.7251000000000003</v>
      </c>
      <c r="AB76" s="6">
        <v>4.8252199999999998</v>
      </c>
      <c r="AC76" s="6">
        <v>4.9734860000000003</v>
      </c>
      <c r="AD76" s="6">
        <v>5.1665530000000004</v>
      </c>
      <c r="AE76" s="6">
        <v>5.3003859999999996</v>
      </c>
      <c r="AF76" s="6">
        <v>5.4424099999999997</v>
      </c>
      <c r="AG76" s="6">
        <v>5.5983910000000003</v>
      </c>
      <c r="AH76" s="6">
        <v>5.7410059999999996</v>
      </c>
      <c r="AI76" s="32">
        <v>1.7000000000000001E-2</v>
      </c>
    </row>
    <row r="77" spans="1:35" x14ac:dyDescent="0.35">
      <c r="A77" t="s">
        <v>925</v>
      </c>
      <c r="B77" t="s">
        <v>1035</v>
      </c>
      <c r="C77" t="s">
        <v>1036</v>
      </c>
      <c r="D77" t="s">
        <v>998</v>
      </c>
      <c r="F77" s="6">
        <v>5.0437149999999997</v>
      </c>
      <c r="G77" s="6">
        <v>4.7037279999999999</v>
      </c>
      <c r="H77" s="6">
        <v>4.5576949999999998</v>
      </c>
      <c r="I77" s="6">
        <v>4.3245930000000001</v>
      </c>
      <c r="J77" s="6">
        <v>4.2572089999999996</v>
      </c>
      <c r="K77" s="6">
        <v>4.1879670000000004</v>
      </c>
      <c r="L77" s="6">
        <v>4.1379219999999997</v>
      </c>
      <c r="M77" s="6">
        <v>4.2446190000000001</v>
      </c>
      <c r="N77" s="6">
        <v>4.3409810000000002</v>
      </c>
      <c r="O77" s="6">
        <v>4.4688920000000003</v>
      </c>
      <c r="P77" s="6">
        <v>4.5898709999999996</v>
      </c>
      <c r="Q77" s="6">
        <v>4.7214159999999996</v>
      </c>
      <c r="R77" s="6">
        <v>4.8426429999999998</v>
      </c>
      <c r="S77" s="6">
        <v>4.9910709999999998</v>
      </c>
      <c r="T77" s="6">
        <v>5.1081810000000001</v>
      </c>
      <c r="U77" s="6">
        <v>5.247566</v>
      </c>
      <c r="V77" s="6">
        <v>5.3814060000000001</v>
      </c>
      <c r="W77" s="6">
        <v>5.5087039999999998</v>
      </c>
      <c r="X77" s="6">
        <v>5.6418970000000002</v>
      </c>
      <c r="Y77" s="6">
        <v>5.8023699999999998</v>
      </c>
      <c r="Z77" s="6">
        <v>5.9324009999999996</v>
      </c>
      <c r="AA77" s="6">
        <v>6.0951740000000001</v>
      </c>
      <c r="AB77" s="6">
        <v>6.216132</v>
      </c>
      <c r="AC77" s="6">
        <v>6.3745209999999997</v>
      </c>
      <c r="AD77" s="6">
        <v>6.6419829999999997</v>
      </c>
      <c r="AE77" s="6">
        <v>6.8056260000000002</v>
      </c>
      <c r="AF77" s="6">
        <v>6.9774950000000002</v>
      </c>
      <c r="AG77" s="6">
        <v>7.1632290000000003</v>
      </c>
      <c r="AH77" s="6">
        <v>7.3366480000000003</v>
      </c>
      <c r="AI77" s="32">
        <v>1.2999999999999999E-2</v>
      </c>
    </row>
    <row r="78" spans="1:35" x14ac:dyDescent="0.35">
      <c r="A78" t="s">
        <v>1037</v>
      </c>
      <c r="B78" t="s">
        <v>1038</v>
      </c>
      <c r="C78" t="s">
        <v>1039</v>
      </c>
      <c r="D78" t="s">
        <v>990</v>
      </c>
      <c r="F78" s="6">
        <v>97.775390999999999</v>
      </c>
      <c r="G78" s="6">
        <v>98.249626000000006</v>
      </c>
      <c r="H78" s="6">
        <v>112.876907</v>
      </c>
      <c r="I78" s="6">
        <v>110.262444</v>
      </c>
      <c r="J78" s="6">
        <v>113.532791</v>
      </c>
      <c r="K78" s="6">
        <v>117.281464</v>
      </c>
      <c r="L78" s="6">
        <v>120.742378</v>
      </c>
      <c r="M78" s="6">
        <v>123.976883</v>
      </c>
      <c r="N78" s="6">
        <v>127.50097700000001</v>
      </c>
      <c r="O78" s="6">
        <v>131.02647400000001</v>
      </c>
      <c r="P78" s="6">
        <v>134.81274400000001</v>
      </c>
      <c r="Q78" s="6">
        <v>138.76387</v>
      </c>
      <c r="R78" s="6">
        <v>142.85798600000001</v>
      </c>
      <c r="S78" s="6">
        <v>147.18293800000001</v>
      </c>
      <c r="T78" s="6">
        <v>151.08175700000001</v>
      </c>
      <c r="U78" s="6">
        <v>155.247559</v>
      </c>
      <c r="V78" s="6">
        <v>159.56146200000001</v>
      </c>
      <c r="W78" s="6">
        <v>163.72183200000001</v>
      </c>
      <c r="X78" s="6">
        <v>167.965836</v>
      </c>
      <c r="Y78" s="6">
        <v>172.70851099999999</v>
      </c>
      <c r="Z78" s="6">
        <v>176.76915</v>
      </c>
      <c r="AA78" s="6">
        <v>181.495026</v>
      </c>
      <c r="AB78" s="6">
        <v>185.55419900000001</v>
      </c>
      <c r="AC78" s="6">
        <v>190.254974</v>
      </c>
      <c r="AD78" s="6">
        <v>196.750259</v>
      </c>
      <c r="AE78" s="6">
        <v>201.401093</v>
      </c>
      <c r="AF78" s="6">
        <v>207.421021</v>
      </c>
      <c r="AG78" s="6">
        <v>213.41575599999999</v>
      </c>
      <c r="AH78" s="6">
        <v>219.61142000000001</v>
      </c>
      <c r="AI78" s="32">
        <v>2.9000000000000001E-2</v>
      </c>
    </row>
    <row r="79" spans="1:35" x14ac:dyDescent="0.35">
      <c r="A79" t="s">
        <v>534</v>
      </c>
      <c r="B79" t="s">
        <v>1040</v>
      </c>
      <c r="C79" t="s">
        <v>1041</v>
      </c>
      <c r="D79" t="s">
        <v>998</v>
      </c>
      <c r="F79" s="6">
        <v>3.6236540000000002</v>
      </c>
      <c r="G79" s="6">
        <v>3.3297249999999998</v>
      </c>
      <c r="H79" s="6">
        <v>3.1645539999999999</v>
      </c>
      <c r="I79" s="6">
        <v>2.997884</v>
      </c>
      <c r="J79" s="6">
        <v>2.9769559999999999</v>
      </c>
      <c r="K79" s="6">
        <v>2.96794</v>
      </c>
      <c r="L79" s="6">
        <v>2.9842379999999999</v>
      </c>
      <c r="M79" s="6">
        <v>3.0452379999999999</v>
      </c>
      <c r="N79" s="6">
        <v>3.111478</v>
      </c>
      <c r="O79" s="6">
        <v>3.1888200000000002</v>
      </c>
      <c r="P79" s="6">
        <v>3.2755860000000001</v>
      </c>
      <c r="Q79" s="6">
        <v>3.3643740000000002</v>
      </c>
      <c r="R79" s="6">
        <v>3.4520870000000001</v>
      </c>
      <c r="S79" s="6">
        <v>3.5443250000000002</v>
      </c>
      <c r="T79" s="6">
        <v>3.6421899999999998</v>
      </c>
      <c r="U79" s="6">
        <v>3.733625</v>
      </c>
      <c r="V79" s="6">
        <v>3.833323</v>
      </c>
      <c r="W79" s="6">
        <v>3.9181300000000001</v>
      </c>
      <c r="X79" s="6">
        <v>4.0180170000000004</v>
      </c>
      <c r="Y79" s="6">
        <v>4.1167040000000004</v>
      </c>
      <c r="Z79" s="6">
        <v>4.2102269999999997</v>
      </c>
      <c r="AA79" s="6">
        <v>4.2992270000000001</v>
      </c>
      <c r="AB79" s="6">
        <v>4.4036689999999998</v>
      </c>
      <c r="AC79" s="6">
        <v>4.5151320000000004</v>
      </c>
      <c r="AD79" s="6">
        <v>4.7134850000000004</v>
      </c>
      <c r="AE79" s="6">
        <v>4.8317930000000002</v>
      </c>
      <c r="AF79" s="6">
        <v>4.9758649999999998</v>
      </c>
      <c r="AG79" s="6">
        <v>5.1100469999999998</v>
      </c>
      <c r="AH79" s="6">
        <v>5.2560900000000004</v>
      </c>
      <c r="AI79" s="32">
        <v>1.2999999999999999E-2</v>
      </c>
    </row>
  </sheetData>
  <hyperlinks>
    <hyperlink ref="A2" r:id="rId1" location="/?id=12-AEO2023&amp;sourcekey=0" xr:uid="{72081BCE-7BC2-4B6C-86B3-B2A07015CA2B}"/>
  </hyperlinks>
  <pageMargins left="0.7" right="0.7" top="0.75" bottom="0.75" header="0.3" footer="0.3"/>
  <pageSetup orientation="portrait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ADB8-B96C-426B-A45E-184343048FCA}">
  <sheetPr>
    <tabColor rgb="FF7030A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F5405-E4E2-42CB-805E-B2664B351C03}">
  <sheetPr>
    <tabColor rgb="FF7030A0"/>
  </sheetPr>
  <dimension ref="A1:P40"/>
  <sheetViews>
    <sheetView workbookViewId="0">
      <selection activeCell="G1" sqref="G1"/>
    </sheetView>
  </sheetViews>
  <sheetFormatPr defaultColWidth="9.26953125" defaultRowHeight="14.5" x14ac:dyDescent="0.35"/>
  <cols>
    <col min="1" max="1" width="20" customWidth="1"/>
    <col min="2" max="2" width="8" customWidth="1"/>
    <col min="13" max="13" width="12.26953125" customWidth="1"/>
  </cols>
  <sheetData>
    <row r="1" spans="1:16" ht="15.5" x14ac:dyDescent="0.35">
      <c r="A1" s="510" t="s">
        <v>1042</v>
      </c>
      <c r="B1" s="508"/>
      <c r="C1" s="508"/>
      <c r="D1" s="508"/>
      <c r="E1" s="508"/>
      <c r="F1" s="508"/>
      <c r="G1" s="296"/>
    </row>
    <row r="2" spans="1:16" ht="15.5" x14ac:dyDescent="0.35">
      <c r="A2" s="510" t="s">
        <v>1043</v>
      </c>
      <c r="B2" s="508"/>
      <c r="C2" s="508"/>
      <c r="D2" s="508"/>
      <c r="E2" s="508"/>
      <c r="F2" s="508"/>
    </row>
    <row r="3" spans="1:16" x14ac:dyDescent="0.35">
      <c r="A3" s="508"/>
      <c r="B3" s="508"/>
      <c r="C3" s="508"/>
      <c r="D3" s="508"/>
      <c r="E3" s="508"/>
      <c r="F3" s="508"/>
    </row>
    <row r="4" spans="1:16" ht="15" customHeight="1" x14ac:dyDescent="0.35">
      <c r="A4" s="455" t="s">
        <v>1044</v>
      </c>
      <c r="B4" s="507" t="s">
        <v>1045</v>
      </c>
      <c r="C4" s="508"/>
      <c r="D4" s="508"/>
      <c r="E4" s="508"/>
      <c r="F4" s="508"/>
    </row>
    <row r="5" spans="1:16" ht="15" customHeight="1" x14ac:dyDescent="0.35">
      <c r="A5" s="511" t="s">
        <v>1046</v>
      </c>
      <c r="B5" s="508"/>
      <c r="C5" s="508"/>
      <c r="D5" s="508"/>
      <c r="E5" s="508"/>
      <c r="F5" s="508"/>
    </row>
    <row r="6" spans="1:16" ht="15" customHeight="1" x14ac:dyDescent="0.35">
      <c r="A6" s="455" t="s">
        <v>1047</v>
      </c>
      <c r="B6" s="507" t="s">
        <v>1048</v>
      </c>
      <c r="C6" s="508"/>
      <c r="D6" s="508"/>
      <c r="E6" s="508"/>
      <c r="F6" s="508"/>
    </row>
    <row r="7" spans="1:16" ht="15" customHeight="1" x14ac:dyDescent="0.35">
      <c r="A7" s="455" t="s">
        <v>1049</v>
      </c>
      <c r="B7" s="507" t="s">
        <v>1050</v>
      </c>
      <c r="C7" s="508"/>
      <c r="D7" s="508"/>
      <c r="E7" s="508"/>
      <c r="F7" s="508"/>
    </row>
    <row r="8" spans="1:16" ht="15" customHeight="1" x14ac:dyDescent="0.35">
      <c r="A8" s="455" t="s">
        <v>1051</v>
      </c>
      <c r="B8" s="507" t="s">
        <v>1052</v>
      </c>
      <c r="C8" s="508"/>
      <c r="D8" s="508"/>
      <c r="E8" s="508"/>
      <c r="F8" s="508"/>
    </row>
    <row r="9" spans="1:16" ht="15" customHeight="1" x14ac:dyDescent="0.35">
      <c r="A9" s="455" t="s">
        <v>1053</v>
      </c>
      <c r="B9" s="507" t="s">
        <v>1054</v>
      </c>
      <c r="C9" s="508"/>
      <c r="D9" s="508"/>
      <c r="E9" s="508"/>
      <c r="F9" s="508"/>
    </row>
    <row r="10" spans="1:16" x14ac:dyDescent="0.35">
      <c r="A10" s="455" t="s">
        <v>1055</v>
      </c>
      <c r="B10" s="509" t="s">
        <v>1056</v>
      </c>
      <c r="C10" s="508"/>
      <c r="D10" s="508"/>
      <c r="E10" s="508"/>
      <c r="F10" s="508"/>
    </row>
    <row r="12" spans="1:16" ht="15" thickBot="1" x14ac:dyDescent="0.4">
      <c r="A12" s="456" t="s">
        <v>564</v>
      </c>
      <c r="B12" s="456" t="s">
        <v>1057</v>
      </c>
      <c r="C12" s="456" t="s">
        <v>1058</v>
      </c>
      <c r="D12" s="456" t="s">
        <v>1059</v>
      </c>
      <c r="E12" s="456" t="s">
        <v>1060</v>
      </c>
      <c r="F12" s="456" t="s">
        <v>1061</v>
      </c>
      <c r="G12" s="456" t="s">
        <v>1062</v>
      </c>
      <c r="H12" s="456" t="s">
        <v>1063</v>
      </c>
      <c r="I12" s="456" t="s">
        <v>1064</v>
      </c>
      <c r="J12" s="456" t="s">
        <v>1065</v>
      </c>
      <c r="K12" s="456" t="s">
        <v>1066</v>
      </c>
      <c r="L12" s="456" t="s">
        <v>1067</v>
      </c>
      <c r="M12" s="456" t="s">
        <v>1068</v>
      </c>
      <c r="N12" s="456" t="s">
        <v>1069</v>
      </c>
      <c r="O12" s="456" t="s">
        <v>1070</v>
      </c>
      <c r="P12" s="456" t="s">
        <v>1071</v>
      </c>
    </row>
    <row r="13" spans="1:16" ht="15" thickTop="1" x14ac:dyDescent="0.35">
      <c r="A13" s="457">
        <v>2004</v>
      </c>
      <c r="B13" s="458">
        <v>185.2</v>
      </c>
      <c r="C13" s="458">
        <v>186.2</v>
      </c>
      <c r="D13" s="458">
        <v>187.4</v>
      </c>
      <c r="E13" s="458">
        <v>188</v>
      </c>
      <c r="F13" s="458">
        <v>189.1</v>
      </c>
      <c r="G13" s="458">
        <v>189.7</v>
      </c>
      <c r="H13" s="458">
        <v>189.4</v>
      </c>
      <c r="I13" s="458">
        <v>189.5</v>
      </c>
      <c r="J13" s="458">
        <v>189.9</v>
      </c>
      <c r="K13" s="458">
        <v>190.9</v>
      </c>
      <c r="L13" s="458">
        <v>191</v>
      </c>
      <c r="M13" s="458">
        <v>190.3</v>
      </c>
      <c r="N13" s="458">
        <v>188.9</v>
      </c>
      <c r="O13" s="458">
        <v>187.6</v>
      </c>
      <c r="P13" s="458">
        <v>190.2</v>
      </c>
    </row>
    <row r="14" spans="1:16" x14ac:dyDescent="0.35">
      <c r="A14" s="457">
        <v>2005</v>
      </c>
      <c r="B14" s="458">
        <v>190.7</v>
      </c>
      <c r="C14" s="458">
        <v>191.8</v>
      </c>
      <c r="D14" s="458">
        <v>193.3</v>
      </c>
      <c r="E14" s="458">
        <v>194.6</v>
      </c>
      <c r="F14" s="458">
        <v>194.4</v>
      </c>
      <c r="G14" s="458">
        <v>194.5</v>
      </c>
      <c r="H14" s="458">
        <v>195.4</v>
      </c>
      <c r="I14" s="458">
        <v>196.4</v>
      </c>
      <c r="J14" s="458">
        <v>198.8</v>
      </c>
      <c r="K14" s="458">
        <v>199.2</v>
      </c>
      <c r="L14" s="458">
        <v>197.6</v>
      </c>
      <c r="M14" s="458">
        <v>196.8</v>
      </c>
      <c r="N14" s="458">
        <v>195.3</v>
      </c>
      <c r="O14" s="458">
        <v>193.2</v>
      </c>
      <c r="P14" s="458">
        <v>197.4</v>
      </c>
    </row>
    <row r="15" spans="1:16" x14ac:dyDescent="0.35">
      <c r="A15" s="457">
        <v>2006</v>
      </c>
      <c r="B15" s="458">
        <v>198.3</v>
      </c>
      <c r="C15" s="458">
        <v>198.7</v>
      </c>
      <c r="D15" s="458">
        <v>199.8</v>
      </c>
      <c r="E15" s="458">
        <v>201.5</v>
      </c>
      <c r="F15" s="458">
        <v>202.5</v>
      </c>
      <c r="G15" s="458">
        <v>202.9</v>
      </c>
      <c r="H15" s="458">
        <v>203.5</v>
      </c>
      <c r="I15" s="458">
        <v>203.9</v>
      </c>
      <c r="J15" s="458">
        <v>202.9</v>
      </c>
      <c r="K15" s="458">
        <v>201.8</v>
      </c>
      <c r="L15" s="458">
        <v>201.5</v>
      </c>
      <c r="M15" s="458">
        <v>201.8</v>
      </c>
      <c r="N15" s="458">
        <v>201.6</v>
      </c>
      <c r="O15" s="458">
        <v>200.6</v>
      </c>
      <c r="P15" s="458">
        <v>202.6</v>
      </c>
    </row>
    <row r="16" spans="1:16" x14ac:dyDescent="0.35">
      <c r="A16" s="457">
        <v>2007</v>
      </c>
      <c r="B16" s="459">
        <v>202.416</v>
      </c>
      <c r="C16" s="459">
        <v>203.499</v>
      </c>
      <c r="D16" s="459">
        <v>205.352</v>
      </c>
      <c r="E16" s="459">
        <v>206.68600000000001</v>
      </c>
      <c r="F16" s="459">
        <v>207.94900000000001</v>
      </c>
      <c r="G16" s="459">
        <v>208.352</v>
      </c>
      <c r="H16" s="459">
        <v>208.29900000000001</v>
      </c>
      <c r="I16" s="459">
        <v>207.917</v>
      </c>
      <c r="J16" s="459">
        <v>208.49</v>
      </c>
      <c r="K16" s="459">
        <v>208.93600000000001</v>
      </c>
      <c r="L16" s="459">
        <v>210.17699999999999</v>
      </c>
      <c r="M16" s="459">
        <v>210.036</v>
      </c>
      <c r="N16" s="459">
        <v>207.34200000000001</v>
      </c>
      <c r="O16" s="459">
        <v>205.709</v>
      </c>
      <c r="P16" s="459">
        <v>208.976</v>
      </c>
    </row>
    <row r="17" spans="1:16" x14ac:dyDescent="0.35">
      <c r="A17" s="457">
        <v>2008</v>
      </c>
      <c r="B17" s="459">
        <v>211.08</v>
      </c>
      <c r="C17" s="459">
        <v>211.69300000000001</v>
      </c>
      <c r="D17" s="459">
        <v>213.52799999999999</v>
      </c>
      <c r="E17" s="459">
        <v>214.82300000000001</v>
      </c>
      <c r="F17" s="459">
        <v>216.63200000000001</v>
      </c>
      <c r="G17" s="459">
        <v>218.815</v>
      </c>
      <c r="H17" s="459">
        <v>219.964</v>
      </c>
      <c r="I17" s="459">
        <v>219.08600000000001</v>
      </c>
      <c r="J17" s="459">
        <v>218.78299999999999</v>
      </c>
      <c r="K17" s="459">
        <v>216.57300000000001</v>
      </c>
      <c r="L17" s="459">
        <v>212.42500000000001</v>
      </c>
      <c r="M17" s="459">
        <v>210.22800000000001</v>
      </c>
      <c r="N17" s="459">
        <v>215.303</v>
      </c>
      <c r="O17" s="459">
        <v>214.429</v>
      </c>
      <c r="P17" s="459">
        <v>216.17699999999999</v>
      </c>
    </row>
    <row r="18" spans="1:16" x14ac:dyDescent="0.35">
      <c r="A18" s="457">
        <v>2009</v>
      </c>
      <c r="B18" s="459">
        <v>211.143</v>
      </c>
      <c r="C18" s="459">
        <v>212.19300000000001</v>
      </c>
      <c r="D18" s="459">
        <v>212.709</v>
      </c>
      <c r="E18" s="459">
        <v>213.24</v>
      </c>
      <c r="F18" s="459">
        <v>213.85599999999999</v>
      </c>
      <c r="G18" s="459">
        <v>215.69300000000001</v>
      </c>
      <c r="H18" s="459">
        <v>215.351</v>
      </c>
      <c r="I18" s="459">
        <v>215.834</v>
      </c>
      <c r="J18" s="459">
        <v>215.96899999999999</v>
      </c>
      <c r="K18" s="459">
        <v>216.17699999999999</v>
      </c>
      <c r="L18" s="459">
        <v>216.33</v>
      </c>
      <c r="M18" s="459">
        <v>215.94900000000001</v>
      </c>
      <c r="N18" s="459">
        <v>214.53700000000001</v>
      </c>
      <c r="O18" s="459">
        <v>213.13900000000001</v>
      </c>
      <c r="P18" s="459">
        <v>215.935</v>
      </c>
    </row>
    <row r="19" spans="1:16" x14ac:dyDescent="0.35">
      <c r="A19" s="457">
        <v>2010</v>
      </c>
      <c r="B19" s="459">
        <v>216.68700000000001</v>
      </c>
      <c r="C19" s="459">
        <v>216.74100000000001</v>
      </c>
      <c r="D19" s="459">
        <v>217.631</v>
      </c>
      <c r="E19" s="459">
        <v>218.00899999999999</v>
      </c>
      <c r="F19" s="459">
        <v>218.178</v>
      </c>
      <c r="G19" s="459">
        <v>217.965</v>
      </c>
      <c r="H19" s="459">
        <v>218.011</v>
      </c>
      <c r="I19" s="459">
        <v>218.31200000000001</v>
      </c>
      <c r="J19" s="459">
        <v>218.43899999999999</v>
      </c>
      <c r="K19" s="459">
        <v>218.71100000000001</v>
      </c>
      <c r="L19" s="459">
        <v>218.803</v>
      </c>
      <c r="M19" s="459">
        <v>219.179</v>
      </c>
      <c r="N19" s="459">
        <v>218.05600000000001</v>
      </c>
      <c r="O19" s="459">
        <v>217.535</v>
      </c>
      <c r="P19" s="459">
        <v>218.57599999999999</v>
      </c>
    </row>
    <row r="20" spans="1:16" x14ac:dyDescent="0.35">
      <c r="A20" s="457">
        <v>2011</v>
      </c>
      <c r="B20" s="459">
        <v>220.22300000000001</v>
      </c>
      <c r="C20" s="459">
        <v>221.309</v>
      </c>
      <c r="D20" s="459">
        <v>223.46700000000001</v>
      </c>
      <c r="E20" s="459">
        <v>224.90600000000001</v>
      </c>
      <c r="F20" s="459">
        <v>225.964</v>
      </c>
      <c r="G20" s="459">
        <v>225.72200000000001</v>
      </c>
      <c r="H20" s="459">
        <v>225.922</v>
      </c>
      <c r="I20" s="459">
        <v>226.54499999999999</v>
      </c>
      <c r="J20" s="459">
        <v>226.88900000000001</v>
      </c>
      <c r="K20" s="459">
        <v>226.42099999999999</v>
      </c>
      <c r="L20" s="459">
        <v>226.23</v>
      </c>
      <c r="M20" s="459">
        <v>225.672</v>
      </c>
      <c r="N20" s="459">
        <v>224.93899999999999</v>
      </c>
      <c r="O20" s="459">
        <v>223.59800000000001</v>
      </c>
      <c r="P20" s="459">
        <v>226.28</v>
      </c>
    </row>
    <row r="21" spans="1:16" x14ac:dyDescent="0.35">
      <c r="A21" s="457">
        <v>2012</v>
      </c>
      <c r="B21" s="459">
        <v>226.66499999999999</v>
      </c>
      <c r="C21" s="459">
        <v>227.66300000000001</v>
      </c>
      <c r="D21" s="459">
        <v>229.392</v>
      </c>
      <c r="E21" s="459">
        <v>230.08500000000001</v>
      </c>
      <c r="F21" s="459">
        <v>229.815</v>
      </c>
      <c r="G21" s="459">
        <v>229.47800000000001</v>
      </c>
      <c r="H21" s="459">
        <v>229.10400000000001</v>
      </c>
      <c r="I21" s="459">
        <v>230.37899999999999</v>
      </c>
      <c r="J21" s="459">
        <v>231.40700000000001</v>
      </c>
      <c r="K21" s="459">
        <v>231.31700000000001</v>
      </c>
      <c r="L21" s="459">
        <v>230.221</v>
      </c>
      <c r="M21" s="459">
        <v>229.601</v>
      </c>
      <c r="N21" s="459">
        <v>229.59399999999999</v>
      </c>
      <c r="O21" s="459">
        <v>228.85</v>
      </c>
      <c r="P21" s="459">
        <v>230.33799999999999</v>
      </c>
    </row>
    <row r="22" spans="1:16" x14ac:dyDescent="0.35">
      <c r="A22" s="457">
        <v>2013</v>
      </c>
      <c r="B22" s="459">
        <v>230.28</v>
      </c>
      <c r="C22" s="459">
        <v>232.166</v>
      </c>
      <c r="D22" s="459">
        <v>232.773</v>
      </c>
      <c r="E22" s="459">
        <v>232.53100000000001</v>
      </c>
      <c r="F22" s="459">
        <v>232.94499999999999</v>
      </c>
      <c r="G22" s="459">
        <v>233.50399999999999</v>
      </c>
      <c r="H22" s="459">
        <v>233.596</v>
      </c>
      <c r="I22" s="459">
        <v>233.87700000000001</v>
      </c>
      <c r="J22" s="459">
        <v>234.149</v>
      </c>
      <c r="K22" s="459">
        <v>233.54599999999999</v>
      </c>
      <c r="L22" s="459">
        <v>233.06899999999999</v>
      </c>
      <c r="M22" s="459">
        <v>233.04900000000001</v>
      </c>
      <c r="N22" s="459">
        <v>232.95699999999999</v>
      </c>
      <c r="O22" s="459">
        <v>232.36600000000001</v>
      </c>
      <c r="P22" s="459">
        <v>233.548</v>
      </c>
    </row>
    <row r="23" spans="1:16" x14ac:dyDescent="0.35">
      <c r="A23" s="457">
        <v>2014</v>
      </c>
      <c r="B23" s="459">
        <v>233.916</v>
      </c>
      <c r="C23" s="459">
        <v>234.78100000000001</v>
      </c>
      <c r="D23" s="459">
        <v>236.29300000000001</v>
      </c>
      <c r="E23" s="459">
        <v>237.072</v>
      </c>
      <c r="F23" s="459">
        <v>237.9</v>
      </c>
      <c r="G23" s="459">
        <v>238.34299999999999</v>
      </c>
      <c r="H23" s="459">
        <v>238.25</v>
      </c>
      <c r="I23" s="459">
        <v>237.852</v>
      </c>
      <c r="J23" s="459">
        <v>238.03100000000001</v>
      </c>
      <c r="K23" s="459">
        <v>237.43299999999999</v>
      </c>
      <c r="L23" s="459">
        <v>236.15100000000001</v>
      </c>
      <c r="M23" s="459">
        <v>234.81200000000001</v>
      </c>
      <c r="N23" s="459">
        <v>236.73599999999999</v>
      </c>
      <c r="O23" s="459">
        <v>236.38399999999999</v>
      </c>
      <c r="P23" s="459">
        <v>237.08799999999999</v>
      </c>
    </row>
    <row r="24" spans="1:16" x14ac:dyDescent="0.35">
      <c r="A24" s="457">
        <v>2015</v>
      </c>
      <c r="B24" s="459">
        <v>233.70699999999999</v>
      </c>
      <c r="C24" s="459">
        <v>234.72200000000001</v>
      </c>
      <c r="D24" s="459">
        <v>236.119</v>
      </c>
      <c r="E24" s="459">
        <v>236.59899999999999</v>
      </c>
      <c r="F24" s="459">
        <v>237.80500000000001</v>
      </c>
      <c r="G24" s="459">
        <v>238.63800000000001</v>
      </c>
      <c r="H24" s="459">
        <v>238.654</v>
      </c>
      <c r="I24" s="459">
        <v>238.316</v>
      </c>
      <c r="J24" s="459">
        <v>237.94499999999999</v>
      </c>
      <c r="K24" s="459">
        <v>237.83799999999999</v>
      </c>
      <c r="L24" s="459">
        <v>237.33600000000001</v>
      </c>
      <c r="M24" s="459">
        <v>236.52500000000001</v>
      </c>
      <c r="N24" s="459">
        <v>237.017</v>
      </c>
      <c r="O24" s="459">
        <v>236.26499999999999</v>
      </c>
      <c r="P24" s="459">
        <v>237.76900000000001</v>
      </c>
    </row>
    <row r="25" spans="1:16" x14ac:dyDescent="0.35">
      <c r="A25" s="457">
        <v>2016</v>
      </c>
      <c r="B25" s="459">
        <v>236.916</v>
      </c>
      <c r="C25" s="459">
        <v>237.11099999999999</v>
      </c>
      <c r="D25" s="459">
        <v>238.13200000000001</v>
      </c>
      <c r="E25" s="459">
        <v>239.261</v>
      </c>
      <c r="F25" s="459">
        <v>240.22900000000001</v>
      </c>
      <c r="G25" s="459">
        <v>241.018</v>
      </c>
      <c r="H25" s="459">
        <v>240.62799999999999</v>
      </c>
      <c r="I25" s="459">
        <v>240.84899999999999</v>
      </c>
      <c r="J25" s="459">
        <v>241.428</v>
      </c>
      <c r="K25" s="459">
        <v>241.72900000000001</v>
      </c>
      <c r="L25" s="459">
        <v>241.35300000000001</v>
      </c>
      <c r="M25" s="459">
        <v>241.43199999999999</v>
      </c>
      <c r="N25" s="459">
        <v>240.00700000000001</v>
      </c>
      <c r="O25" s="459">
        <v>238.77799999999999</v>
      </c>
      <c r="P25" s="459">
        <v>241.23699999999999</v>
      </c>
    </row>
    <row r="26" spans="1:16" x14ac:dyDescent="0.35">
      <c r="A26" s="457">
        <v>2017</v>
      </c>
      <c r="B26" s="459">
        <v>242.839</v>
      </c>
      <c r="C26" s="459">
        <v>243.60300000000001</v>
      </c>
      <c r="D26" s="459">
        <v>243.80099999999999</v>
      </c>
      <c r="E26" s="459">
        <v>244.524</v>
      </c>
      <c r="F26" s="459">
        <v>244.733</v>
      </c>
      <c r="G26" s="459">
        <v>244.95500000000001</v>
      </c>
      <c r="H26" s="459">
        <v>244.786</v>
      </c>
      <c r="I26" s="459">
        <v>245.51900000000001</v>
      </c>
      <c r="J26" s="459">
        <v>246.81899999999999</v>
      </c>
      <c r="K26" s="459">
        <v>246.66300000000001</v>
      </c>
      <c r="L26" s="459">
        <v>246.66900000000001</v>
      </c>
      <c r="M26" s="459">
        <v>246.524</v>
      </c>
      <c r="N26" s="459">
        <v>245.12</v>
      </c>
      <c r="O26" s="459">
        <v>244.07599999999999</v>
      </c>
      <c r="P26" s="459">
        <v>246.16300000000001</v>
      </c>
    </row>
    <row r="27" spans="1:16" x14ac:dyDescent="0.35">
      <c r="A27" s="457">
        <v>2018</v>
      </c>
      <c r="B27" s="459">
        <v>247.86699999999999</v>
      </c>
      <c r="C27" s="459">
        <v>248.99100000000001</v>
      </c>
      <c r="D27" s="459">
        <v>249.554</v>
      </c>
      <c r="E27" s="459">
        <v>250.54599999999999</v>
      </c>
      <c r="F27" s="459">
        <v>251.58799999999999</v>
      </c>
      <c r="G27" s="459">
        <v>251.989</v>
      </c>
      <c r="H27" s="459">
        <v>252.006</v>
      </c>
      <c r="I27" s="459">
        <v>252.14599999999999</v>
      </c>
      <c r="J27" s="459">
        <v>252.43899999999999</v>
      </c>
      <c r="K27" s="459">
        <v>252.88499999999999</v>
      </c>
      <c r="L27" s="459">
        <v>252.03800000000001</v>
      </c>
      <c r="M27" s="459">
        <v>251.233</v>
      </c>
      <c r="N27" s="459">
        <v>251.107</v>
      </c>
      <c r="O27" s="459">
        <v>250.089</v>
      </c>
      <c r="P27" s="459">
        <v>252.125</v>
      </c>
    </row>
    <row r="28" spans="1:16" x14ac:dyDescent="0.35">
      <c r="A28" s="457">
        <v>2019</v>
      </c>
      <c r="B28" s="459">
        <v>251.71199999999999</v>
      </c>
      <c r="C28" s="459">
        <v>252.77600000000001</v>
      </c>
      <c r="D28" s="459">
        <v>254.202</v>
      </c>
      <c r="E28" s="459">
        <v>255.548</v>
      </c>
      <c r="F28" s="459">
        <v>256.09199999999998</v>
      </c>
      <c r="G28" s="459">
        <v>256.14299999999997</v>
      </c>
      <c r="H28" s="459">
        <v>256.57100000000003</v>
      </c>
      <c r="I28" s="459">
        <v>256.55799999999999</v>
      </c>
      <c r="J28" s="459">
        <v>256.75900000000001</v>
      </c>
      <c r="K28" s="459">
        <v>257.346</v>
      </c>
      <c r="L28" s="459">
        <v>257.20800000000003</v>
      </c>
      <c r="M28" s="459">
        <v>256.97399999999999</v>
      </c>
      <c r="N28" s="459">
        <v>255.65700000000001</v>
      </c>
      <c r="O28" s="459">
        <v>254.41200000000001</v>
      </c>
      <c r="P28" s="459">
        <v>256.90300000000002</v>
      </c>
    </row>
    <row r="29" spans="1:16" x14ac:dyDescent="0.35">
      <c r="A29" s="457">
        <v>2020</v>
      </c>
      <c r="B29" s="459">
        <v>257.971</v>
      </c>
      <c r="C29" s="459">
        <v>258.678</v>
      </c>
      <c r="D29" s="459">
        <v>258.11500000000001</v>
      </c>
      <c r="E29" s="459">
        <v>256.38900000000001</v>
      </c>
      <c r="F29" s="459">
        <v>256.39400000000001</v>
      </c>
      <c r="G29" s="459">
        <v>257.79700000000003</v>
      </c>
      <c r="H29" s="459">
        <v>259.101</v>
      </c>
      <c r="I29" s="459">
        <v>259.91800000000001</v>
      </c>
      <c r="J29" s="459">
        <v>260.27999999999997</v>
      </c>
      <c r="K29" s="459">
        <v>260.38799999999998</v>
      </c>
      <c r="L29" s="459">
        <v>260.22899999999998</v>
      </c>
      <c r="M29" s="459">
        <v>260.47399999999999</v>
      </c>
      <c r="N29" s="459">
        <v>258.81099999999998</v>
      </c>
      <c r="O29" s="459">
        <v>257.55700000000002</v>
      </c>
      <c r="P29" s="459">
        <v>260.065</v>
      </c>
    </row>
    <row r="30" spans="1:16" x14ac:dyDescent="0.35">
      <c r="A30" s="457">
        <v>2021</v>
      </c>
      <c r="B30" s="459">
        <v>261.58199999999999</v>
      </c>
      <c r="C30" s="459">
        <v>263.01400000000001</v>
      </c>
      <c r="D30" s="459">
        <v>264.87700000000001</v>
      </c>
      <c r="E30" s="459">
        <v>267.05399999999997</v>
      </c>
      <c r="F30" s="459">
        <v>269.19499999999999</v>
      </c>
      <c r="G30" s="459">
        <v>271.69600000000003</v>
      </c>
      <c r="H30" s="459">
        <v>273.00299999999999</v>
      </c>
      <c r="I30" s="459">
        <v>273.56700000000001</v>
      </c>
      <c r="J30" s="459">
        <v>274.31</v>
      </c>
      <c r="K30" s="459">
        <v>276.589</v>
      </c>
      <c r="L30" s="459">
        <v>277.94799999999998</v>
      </c>
      <c r="M30" s="459">
        <v>278.80200000000002</v>
      </c>
      <c r="N30" s="459">
        <v>270.97000000000003</v>
      </c>
      <c r="O30" s="459">
        <v>266.23599999999999</v>
      </c>
      <c r="P30" s="459">
        <v>275.70299999999997</v>
      </c>
    </row>
    <row r="31" spans="1:16" x14ac:dyDescent="0.35">
      <c r="A31" s="457">
        <v>2022</v>
      </c>
      <c r="B31" s="459">
        <v>281.14800000000002</v>
      </c>
      <c r="C31" s="459">
        <v>283.71600000000001</v>
      </c>
      <c r="D31" s="459">
        <v>287.50400000000002</v>
      </c>
      <c r="E31" s="459">
        <v>289.10899999999998</v>
      </c>
      <c r="F31" s="459">
        <v>292.29599999999999</v>
      </c>
      <c r="G31" s="459">
        <v>296.31099999999998</v>
      </c>
      <c r="H31" s="459">
        <v>296.27600000000001</v>
      </c>
      <c r="I31" s="459">
        <v>296.17099999999999</v>
      </c>
      <c r="J31" s="459">
        <v>296.80799999999999</v>
      </c>
      <c r="K31" s="459">
        <v>298.012</v>
      </c>
      <c r="L31" s="459">
        <v>297.71100000000001</v>
      </c>
      <c r="M31" s="459">
        <v>296.79700000000003</v>
      </c>
      <c r="N31" s="459">
        <v>292.65499999999997</v>
      </c>
      <c r="O31" s="459">
        <v>288.34699999999998</v>
      </c>
      <c r="P31" s="459">
        <v>296.96300000000002</v>
      </c>
    </row>
    <row r="32" spans="1:16" x14ac:dyDescent="0.35">
      <c r="A32" s="457">
        <v>2023</v>
      </c>
      <c r="B32" s="459">
        <v>299.17</v>
      </c>
      <c r="C32" s="459">
        <v>300.83999999999997</v>
      </c>
      <c r="D32" s="459">
        <v>301.83600000000001</v>
      </c>
      <c r="E32" s="459">
        <v>303.363</v>
      </c>
      <c r="F32" s="459">
        <v>304.12700000000001</v>
      </c>
      <c r="G32" s="459">
        <v>305.10899999999998</v>
      </c>
      <c r="H32" s="459">
        <v>305.69099999999997</v>
      </c>
      <c r="I32" s="459">
        <v>307.02600000000001</v>
      </c>
      <c r="J32" s="459">
        <v>307.78899999999999</v>
      </c>
      <c r="K32" s="459">
        <v>307.67099999999999</v>
      </c>
      <c r="L32" s="459">
        <v>307.05099999999999</v>
      </c>
      <c r="M32" s="459">
        <v>306.74599999999998</v>
      </c>
      <c r="N32" s="459">
        <v>304.702</v>
      </c>
      <c r="O32" s="459">
        <v>302.40800000000002</v>
      </c>
      <c r="P32" s="459">
        <v>306.99599999999998</v>
      </c>
    </row>
    <row r="33" spans="1:16" x14ac:dyDescent="0.35">
      <c r="A33" s="457">
        <v>2024</v>
      </c>
      <c r="B33" s="459">
        <v>308.41699999999997</v>
      </c>
      <c r="C33" s="459">
        <v>310.32600000000002</v>
      </c>
      <c r="D33" s="459">
        <v>312.33199999999999</v>
      </c>
      <c r="E33" s="459">
        <v>313.548</v>
      </c>
      <c r="F33" s="459">
        <v>314.06900000000002</v>
      </c>
      <c r="G33" s="459">
        <v>314.17500000000001</v>
      </c>
      <c r="H33" s="459">
        <v>314.54000000000002</v>
      </c>
      <c r="I33" s="459">
        <v>314.79599999999999</v>
      </c>
      <c r="J33" s="459">
        <v>315.30099999999999</v>
      </c>
      <c r="K33" s="459">
        <v>315.66399999999999</v>
      </c>
      <c r="L33" s="459">
        <v>315.49299999999999</v>
      </c>
      <c r="M33" s="459">
        <v>315.60500000000002</v>
      </c>
      <c r="N33" s="459">
        <v>313.68900000000002</v>
      </c>
      <c r="O33" s="459">
        <v>312.14499999999998</v>
      </c>
      <c r="P33" s="459">
        <v>315.233</v>
      </c>
    </row>
    <row r="34" spans="1:16" x14ac:dyDescent="0.35">
      <c r="A34" s="457">
        <v>2025</v>
      </c>
      <c r="B34" s="459">
        <v>317.67099999999999</v>
      </c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</row>
    <row r="35" spans="1:16" x14ac:dyDescent="0.3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7" spans="1:16" x14ac:dyDescent="0.35">
      <c r="M37" t="s">
        <v>1072</v>
      </c>
      <c r="N37" s="38">
        <f>RATE(20,,-N13,N33)</f>
        <v>2.5683493958159338E-2</v>
      </c>
    </row>
    <row r="38" spans="1:16" x14ac:dyDescent="0.35">
      <c r="M38" s="57" t="s">
        <v>1073</v>
      </c>
      <c r="N38" s="295">
        <f>RATE(10,,-N23,N33)</f>
        <v>2.8545476330126728E-2</v>
      </c>
    </row>
    <row r="39" spans="1:16" x14ac:dyDescent="0.35">
      <c r="M39" t="s">
        <v>1074</v>
      </c>
      <c r="N39" s="38">
        <f>RATE(3,,-N30,N33)</f>
        <v>5.0008205109919893E-2</v>
      </c>
    </row>
    <row r="40" spans="1:16" x14ac:dyDescent="0.35">
      <c r="M40" s="57" t="s">
        <v>1075</v>
      </c>
      <c r="N40" s="295">
        <f>RATE(5,,-N28,N33)</f>
        <v>4.1761540631857476E-2</v>
      </c>
    </row>
  </sheetData>
  <mergeCells count="10">
    <mergeCell ref="B7:F7"/>
    <mergeCell ref="B8:F8"/>
    <mergeCell ref="B9:F9"/>
    <mergeCell ref="B10:F10"/>
    <mergeCell ref="A1:F1"/>
    <mergeCell ref="A2:F2"/>
    <mergeCell ref="A3:F3"/>
    <mergeCell ref="B4:F4"/>
    <mergeCell ref="A5:F5"/>
    <mergeCell ref="B6:F6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0CF3-6B9F-4A96-9025-E39378BC74FA}">
  <sheetPr>
    <tabColor rgb="FF7030A0"/>
  </sheetPr>
  <dimension ref="A1:P37"/>
  <sheetViews>
    <sheetView workbookViewId="0">
      <selection activeCell="N38" sqref="N38"/>
    </sheetView>
  </sheetViews>
  <sheetFormatPr defaultColWidth="9.26953125" defaultRowHeight="14.5" x14ac:dyDescent="0.35"/>
  <cols>
    <col min="1" max="1" width="20" customWidth="1"/>
    <col min="2" max="2" width="8" customWidth="1"/>
    <col min="13" max="13" width="10.453125" bestFit="1" customWidth="1"/>
  </cols>
  <sheetData>
    <row r="1" spans="1:16" ht="15.5" x14ac:dyDescent="0.35">
      <c r="A1" s="510" t="s">
        <v>1042</v>
      </c>
      <c r="B1" s="508"/>
      <c r="C1" s="508"/>
      <c r="D1" s="508"/>
      <c r="E1" s="508"/>
      <c r="F1" s="508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6" ht="15.5" x14ac:dyDescent="0.35">
      <c r="A2" s="510" t="s">
        <v>1043</v>
      </c>
      <c r="B2" s="508"/>
      <c r="C2" s="508"/>
      <c r="D2" s="508"/>
      <c r="E2" s="508"/>
      <c r="F2" s="508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spans="1:16" x14ac:dyDescent="0.35">
      <c r="A3" s="508"/>
      <c r="B3" s="508"/>
      <c r="C3" s="508"/>
      <c r="D3" s="508"/>
      <c r="E3" s="508"/>
      <c r="F3" s="508"/>
      <c r="G3" s="375"/>
      <c r="H3" s="375"/>
      <c r="I3" s="375"/>
      <c r="J3" s="375"/>
      <c r="K3" s="375"/>
      <c r="L3" s="375"/>
      <c r="M3" s="375"/>
      <c r="N3" s="375"/>
      <c r="O3" s="375"/>
      <c r="P3" s="375"/>
    </row>
    <row r="4" spans="1:16" ht="15" customHeight="1" x14ac:dyDescent="0.35">
      <c r="A4" s="455" t="s">
        <v>1044</v>
      </c>
      <c r="B4" s="507" t="s">
        <v>1076</v>
      </c>
      <c r="C4" s="508"/>
      <c r="D4" s="508"/>
      <c r="E4" s="508"/>
      <c r="F4" s="508"/>
      <c r="G4" s="375"/>
      <c r="H4" s="375"/>
      <c r="I4" s="375"/>
      <c r="J4" s="375"/>
      <c r="K4" s="375"/>
      <c r="L4" s="375"/>
      <c r="M4" s="375"/>
      <c r="N4" s="375"/>
      <c r="O4" s="375"/>
      <c r="P4" s="375"/>
    </row>
    <row r="5" spans="1:16" ht="15" customHeight="1" x14ac:dyDescent="0.35">
      <c r="A5" s="511" t="s">
        <v>1046</v>
      </c>
      <c r="B5" s="508"/>
      <c r="C5" s="508"/>
      <c r="D5" s="508"/>
      <c r="E5" s="508"/>
      <c r="F5" s="508"/>
      <c r="G5" s="375"/>
      <c r="H5" s="375"/>
      <c r="I5" s="375"/>
      <c r="J5" s="375"/>
      <c r="K5" s="375"/>
      <c r="L5" s="375"/>
      <c r="M5" s="375"/>
      <c r="N5" s="375"/>
      <c r="O5" s="375"/>
      <c r="P5" s="375"/>
    </row>
    <row r="6" spans="1:16" ht="15" customHeight="1" x14ac:dyDescent="0.35">
      <c r="A6" s="455" t="s">
        <v>1047</v>
      </c>
      <c r="B6" s="507" t="s">
        <v>1077</v>
      </c>
      <c r="C6" s="508"/>
      <c r="D6" s="508"/>
      <c r="E6" s="508"/>
      <c r="F6" s="508"/>
      <c r="G6" s="375"/>
      <c r="H6" s="375"/>
      <c r="I6" s="375"/>
      <c r="J6" s="375"/>
      <c r="K6" s="375"/>
      <c r="L6" s="375"/>
      <c r="M6" s="375"/>
      <c r="N6" s="375"/>
      <c r="O6" s="375"/>
      <c r="P6" s="375"/>
    </row>
    <row r="7" spans="1:16" ht="15" customHeight="1" x14ac:dyDescent="0.35">
      <c r="A7" s="455" t="s">
        <v>1049</v>
      </c>
      <c r="B7" s="507" t="s">
        <v>1050</v>
      </c>
      <c r="C7" s="508"/>
      <c r="D7" s="508"/>
      <c r="E7" s="508"/>
      <c r="F7" s="508"/>
      <c r="G7" s="375"/>
      <c r="H7" s="375"/>
      <c r="I7" s="375"/>
      <c r="J7" s="375"/>
      <c r="K7" s="375"/>
      <c r="L7" s="375"/>
      <c r="M7" s="375"/>
      <c r="N7" s="375"/>
      <c r="O7" s="375"/>
      <c r="P7" s="375"/>
    </row>
    <row r="8" spans="1:16" ht="15" customHeight="1" x14ac:dyDescent="0.35">
      <c r="A8" s="455" t="s">
        <v>1051</v>
      </c>
      <c r="B8" s="507" t="s">
        <v>1078</v>
      </c>
      <c r="C8" s="508"/>
      <c r="D8" s="508"/>
      <c r="E8" s="508"/>
      <c r="F8" s="508"/>
      <c r="G8" s="375"/>
      <c r="H8" s="375"/>
      <c r="I8" s="375"/>
      <c r="J8" s="375"/>
      <c r="K8" s="375"/>
      <c r="L8" s="375"/>
      <c r="M8" s="375"/>
      <c r="N8" s="375"/>
      <c r="O8" s="375"/>
      <c r="P8" s="375"/>
    </row>
    <row r="9" spans="1:16" ht="15" customHeight="1" x14ac:dyDescent="0.35">
      <c r="A9" s="455" t="s">
        <v>1053</v>
      </c>
      <c r="B9" s="507" t="s">
        <v>1054</v>
      </c>
      <c r="C9" s="508"/>
      <c r="D9" s="508"/>
      <c r="E9" s="508"/>
      <c r="F9" s="508"/>
      <c r="G9" s="375"/>
      <c r="H9" s="375"/>
      <c r="I9" s="375"/>
      <c r="J9" s="375"/>
      <c r="K9" s="375"/>
      <c r="L9" s="375"/>
      <c r="M9" s="375"/>
      <c r="N9" s="375"/>
      <c r="O9" s="375"/>
      <c r="P9" s="375"/>
    </row>
    <row r="10" spans="1:16" x14ac:dyDescent="0.35">
      <c r="A10" s="455" t="s">
        <v>1055</v>
      </c>
      <c r="B10" s="509" t="s">
        <v>1056</v>
      </c>
      <c r="C10" s="508"/>
      <c r="D10" s="508"/>
      <c r="E10" s="508"/>
      <c r="F10" s="508"/>
      <c r="G10" s="375"/>
      <c r="H10" s="375"/>
      <c r="I10" s="375"/>
      <c r="J10" s="375"/>
      <c r="K10" s="375"/>
      <c r="L10" s="375"/>
      <c r="M10" s="375"/>
      <c r="N10" s="375"/>
      <c r="O10" s="375"/>
      <c r="P10" s="375"/>
    </row>
    <row r="12" spans="1:16" ht="15" thickBot="1" x14ac:dyDescent="0.4">
      <c r="A12" s="456" t="s">
        <v>564</v>
      </c>
      <c r="B12" s="456" t="s">
        <v>1057</v>
      </c>
      <c r="C12" s="456" t="s">
        <v>1058</v>
      </c>
      <c r="D12" s="456" t="s">
        <v>1059</v>
      </c>
      <c r="E12" s="456" t="s">
        <v>1060</v>
      </c>
      <c r="F12" s="456" t="s">
        <v>1061</v>
      </c>
      <c r="G12" s="456" t="s">
        <v>1062</v>
      </c>
      <c r="H12" s="456" t="s">
        <v>1063</v>
      </c>
      <c r="I12" s="456" t="s">
        <v>1064</v>
      </c>
      <c r="J12" s="456" t="s">
        <v>1065</v>
      </c>
      <c r="K12" s="456" t="s">
        <v>1066</v>
      </c>
      <c r="L12" s="456" t="s">
        <v>1067</v>
      </c>
      <c r="M12" s="456" t="s">
        <v>1068</v>
      </c>
      <c r="N12" s="456" t="s">
        <v>1069</v>
      </c>
      <c r="O12" s="456" t="s">
        <v>1070</v>
      </c>
      <c r="P12" s="456" t="s">
        <v>1071</v>
      </c>
    </row>
    <row r="13" spans="1:16" ht="15" thickTop="1" x14ac:dyDescent="0.35">
      <c r="A13" s="457">
        <v>2004</v>
      </c>
      <c r="B13" s="458">
        <v>156.30000000000001</v>
      </c>
      <c r="C13" s="458">
        <v>156.9</v>
      </c>
      <c r="D13" s="458">
        <v>155.19999999999999</v>
      </c>
      <c r="E13" s="458">
        <v>155.6</v>
      </c>
      <c r="F13" s="458">
        <v>158.1</v>
      </c>
      <c r="G13" s="458">
        <v>165.5</v>
      </c>
      <c r="H13" s="458">
        <v>166.6</v>
      </c>
      <c r="I13" s="458">
        <v>167.7</v>
      </c>
      <c r="J13" s="458">
        <v>166.7</v>
      </c>
      <c r="K13" s="458">
        <v>162.80000000000001</v>
      </c>
      <c r="L13" s="458">
        <v>165.6</v>
      </c>
      <c r="M13" s="458">
        <v>165.7</v>
      </c>
      <c r="N13" s="458">
        <v>161.9</v>
      </c>
      <c r="O13" s="458">
        <v>157.9</v>
      </c>
      <c r="P13" s="458">
        <v>165.9</v>
      </c>
    </row>
    <row r="14" spans="1:16" x14ac:dyDescent="0.35">
      <c r="A14" s="457">
        <v>2005</v>
      </c>
      <c r="B14" s="458">
        <v>166.9</v>
      </c>
      <c r="C14" s="458">
        <v>166.4</v>
      </c>
      <c r="D14" s="458">
        <v>166.7</v>
      </c>
      <c r="E14" s="458">
        <v>169.6</v>
      </c>
      <c r="F14" s="458">
        <v>171.7</v>
      </c>
      <c r="G14" s="458">
        <v>177.4</v>
      </c>
      <c r="H14" s="458">
        <v>180.1</v>
      </c>
      <c r="I14" s="458">
        <v>181.8</v>
      </c>
      <c r="J14" s="458">
        <v>188.9</v>
      </c>
      <c r="K14" s="458">
        <v>192.8</v>
      </c>
      <c r="L14" s="458">
        <v>194.6</v>
      </c>
      <c r="M14" s="458">
        <v>191.6</v>
      </c>
      <c r="N14" s="458">
        <v>179</v>
      </c>
      <c r="O14" s="458">
        <v>169.8</v>
      </c>
      <c r="P14" s="458">
        <v>188.3</v>
      </c>
    </row>
    <row r="15" spans="1:16" x14ac:dyDescent="0.35">
      <c r="A15" s="457">
        <v>2006</v>
      </c>
      <c r="B15" s="458">
        <v>198.7</v>
      </c>
      <c r="C15" s="458">
        <v>194.6</v>
      </c>
      <c r="D15" s="458">
        <v>192.3</v>
      </c>
      <c r="E15" s="458">
        <v>190.8</v>
      </c>
      <c r="F15" s="458">
        <v>192</v>
      </c>
      <c r="G15" s="458">
        <v>197.6</v>
      </c>
      <c r="H15" s="458">
        <v>198.5</v>
      </c>
      <c r="I15" s="458">
        <v>199</v>
      </c>
      <c r="J15" s="458">
        <v>199.6</v>
      </c>
      <c r="K15" s="458">
        <v>190.1</v>
      </c>
      <c r="L15" s="458">
        <v>190.6</v>
      </c>
      <c r="M15" s="458">
        <v>192.6</v>
      </c>
      <c r="N15" s="458">
        <v>194.7</v>
      </c>
      <c r="O15" s="458">
        <v>194.3</v>
      </c>
      <c r="P15" s="458">
        <v>195.1</v>
      </c>
    </row>
    <row r="16" spans="1:16" x14ac:dyDescent="0.35">
      <c r="A16" s="457">
        <v>2007</v>
      </c>
      <c r="B16" s="459">
        <v>194.37799999999999</v>
      </c>
      <c r="C16" s="459">
        <v>194.89</v>
      </c>
      <c r="D16" s="459">
        <v>196.41399999999999</v>
      </c>
      <c r="E16" s="459">
        <v>196.393</v>
      </c>
      <c r="F16" s="459">
        <v>198.57400000000001</v>
      </c>
      <c r="G16" s="459">
        <v>206.19900000000001</v>
      </c>
      <c r="H16" s="459">
        <v>206.14</v>
      </c>
      <c r="I16" s="459">
        <v>204.334</v>
      </c>
      <c r="J16" s="459">
        <v>204.26400000000001</v>
      </c>
      <c r="K16" s="459">
        <v>200.83600000000001</v>
      </c>
      <c r="L16" s="459">
        <v>202.161</v>
      </c>
      <c r="M16" s="459">
        <v>203.006</v>
      </c>
      <c r="N16" s="459">
        <v>200.63200000000001</v>
      </c>
      <c r="O16" s="459">
        <v>197.80799999999999</v>
      </c>
      <c r="P16" s="459">
        <v>203.45699999999999</v>
      </c>
    </row>
    <row r="17" spans="1:16" x14ac:dyDescent="0.35">
      <c r="A17" s="457">
        <v>2008</v>
      </c>
      <c r="B17" s="459">
        <v>204.79599999999999</v>
      </c>
      <c r="C17" s="459">
        <v>205.79499999999999</v>
      </c>
      <c r="D17" s="459">
        <v>209.221</v>
      </c>
      <c r="E17" s="459">
        <v>213.30199999999999</v>
      </c>
      <c r="F17" s="459">
        <v>219.881</v>
      </c>
      <c r="G17" s="459">
        <v>231.41200000000001</v>
      </c>
      <c r="H17" s="459">
        <v>239.03899999999999</v>
      </c>
      <c r="I17" s="459">
        <v>235.65</v>
      </c>
      <c r="J17" s="459">
        <v>228.45</v>
      </c>
      <c r="K17" s="459">
        <v>221.19900000000001</v>
      </c>
      <c r="L17" s="459">
        <v>216.285</v>
      </c>
      <c r="M17" s="459">
        <v>215.184</v>
      </c>
      <c r="N17" s="459">
        <v>220.018</v>
      </c>
      <c r="O17" s="459">
        <v>214.06800000000001</v>
      </c>
      <c r="P17" s="459">
        <v>225.96799999999999</v>
      </c>
    </row>
    <row r="18" spans="1:16" x14ac:dyDescent="0.35">
      <c r="A18" s="457">
        <v>2009</v>
      </c>
      <c r="B18" s="459">
        <v>215.232</v>
      </c>
      <c r="C18" s="459">
        <v>213.52</v>
      </c>
      <c r="D18" s="459">
        <v>210.501</v>
      </c>
      <c r="E18" s="459">
        <v>207.17500000000001</v>
      </c>
      <c r="F18" s="459">
        <v>206.358</v>
      </c>
      <c r="G18" s="459">
        <v>212.67699999999999</v>
      </c>
      <c r="H18" s="459">
        <v>212.96100000000001</v>
      </c>
      <c r="I18" s="459">
        <v>212.661</v>
      </c>
      <c r="J18" s="459">
        <v>211.61799999999999</v>
      </c>
      <c r="K18" s="459">
        <v>207.93700000000001</v>
      </c>
      <c r="L18" s="459">
        <v>208.95500000000001</v>
      </c>
      <c r="M18" s="459">
        <v>208.76</v>
      </c>
      <c r="N18" s="459">
        <v>210.696</v>
      </c>
      <c r="O18" s="459">
        <v>210.91</v>
      </c>
      <c r="P18" s="459">
        <v>210.482</v>
      </c>
    </row>
    <row r="19" spans="1:16" x14ac:dyDescent="0.35">
      <c r="A19" s="457">
        <v>2010</v>
      </c>
      <c r="B19" s="459">
        <v>211.381</v>
      </c>
      <c r="C19" s="459">
        <v>210.81899999999999</v>
      </c>
      <c r="D19" s="459">
        <v>212.29499999999999</v>
      </c>
      <c r="E19" s="459">
        <v>211.726</v>
      </c>
      <c r="F19" s="459">
        <v>212.773</v>
      </c>
      <c r="G19" s="459">
        <v>217.82</v>
      </c>
      <c r="H19" s="459">
        <v>219.614</v>
      </c>
      <c r="I19" s="459">
        <v>219.602</v>
      </c>
      <c r="J19" s="459">
        <v>217.69499999999999</v>
      </c>
      <c r="K19" s="459">
        <v>213.03100000000001</v>
      </c>
      <c r="L19" s="459">
        <v>210.97800000000001</v>
      </c>
      <c r="M19" s="459">
        <v>212.505</v>
      </c>
      <c r="N19" s="459">
        <v>214.18700000000001</v>
      </c>
      <c r="O19" s="459">
        <v>212.80199999999999</v>
      </c>
      <c r="P19" s="459">
        <v>215.571</v>
      </c>
    </row>
    <row r="20" spans="1:16" x14ac:dyDescent="0.35">
      <c r="A20" s="457">
        <v>2011</v>
      </c>
      <c r="B20" s="459">
        <v>214.04499999999999</v>
      </c>
      <c r="C20" s="459">
        <v>215.58699999999999</v>
      </c>
      <c r="D20" s="459">
        <v>216.672</v>
      </c>
      <c r="E20" s="459">
        <v>217.25399999999999</v>
      </c>
      <c r="F20" s="459">
        <v>219.95599999999999</v>
      </c>
      <c r="G20" s="459">
        <v>225.02199999999999</v>
      </c>
      <c r="H20" s="459">
        <v>226.643</v>
      </c>
      <c r="I20" s="459">
        <v>226.49299999999999</v>
      </c>
      <c r="J20" s="459">
        <v>226.40899999999999</v>
      </c>
      <c r="K20" s="459">
        <v>220.45</v>
      </c>
      <c r="L20" s="459">
        <v>218.19900000000001</v>
      </c>
      <c r="M20" s="459">
        <v>217.67400000000001</v>
      </c>
      <c r="N20" s="459">
        <v>220.36699999999999</v>
      </c>
      <c r="O20" s="459">
        <v>218.089</v>
      </c>
      <c r="P20" s="459">
        <v>222.64500000000001</v>
      </c>
    </row>
    <row r="21" spans="1:16" x14ac:dyDescent="0.35">
      <c r="A21" s="457">
        <v>2012</v>
      </c>
      <c r="B21" s="459">
        <v>218.19900000000001</v>
      </c>
      <c r="C21" s="459">
        <v>217.18899999999999</v>
      </c>
      <c r="D21" s="459">
        <v>216.667</v>
      </c>
      <c r="E21" s="459">
        <v>216.006</v>
      </c>
      <c r="F21" s="459">
        <v>216.38800000000001</v>
      </c>
      <c r="G21" s="459">
        <v>221.78899999999999</v>
      </c>
      <c r="H21" s="459">
        <v>221.44900000000001</v>
      </c>
      <c r="I21" s="459">
        <v>222.76900000000001</v>
      </c>
      <c r="J21" s="459">
        <v>222.63399999999999</v>
      </c>
      <c r="K21" s="459">
        <v>218.28700000000001</v>
      </c>
      <c r="L21" s="459">
        <v>217.964</v>
      </c>
      <c r="M21" s="459">
        <v>218.49600000000001</v>
      </c>
      <c r="N21" s="459">
        <v>218.98599999999999</v>
      </c>
      <c r="O21" s="459">
        <v>217.70599999999999</v>
      </c>
      <c r="P21" s="459">
        <v>220.267</v>
      </c>
    </row>
    <row r="22" spans="1:16" x14ac:dyDescent="0.35">
      <c r="A22" s="457">
        <v>2013</v>
      </c>
      <c r="B22" s="459">
        <v>220.22800000000001</v>
      </c>
      <c r="C22" s="459">
        <v>220.99199999999999</v>
      </c>
      <c r="D22" s="459">
        <v>220.251</v>
      </c>
      <c r="E22" s="459">
        <v>221.38200000000001</v>
      </c>
      <c r="F22" s="459">
        <v>224.84700000000001</v>
      </c>
      <c r="G22" s="459">
        <v>230.506</v>
      </c>
      <c r="H22" s="459">
        <v>230.899</v>
      </c>
      <c r="I22" s="459">
        <v>229.85</v>
      </c>
      <c r="J22" s="459">
        <v>230.31800000000001</v>
      </c>
      <c r="K22" s="459">
        <v>225.244</v>
      </c>
      <c r="L22" s="459">
        <v>223.566</v>
      </c>
      <c r="M22" s="459">
        <v>224.40700000000001</v>
      </c>
      <c r="N22" s="459">
        <v>225.20699999999999</v>
      </c>
      <c r="O22" s="459">
        <v>223.03399999999999</v>
      </c>
      <c r="P22" s="459">
        <v>227.381</v>
      </c>
    </row>
    <row r="23" spans="1:16" x14ac:dyDescent="0.35">
      <c r="A23" s="457">
        <v>2014</v>
      </c>
      <c r="B23" s="459">
        <v>230.09800000000001</v>
      </c>
      <c r="C23" s="459">
        <v>232.01400000000001</v>
      </c>
      <c r="D23" s="459">
        <v>235.13900000000001</v>
      </c>
      <c r="E23" s="459">
        <v>230.58799999999999</v>
      </c>
      <c r="F23" s="459">
        <v>234.483</v>
      </c>
      <c r="G23" s="459">
        <v>240.39599999999999</v>
      </c>
      <c r="H23" s="459">
        <v>241.25</v>
      </c>
      <c r="I23" s="459">
        <v>239.79</v>
      </c>
      <c r="J23" s="459">
        <v>238.285</v>
      </c>
      <c r="K23" s="459">
        <v>232.19200000000001</v>
      </c>
      <c r="L23" s="459">
        <v>229.68</v>
      </c>
      <c r="M23" s="459">
        <v>231.15</v>
      </c>
      <c r="N23" s="459">
        <v>234.589</v>
      </c>
      <c r="O23" s="459">
        <v>233.786</v>
      </c>
      <c r="P23" s="459">
        <v>235.39099999999999</v>
      </c>
    </row>
    <row r="24" spans="1:16" x14ac:dyDescent="0.35">
      <c r="A24" s="457">
        <v>2015</v>
      </c>
      <c r="B24" s="459">
        <v>232.309</v>
      </c>
      <c r="C24" s="459">
        <v>231.91200000000001</v>
      </c>
      <c r="D24" s="459">
        <v>229.82900000000001</v>
      </c>
      <c r="E24" s="459">
        <v>228.304</v>
      </c>
      <c r="F24" s="459">
        <v>228.74799999999999</v>
      </c>
      <c r="G24" s="459">
        <v>235.136</v>
      </c>
      <c r="H24" s="459">
        <v>234.137</v>
      </c>
      <c r="I24" s="459">
        <v>233.84700000000001</v>
      </c>
      <c r="J24" s="459">
        <v>232.417</v>
      </c>
      <c r="K24" s="459">
        <v>226.78399999999999</v>
      </c>
      <c r="L24" s="459">
        <v>224.60599999999999</v>
      </c>
      <c r="M24" s="459">
        <v>223.52099999999999</v>
      </c>
      <c r="N24" s="459">
        <v>230.12899999999999</v>
      </c>
      <c r="O24" s="459">
        <v>231.04</v>
      </c>
      <c r="P24" s="459">
        <v>229.21899999999999</v>
      </c>
    </row>
    <row r="25" spans="1:16" x14ac:dyDescent="0.35">
      <c r="A25" s="457">
        <v>2016</v>
      </c>
      <c r="B25" s="459">
        <v>224.53700000000001</v>
      </c>
      <c r="C25" s="459">
        <v>224.06299999999999</v>
      </c>
      <c r="D25" s="459">
        <v>223.91800000000001</v>
      </c>
      <c r="E25" s="459">
        <v>223.529</v>
      </c>
      <c r="F25" s="459">
        <v>226.197</v>
      </c>
      <c r="G25" s="459">
        <v>231.941</v>
      </c>
      <c r="H25" s="459">
        <v>233.71299999999999</v>
      </c>
      <c r="I25" s="459">
        <v>234.40700000000001</v>
      </c>
      <c r="J25" s="459">
        <v>235.05699999999999</v>
      </c>
      <c r="K25" s="459">
        <v>230.61</v>
      </c>
      <c r="L25" s="459">
        <v>228.80099999999999</v>
      </c>
      <c r="M25" s="459">
        <v>229.49199999999999</v>
      </c>
      <c r="N25" s="459">
        <v>228.85499999999999</v>
      </c>
      <c r="O25" s="459">
        <v>225.69800000000001</v>
      </c>
      <c r="P25" s="459">
        <v>232.01300000000001</v>
      </c>
    </row>
    <row r="26" spans="1:16" x14ac:dyDescent="0.35">
      <c r="A26" s="457">
        <v>2017</v>
      </c>
      <c r="B26" s="459">
        <v>232.51599999999999</v>
      </c>
      <c r="C26" s="459">
        <v>233.68799999999999</v>
      </c>
      <c r="D26" s="459">
        <v>232.714</v>
      </c>
      <c r="E26" s="459">
        <v>233.827</v>
      </c>
      <c r="F26" s="459">
        <v>236.61500000000001</v>
      </c>
      <c r="G26" s="459">
        <v>241.94</v>
      </c>
      <c r="H26" s="459">
        <v>242.119</v>
      </c>
      <c r="I26" s="459">
        <v>241.93600000000001</v>
      </c>
      <c r="J26" s="459">
        <v>241.57400000000001</v>
      </c>
      <c r="K26" s="459">
        <v>237.01499999999999</v>
      </c>
      <c r="L26" s="459">
        <v>236.41</v>
      </c>
      <c r="M26" s="459">
        <v>237.423</v>
      </c>
      <c r="N26" s="459">
        <v>237.315</v>
      </c>
      <c r="O26" s="459">
        <v>235.21700000000001</v>
      </c>
      <c r="P26" s="459">
        <v>239.41300000000001</v>
      </c>
    </row>
    <row r="27" spans="1:16" x14ac:dyDescent="0.35">
      <c r="A27" s="457">
        <v>2018</v>
      </c>
      <c r="B27" s="459">
        <v>238.77</v>
      </c>
      <c r="C27" s="459">
        <v>240.93799999999999</v>
      </c>
      <c r="D27" s="459">
        <v>239.786</v>
      </c>
      <c r="E27" s="459">
        <v>238.857</v>
      </c>
      <c r="F27" s="459">
        <v>240.911</v>
      </c>
      <c r="G27" s="459">
        <v>244.56</v>
      </c>
      <c r="H27" s="459">
        <v>244.26900000000001</v>
      </c>
      <c r="I27" s="459">
        <v>245.05199999999999</v>
      </c>
      <c r="J27" s="459">
        <v>242.834</v>
      </c>
      <c r="K27" s="459">
        <v>240.64099999999999</v>
      </c>
      <c r="L27" s="459">
        <v>239.691</v>
      </c>
      <c r="M27" s="459">
        <v>242.34299999999999</v>
      </c>
      <c r="N27" s="459">
        <v>241.554</v>
      </c>
      <c r="O27" s="459">
        <v>240.637</v>
      </c>
      <c r="P27" s="459">
        <v>242.47200000000001</v>
      </c>
    </row>
    <row r="28" spans="1:16" x14ac:dyDescent="0.35">
      <c r="A28" s="457">
        <v>2019</v>
      </c>
      <c r="B28" s="459">
        <v>242.374</v>
      </c>
      <c r="C28" s="459">
        <v>241.54900000000001</v>
      </c>
      <c r="D28" s="459">
        <v>241.55</v>
      </c>
      <c r="E28" s="459">
        <v>240.773</v>
      </c>
      <c r="F28" s="459">
        <v>241.39</v>
      </c>
      <c r="G28" s="459">
        <v>244.703</v>
      </c>
      <c r="H28" s="459">
        <v>245.20500000000001</v>
      </c>
      <c r="I28" s="459">
        <v>244.54</v>
      </c>
      <c r="J28" s="459">
        <v>243.643</v>
      </c>
      <c r="K28" s="459">
        <v>242.20699999999999</v>
      </c>
      <c r="L28" s="459">
        <v>241.459</v>
      </c>
      <c r="M28" s="459">
        <v>241.78800000000001</v>
      </c>
      <c r="N28" s="459">
        <v>242.59800000000001</v>
      </c>
      <c r="O28" s="459">
        <v>242.05699999999999</v>
      </c>
      <c r="P28" s="459">
        <v>243.14</v>
      </c>
    </row>
    <row r="29" spans="1:16" x14ac:dyDescent="0.35">
      <c r="A29" s="457">
        <v>2020</v>
      </c>
      <c r="B29" s="459">
        <v>243.739</v>
      </c>
      <c r="C29" s="459">
        <v>242.95099999999999</v>
      </c>
      <c r="D29" s="459">
        <v>241.16</v>
      </c>
      <c r="E29" s="459">
        <v>239.89699999999999</v>
      </c>
      <c r="F29" s="459">
        <v>240.36099999999999</v>
      </c>
      <c r="G29" s="459">
        <v>244.71700000000001</v>
      </c>
      <c r="H29" s="459">
        <v>245.125</v>
      </c>
      <c r="I29" s="459">
        <v>244.94800000000001</v>
      </c>
      <c r="J29" s="459">
        <v>246.471</v>
      </c>
      <c r="K29" s="459">
        <v>244.97800000000001</v>
      </c>
      <c r="L29" s="459">
        <v>245.80699999999999</v>
      </c>
      <c r="M29" s="459">
        <v>247.23599999999999</v>
      </c>
      <c r="N29" s="459">
        <v>243.94900000000001</v>
      </c>
      <c r="O29" s="459">
        <v>242.13800000000001</v>
      </c>
      <c r="P29" s="459">
        <v>245.761</v>
      </c>
    </row>
    <row r="30" spans="1:16" x14ac:dyDescent="0.35">
      <c r="A30" s="457">
        <v>2021</v>
      </c>
      <c r="B30" s="459">
        <v>248.87899999999999</v>
      </c>
      <c r="C30" s="459">
        <v>251.27699999999999</v>
      </c>
      <c r="D30" s="459">
        <v>251.797</v>
      </c>
      <c r="E30" s="459">
        <v>253.46</v>
      </c>
      <c r="F30" s="459">
        <v>255.631</v>
      </c>
      <c r="G30" s="459">
        <v>260.39999999999998</v>
      </c>
      <c r="H30" s="459">
        <v>262.32</v>
      </c>
      <c r="I30" s="459">
        <v>264.303</v>
      </c>
      <c r="J30" s="459">
        <v>266.55900000000003</v>
      </c>
      <c r="K30" s="459">
        <v>270.577</v>
      </c>
      <c r="L30" s="459">
        <v>270.44400000000002</v>
      </c>
      <c r="M30" s="459">
        <v>270.83100000000002</v>
      </c>
      <c r="N30" s="459">
        <v>260.54000000000002</v>
      </c>
      <c r="O30" s="459">
        <v>253.57400000000001</v>
      </c>
      <c r="P30" s="459">
        <v>267.50599999999997</v>
      </c>
    </row>
    <row r="31" spans="1:16" x14ac:dyDescent="0.35">
      <c r="A31" s="457">
        <v>2022</v>
      </c>
      <c r="B31" s="459">
        <v>278.75799999999998</v>
      </c>
      <c r="C31" s="459">
        <v>279.03199999999998</v>
      </c>
      <c r="D31" s="459">
        <v>283.37599999999998</v>
      </c>
      <c r="E31" s="459">
        <v>286.339</v>
      </c>
      <c r="F31" s="459">
        <v>295.15300000000002</v>
      </c>
      <c r="G31" s="459">
        <v>306.29300000000001</v>
      </c>
      <c r="H31" s="459">
        <v>305.79700000000003</v>
      </c>
      <c r="I31" s="459">
        <v>309.73899999999998</v>
      </c>
      <c r="J31" s="459">
        <v>311.69</v>
      </c>
      <c r="K31" s="459">
        <v>308.97800000000001</v>
      </c>
      <c r="L31" s="459">
        <v>305.99099999999999</v>
      </c>
      <c r="M31" s="459">
        <v>307.34800000000001</v>
      </c>
      <c r="N31" s="459">
        <v>298.20800000000003</v>
      </c>
      <c r="O31" s="459">
        <v>288.15899999999999</v>
      </c>
      <c r="P31" s="459">
        <v>308.25700000000001</v>
      </c>
    </row>
    <row r="32" spans="1:16" x14ac:dyDescent="0.35">
      <c r="A32" s="457">
        <v>2023</v>
      </c>
      <c r="B32" s="459">
        <v>315.65199999999999</v>
      </c>
      <c r="C32" s="459">
        <v>309.95999999999998</v>
      </c>
      <c r="D32" s="459">
        <v>304.03199999999998</v>
      </c>
      <c r="E32" s="459">
        <v>299.96199999999999</v>
      </c>
      <c r="F32" s="459">
        <v>297.81799999999998</v>
      </c>
      <c r="G32" s="459">
        <v>303.36500000000001</v>
      </c>
      <c r="H32" s="459">
        <v>304.077</v>
      </c>
      <c r="I32" s="459">
        <v>305.887</v>
      </c>
      <c r="J32" s="459">
        <v>306.94799999999998</v>
      </c>
      <c r="K32" s="459">
        <v>304.88499999999999</v>
      </c>
      <c r="L32" s="459">
        <v>306.37900000000002</v>
      </c>
      <c r="M32" s="459">
        <v>306.76799999999997</v>
      </c>
      <c r="N32" s="459">
        <v>305.47800000000001</v>
      </c>
      <c r="O32" s="459">
        <v>305.13200000000001</v>
      </c>
      <c r="P32" s="459">
        <v>305.82400000000001</v>
      </c>
    </row>
    <row r="33" spans="1:16" x14ac:dyDescent="0.35">
      <c r="A33" s="457">
        <v>2024</v>
      </c>
      <c r="B33" s="459">
        <v>313.46899999999999</v>
      </c>
      <c r="C33" s="459">
        <v>314.22899999999998</v>
      </c>
      <c r="D33" s="459">
        <v>314.16800000000001</v>
      </c>
      <c r="E33" s="459">
        <v>311.41000000000003</v>
      </c>
      <c r="F33" s="459">
        <v>311.649</v>
      </c>
      <c r="G33" s="459">
        <v>316.24799999999999</v>
      </c>
      <c r="H33" s="459">
        <v>316.67099999999999</v>
      </c>
      <c r="I33" s="459">
        <v>314.94799999999998</v>
      </c>
      <c r="J33" s="459">
        <v>316.24299999999999</v>
      </c>
      <c r="K33" s="459">
        <v>315.86599999999999</v>
      </c>
      <c r="L33" s="459">
        <v>315.13600000000002</v>
      </c>
      <c r="M33" s="459">
        <v>317.18</v>
      </c>
      <c r="N33" s="459">
        <v>314.76799999999997</v>
      </c>
      <c r="O33" s="459">
        <v>313.529</v>
      </c>
      <c r="P33" s="459">
        <v>316.00700000000001</v>
      </c>
    </row>
    <row r="34" spans="1:16" x14ac:dyDescent="0.35">
      <c r="A34" s="457">
        <v>2025</v>
      </c>
      <c r="B34" s="459">
        <v>322.40699999999998</v>
      </c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</row>
    <row r="35" spans="1:16" x14ac:dyDescent="0.35">
      <c r="A35" s="103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</row>
    <row r="37" spans="1:16" x14ac:dyDescent="0.35">
      <c r="M37" t="s">
        <v>1072</v>
      </c>
      <c r="N37" s="38">
        <f>RATE(20,,-N13,N33)</f>
        <v>3.3801567411672194E-2</v>
      </c>
    </row>
  </sheetData>
  <mergeCells count="10">
    <mergeCell ref="B7:F7"/>
    <mergeCell ref="B8:F8"/>
    <mergeCell ref="B9:F9"/>
    <mergeCell ref="B10:F10"/>
    <mergeCell ref="A1:F1"/>
    <mergeCell ref="A2:F2"/>
    <mergeCell ref="A3:F3"/>
    <mergeCell ref="B4:F4"/>
    <mergeCell ref="A5:F5"/>
    <mergeCell ref="B6:F6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E58DC-B63E-48D9-94A7-3829F7FF5189}">
  <sheetPr>
    <tabColor rgb="FF7030A0"/>
  </sheetPr>
  <dimension ref="A1:P37"/>
  <sheetViews>
    <sheetView workbookViewId="0">
      <selection activeCell="Q38" sqref="Q38"/>
    </sheetView>
  </sheetViews>
  <sheetFormatPr defaultColWidth="9.26953125" defaultRowHeight="14.5" x14ac:dyDescent="0.35"/>
  <cols>
    <col min="1" max="1" width="20" customWidth="1"/>
    <col min="2" max="2" width="8" customWidth="1"/>
    <col min="13" max="13" width="10.453125" bestFit="1" customWidth="1"/>
  </cols>
  <sheetData>
    <row r="1" spans="1:16" ht="15.5" x14ac:dyDescent="0.35">
      <c r="A1" s="510" t="s">
        <v>1042</v>
      </c>
      <c r="B1" s="508"/>
      <c r="C1" s="508"/>
      <c r="D1" s="508"/>
      <c r="E1" s="508"/>
      <c r="F1" s="508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6" ht="15.5" x14ac:dyDescent="0.35">
      <c r="A2" s="510" t="s">
        <v>1043</v>
      </c>
      <c r="B2" s="508"/>
      <c r="C2" s="508"/>
      <c r="D2" s="508"/>
      <c r="E2" s="508"/>
      <c r="F2" s="508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spans="1:16" x14ac:dyDescent="0.35">
      <c r="A3" s="508"/>
      <c r="B3" s="508"/>
      <c r="C3" s="508"/>
      <c r="D3" s="508"/>
      <c r="E3" s="508"/>
      <c r="F3" s="508"/>
      <c r="G3" s="375"/>
      <c r="H3" s="375"/>
      <c r="I3" s="375"/>
      <c r="J3" s="375"/>
      <c r="K3" s="375"/>
      <c r="L3" s="375"/>
      <c r="M3" s="375"/>
      <c r="N3" s="375"/>
      <c r="O3" s="375"/>
      <c r="P3" s="375"/>
    </row>
    <row r="4" spans="1:16" ht="15" customHeight="1" x14ac:dyDescent="0.35">
      <c r="A4" s="455" t="s">
        <v>1044</v>
      </c>
      <c r="B4" s="507" t="s">
        <v>1079</v>
      </c>
      <c r="C4" s="508"/>
      <c r="D4" s="508"/>
      <c r="E4" s="508"/>
      <c r="F4" s="508"/>
      <c r="G4" s="375"/>
      <c r="H4" s="375"/>
      <c r="I4" s="375"/>
      <c r="J4" s="375"/>
      <c r="K4" s="375"/>
      <c r="L4" s="375"/>
      <c r="M4" s="375"/>
      <c r="N4" s="375"/>
      <c r="O4" s="375"/>
      <c r="P4" s="375"/>
    </row>
    <row r="5" spans="1:16" ht="15" customHeight="1" x14ac:dyDescent="0.35">
      <c r="A5" s="511" t="s">
        <v>1046</v>
      </c>
      <c r="B5" s="508"/>
      <c r="C5" s="508"/>
      <c r="D5" s="508"/>
      <c r="E5" s="508"/>
      <c r="F5" s="508"/>
      <c r="G5" s="375"/>
      <c r="H5" s="375"/>
      <c r="I5" s="375"/>
      <c r="J5" s="375"/>
      <c r="K5" s="375"/>
      <c r="L5" s="375"/>
      <c r="M5" s="375"/>
      <c r="N5" s="375"/>
      <c r="O5" s="375"/>
      <c r="P5" s="375"/>
    </row>
    <row r="6" spans="1:16" ht="15" customHeight="1" x14ac:dyDescent="0.35">
      <c r="A6" s="455" t="s">
        <v>1047</v>
      </c>
      <c r="B6" s="507" t="s">
        <v>1080</v>
      </c>
      <c r="C6" s="508"/>
      <c r="D6" s="508"/>
      <c r="E6" s="508"/>
      <c r="F6" s="508"/>
      <c r="G6" s="375"/>
      <c r="H6" s="375"/>
      <c r="I6" s="375"/>
      <c r="J6" s="375"/>
      <c r="K6" s="375"/>
      <c r="L6" s="375"/>
      <c r="M6" s="375"/>
      <c r="N6" s="375"/>
      <c r="O6" s="375"/>
      <c r="P6" s="375"/>
    </row>
    <row r="7" spans="1:16" ht="15" customHeight="1" x14ac:dyDescent="0.35">
      <c r="A7" s="455" t="s">
        <v>1049</v>
      </c>
      <c r="B7" s="507" t="s">
        <v>1050</v>
      </c>
      <c r="C7" s="508"/>
      <c r="D7" s="508"/>
      <c r="E7" s="508"/>
      <c r="F7" s="508"/>
      <c r="G7" s="375"/>
      <c r="H7" s="375"/>
      <c r="I7" s="375"/>
      <c r="J7" s="375"/>
      <c r="K7" s="375"/>
      <c r="L7" s="375"/>
      <c r="M7" s="375"/>
      <c r="N7" s="375"/>
      <c r="O7" s="375"/>
      <c r="P7" s="375"/>
    </row>
    <row r="8" spans="1:16" ht="15" customHeight="1" x14ac:dyDescent="0.35">
      <c r="A8" s="455" t="s">
        <v>1051</v>
      </c>
      <c r="B8" s="507" t="s">
        <v>1081</v>
      </c>
      <c r="C8" s="508"/>
      <c r="D8" s="508"/>
      <c r="E8" s="508"/>
      <c r="F8" s="508"/>
      <c r="G8" s="375"/>
      <c r="H8" s="375"/>
      <c r="I8" s="375"/>
      <c r="J8" s="375"/>
      <c r="K8" s="375"/>
      <c r="L8" s="375"/>
      <c r="M8" s="375"/>
      <c r="N8" s="375"/>
      <c r="O8" s="375"/>
      <c r="P8" s="375"/>
    </row>
    <row r="9" spans="1:16" ht="15" customHeight="1" x14ac:dyDescent="0.35">
      <c r="A9" s="455" t="s">
        <v>1053</v>
      </c>
      <c r="B9" s="507" t="s">
        <v>1054</v>
      </c>
      <c r="C9" s="508"/>
      <c r="D9" s="508"/>
      <c r="E9" s="508"/>
      <c r="F9" s="508"/>
      <c r="G9" s="375"/>
      <c r="H9" s="375"/>
      <c r="I9" s="375"/>
      <c r="J9" s="375"/>
      <c r="K9" s="375"/>
      <c r="L9" s="375"/>
      <c r="M9" s="375"/>
      <c r="N9" s="375"/>
      <c r="O9" s="375"/>
      <c r="P9" s="375"/>
    </row>
    <row r="10" spans="1:16" x14ac:dyDescent="0.35">
      <c r="A10" s="455" t="s">
        <v>1055</v>
      </c>
      <c r="B10" s="509" t="s">
        <v>1056</v>
      </c>
      <c r="C10" s="508"/>
      <c r="D10" s="508"/>
      <c r="E10" s="508"/>
      <c r="F10" s="508"/>
      <c r="G10" s="375"/>
      <c r="H10" s="375"/>
      <c r="I10" s="375"/>
      <c r="J10" s="375"/>
      <c r="K10" s="375"/>
      <c r="L10" s="375"/>
      <c r="M10" s="375"/>
      <c r="N10" s="375"/>
      <c r="O10" s="375"/>
      <c r="P10" s="375"/>
    </row>
    <row r="12" spans="1:16" ht="15" thickBot="1" x14ac:dyDescent="0.4">
      <c r="A12" s="456" t="s">
        <v>564</v>
      </c>
      <c r="B12" s="456" t="s">
        <v>1057</v>
      </c>
      <c r="C12" s="456" t="s">
        <v>1058</v>
      </c>
      <c r="D12" s="456" t="s">
        <v>1059</v>
      </c>
      <c r="E12" s="456" t="s">
        <v>1060</v>
      </c>
      <c r="F12" s="456" t="s">
        <v>1061</v>
      </c>
      <c r="G12" s="456" t="s">
        <v>1062</v>
      </c>
      <c r="H12" s="456" t="s">
        <v>1063</v>
      </c>
      <c r="I12" s="456" t="s">
        <v>1064</v>
      </c>
      <c r="J12" s="456" t="s">
        <v>1065</v>
      </c>
      <c r="K12" s="456" t="s">
        <v>1066</v>
      </c>
      <c r="L12" s="456" t="s">
        <v>1067</v>
      </c>
      <c r="M12" s="456" t="s">
        <v>1068</v>
      </c>
      <c r="N12" s="456" t="s">
        <v>1069</v>
      </c>
      <c r="O12" s="456" t="s">
        <v>1070</v>
      </c>
      <c r="P12" s="456" t="s">
        <v>1071</v>
      </c>
    </row>
    <row r="13" spans="1:16" ht="15" thickTop="1" x14ac:dyDescent="0.35">
      <c r="A13" s="457">
        <v>2004</v>
      </c>
      <c r="B13" s="458">
        <v>259.5</v>
      </c>
      <c r="C13" s="458">
        <v>262.5</v>
      </c>
      <c r="D13" s="458">
        <v>263.5</v>
      </c>
      <c r="E13" s="458">
        <v>264</v>
      </c>
      <c r="F13" s="458">
        <v>266.7</v>
      </c>
      <c r="G13" s="458">
        <v>267.2</v>
      </c>
      <c r="H13" s="458">
        <v>269.2</v>
      </c>
      <c r="I13" s="458">
        <v>271.60000000000002</v>
      </c>
      <c r="J13" s="458">
        <v>272.60000000000002</v>
      </c>
      <c r="K13" s="458">
        <v>273.10000000000002</v>
      </c>
      <c r="L13" s="458">
        <v>273.60000000000002</v>
      </c>
      <c r="M13" s="458">
        <v>273.7</v>
      </c>
      <c r="N13" s="458">
        <v>268.10000000000002</v>
      </c>
      <c r="O13" s="375"/>
      <c r="P13" s="375"/>
    </row>
    <row r="14" spans="1:16" x14ac:dyDescent="0.35">
      <c r="A14" s="457">
        <v>2005</v>
      </c>
      <c r="B14" s="458">
        <v>277.5</v>
      </c>
      <c r="C14" s="458">
        <v>279.60000000000002</v>
      </c>
      <c r="D14" s="458">
        <v>280.5</v>
      </c>
      <c r="E14" s="458">
        <v>281</v>
      </c>
      <c r="F14" s="458">
        <v>281.60000000000002</v>
      </c>
      <c r="G14" s="458">
        <v>282.5</v>
      </c>
      <c r="H14" s="458">
        <v>284.39999999999998</v>
      </c>
      <c r="I14" s="458">
        <v>285.60000000000002</v>
      </c>
      <c r="J14" s="458">
        <v>285.60000000000002</v>
      </c>
      <c r="K14" s="458">
        <v>286.39999999999998</v>
      </c>
      <c r="L14" s="458">
        <v>287.60000000000002</v>
      </c>
      <c r="M14" s="458">
        <v>288.8</v>
      </c>
      <c r="N14" s="458">
        <v>283.39999999999998</v>
      </c>
      <c r="O14" s="375"/>
      <c r="P14" s="375"/>
    </row>
    <row r="15" spans="1:16" x14ac:dyDescent="0.35">
      <c r="A15" s="457">
        <v>2006</v>
      </c>
      <c r="B15" s="458">
        <v>291.2</v>
      </c>
      <c r="C15" s="458">
        <v>293.60000000000002</v>
      </c>
      <c r="D15" s="458">
        <v>293.8</v>
      </c>
      <c r="E15" s="458">
        <v>294.3</v>
      </c>
      <c r="F15" s="458">
        <v>295</v>
      </c>
      <c r="G15" s="458">
        <v>295.89999999999998</v>
      </c>
      <c r="H15" s="458">
        <v>298.2</v>
      </c>
      <c r="I15" s="458">
        <v>299.7</v>
      </c>
      <c r="J15" s="458">
        <v>300.2</v>
      </c>
      <c r="K15" s="458">
        <v>300.8</v>
      </c>
      <c r="L15" s="458">
        <v>301.7</v>
      </c>
      <c r="M15" s="458">
        <v>302.5</v>
      </c>
      <c r="N15" s="458">
        <v>297.2</v>
      </c>
      <c r="O15" s="375"/>
      <c r="P15" s="375"/>
    </row>
    <row r="16" spans="1:16" x14ac:dyDescent="0.35">
      <c r="A16" s="457">
        <v>2007</v>
      </c>
      <c r="B16" s="459">
        <v>305.36700000000002</v>
      </c>
      <c r="C16" s="459">
        <v>307.20299999999997</v>
      </c>
      <c r="D16" s="459">
        <v>308.18400000000003</v>
      </c>
      <c r="E16" s="459">
        <v>308.90100000000001</v>
      </c>
      <c r="F16" s="459">
        <v>310.00099999999998</v>
      </c>
      <c r="G16" s="459">
        <v>310.54199999999997</v>
      </c>
      <c r="H16" s="459">
        <v>314.16500000000002</v>
      </c>
      <c r="I16" s="459">
        <v>315.83</v>
      </c>
      <c r="J16" s="459">
        <v>316.39</v>
      </c>
      <c r="K16" s="459">
        <v>316.86900000000003</v>
      </c>
      <c r="L16" s="459">
        <v>318.70299999999997</v>
      </c>
      <c r="M16" s="459">
        <v>319.45999999999998</v>
      </c>
      <c r="N16" s="459">
        <v>312.63499999999999</v>
      </c>
      <c r="O16" s="375"/>
      <c r="P16" s="375"/>
    </row>
    <row r="17" spans="1:16" x14ac:dyDescent="0.35">
      <c r="A17" s="457">
        <v>2008</v>
      </c>
      <c r="B17" s="459">
        <v>322.47000000000003</v>
      </c>
      <c r="C17" s="459">
        <v>324.41800000000001</v>
      </c>
      <c r="D17" s="459">
        <v>325.02300000000002</v>
      </c>
      <c r="E17" s="459">
        <v>325.327</v>
      </c>
      <c r="F17" s="459">
        <v>326.25900000000001</v>
      </c>
      <c r="G17" s="459">
        <v>327.15199999999999</v>
      </c>
      <c r="H17" s="459">
        <v>330.69299999999998</v>
      </c>
      <c r="I17" s="459">
        <v>335.91500000000002</v>
      </c>
      <c r="J17" s="459">
        <v>336.06700000000001</v>
      </c>
      <c r="K17" s="459">
        <v>339.43700000000001</v>
      </c>
      <c r="L17" s="459">
        <v>341.18099999999998</v>
      </c>
      <c r="M17" s="459">
        <v>341.96499999999997</v>
      </c>
      <c r="N17" s="459">
        <v>331.32600000000002</v>
      </c>
      <c r="O17" s="375"/>
      <c r="P17" s="375"/>
    </row>
    <row r="18" spans="1:16" x14ac:dyDescent="0.35">
      <c r="A18" s="457">
        <v>2009</v>
      </c>
      <c r="B18" s="459">
        <v>344.37400000000002</v>
      </c>
      <c r="C18" s="459">
        <v>345.23200000000003</v>
      </c>
      <c r="D18" s="459">
        <v>346.22199999999998</v>
      </c>
      <c r="E18" s="459">
        <v>347.42</v>
      </c>
      <c r="F18" s="459">
        <v>349.81299999999999</v>
      </c>
      <c r="G18" s="459">
        <v>350.41800000000001</v>
      </c>
      <c r="H18" s="459">
        <v>354.834</v>
      </c>
      <c r="I18" s="459">
        <v>359.91500000000002</v>
      </c>
      <c r="J18" s="459">
        <v>360.65699999999998</v>
      </c>
      <c r="K18" s="459">
        <v>363.71199999999999</v>
      </c>
      <c r="L18" s="459">
        <v>364.95100000000002</v>
      </c>
      <c r="M18" s="459">
        <v>365.66399999999999</v>
      </c>
      <c r="N18" s="459">
        <v>354.43400000000003</v>
      </c>
      <c r="O18" s="375"/>
      <c r="P18" s="375"/>
    </row>
    <row r="19" spans="1:16" x14ac:dyDescent="0.35">
      <c r="A19" s="457">
        <v>2010</v>
      </c>
      <c r="B19" s="459">
        <v>370.26799999999997</v>
      </c>
      <c r="C19" s="459">
        <v>373.08</v>
      </c>
      <c r="D19" s="459">
        <v>374.10899999999998</v>
      </c>
      <c r="E19" s="459">
        <v>375.77499999999998</v>
      </c>
      <c r="F19" s="459">
        <v>377.92099999999999</v>
      </c>
      <c r="G19" s="459">
        <v>377.57900000000001</v>
      </c>
      <c r="H19" s="459">
        <v>381.69400000000002</v>
      </c>
      <c r="I19" s="459">
        <v>385.24200000000002</v>
      </c>
      <c r="J19" s="459">
        <v>385.959</v>
      </c>
      <c r="K19" s="459">
        <v>387.50900000000001</v>
      </c>
      <c r="L19" s="459">
        <v>389.255</v>
      </c>
      <c r="M19" s="459">
        <v>390.36200000000002</v>
      </c>
      <c r="N19" s="459">
        <v>380.72899999999998</v>
      </c>
      <c r="O19" s="375"/>
      <c r="P19" s="375"/>
    </row>
    <row r="20" spans="1:16" x14ac:dyDescent="0.35">
      <c r="A20" s="457">
        <v>2011</v>
      </c>
      <c r="B20" s="459">
        <v>393.33600000000001</v>
      </c>
      <c r="C20" s="459">
        <v>396.89499999999998</v>
      </c>
      <c r="D20" s="459">
        <v>398.36099999999999</v>
      </c>
      <c r="E20" s="459">
        <v>399.072</v>
      </c>
      <c r="F20" s="459">
        <v>399.649</v>
      </c>
      <c r="G20" s="459">
        <v>400.04399999999998</v>
      </c>
      <c r="H20" s="459">
        <v>403.38499999999999</v>
      </c>
      <c r="I20" s="459">
        <v>405.87400000000002</v>
      </c>
      <c r="J20" s="459">
        <v>408.108</v>
      </c>
      <c r="K20" s="459">
        <v>409.10199999999998</v>
      </c>
      <c r="L20" s="459">
        <v>409.52699999999999</v>
      </c>
      <c r="M20" s="459">
        <v>411.06700000000001</v>
      </c>
      <c r="N20" s="459">
        <v>402.86799999999999</v>
      </c>
      <c r="O20" s="375"/>
      <c r="P20" s="375"/>
    </row>
    <row r="21" spans="1:16" x14ac:dyDescent="0.35">
      <c r="A21" s="457">
        <v>2012</v>
      </c>
      <c r="B21" s="459">
        <v>414.69099999999997</v>
      </c>
      <c r="C21" s="459">
        <v>418.72199999999998</v>
      </c>
      <c r="D21" s="459">
        <v>420.61399999999998</v>
      </c>
      <c r="E21" s="459">
        <v>424.46300000000002</v>
      </c>
      <c r="F21" s="459">
        <v>425.35500000000002</v>
      </c>
      <c r="G21" s="459">
        <v>426.863</v>
      </c>
      <c r="H21" s="459">
        <v>429.46</v>
      </c>
      <c r="I21" s="459">
        <v>435.79300000000001</v>
      </c>
      <c r="J21" s="459">
        <v>435.24599999999998</v>
      </c>
      <c r="K21" s="459">
        <v>436.2</v>
      </c>
      <c r="L21" s="459">
        <v>437.62799999999999</v>
      </c>
      <c r="M21" s="459">
        <v>438.48599999999999</v>
      </c>
      <c r="N21" s="459">
        <v>428.62700000000001</v>
      </c>
      <c r="O21" s="375"/>
      <c r="P21" s="375"/>
    </row>
    <row r="22" spans="1:16" x14ac:dyDescent="0.35">
      <c r="A22" s="457">
        <v>2013</v>
      </c>
      <c r="B22" s="459">
        <v>442.19</v>
      </c>
      <c r="C22" s="459">
        <v>444.81400000000002</v>
      </c>
      <c r="D22" s="459">
        <v>446.07100000000003</v>
      </c>
      <c r="E22" s="459">
        <v>446.61200000000002</v>
      </c>
      <c r="F22" s="459">
        <v>447.548</v>
      </c>
      <c r="G22" s="459">
        <v>448.23399999999998</v>
      </c>
      <c r="H22" s="459">
        <v>451.2</v>
      </c>
      <c r="I22" s="459">
        <v>452.459</v>
      </c>
      <c r="J22" s="459">
        <v>452.45600000000002</v>
      </c>
      <c r="K22" s="459">
        <v>454.86399999999998</v>
      </c>
      <c r="L22" s="459">
        <v>454.99900000000002</v>
      </c>
      <c r="M22" s="459">
        <v>455.31700000000001</v>
      </c>
      <c r="N22" s="459">
        <v>449.73</v>
      </c>
      <c r="O22" s="375"/>
      <c r="P22" s="375"/>
    </row>
    <row r="23" spans="1:16" x14ac:dyDescent="0.35">
      <c r="A23" s="457">
        <v>2014</v>
      </c>
      <c r="B23" s="459">
        <v>458.11900000000003</v>
      </c>
      <c r="C23" s="459">
        <v>461.01299999999998</v>
      </c>
      <c r="D23" s="459">
        <v>462.214</v>
      </c>
      <c r="E23" s="459">
        <v>462.83</v>
      </c>
      <c r="F23" s="459">
        <v>462.99799999999999</v>
      </c>
      <c r="G23" s="459">
        <v>463.57900000000001</v>
      </c>
      <c r="H23" s="459">
        <v>468.197</v>
      </c>
      <c r="I23" s="459">
        <v>471.53800000000001</v>
      </c>
      <c r="J23" s="459">
        <v>471.92500000000001</v>
      </c>
      <c r="K23" s="459">
        <v>475.476</v>
      </c>
      <c r="L23" s="459">
        <v>478.29500000000002</v>
      </c>
      <c r="M23" s="459">
        <v>480.69799999999998</v>
      </c>
      <c r="N23" s="459">
        <v>468.07400000000001</v>
      </c>
      <c r="O23" s="375"/>
      <c r="P23" s="375"/>
    </row>
    <row r="24" spans="1:16" x14ac:dyDescent="0.35">
      <c r="A24" s="457">
        <v>2015</v>
      </c>
      <c r="B24" s="459">
        <v>483.30799999999999</v>
      </c>
      <c r="C24" s="459">
        <v>486.233</v>
      </c>
      <c r="D24" s="459">
        <v>487.25</v>
      </c>
      <c r="E24" s="459">
        <v>488.29300000000001</v>
      </c>
      <c r="F24" s="459">
        <v>488.98099999999999</v>
      </c>
      <c r="G24" s="459">
        <v>490.072</v>
      </c>
      <c r="H24" s="459">
        <v>492.93099999999998</v>
      </c>
      <c r="I24" s="459">
        <v>498.209</v>
      </c>
      <c r="J24" s="459">
        <v>498.89800000000002</v>
      </c>
      <c r="K24" s="459">
        <v>499.18700000000001</v>
      </c>
      <c r="L24" s="459">
        <v>500.51499999999999</v>
      </c>
      <c r="M24" s="459">
        <v>501.46199999999999</v>
      </c>
      <c r="N24" s="459">
        <v>492.94499999999999</v>
      </c>
      <c r="O24" s="375"/>
      <c r="P24" s="375"/>
    </row>
    <row r="25" spans="1:16" x14ac:dyDescent="0.35">
      <c r="A25" s="457">
        <v>2016</v>
      </c>
      <c r="B25" s="459">
        <v>504.40199999999999</v>
      </c>
      <c r="C25" s="459">
        <v>506.03100000000001</v>
      </c>
      <c r="D25" s="459">
        <v>508.14</v>
      </c>
      <c r="E25" s="459">
        <v>510.77800000000002</v>
      </c>
      <c r="F25" s="459">
        <v>513.15700000000004</v>
      </c>
      <c r="G25" s="459">
        <v>513.44000000000005</v>
      </c>
      <c r="H25" s="459">
        <v>513.04</v>
      </c>
      <c r="I25" s="459">
        <v>516.42700000000002</v>
      </c>
      <c r="J25" s="459">
        <v>518.00400000000002</v>
      </c>
      <c r="K25" s="459">
        <v>518.72199999999998</v>
      </c>
      <c r="L25" s="459">
        <v>520.577</v>
      </c>
      <c r="M25" s="459">
        <v>521.10699999999997</v>
      </c>
      <c r="N25" s="459">
        <v>513.65200000000004</v>
      </c>
      <c r="O25" s="375"/>
      <c r="P25" s="375"/>
    </row>
    <row r="26" spans="1:16" x14ac:dyDescent="0.35">
      <c r="A26" s="457">
        <v>2017</v>
      </c>
      <c r="B26" s="459">
        <v>525.64499999999998</v>
      </c>
      <c r="C26" s="459">
        <v>527.75900000000001</v>
      </c>
      <c r="D26" s="459">
        <v>528.87599999999998</v>
      </c>
      <c r="E26" s="459">
        <v>530.60199999999998</v>
      </c>
      <c r="F26" s="459">
        <v>531.35500000000002</v>
      </c>
      <c r="G26" s="459">
        <v>531.68499999999995</v>
      </c>
      <c r="H26" s="459">
        <v>532.83299999999997</v>
      </c>
      <c r="I26" s="459">
        <v>535.029</v>
      </c>
      <c r="J26" s="459">
        <v>536.05499999999995</v>
      </c>
      <c r="K26" s="459">
        <v>536.29499999999996</v>
      </c>
      <c r="L26" s="459">
        <v>538.46600000000001</v>
      </c>
      <c r="M26" s="459">
        <v>539.53099999999995</v>
      </c>
      <c r="N26" s="459">
        <v>532.84400000000005</v>
      </c>
      <c r="O26" s="375"/>
      <c r="P26" s="375"/>
    </row>
    <row r="27" spans="1:16" x14ac:dyDescent="0.35">
      <c r="A27" s="457">
        <v>2018</v>
      </c>
      <c r="B27" s="459">
        <v>543.11199999999997</v>
      </c>
      <c r="C27" s="459">
        <v>545.22699999999998</v>
      </c>
      <c r="D27" s="459">
        <v>546.202</v>
      </c>
      <c r="E27" s="459">
        <v>547.71799999999996</v>
      </c>
      <c r="F27" s="459">
        <v>548.39200000000005</v>
      </c>
      <c r="G27" s="459">
        <v>549.46100000000001</v>
      </c>
      <c r="H27" s="459">
        <v>551.38499999999999</v>
      </c>
      <c r="I27" s="459">
        <v>553.37400000000002</v>
      </c>
      <c r="J27" s="459">
        <v>553.38300000000004</v>
      </c>
      <c r="K27" s="459">
        <v>554.10900000000004</v>
      </c>
      <c r="L27" s="459">
        <v>557.447</v>
      </c>
      <c r="M27" s="459">
        <v>559.04200000000003</v>
      </c>
      <c r="N27" s="459">
        <v>550.73800000000006</v>
      </c>
      <c r="O27" s="459">
        <v>546.68499999999995</v>
      </c>
      <c r="P27" s="459">
        <v>554.79</v>
      </c>
    </row>
    <row r="28" spans="1:16" x14ac:dyDescent="0.35">
      <c r="A28" s="457">
        <v>2019</v>
      </c>
      <c r="B28" s="459">
        <v>561.11400000000003</v>
      </c>
      <c r="C28" s="459">
        <v>561.67700000000002</v>
      </c>
      <c r="D28" s="459">
        <v>563.10500000000002</v>
      </c>
      <c r="E28" s="459">
        <v>565.47</v>
      </c>
      <c r="F28" s="459">
        <v>565.803</v>
      </c>
      <c r="G28" s="459">
        <v>567.44200000000001</v>
      </c>
      <c r="H28" s="459">
        <v>568.91099999999994</v>
      </c>
      <c r="I28" s="459">
        <v>570.06899999999996</v>
      </c>
      <c r="J28" s="459">
        <v>571.01800000000003</v>
      </c>
      <c r="K28" s="459">
        <v>572.91200000000003</v>
      </c>
      <c r="L28" s="459">
        <v>574.69100000000003</v>
      </c>
      <c r="M28" s="459">
        <v>575.23199999999997</v>
      </c>
      <c r="N28" s="459">
        <v>568.12</v>
      </c>
      <c r="O28" s="459">
        <v>564.10199999999998</v>
      </c>
      <c r="P28" s="459">
        <v>572.13900000000001</v>
      </c>
    </row>
    <row r="29" spans="1:16" x14ac:dyDescent="0.35">
      <c r="A29" s="457">
        <v>2020</v>
      </c>
      <c r="B29" s="459">
        <v>577.44100000000003</v>
      </c>
      <c r="C29" s="459">
        <v>578.83799999999997</v>
      </c>
      <c r="D29" s="459">
        <v>580.39400000000001</v>
      </c>
      <c r="E29" s="459">
        <v>581.75699999999995</v>
      </c>
      <c r="F29" s="459">
        <v>582.322</v>
      </c>
      <c r="G29" s="459">
        <v>583.20399999999995</v>
      </c>
      <c r="H29" s="459">
        <v>585.45600000000002</v>
      </c>
      <c r="I29" s="459">
        <v>589.44399999999996</v>
      </c>
      <c r="J29" s="459">
        <v>589.99199999999996</v>
      </c>
      <c r="K29" s="459">
        <v>590.95699999999999</v>
      </c>
      <c r="L29" s="459">
        <v>592.99800000000005</v>
      </c>
      <c r="M29" s="459">
        <v>594.16899999999998</v>
      </c>
      <c r="N29" s="459">
        <v>585.58100000000002</v>
      </c>
      <c r="O29" s="459">
        <v>580.65899999999999</v>
      </c>
      <c r="P29" s="459">
        <v>590.50300000000004</v>
      </c>
    </row>
    <row r="30" spans="1:16" x14ac:dyDescent="0.35">
      <c r="A30" s="457">
        <v>2021</v>
      </c>
      <c r="B30" s="459">
        <v>596.23699999999997</v>
      </c>
      <c r="C30" s="459">
        <v>597.58399999999995</v>
      </c>
      <c r="D30" s="459">
        <v>598.452</v>
      </c>
      <c r="E30" s="459">
        <v>599.61400000000003</v>
      </c>
      <c r="F30" s="459">
        <v>600.40499999999997</v>
      </c>
      <c r="G30" s="459">
        <v>602.79499999999996</v>
      </c>
      <c r="H30" s="459">
        <v>605.22400000000005</v>
      </c>
      <c r="I30" s="459">
        <v>607.33900000000006</v>
      </c>
      <c r="J30" s="459">
        <v>607.93799999999999</v>
      </c>
      <c r="K30" s="459">
        <v>609.54100000000005</v>
      </c>
      <c r="L30" s="459">
        <v>610.952</v>
      </c>
      <c r="M30" s="459">
        <v>611.94399999999996</v>
      </c>
      <c r="N30" s="459">
        <v>604.00199999999995</v>
      </c>
      <c r="O30" s="459">
        <v>599.18100000000004</v>
      </c>
      <c r="P30" s="459">
        <v>608.82299999999998</v>
      </c>
    </row>
    <row r="31" spans="1:16" x14ac:dyDescent="0.35">
      <c r="A31" s="457">
        <v>2022</v>
      </c>
      <c r="B31" s="459">
        <v>620.54700000000003</v>
      </c>
      <c r="C31" s="459">
        <v>622.67200000000003</v>
      </c>
      <c r="D31" s="459">
        <v>621.91999999999996</v>
      </c>
      <c r="E31" s="459">
        <v>623.65300000000002</v>
      </c>
      <c r="F31" s="459">
        <v>624.12900000000002</v>
      </c>
      <c r="G31" s="459">
        <v>626.24800000000005</v>
      </c>
      <c r="H31" s="459">
        <v>629.71699999999998</v>
      </c>
      <c r="I31" s="459">
        <v>635.52200000000005</v>
      </c>
      <c r="J31" s="459">
        <v>636.95100000000002</v>
      </c>
      <c r="K31" s="459">
        <v>636.11099999999999</v>
      </c>
      <c r="L31" s="459">
        <v>637.88199999999995</v>
      </c>
      <c r="M31" s="459">
        <v>639.31899999999996</v>
      </c>
      <c r="N31" s="459">
        <v>629.55600000000004</v>
      </c>
      <c r="O31" s="459">
        <v>623.19500000000005</v>
      </c>
      <c r="P31" s="459">
        <v>635.91700000000003</v>
      </c>
    </row>
    <row r="32" spans="1:16" x14ac:dyDescent="0.35">
      <c r="A32" s="457">
        <v>2023</v>
      </c>
      <c r="B32" s="459">
        <v>646.58100000000002</v>
      </c>
      <c r="C32" s="459">
        <v>651.274</v>
      </c>
      <c r="D32" s="459">
        <v>652.40300000000002</v>
      </c>
      <c r="E32" s="459">
        <v>653.74</v>
      </c>
      <c r="F32" s="459">
        <v>654.53700000000003</v>
      </c>
      <c r="G32" s="459">
        <v>657.11</v>
      </c>
      <c r="H32" s="459">
        <v>659.22299999999996</v>
      </c>
      <c r="I32" s="459">
        <v>665.00800000000004</v>
      </c>
      <c r="J32" s="459">
        <v>666.14099999999996</v>
      </c>
      <c r="K32" s="459">
        <v>667.17700000000002</v>
      </c>
      <c r="L32" s="459">
        <v>668.59699999999998</v>
      </c>
      <c r="M32" s="459">
        <v>669.06899999999996</v>
      </c>
      <c r="N32" s="459">
        <v>659.23800000000006</v>
      </c>
      <c r="O32" s="459">
        <v>652.60799999999995</v>
      </c>
      <c r="P32" s="459">
        <v>665.86900000000003</v>
      </c>
    </row>
    <row r="33" spans="1:16" x14ac:dyDescent="0.35">
      <c r="A33" s="457">
        <v>2024</v>
      </c>
      <c r="B33" s="459">
        <v>680.46600000000001</v>
      </c>
      <c r="C33" s="459">
        <v>684.12099999999998</v>
      </c>
      <c r="D33" s="459">
        <v>685.78899999999999</v>
      </c>
      <c r="E33" s="459">
        <v>688.53300000000002</v>
      </c>
      <c r="F33" s="459">
        <v>688.64099999999996</v>
      </c>
      <c r="G33" s="459">
        <v>689.66399999999999</v>
      </c>
      <c r="H33" s="459">
        <v>693.39</v>
      </c>
      <c r="I33" s="459">
        <v>696.471</v>
      </c>
      <c r="J33" s="459">
        <v>700.572</v>
      </c>
      <c r="K33" s="459">
        <v>703.60299999999995</v>
      </c>
      <c r="L33" s="459">
        <v>706.46100000000001</v>
      </c>
      <c r="M33" s="459">
        <v>706.85199999999998</v>
      </c>
      <c r="N33" s="459">
        <v>693.71400000000006</v>
      </c>
      <c r="O33" s="459">
        <v>686.202</v>
      </c>
      <c r="P33" s="459">
        <v>701.22500000000002</v>
      </c>
    </row>
    <row r="34" spans="1:16" x14ac:dyDescent="0.35">
      <c r="A34" s="457">
        <v>2025</v>
      </c>
      <c r="B34" s="459">
        <v>712.53499999999997</v>
      </c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</row>
    <row r="35" spans="1:16" x14ac:dyDescent="0.35">
      <c r="A35" s="103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</row>
    <row r="37" spans="1:16" x14ac:dyDescent="0.35">
      <c r="M37" t="s">
        <v>1072</v>
      </c>
      <c r="N37" s="38">
        <f>RATE(20,,-N13,N33)</f>
        <v>4.8682890044106517E-2</v>
      </c>
    </row>
  </sheetData>
  <mergeCells count="10">
    <mergeCell ref="B7:F7"/>
    <mergeCell ref="B8:F8"/>
    <mergeCell ref="B9:F9"/>
    <mergeCell ref="B10:F10"/>
    <mergeCell ref="A1:F1"/>
    <mergeCell ref="A2:F2"/>
    <mergeCell ref="A3:F3"/>
    <mergeCell ref="B4:F4"/>
    <mergeCell ref="A5:F5"/>
    <mergeCell ref="B6:F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Application xmlns="http://www.sap.com/cof/excel/application">
  <Version>2</Version>
  <Revision>2.4.3.69599</Revision>
</Applicatio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6D001AFCCAAD41B8FD5E73AC9037B1" ma:contentTypeVersion="12" ma:contentTypeDescription="Create a new document." ma:contentTypeScope="" ma:versionID="b55c0fe5cd8696c291d025e6f38ccbbd">
  <xsd:schema xmlns:xsd="http://www.w3.org/2001/XMLSchema" xmlns:xs="http://www.w3.org/2001/XMLSchema" xmlns:p="http://schemas.microsoft.com/office/2006/metadata/properties" xmlns:ns2="3527BF6F-27A6-47D3-AAFB-DBF13EBA6BBE" xmlns:ns3="00c1cf47-8665-4c73-8994-ff3a5e26da0f" xmlns:ns5="bd1a2dfb-c478-441d-a8ab-d4dceec0b7a1" targetNamespace="http://schemas.microsoft.com/office/2006/metadata/properties" ma:root="true" ma:fieldsID="cd847dd2d584ddabd0b3aaa7594b469b" ns2:_="" ns3:_="" ns5:_="">
    <xsd:import namespace="3527BF6F-27A6-47D3-AAFB-DBF13EBA6BBE"/>
    <xsd:import namespace="00c1cf47-8665-4c73-8994-ff3a5e26da0f"/>
    <xsd:import namespace="bd1a2dfb-c478-441d-a8ab-d4dceec0b7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MediaServiceAutoKeyPoints" minOccurs="0"/>
                <xsd:element ref="ns5:MediaServiceKeyPoints" minOccurs="0"/>
                <xsd:element ref="ns5:Workflow" minOccurs="0"/>
                <xsd:element ref="ns5:WorkflowStatu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a2dfb-c478-441d-a8ab-d4dceec0b7a1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flow" ma:index="22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3" nillable="true" ma:displayName="WorkflowStatus" ma:internalName="WorkflowStatus">
      <xsd:simpleType>
        <xsd:restriction base="dms:Text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c1cf47-8665-4c73-8994-ff3a5e26da0f">4QVSNHSJP2QR-1793400254-1643</_dlc_DocId>
    <_dlc_DocIdUrl xmlns="00c1cf47-8665-4c73-8994-ff3a5e26da0f">
      <Url>https://amwater.sharepoint.com/sites/sers/KY/_layouts/15/DocIdRedir.aspx?ID=4QVSNHSJP2QR-1793400254-1643</Url>
      <Description>4QVSNHSJP2QR-1793400254-1643</Description>
    </_dlc_DocIdUrl>
    <Internal_x0020_Due_x0020_Date xmlns="00c1cf47-8665-4c73-8994-ff3a5e26da0f" xsi:nil="true"/>
    <Final_x0020_Due_x0020_Date xmlns="00c1cf47-8665-4c73-8994-ff3a5e26da0f" xsi:nil="true"/>
    <Docket_x0020_Number xmlns="00c1cf47-8665-4c73-8994-ff3a5e26da0f">2025-00XXX AMI CPCN</Docket_x0020_Number>
    <Preparer xmlns="00c1cf47-8665-4c73-8994-ff3a5e26da0f" xsi:nil="true"/>
    <Document_x0020_Type xmlns="00c1cf47-8665-4c73-8994-ff3a5e26da0f">Discovery</Document_x0020_Type>
    <Series xmlns="3527BF6F-27A6-47D3-AAFB-DBF13EBA6BBE" xsi:nil="true"/>
    <Party xmlns="00c1cf47-8665-4c73-8994-ff3a5e26da0f" xsi:nil="true"/>
    <Responsible_x0020_Witness xmlns="00c1cf47-8665-4c73-8994-ff3a5e26da0f" xsi:nil="true"/>
    <WorkflowStatus xmlns="bd1a2dfb-c478-441d-a8ab-d4dceec0b7a1" xsi:nil="true"/>
    <Workflow xmlns="bd1a2dfb-c478-441d-a8ab-d4dceec0b7a1">
      <Url xsi:nil="true"/>
      <Description xsi:nil="true"/>
    </Workflow>
  </documentManagement>
</p:properties>
</file>

<file path=customXml/itemProps1.xml><?xml version="1.0" encoding="utf-8"?>
<ds:datastoreItem xmlns:ds="http://schemas.openxmlformats.org/officeDocument/2006/customXml" ds:itemID="{85993F46-A895-44DA-8114-50C200D748C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1F2B507-83A9-478C-94FB-282A0F58F01E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7B2B1BF6-E0B3-498A-9125-CEA8568B2DE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EB7F89-1E09-411E-87A1-87BA9437A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27BF6F-27A6-47D3-AAFB-DBF13EBA6BBE"/>
    <ds:schemaRef ds:uri="00c1cf47-8665-4c73-8994-ff3a5e26da0f"/>
    <ds:schemaRef ds:uri="bd1a2dfb-c478-441d-a8ab-d4dceec0b7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8235368-0FBB-4ED5-9CC3-0D439263B546}">
  <ds:schemaRefs>
    <ds:schemaRef ds:uri="3527BF6F-27A6-47D3-AAFB-DBF13EBA6BB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1a2dfb-c478-441d-a8ab-d4dceec0b7a1"/>
    <ds:schemaRef ds:uri="00c1cf47-8665-4c73-8994-ff3a5e26da0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62</vt:i4>
      </vt:variant>
    </vt:vector>
  </HeadingPairs>
  <TitlesOfParts>
    <vt:vector size="97" baseType="lpstr">
      <vt:lpstr>0-Inputs</vt:lpstr>
      <vt:lpstr>5-Reports--&gt;</vt:lpstr>
      <vt:lpstr>CompMultiCust</vt:lpstr>
      <vt:lpstr>Comp3-CustDetail</vt:lpstr>
      <vt:lpstr>CompCapex</vt:lpstr>
      <vt:lpstr>CompRetire</vt:lpstr>
      <vt:lpstr>CompCost</vt:lpstr>
      <vt:lpstr>CompBenefits</vt:lpstr>
      <vt:lpstr>4-Calculations--&gt;</vt:lpstr>
      <vt:lpstr>LOS LIke</vt:lpstr>
      <vt:lpstr>LOS AMI Cell</vt:lpstr>
      <vt:lpstr>1--&gt;Capex Support</vt:lpstr>
      <vt:lpstr>Data-Meters</vt:lpstr>
      <vt:lpstr>LOS Schedule</vt:lpstr>
      <vt:lpstr>MeterSize</vt:lpstr>
      <vt:lpstr>Detail1</vt:lpstr>
      <vt:lpstr>MeterEnds</vt:lpstr>
      <vt:lpstr>CONF-MeterPrice</vt:lpstr>
      <vt:lpstr>2--&gt;Labor Support</vt:lpstr>
      <vt:lpstr>Conf-Wages FSR MR</vt:lpstr>
      <vt:lpstr>OT v Reg</vt:lpstr>
      <vt:lpstr>Labor OH</vt:lpstr>
      <vt:lpstr>Non-Prod</vt:lpstr>
      <vt:lpstr>ServOrderMins</vt:lpstr>
      <vt:lpstr>ServOrderOpp-AMI</vt:lpstr>
      <vt:lpstr>Transit Time</vt:lpstr>
      <vt:lpstr>3 Vehicle Support--&gt;Vehicles</vt:lpstr>
      <vt:lpstr>Fleet UPIS</vt:lpstr>
      <vt:lpstr>Truck Maint</vt:lpstr>
      <vt:lpstr>Truck Miles</vt:lpstr>
      <vt:lpstr>PriceFuelOutlook</vt:lpstr>
      <vt:lpstr>5-Misc CPI</vt:lpstr>
      <vt:lpstr>Data-CPIAll</vt:lpstr>
      <vt:lpstr>Data-CPIUtils</vt:lpstr>
      <vt:lpstr>Data-CPIWater</vt:lpstr>
      <vt:lpstr>AMIBothInside</vt:lpstr>
      <vt:lpstr>AMIBothOutside</vt:lpstr>
      <vt:lpstr>AMIEndpointInside</vt:lpstr>
      <vt:lpstr>AMIEndpointOutside</vt:lpstr>
      <vt:lpstr>AMRBothInside</vt:lpstr>
      <vt:lpstr>AMRBothOutside</vt:lpstr>
      <vt:lpstr>AMREndpointInside</vt:lpstr>
      <vt:lpstr>AMREndpointOutside</vt:lpstr>
      <vt:lpstr>BadgerAMIEnd</vt:lpstr>
      <vt:lpstr>BadgerAMREnd</vt:lpstr>
      <vt:lpstr>BadgerNeptuneSplit</vt:lpstr>
      <vt:lpstr>DebtRatio</vt:lpstr>
      <vt:lpstr>DeprRateCollectors</vt:lpstr>
      <vt:lpstr>DeprRateMeters</vt:lpstr>
      <vt:lpstr>DiscountCPI</vt:lpstr>
      <vt:lpstr>DiscountUtilities</vt:lpstr>
      <vt:lpstr>DiscountWater</vt:lpstr>
      <vt:lpstr>EquityGrossUp</vt:lpstr>
      <vt:lpstr>EquityRatio</vt:lpstr>
      <vt:lpstr>ETR</vt:lpstr>
      <vt:lpstr>FSRRate</vt:lpstr>
      <vt:lpstr>HourlyMRRate</vt:lpstr>
      <vt:lpstr>InflationGeneral</vt:lpstr>
      <vt:lpstr>InflationLabor</vt:lpstr>
      <vt:lpstr>InflationMeter</vt:lpstr>
      <vt:lpstr>LTDRateYr1</vt:lpstr>
      <vt:lpstr>LTDRateYr10</vt:lpstr>
      <vt:lpstr>LTDRateYr2</vt:lpstr>
      <vt:lpstr>LTDRateYr3</vt:lpstr>
      <vt:lpstr>LTDRateYr4</vt:lpstr>
      <vt:lpstr>LTDRateYr5</vt:lpstr>
      <vt:lpstr>LTDRateYr6</vt:lpstr>
      <vt:lpstr>LTDRateYr7</vt:lpstr>
      <vt:lpstr>LTDRateYr8</vt:lpstr>
      <vt:lpstr>LTDRateYr9</vt:lpstr>
      <vt:lpstr>ManualInside</vt:lpstr>
      <vt:lpstr>ManualOutside</vt:lpstr>
      <vt:lpstr>MeterAndOrEndpoint</vt:lpstr>
      <vt:lpstr>MeterRetireYears</vt:lpstr>
      <vt:lpstr>MeterRetireYearsAlt</vt:lpstr>
      <vt:lpstr>NeptuneAMIEnd</vt:lpstr>
      <vt:lpstr>NeptuneAMREnd</vt:lpstr>
      <vt:lpstr>OHRate</vt:lpstr>
      <vt:lpstr>Plateau1</vt:lpstr>
      <vt:lpstr>Plateau2</vt:lpstr>
      <vt:lpstr>Plateau3</vt:lpstr>
      <vt:lpstr>Plateau4</vt:lpstr>
      <vt:lpstr>PlateauFactor1</vt:lpstr>
      <vt:lpstr>PlateauFactor2</vt:lpstr>
      <vt:lpstr>PlateauFactor3</vt:lpstr>
      <vt:lpstr>PlateauFactor4</vt:lpstr>
      <vt:lpstr>CompMultiCust!Print_Area</vt:lpstr>
      <vt:lpstr>CompMultiCust!Print_Titles</vt:lpstr>
      <vt:lpstr>PropTaxRate</vt:lpstr>
      <vt:lpstr>ROE</vt:lpstr>
      <vt:lpstr>Scenarios</vt:lpstr>
      <vt:lpstr>Selected</vt:lpstr>
      <vt:lpstr>ServOrderTypes</vt:lpstr>
      <vt:lpstr>TargetYrsService</vt:lpstr>
      <vt:lpstr>TaxDeprMeters</vt:lpstr>
      <vt:lpstr>TotalMeters</vt:lpstr>
      <vt:lpstr>YearOne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 Hill</dc:creator>
  <cp:keywords/>
  <dc:description/>
  <cp:lastModifiedBy>Monica H. Braun</cp:lastModifiedBy>
  <cp:revision/>
  <cp:lastPrinted>2025-08-21T13:45:13Z</cp:lastPrinted>
  <dcterms:created xsi:type="dcterms:W3CDTF">2021-01-19T22:36:12Z</dcterms:created>
  <dcterms:modified xsi:type="dcterms:W3CDTF">2025-08-29T00:14:33Z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iteId">
    <vt:lpwstr>35378cf9-dac0-45f0-84c7-1bfb98207b59</vt:lpwstr>
  </property>
  <property fmtid="{D5CDD505-2E9C-101B-9397-08002B2CF9AE}" pid="4" name="MSIP_Label_846c87f6-c46e-48eb-b7ce-d3a4a7d30611_Owner">
    <vt:lpwstr>David.Hill@amwater.com</vt:lpwstr>
  </property>
  <property fmtid="{D5CDD505-2E9C-101B-9397-08002B2CF9AE}" pid="5" name="MSIP_Label_846c87f6-c46e-48eb-b7ce-d3a4a7d30611_SetDate">
    <vt:lpwstr>2021-01-20T13:49:03.9107837Z</vt:lpwstr>
  </property>
  <property fmtid="{D5CDD505-2E9C-101B-9397-08002B2CF9AE}" pid="6" name="MSIP_Label_846c87f6-c46e-48eb-b7ce-d3a4a7d30611_Name">
    <vt:lpwstr>General</vt:lpwstr>
  </property>
  <property fmtid="{D5CDD505-2E9C-101B-9397-08002B2CF9AE}" pid="7" name="MSIP_Label_846c87f6-c46e-48eb-b7ce-d3a4a7d30611_Application">
    <vt:lpwstr>Microsoft Azure Information Protection</vt:lpwstr>
  </property>
  <property fmtid="{D5CDD505-2E9C-101B-9397-08002B2CF9AE}" pid="8" name="MSIP_Label_846c87f6-c46e-48eb-b7ce-d3a4a7d30611_ActionId">
    <vt:lpwstr>7de94a2b-6971-4584-8186-1857b1a810bf</vt:lpwstr>
  </property>
  <property fmtid="{D5CDD505-2E9C-101B-9397-08002B2CF9AE}" pid="9" name="MSIP_Label_846c87f6-c46e-48eb-b7ce-d3a4a7d30611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0x010100886D001AFCCAAD41B8FD5E73AC9037B1</vt:lpwstr>
  </property>
  <property fmtid="{D5CDD505-2E9C-101B-9397-08002B2CF9AE}" pid="12" name="SV_QUERY_LIST_4F35BF76-6C0D-4D9B-82B2-816C12CF3733">
    <vt:lpwstr>empty_477D106A-C0D6-4607-AEBD-E2C9D60EA279</vt:lpwstr>
  </property>
  <property fmtid="{D5CDD505-2E9C-101B-9397-08002B2CF9AE}" pid="13" name="Order">
    <vt:r8>184600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SV_HIDDEN_GRID_QUERY_LIST_4F35BF76-6C0D-4D9B-82B2-816C12CF3733">
    <vt:lpwstr>empty_477D106A-C0D6-4607-AEBD-E2C9D60EA279</vt:lpwstr>
  </property>
  <property fmtid="{D5CDD505-2E9C-101B-9397-08002B2CF9AE}" pid="19" name="_dlc_DocIdItemGuid">
    <vt:lpwstr>fb122000-3594-489e-834d-a34db670f17b</vt:lpwstr>
  </property>
</Properties>
</file>