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0885 - Clark Energy Cooperative\0002 - 2025 Rate\Drafts\AG DR1\"/>
    </mc:Choice>
  </mc:AlternateContent>
  <xr:revisionPtr revIDLastSave="0" documentId="13_ncr:1_{90D2AFEB-F46E-4BFB-8B21-4F67A0C7A6D0}" xr6:coauthVersionLast="47" xr6:coauthVersionMax="47" xr10:uidLastSave="{00000000-0000-0000-0000-000000000000}"/>
  <bookViews>
    <workbookView xWindow="46455" yWindow="3510" windowWidth="19575" windowHeight="10305" tabRatio="783" activeTab="5" xr2:uid="{87FF5408-64D2-40B8-B74F-8494C0F1876E}"/>
  </bookViews>
  <sheets>
    <sheet name="2025" sheetId="20" r:id="rId1"/>
    <sheet name="2024" sheetId="12" r:id="rId2"/>
    <sheet name="2023" sheetId="9" r:id="rId3"/>
    <sheet name="2022" sheetId="21" r:id="rId4"/>
    <sheet name="2021" sheetId="22" r:id="rId5"/>
    <sheet name="2020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1" l="1"/>
  <c r="J17" i="23"/>
  <c r="K17" i="23"/>
  <c r="L17" i="23"/>
  <c r="M9" i="23"/>
  <c r="M10" i="23"/>
  <c r="M11" i="23"/>
  <c r="M12" i="23"/>
  <c r="M13" i="23"/>
  <c r="M14" i="23"/>
  <c r="M15" i="23"/>
  <c r="M16" i="23"/>
  <c r="M8" i="23"/>
  <c r="M9" i="22"/>
  <c r="M10" i="22"/>
  <c r="M11" i="22"/>
  <c r="M12" i="22"/>
  <c r="M13" i="22"/>
  <c r="M14" i="22"/>
  <c r="M15" i="22"/>
  <c r="M8" i="22"/>
  <c r="J16" i="22"/>
  <c r="K16" i="22"/>
  <c r="L16" i="22"/>
  <c r="M9" i="21"/>
  <c r="M10" i="21"/>
  <c r="M11" i="21"/>
  <c r="M12" i="21"/>
  <c r="M13" i="21"/>
  <c r="M14" i="21"/>
  <c r="M15" i="21"/>
  <c r="M8" i="21"/>
  <c r="M9" i="9"/>
  <c r="M10" i="9"/>
  <c r="M11" i="9"/>
  <c r="M12" i="9"/>
  <c r="M13" i="9"/>
  <c r="M14" i="9"/>
  <c r="M15" i="9"/>
  <c r="M8" i="9"/>
  <c r="L16" i="9"/>
  <c r="L16" i="12"/>
  <c r="M9" i="12"/>
  <c r="M10" i="12"/>
  <c r="M11" i="12"/>
  <c r="M12" i="12"/>
  <c r="M13" i="12"/>
  <c r="M14" i="12"/>
  <c r="M15" i="12"/>
  <c r="M8" i="12"/>
  <c r="M8" i="20"/>
  <c r="M9" i="20"/>
  <c r="M10" i="20"/>
  <c r="M11" i="20"/>
  <c r="M12" i="20"/>
  <c r="M13" i="20"/>
  <c r="M14" i="20"/>
  <c r="M7" i="20"/>
  <c r="L15" i="20"/>
  <c r="E15" i="20"/>
  <c r="Z15" i="20"/>
  <c r="AA15" i="20"/>
  <c r="V15" i="20"/>
  <c r="W15" i="20"/>
  <c r="V6" i="20"/>
  <c r="V16" i="12"/>
  <c r="W16" i="12"/>
  <c r="Y16" i="12"/>
  <c r="Z16" i="12"/>
  <c r="AA16" i="12"/>
  <c r="V7" i="12"/>
  <c r="Z7" i="12"/>
  <c r="V16" i="9"/>
  <c r="W16" i="9"/>
  <c r="Y16" i="9"/>
  <c r="Z16" i="9"/>
  <c r="AA16" i="9"/>
  <c r="Z7" i="9"/>
  <c r="V7" i="9"/>
  <c r="Z16" i="21"/>
  <c r="AA16" i="21"/>
  <c r="V16" i="21"/>
  <c r="W16" i="21"/>
  <c r="Z7" i="21"/>
  <c r="V7" i="21"/>
  <c r="Z16" i="22"/>
  <c r="AA16" i="22"/>
  <c r="V16" i="22"/>
  <c r="W16" i="22"/>
  <c r="Z7" i="22"/>
  <c r="V7" i="22"/>
  <c r="Z17" i="23"/>
  <c r="AA17" i="23"/>
  <c r="V17" i="23"/>
  <c r="W17" i="23"/>
  <c r="V7" i="23"/>
  <c r="Z7" i="23"/>
  <c r="Z6" i="20"/>
  <c r="AE15" i="20"/>
  <c r="AF15" i="20"/>
  <c r="AG15" i="20"/>
  <c r="J15" i="20"/>
  <c r="K15" i="20"/>
  <c r="AI14" i="20"/>
  <c r="AH14" i="20"/>
  <c r="E16" i="12"/>
  <c r="AI8" i="12"/>
  <c r="AI12" i="12"/>
  <c r="AI15" i="12"/>
  <c r="AE16" i="12"/>
  <c r="AF16" i="12"/>
  <c r="AG16" i="12"/>
  <c r="J16" i="12"/>
  <c r="K16" i="12"/>
  <c r="AH15" i="12"/>
  <c r="K16" i="9"/>
  <c r="J16" i="9"/>
  <c r="S16" i="9"/>
  <c r="AB16" i="9"/>
  <c r="AE16" i="9"/>
  <c r="AF16" i="9"/>
  <c r="AG16" i="9"/>
  <c r="AI8" i="9"/>
  <c r="AH15" i="9"/>
  <c r="AE17" i="23"/>
  <c r="AF17" i="23"/>
  <c r="AG17" i="23"/>
  <c r="AE16" i="22"/>
  <c r="AF16" i="22"/>
  <c r="AG16" i="22"/>
  <c r="AE16" i="21"/>
  <c r="AF16" i="21"/>
  <c r="AG16" i="21"/>
  <c r="J16" i="21"/>
  <c r="K16" i="21"/>
  <c r="AI15" i="21"/>
  <c r="AH15" i="21"/>
  <c r="AI15" i="22"/>
  <c r="AH15" i="22"/>
  <c r="AH16" i="23"/>
  <c r="AI16" i="23"/>
  <c r="AD7" i="20"/>
  <c r="AD13" i="20"/>
  <c r="AD10" i="20"/>
  <c r="AD12" i="20"/>
  <c r="AD11" i="20"/>
  <c r="AD6" i="20"/>
  <c r="AD8" i="12"/>
  <c r="AD14" i="12"/>
  <c r="AD11" i="12"/>
  <c r="AD12" i="12"/>
  <c r="AD13" i="12"/>
  <c r="AD7" i="12"/>
  <c r="AD8" i="9"/>
  <c r="AD14" i="9"/>
  <c r="AD11" i="9"/>
  <c r="AD12" i="9"/>
  <c r="AD13" i="9"/>
  <c r="AD7" i="9"/>
  <c r="AD8" i="21"/>
  <c r="AD14" i="21"/>
  <c r="AD11" i="21"/>
  <c r="AD12" i="21"/>
  <c r="AD10" i="21"/>
  <c r="AD13" i="21"/>
  <c r="AD7" i="21"/>
  <c r="AD8" i="22"/>
  <c r="AD16" i="22" s="1"/>
  <c r="AC8" i="22"/>
  <c r="AD14" i="22"/>
  <c r="AD13" i="22"/>
  <c r="AD12" i="22"/>
  <c r="AD11" i="22"/>
  <c r="AD10" i="22"/>
  <c r="AD7" i="22"/>
  <c r="AD8" i="23"/>
  <c r="AD14" i="23"/>
  <c r="AD11" i="23"/>
  <c r="AD12" i="23"/>
  <c r="AD10" i="23"/>
  <c r="AD13" i="23"/>
  <c r="X14" i="12"/>
  <c r="T14" i="12"/>
  <c r="X11" i="12"/>
  <c r="T11" i="12"/>
  <c r="X12" i="12"/>
  <c r="T12" i="12"/>
  <c r="X9" i="12"/>
  <c r="T9" i="12"/>
  <c r="X8" i="12"/>
  <c r="T8" i="12"/>
  <c r="X10" i="12"/>
  <c r="T10" i="12"/>
  <c r="X13" i="12"/>
  <c r="T13" i="12"/>
  <c r="X14" i="9"/>
  <c r="T14" i="9"/>
  <c r="X11" i="9"/>
  <c r="T11" i="9"/>
  <c r="X12" i="9"/>
  <c r="T12" i="9"/>
  <c r="X9" i="9"/>
  <c r="T9" i="9"/>
  <c r="X8" i="9"/>
  <c r="T8" i="9"/>
  <c r="X10" i="9"/>
  <c r="T10" i="9"/>
  <c r="X13" i="9"/>
  <c r="T13" i="9"/>
  <c r="X14" i="21"/>
  <c r="T14" i="21"/>
  <c r="X11" i="21"/>
  <c r="T11" i="21"/>
  <c r="X12" i="21"/>
  <c r="T12" i="21"/>
  <c r="X9" i="21"/>
  <c r="T9" i="21"/>
  <c r="X8" i="21"/>
  <c r="T8" i="21"/>
  <c r="X10" i="21"/>
  <c r="T10" i="21"/>
  <c r="X13" i="21"/>
  <c r="T13" i="21"/>
  <c r="X14" i="22"/>
  <c r="T14" i="22"/>
  <c r="X11" i="22"/>
  <c r="T11" i="22"/>
  <c r="X12" i="22"/>
  <c r="T12" i="22"/>
  <c r="X9" i="22"/>
  <c r="T9" i="22"/>
  <c r="X8" i="22"/>
  <c r="T8" i="22"/>
  <c r="X10" i="22"/>
  <c r="T10" i="22"/>
  <c r="X13" i="22"/>
  <c r="T13" i="22"/>
  <c r="X8" i="23"/>
  <c r="T8" i="23"/>
  <c r="X14" i="23"/>
  <c r="T14" i="23"/>
  <c r="T15" i="23"/>
  <c r="X11" i="23"/>
  <c r="T11" i="23"/>
  <c r="X12" i="23"/>
  <c r="T12" i="23"/>
  <c r="X9" i="23"/>
  <c r="U9" i="23"/>
  <c r="AI9" i="23" s="1"/>
  <c r="T9" i="23"/>
  <c r="X15" i="23"/>
  <c r="U15" i="23"/>
  <c r="AI15" i="23" s="1"/>
  <c r="X10" i="23"/>
  <c r="T10" i="23"/>
  <c r="X13" i="23"/>
  <c r="T13" i="23"/>
  <c r="U9" i="20"/>
  <c r="AI9" i="20" s="1"/>
  <c r="U10" i="20"/>
  <c r="U11" i="20"/>
  <c r="AI11" i="20" s="1"/>
  <c r="U8" i="20"/>
  <c r="T7" i="20"/>
  <c r="U10" i="12"/>
  <c r="AI10" i="12" s="1"/>
  <c r="U11" i="12"/>
  <c r="U12" i="12"/>
  <c r="U9" i="12"/>
  <c r="U10" i="9"/>
  <c r="AI10" i="9" s="1"/>
  <c r="U11" i="9"/>
  <c r="U12" i="9"/>
  <c r="AI12" i="9" s="1"/>
  <c r="U9" i="9"/>
  <c r="AI9" i="9" s="1"/>
  <c r="U10" i="21"/>
  <c r="AI10" i="21" s="1"/>
  <c r="U11" i="21"/>
  <c r="U12" i="21"/>
  <c r="AI12" i="21" s="1"/>
  <c r="U9" i="21"/>
  <c r="AI9" i="21" s="1"/>
  <c r="U8" i="21"/>
  <c r="AI8" i="21" s="1"/>
  <c r="U10" i="22"/>
  <c r="AI10" i="22" s="1"/>
  <c r="U11" i="22"/>
  <c r="U12" i="22"/>
  <c r="AI12" i="22" s="1"/>
  <c r="U9" i="22"/>
  <c r="AI9" i="22" s="1"/>
  <c r="U8" i="22"/>
  <c r="U10" i="23"/>
  <c r="AI10" i="23" s="1"/>
  <c r="U11" i="23"/>
  <c r="U12" i="23"/>
  <c r="AI12" i="23" s="1"/>
  <c r="U8" i="23"/>
  <c r="AI8" i="23" s="1"/>
  <c r="U13" i="23"/>
  <c r="X16" i="9" l="1"/>
  <c r="X16" i="12"/>
  <c r="AI8" i="22"/>
  <c r="AD16" i="12"/>
  <c r="AD16" i="9"/>
  <c r="T16" i="9"/>
  <c r="AD16" i="21"/>
  <c r="AD15" i="20"/>
  <c r="AD17" i="23"/>
  <c r="T9" i="20"/>
  <c r="R15" i="23"/>
  <c r="R14" i="23"/>
  <c r="R13" i="23"/>
  <c r="R12" i="23"/>
  <c r="R11" i="23"/>
  <c r="R10" i="23"/>
  <c r="R8" i="23"/>
  <c r="R14" i="22"/>
  <c r="R13" i="22"/>
  <c r="R12" i="22"/>
  <c r="R11" i="22"/>
  <c r="R10" i="22"/>
  <c r="R8" i="22"/>
  <c r="R14" i="21"/>
  <c r="R13" i="21"/>
  <c r="R12" i="21"/>
  <c r="R11" i="21"/>
  <c r="R10" i="21"/>
  <c r="R8" i="21"/>
  <c r="R14" i="9"/>
  <c r="R13" i="9"/>
  <c r="R12" i="9"/>
  <c r="R11" i="9"/>
  <c r="R10" i="9"/>
  <c r="R8" i="9"/>
  <c r="R7" i="20"/>
  <c r="R12" i="20"/>
  <c r="R11" i="20"/>
  <c r="R10" i="20"/>
  <c r="R9" i="20"/>
  <c r="R13" i="20"/>
  <c r="R14" i="12" l="1"/>
  <c r="AH14" i="12" s="1"/>
  <c r="R13" i="12"/>
  <c r="R12" i="12"/>
  <c r="R11" i="12"/>
  <c r="R10" i="12"/>
  <c r="R8" i="12"/>
  <c r="P8" i="23" l="1"/>
  <c r="P11" i="23"/>
  <c r="P10" i="23"/>
  <c r="P13" i="23"/>
  <c r="P12" i="23"/>
  <c r="P15" i="23"/>
  <c r="P11" i="22"/>
  <c r="AH11" i="22" s="1"/>
  <c r="P10" i="22"/>
  <c r="AH10" i="22" s="1"/>
  <c r="P9" i="22"/>
  <c r="AH9" i="22" s="1"/>
  <c r="P8" i="22"/>
  <c r="AH8" i="22" s="1"/>
  <c r="P12" i="22"/>
  <c r="P13" i="22"/>
  <c r="AH13" i="22" s="1"/>
  <c r="P14" i="22"/>
  <c r="AH14" i="22" s="1"/>
  <c r="P11" i="21"/>
  <c r="AH11" i="21" s="1"/>
  <c r="P10" i="21"/>
  <c r="AH10" i="21" s="1"/>
  <c r="P9" i="21"/>
  <c r="AH9" i="21" s="1"/>
  <c r="P8" i="21"/>
  <c r="AH8" i="21" s="1"/>
  <c r="P12" i="21"/>
  <c r="P13" i="21"/>
  <c r="AH13" i="21" s="1"/>
  <c r="P14" i="21"/>
  <c r="AH14" i="21" s="1"/>
  <c r="P13" i="9" l="1"/>
  <c r="AH13" i="9" s="1"/>
  <c r="P11" i="9"/>
  <c r="AH11" i="9" s="1"/>
  <c r="P12" i="9"/>
  <c r="P9" i="9"/>
  <c r="AH9" i="9" s="1"/>
  <c r="P8" i="9"/>
  <c r="P10" i="9"/>
  <c r="AH10" i="9" s="1"/>
  <c r="P14" i="9"/>
  <c r="AH14" i="9" s="1"/>
  <c r="P13" i="12"/>
  <c r="AH13" i="12" s="1"/>
  <c r="P9" i="12"/>
  <c r="AH9" i="12" s="1"/>
  <c r="P12" i="12"/>
  <c r="AH12" i="12" s="1"/>
  <c r="P11" i="12"/>
  <c r="AH11" i="12" s="1"/>
  <c r="P10" i="12"/>
  <c r="AH10" i="12" s="1"/>
  <c r="P8" i="12"/>
  <c r="AH8" i="12" s="1"/>
  <c r="U14" i="9"/>
  <c r="AI14" i="9" s="1"/>
  <c r="U14" i="21"/>
  <c r="AI14" i="21" s="1"/>
  <c r="U14" i="22"/>
  <c r="AI14" i="22" s="1"/>
  <c r="U14" i="23"/>
  <c r="AI14" i="23" s="1"/>
  <c r="U14" i="12"/>
  <c r="AI14" i="12" s="1"/>
  <c r="P9" i="23"/>
  <c r="P14" i="23"/>
  <c r="Q13" i="23"/>
  <c r="O13" i="23"/>
  <c r="AI13" i="23" s="1"/>
  <c r="AC11" i="23"/>
  <c r="AI11" i="23" s="1"/>
  <c r="U13" i="22"/>
  <c r="AI13" i="22" s="1"/>
  <c r="AC11" i="22"/>
  <c r="AI11" i="22" s="1"/>
  <c r="U13" i="12"/>
  <c r="AI13" i="12" s="1"/>
  <c r="U13" i="21"/>
  <c r="AI13" i="21" s="1"/>
  <c r="AC11" i="21" l="1"/>
  <c r="AI11" i="21" s="1"/>
  <c r="U13" i="9"/>
  <c r="Q16" i="9"/>
  <c r="AI15" i="9" s="1"/>
  <c r="AC11" i="9"/>
  <c r="AI11" i="9" s="1"/>
  <c r="AC16" i="9" l="1"/>
  <c r="AI13" i="9"/>
  <c r="U16" i="9"/>
  <c r="AF7" i="9"/>
  <c r="AF6" i="20"/>
  <c r="Q9" i="12"/>
  <c r="O9" i="12"/>
  <c r="AC11" i="12"/>
  <c r="AI11" i="12" s="1"/>
  <c r="AC9" i="12"/>
  <c r="AH14" i="23"/>
  <c r="G15" i="23"/>
  <c r="G12" i="23"/>
  <c r="G12" i="22"/>
  <c r="G12" i="21"/>
  <c r="G12" i="9"/>
  <c r="AH12" i="9" s="1"/>
  <c r="G8" i="9"/>
  <c r="AC17" i="23"/>
  <c r="AB17" i="23"/>
  <c r="Y17" i="23"/>
  <c r="X17" i="23"/>
  <c r="U17" i="23"/>
  <c r="T17" i="23"/>
  <c r="S17" i="23"/>
  <c r="R17" i="23"/>
  <c r="Q17" i="23"/>
  <c r="P17" i="23"/>
  <c r="O17" i="23"/>
  <c r="N17" i="23"/>
  <c r="I17" i="23"/>
  <c r="H17" i="23"/>
  <c r="F17" i="23"/>
  <c r="E17" i="23"/>
  <c r="AH13" i="23"/>
  <c r="AH11" i="23"/>
  <c r="AH10" i="23"/>
  <c r="AH9" i="23"/>
  <c r="AH8" i="23"/>
  <c r="AH7" i="23"/>
  <c r="AB7" i="23"/>
  <c r="X7" i="23"/>
  <c r="T7" i="23"/>
  <c r="R7" i="23"/>
  <c r="P7" i="23"/>
  <c r="AC16" i="22"/>
  <c r="AB16" i="22"/>
  <c r="Y16" i="22"/>
  <c r="X16" i="22"/>
  <c r="U16" i="22"/>
  <c r="T16" i="22"/>
  <c r="S16" i="22"/>
  <c r="R16" i="22"/>
  <c r="Q16" i="22"/>
  <c r="P16" i="22"/>
  <c r="O16" i="22"/>
  <c r="N16" i="22"/>
  <c r="I16" i="22"/>
  <c r="H16" i="22"/>
  <c r="F16" i="22"/>
  <c r="E16" i="22"/>
  <c r="AH7" i="22"/>
  <c r="AB7" i="22"/>
  <c r="X7" i="22"/>
  <c r="T7" i="22"/>
  <c r="R7" i="22"/>
  <c r="P7" i="22"/>
  <c r="AC16" i="21"/>
  <c r="AB16" i="21"/>
  <c r="Y16" i="21"/>
  <c r="X16" i="21"/>
  <c r="U16" i="21"/>
  <c r="T16" i="21"/>
  <c r="S16" i="21"/>
  <c r="R16" i="21"/>
  <c r="Q16" i="21"/>
  <c r="P16" i="21"/>
  <c r="O16" i="21"/>
  <c r="N16" i="21"/>
  <c r="I16" i="21"/>
  <c r="H16" i="21"/>
  <c r="F16" i="21"/>
  <c r="E16" i="21"/>
  <c r="AH7" i="21"/>
  <c r="AB7" i="21"/>
  <c r="X7" i="21"/>
  <c r="T7" i="21"/>
  <c r="R7" i="21"/>
  <c r="P7" i="21"/>
  <c r="R16" i="9"/>
  <c r="P16" i="9"/>
  <c r="O16" i="9"/>
  <c r="N16" i="9"/>
  <c r="I16" i="9"/>
  <c r="H16" i="9"/>
  <c r="F16" i="9"/>
  <c r="E16" i="9"/>
  <c r="AH7" i="9"/>
  <c r="AB7" i="9"/>
  <c r="X7" i="9"/>
  <c r="T7" i="9"/>
  <c r="R7" i="9"/>
  <c r="P7" i="9"/>
  <c r="AC10" i="20"/>
  <c r="AI10" i="20" s="1"/>
  <c r="AC8" i="20"/>
  <c r="AI8" i="20" s="1"/>
  <c r="X10" i="20"/>
  <c r="X9" i="20"/>
  <c r="AH9" i="20" s="1"/>
  <c r="X13" i="20"/>
  <c r="U13" i="20"/>
  <c r="AI13" i="20" s="1"/>
  <c r="T13" i="20"/>
  <c r="AH13" i="20" s="1"/>
  <c r="T10" i="20"/>
  <c r="X11" i="20"/>
  <c r="T11" i="20"/>
  <c r="X8" i="20"/>
  <c r="T8" i="20"/>
  <c r="AH8" i="20" s="1"/>
  <c r="AH11" i="20" l="1"/>
  <c r="AH10" i="20"/>
  <c r="G16" i="9"/>
  <c r="AH8" i="9"/>
  <c r="AH12" i="23"/>
  <c r="AH15" i="23"/>
  <c r="AI9" i="12"/>
  <c r="G16" i="21"/>
  <c r="AH12" i="21"/>
  <c r="G16" i="22"/>
  <c r="AH12" i="22"/>
  <c r="AI17" i="23"/>
  <c r="G17" i="23"/>
  <c r="AI16" i="22"/>
  <c r="AI16" i="21"/>
  <c r="AI16" i="9"/>
  <c r="AH16" i="9"/>
  <c r="X7" i="20"/>
  <c r="AH7" i="20" s="1"/>
  <c r="U7" i="20"/>
  <c r="AI7" i="20" s="1"/>
  <c r="X12" i="20"/>
  <c r="U12" i="20"/>
  <c r="AI12" i="20" s="1"/>
  <c r="T12" i="20"/>
  <c r="M17" i="23" l="1"/>
  <c r="AH17" i="23"/>
  <c r="AH12" i="20"/>
  <c r="M16" i="9"/>
  <c r="M16" i="22"/>
  <c r="AH16" i="22"/>
  <c r="M16" i="21"/>
  <c r="AH16" i="21"/>
  <c r="Y15" i="20"/>
  <c r="X15" i="20"/>
  <c r="U15" i="20"/>
  <c r="T15" i="20"/>
  <c r="S15" i="20"/>
  <c r="R15" i="20"/>
  <c r="Q15" i="20"/>
  <c r="P15" i="20"/>
  <c r="O15" i="20"/>
  <c r="N15" i="20"/>
  <c r="I15" i="20"/>
  <c r="H15" i="20"/>
  <c r="G15" i="20"/>
  <c r="F15" i="20"/>
  <c r="AH6" i="20"/>
  <c r="AB6" i="20"/>
  <c r="X6" i="20"/>
  <c r="T6" i="20"/>
  <c r="R6" i="20"/>
  <c r="P6" i="20"/>
  <c r="AB15" i="20" l="1"/>
  <c r="AC15" i="20"/>
  <c r="M15" i="20"/>
  <c r="AI15" i="20"/>
  <c r="AH15" i="20" l="1"/>
  <c r="G16" i="12"/>
  <c r="Q16" i="12" l="1"/>
  <c r="O16" i="12"/>
  <c r="AB16" i="12"/>
  <c r="U16" i="12"/>
  <c r="T16" i="12"/>
  <c r="S16" i="12"/>
  <c r="R16" i="12"/>
  <c r="H16" i="12"/>
  <c r="F16" i="12"/>
  <c r="I16" i="12"/>
  <c r="AH7" i="12"/>
  <c r="AB7" i="12"/>
  <c r="X7" i="12"/>
  <c r="T7" i="12"/>
  <c r="R7" i="12"/>
  <c r="P7" i="12"/>
  <c r="AC16" i="12" l="1"/>
  <c r="N16" i="12"/>
  <c r="P16" i="12"/>
  <c r="AI16" i="12" l="1"/>
  <c r="AH16" i="12"/>
  <c r="M16" i="12"/>
</calcChain>
</file>

<file path=xl/sharedStrings.xml><?xml version="1.0" encoding="utf-8"?>
<sst xmlns="http://schemas.openxmlformats.org/spreadsheetml/2006/main" count="245" uniqueCount="49">
  <si>
    <t>Regular</t>
  </si>
  <si>
    <t>Overtime</t>
  </si>
  <si>
    <t>Vacation Payout</t>
  </si>
  <si>
    <t>Bonus</t>
  </si>
  <si>
    <t>Other</t>
  </si>
  <si>
    <t>Sub-Total</t>
  </si>
  <si>
    <t>Life Insurance</t>
  </si>
  <si>
    <t>401k</t>
  </si>
  <si>
    <t>Totals</t>
  </si>
  <si>
    <t>Employee</t>
  </si>
  <si>
    <t>TOTALS</t>
  </si>
  <si>
    <t>Farmers RECC</t>
  </si>
  <si>
    <t>PSC Reference</t>
  </si>
  <si>
    <t>Service Awards</t>
  </si>
  <si>
    <t>Dental Insurance</t>
  </si>
  <si>
    <t>Position Title - as of December 31, 2023</t>
  </si>
  <si>
    <t>Position Title - as of December 31, 2024</t>
  </si>
  <si>
    <t>Salary &amp; Benefit Data by Salaried Employees</t>
  </si>
  <si>
    <t>Q2 - 2025</t>
  </si>
  <si>
    <t>06/30/2025 Pay Rate</t>
  </si>
  <si>
    <t xml:space="preserve">Clark Energy Cooperatvie Inc. </t>
  </si>
  <si>
    <t xml:space="preserve">Clark </t>
  </si>
  <si>
    <t>LTD</t>
  </si>
  <si>
    <t>12/30/2024 Pay Rate</t>
  </si>
  <si>
    <t xml:space="preserve">Clark Energy Cooperative Inc. </t>
  </si>
  <si>
    <t>12/30/2020 Pay Rate</t>
  </si>
  <si>
    <t>Position Title - as of December 31, 2020</t>
  </si>
  <si>
    <t>Position Title - as of December 31, 2021</t>
  </si>
  <si>
    <t>12/30/2021 Pay Rate</t>
  </si>
  <si>
    <t>Position Title - as of December 31, 2022</t>
  </si>
  <si>
    <t>12/30/2022 Pay Rate</t>
  </si>
  <si>
    <t>12/30/2023 Pay Rate</t>
  </si>
  <si>
    <t>Position Title - as of June 30, 2025</t>
  </si>
  <si>
    <t xml:space="preserve">Standy Pay </t>
  </si>
  <si>
    <t>PTO Payout</t>
  </si>
  <si>
    <t>Standy Pay</t>
  </si>
  <si>
    <t xml:space="preserve">Spot Inflation Assitstance </t>
  </si>
  <si>
    <t>Clark</t>
  </si>
  <si>
    <t>401K</t>
  </si>
  <si>
    <t>HRA</t>
  </si>
  <si>
    <t>Employe</t>
  </si>
  <si>
    <t>R&amp;S PLAN</t>
  </si>
  <si>
    <t>Incentive Pay</t>
  </si>
  <si>
    <t>STD</t>
  </si>
  <si>
    <t>Cancer Insurance</t>
  </si>
  <si>
    <t>Health Insurance</t>
  </si>
  <si>
    <t>Vision Insurance</t>
  </si>
  <si>
    <t>CONFIDENTIAL - Case No 2025-00230</t>
  </si>
  <si>
    <t>Vehicle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</si>
</sst>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rgb="FF0070C0"/>
      <name val="Arial Narrow"/>
      <family val="2"/>
    </font>
    <font>
      <sz val="12"/>
      <color rgb="FF282D2D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6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166" fontId="5" fillId="2" borderId="1" xfId="0" applyNumberFormat="1" applyFont="1" applyFill="1" applyBorder="1" applyAlignment="1">
      <alignment vertical="top"/>
    </xf>
    <xf numFmtId="41" fontId="7" fillId="0" borderId="1" xfId="0" applyNumberFormat="1" applyFont="1" applyBorder="1" applyAlignment="1" applyProtection="1">
      <alignment vertical="top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6" fontId="2" fillId="2" borderId="1" xfId="0" applyNumberFormat="1" applyFont="1" applyFill="1" applyBorder="1" applyAlignment="1">
      <alignment vertical="top"/>
    </xf>
    <xf numFmtId="41" fontId="6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0" xfId="0" applyNumberFormat="1" applyFont="1"/>
    <xf numFmtId="0" fontId="10" fillId="0" borderId="0" xfId="0" applyFont="1" applyAlignment="1">
      <alignment horizontal="left" vertical="top"/>
    </xf>
    <xf numFmtId="165" fontId="6" fillId="0" borderId="1" xfId="1" applyNumberFormat="1" applyFont="1" applyFill="1" applyBorder="1" applyAlignment="1" applyProtection="1">
      <alignment vertical="top"/>
      <protection locked="0"/>
    </xf>
    <xf numFmtId="43" fontId="3" fillId="0" borderId="0" xfId="0" applyNumberFormat="1" applyFont="1"/>
    <xf numFmtId="43" fontId="6" fillId="0" borderId="1" xfId="1" applyFont="1" applyFill="1" applyBorder="1" applyAlignment="1" applyProtection="1">
      <alignment vertical="top"/>
      <protection locked="0"/>
    </xf>
    <xf numFmtId="43" fontId="3" fillId="0" borderId="0" xfId="0" applyNumberFormat="1" applyFont="1" applyAlignment="1">
      <alignment horizontal="left" vertical="top"/>
    </xf>
    <xf numFmtId="44" fontId="3" fillId="3" borderId="1" xfId="3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3" fontId="3" fillId="0" borderId="1" xfId="1" applyFont="1" applyBorder="1"/>
    <xf numFmtId="43" fontId="6" fillId="0" borderId="1" xfId="1" applyFont="1" applyBorder="1" applyProtection="1">
      <protection locked="0"/>
    </xf>
    <xf numFmtId="43" fontId="5" fillId="2" borderId="1" xfId="1" applyFont="1" applyFill="1" applyBorder="1" applyAlignment="1">
      <alignment vertical="top"/>
    </xf>
    <xf numFmtId="43" fontId="6" fillId="0" borderId="1" xfId="1" applyFont="1" applyFill="1" applyBorder="1" applyProtection="1">
      <protection locked="0"/>
    </xf>
    <xf numFmtId="43" fontId="5" fillId="0" borderId="0" xfId="0" applyNumberFormat="1" applyFont="1" applyAlignment="1">
      <alignment horizontal="left" vertical="top"/>
    </xf>
    <xf numFmtId="165" fontId="2" fillId="2" borderId="1" xfId="1" applyNumberFormat="1" applyFont="1" applyFill="1" applyBorder="1" applyAlignment="1">
      <alignment vertical="top"/>
    </xf>
    <xf numFmtId="41" fontId="3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6" fontId="2" fillId="2" borderId="1" xfId="3" applyNumberFormat="1" applyFont="1" applyFill="1" applyBorder="1" applyAlignment="1">
      <alignment vertical="top"/>
    </xf>
    <xf numFmtId="44" fontId="3" fillId="3" borderId="1" xfId="0" applyNumberFormat="1" applyFont="1" applyFill="1" applyBorder="1" applyAlignment="1" applyProtection="1">
      <alignment horizontal="left"/>
      <protection locked="0"/>
    </xf>
    <xf numFmtId="44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1" xfId="0" applyNumberFormat="1" applyFont="1" applyFill="1" applyBorder="1" applyAlignment="1">
      <alignment horizontal="left" vertical="top"/>
    </xf>
    <xf numFmtId="44" fontId="7" fillId="3" borderId="1" xfId="3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>
      <alignment horizontal="center" vertical="top" wrapText="1"/>
    </xf>
    <xf numFmtId="0" fontId="3" fillId="0" borderId="1" xfId="0" applyFont="1" applyBorder="1"/>
    <xf numFmtId="4" fontId="0" fillId="0" borderId="1" xfId="0" applyNumberFormat="1" applyBorder="1"/>
    <xf numFmtId="0" fontId="3" fillId="4" borderId="0" xfId="0" applyFont="1" applyFill="1"/>
    <xf numFmtId="0" fontId="3" fillId="0" borderId="0" xfId="0" applyFont="1" applyFill="1"/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/>
  </cellXfs>
  <cellStyles count="4">
    <cellStyle name="Comma" xfId="1" builtinId="3"/>
    <cellStyle name="Currency" xfId="3" builtinId="4"/>
    <cellStyle name="Normal" xfId="0" builtinId="0"/>
    <cellStyle name="Normal 2" xfId="2" xr:uid="{21ED767A-62C8-48B0-9B17-EE3D11679FA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4D08-7452-43F7-BCF3-29D5CDC85DCA}">
  <sheetPr>
    <pageSetUpPr fitToPage="1"/>
  </sheetPr>
  <dimension ref="A1:AI15"/>
  <sheetViews>
    <sheetView workbookViewId="0">
      <selection activeCell="C13" sqref="C13"/>
    </sheetView>
  </sheetViews>
  <sheetFormatPr defaultColWidth="9.15234375" defaultRowHeight="15.45" x14ac:dyDescent="0.4"/>
  <cols>
    <col min="1" max="1" width="13.3828125" style="3" customWidth="1"/>
    <col min="2" max="2" width="10.84375" style="3" customWidth="1"/>
    <col min="3" max="3" width="39.69140625" style="3" customWidth="1"/>
    <col min="4" max="4" width="11.69140625" style="3" customWidth="1"/>
    <col min="5" max="5" width="16.304687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2" style="3" customWidth="1"/>
    <col min="29" max="29" width="12.3046875" style="3" bestFit="1" customWidth="1"/>
    <col min="30" max="33" width="12.3046875" style="3" customWidth="1"/>
    <col min="34" max="34" width="11.3046875" style="3" customWidth="1"/>
    <col min="35" max="35" width="9.69140625" style="3" customWidth="1"/>
    <col min="36" max="16384" width="9.15234375" style="3"/>
  </cols>
  <sheetData>
    <row r="1" spans="1:35" ht="20.149999999999999" x14ac:dyDescent="0.4">
      <c r="B1" s="1" t="s">
        <v>20</v>
      </c>
      <c r="C1" s="2"/>
      <c r="D1" s="2"/>
      <c r="F1" s="2"/>
      <c r="G1" s="2"/>
      <c r="H1" s="2"/>
      <c r="I1" s="2"/>
      <c r="J1" s="2"/>
      <c r="K1" s="2"/>
      <c r="L1" s="2"/>
      <c r="M1" s="20"/>
      <c r="N1" s="36"/>
      <c r="O1" s="35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4">
      <c r="B2" s="1" t="s">
        <v>47</v>
      </c>
      <c r="C2" s="2"/>
      <c r="D2" s="2"/>
      <c r="F2" s="4" t="s">
        <v>18</v>
      </c>
      <c r="G2" s="2"/>
      <c r="H2" s="2"/>
      <c r="I2" s="2"/>
      <c r="J2" s="2"/>
      <c r="K2" s="2"/>
      <c r="L2" s="2"/>
      <c r="M2" s="2"/>
      <c r="N2" s="2"/>
      <c r="O2" s="2"/>
      <c r="P2" s="22"/>
      <c r="Q2" s="24"/>
      <c r="R2" s="24"/>
      <c r="S2" s="24"/>
      <c r="T2" s="2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17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4"/>
      <c r="P3" s="22"/>
      <c r="Q3" s="24"/>
      <c r="R3" s="24"/>
      <c r="S3" s="2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2"/>
      <c r="C4" s="5"/>
      <c r="D4" s="5"/>
      <c r="E4" s="28"/>
      <c r="F4" s="28"/>
      <c r="G4" s="28"/>
      <c r="H4" s="28"/>
      <c r="I4" s="28"/>
      <c r="J4" s="28"/>
      <c r="K4" s="28"/>
      <c r="L4" s="28"/>
      <c r="M4" s="33"/>
      <c r="N4" s="49"/>
      <c r="O4" s="49"/>
      <c r="P4" s="49"/>
      <c r="Q4" s="49"/>
      <c r="R4" s="49"/>
      <c r="S4" s="49"/>
      <c r="T4" s="49"/>
      <c r="U4" s="49"/>
      <c r="V4" s="42"/>
      <c r="W4" s="42"/>
      <c r="X4" s="49"/>
      <c r="Y4" s="49"/>
      <c r="Z4" s="42"/>
      <c r="AA4" s="42"/>
      <c r="AB4" s="49"/>
      <c r="AC4" s="49"/>
      <c r="AD4" s="42"/>
      <c r="AE4" s="42"/>
      <c r="AF4" s="42"/>
      <c r="AG4" s="42"/>
      <c r="AH4" s="6"/>
      <c r="AI4" s="6"/>
    </row>
    <row r="5" spans="1:35" ht="30" customHeight="1" x14ac:dyDescent="0.4">
      <c r="B5" s="47" t="s">
        <v>12</v>
      </c>
      <c r="C5" s="47" t="s">
        <v>32</v>
      </c>
      <c r="D5" s="52" t="s">
        <v>19</v>
      </c>
      <c r="E5" s="47" t="s">
        <v>0</v>
      </c>
      <c r="F5" s="47" t="s">
        <v>1</v>
      </c>
      <c r="G5" s="47" t="s">
        <v>2</v>
      </c>
      <c r="H5" s="47" t="s">
        <v>4</v>
      </c>
      <c r="I5" s="47" t="s">
        <v>3</v>
      </c>
      <c r="J5" s="47" t="s">
        <v>13</v>
      </c>
      <c r="K5" s="47" t="s">
        <v>42</v>
      </c>
      <c r="L5" s="47" t="s">
        <v>48</v>
      </c>
      <c r="M5" s="47" t="s">
        <v>5</v>
      </c>
      <c r="N5" s="50" t="s">
        <v>45</v>
      </c>
      <c r="O5" s="51"/>
      <c r="P5" s="50" t="s">
        <v>14</v>
      </c>
      <c r="Q5" s="51"/>
      <c r="R5" s="50" t="s">
        <v>46</v>
      </c>
      <c r="S5" s="51"/>
      <c r="T5" s="50" t="s">
        <v>6</v>
      </c>
      <c r="U5" s="51"/>
      <c r="V5" s="53" t="s">
        <v>44</v>
      </c>
      <c r="W5" s="51"/>
      <c r="X5" s="50" t="s">
        <v>22</v>
      </c>
      <c r="Y5" s="51"/>
      <c r="Z5" s="50" t="s">
        <v>43</v>
      </c>
      <c r="AA5" s="51"/>
      <c r="AB5" s="50" t="s">
        <v>38</v>
      </c>
      <c r="AC5" s="51"/>
      <c r="AD5" s="50" t="s">
        <v>41</v>
      </c>
      <c r="AE5" s="51"/>
      <c r="AF5" s="50" t="s">
        <v>39</v>
      </c>
      <c r="AG5" s="51"/>
      <c r="AH5" s="50" t="s">
        <v>8</v>
      </c>
      <c r="AI5" s="51"/>
    </row>
    <row r="6" spans="1:35" x14ac:dyDescent="0.4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7" t="s">
        <v>21</v>
      </c>
      <c r="O6" s="7" t="s">
        <v>9</v>
      </c>
      <c r="P6" s="7" t="str">
        <f>+$N$6</f>
        <v xml:space="preserve">Clark </v>
      </c>
      <c r="Q6" s="7" t="s">
        <v>9</v>
      </c>
      <c r="R6" s="7" t="str">
        <f>+$N$6</f>
        <v xml:space="preserve">Clark </v>
      </c>
      <c r="S6" s="7" t="s">
        <v>9</v>
      </c>
      <c r="T6" s="7" t="str">
        <f>+$N$6</f>
        <v xml:space="preserve">Clark </v>
      </c>
      <c r="U6" s="7" t="s">
        <v>9</v>
      </c>
      <c r="V6" s="7" t="str">
        <f>+$N$6</f>
        <v xml:space="preserve">Clark </v>
      </c>
      <c r="W6" s="7" t="s">
        <v>9</v>
      </c>
      <c r="X6" s="7" t="str">
        <f>+$N$6</f>
        <v xml:space="preserve">Clark </v>
      </c>
      <c r="Y6" s="7" t="s">
        <v>9</v>
      </c>
      <c r="Z6" s="7" t="str">
        <f>+$N$6</f>
        <v xml:space="preserve">Clark </v>
      </c>
      <c r="AA6" s="7" t="s">
        <v>9</v>
      </c>
      <c r="AB6" s="7" t="str">
        <f>+$N$6</f>
        <v xml:space="preserve">Clark </v>
      </c>
      <c r="AC6" s="7" t="s">
        <v>9</v>
      </c>
      <c r="AD6" s="7" t="str">
        <f>+$N$6</f>
        <v xml:space="preserve">Clark </v>
      </c>
      <c r="AE6" s="7" t="s">
        <v>9</v>
      </c>
      <c r="AF6" s="7" t="str">
        <f>+$N$6</f>
        <v xml:space="preserve">Clark </v>
      </c>
      <c r="AG6" s="7" t="s">
        <v>40</v>
      </c>
      <c r="AH6" s="7" t="str">
        <f>+$N$6</f>
        <v xml:space="preserve">Clark </v>
      </c>
      <c r="AI6" s="7" t="s">
        <v>9</v>
      </c>
    </row>
    <row r="7" spans="1:35" x14ac:dyDescent="0.4">
      <c r="A7" s="46"/>
      <c r="B7" s="17"/>
      <c r="D7" s="25">
        <v>76.19</v>
      </c>
      <c r="E7" s="29">
        <v>74401.600000000006</v>
      </c>
      <c r="F7" s="23"/>
      <c r="G7" s="23">
        <v>6152.44</v>
      </c>
      <c r="H7" s="23"/>
      <c r="I7" s="30"/>
      <c r="J7" s="30"/>
      <c r="K7" s="30"/>
      <c r="L7" s="30"/>
      <c r="M7" s="31">
        <f>SUM(E7:L7)</f>
        <v>80554.040000000008</v>
      </c>
      <c r="N7" s="16">
        <v>8328.06</v>
      </c>
      <c r="O7" s="21">
        <v>3398.4</v>
      </c>
      <c r="P7" s="16">
        <v>519.96</v>
      </c>
      <c r="Q7" s="21">
        <v>162.96</v>
      </c>
      <c r="R7" s="16">
        <f t="shared" ref="R7" si="0">(5.81*6)</f>
        <v>34.86</v>
      </c>
      <c r="S7" s="16">
        <v>67.62</v>
      </c>
      <c r="T7" s="16">
        <f>(87.17*6)+(0.9*6)+(12)</f>
        <v>540.41999999999996</v>
      </c>
      <c r="U7" s="16">
        <f>(23.69*6)</f>
        <v>142.14000000000001</v>
      </c>
      <c r="V7" s="16"/>
      <c r="W7" s="16"/>
      <c r="X7" s="16">
        <f>(229.31*6)</f>
        <v>1375.8600000000001</v>
      </c>
      <c r="Y7" s="16"/>
      <c r="Z7" s="16"/>
      <c r="AA7" s="16"/>
      <c r="AB7" s="16">
        <v>0</v>
      </c>
      <c r="AC7" s="16"/>
      <c r="AD7" s="16">
        <f>(2538.33+105.4)*6</f>
        <v>15862.380000000001</v>
      </c>
      <c r="AE7" s="16"/>
      <c r="AF7" s="16">
        <v>600</v>
      </c>
      <c r="AG7" s="43"/>
      <c r="AH7" s="9">
        <f t="shared" ref="AH7:AH14" si="1">+M7+N7+P7+R7+T7+X7+AB7+AD7+AF7</f>
        <v>107815.58000000002</v>
      </c>
      <c r="AI7" s="9">
        <f t="shared" ref="AI7:AI14" si="2">+O7+Q7+S7+U7+Y7+AC7+AE7+AG7</f>
        <v>3771.12</v>
      </c>
    </row>
    <row r="8" spans="1:35" x14ac:dyDescent="0.4">
      <c r="A8" s="46"/>
      <c r="B8" s="17"/>
      <c r="C8" s="8"/>
      <c r="D8" s="25">
        <v>77.95</v>
      </c>
      <c r="E8" s="29">
        <v>77209.600000000006</v>
      </c>
      <c r="F8" s="23"/>
      <c r="G8" s="23"/>
      <c r="H8" s="23"/>
      <c r="I8" s="30"/>
      <c r="J8" s="30"/>
      <c r="K8" s="30"/>
      <c r="L8" s="30"/>
      <c r="M8" s="31">
        <f t="shared" ref="M8:M14" si="3">SUM(E8:L8)</f>
        <v>77209.600000000006</v>
      </c>
      <c r="N8" s="16">
        <v>6061.68</v>
      </c>
      <c r="O8" s="21">
        <v>2178</v>
      </c>
      <c r="P8" s="16">
        <v>351</v>
      </c>
      <c r="Q8" s="21">
        <v>72</v>
      </c>
      <c r="R8" s="16"/>
      <c r="S8" s="16"/>
      <c r="T8" s="16">
        <f>(90.68*6)+(4.3*6)</f>
        <v>569.88</v>
      </c>
      <c r="U8" s="16">
        <f>(6.45*6)+(12)</f>
        <v>50.7</v>
      </c>
      <c r="V8" s="16"/>
      <c r="W8" s="16">
        <v>248.52</v>
      </c>
      <c r="X8" s="16">
        <f>(237.96*6)</f>
        <v>1427.76</v>
      </c>
      <c r="Y8" s="16"/>
      <c r="Z8" s="16"/>
      <c r="AA8" s="16"/>
      <c r="AB8" s="16">
        <v>0</v>
      </c>
      <c r="AC8" s="16">
        <f>10423.27+5018.65</f>
        <v>15441.92</v>
      </c>
      <c r="AD8" s="16"/>
      <c r="AE8" s="16"/>
      <c r="AF8" s="16">
        <v>600</v>
      </c>
      <c r="AG8" s="43"/>
      <c r="AH8" s="9">
        <f t="shared" si="1"/>
        <v>86219.92</v>
      </c>
      <c r="AI8" s="9">
        <f t="shared" si="2"/>
        <v>17742.62</v>
      </c>
    </row>
    <row r="9" spans="1:35" x14ac:dyDescent="0.4">
      <c r="A9" s="46"/>
      <c r="B9" s="18"/>
      <c r="C9" s="8"/>
      <c r="D9" s="25">
        <v>75.680000000000007</v>
      </c>
      <c r="E9" s="29">
        <v>71705.600000000006</v>
      </c>
      <c r="F9" s="30"/>
      <c r="G9" s="23">
        <v>67129.67</v>
      </c>
      <c r="H9" s="23"/>
      <c r="I9" s="30"/>
      <c r="J9" s="30"/>
      <c r="K9" s="30"/>
      <c r="L9" s="30"/>
      <c r="M9" s="31">
        <f t="shared" si="3"/>
        <v>138835.27000000002</v>
      </c>
      <c r="N9" s="16">
        <v>2541.36</v>
      </c>
      <c r="O9" s="21">
        <v>258.83</v>
      </c>
      <c r="P9" s="16">
        <v>520</v>
      </c>
      <c r="Q9" s="21">
        <v>149.38</v>
      </c>
      <c r="R9" s="16">
        <f t="shared" ref="R9:R12" si="4">(5.81*6)</f>
        <v>34.86</v>
      </c>
      <c r="S9" s="16">
        <v>56.35</v>
      </c>
      <c r="T9" s="16">
        <f>(90.68*5)+(4.3*6)</f>
        <v>479.20000000000005</v>
      </c>
      <c r="U9" s="16">
        <f>(8.37*6)+(10)</f>
        <v>60.22</v>
      </c>
      <c r="V9" s="16"/>
      <c r="W9" s="16">
        <v>227.81</v>
      </c>
      <c r="X9" s="16">
        <f>(237.83*6)</f>
        <v>1426.98</v>
      </c>
      <c r="Y9" s="16"/>
      <c r="Z9" s="16"/>
      <c r="AA9" s="16"/>
      <c r="AB9" s="16">
        <v>0</v>
      </c>
      <c r="AC9" s="16">
        <v>2493.12</v>
      </c>
      <c r="AD9" s="44"/>
      <c r="AE9" s="44"/>
      <c r="AF9" s="16">
        <v>600</v>
      </c>
      <c r="AG9" s="43"/>
      <c r="AH9" s="9">
        <f t="shared" si="1"/>
        <v>144437.67000000001</v>
      </c>
      <c r="AI9" s="9">
        <f t="shared" si="2"/>
        <v>3017.8999999999996</v>
      </c>
    </row>
    <row r="10" spans="1:35" x14ac:dyDescent="0.4">
      <c r="A10" s="46"/>
      <c r="B10" s="18"/>
      <c r="C10" s="8"/>
      <c r="D10" s="25">
        <v>63.49</v>
      </c>
      <c r="E10" s="29">
        <v>60126.400000000001</v>
      </c>
      <c r="F10" s="32"/>
      <c r="G10" s="23"/>
      <c r="H10" s="23"/>
      <c r="I10" s="30"/>
      <c r="J10" s="30"/>
      <c r="K10" s="30"/>
      <c r="L10" s="30"/>
      <c r="M10" s="31">
        <f t="shared" si="3"/>
        <v>60126.400000000001</v>
      </c>
      <c r="N10" s="16">
        <v>8328.06</v>
      </c>
      <c r="O10" s="21">
        <v>3398.4</v>
      </c>
      <c r="P10" s="16">
        <v>520</v>
      </c>
      <c r="Q10" s="21">
        <v>163</v>
      </c>
      <c r="R10" s="16">
        <f t="shared" si="4"/>
        <v>34.86</v>
      </c>
      <c r="S10" s="16">
        <v>67.62</v>
      </c>
      <c r="T10" s="16">
        <f>(69.03*6)+(2.3*6)</f>
        <v>427.98</v>
      </c>
      <c r="U10" s="16">
        <f>(3.45*6)+(31.86*6)+(12)</f>
        <v>223.86</v>
      </c>
      <c r="V10" s="16"/>
      <c r="W10" s="16">
        <v>248.52</v>
      </c>
      <c r="X10" s="16">
        <f>(181.13*6)</f>
        <v>1086.78</v>
      </c>
      <c r="Y10" s="16"/>
      <c r="Z10" s="16"/>
      <c r="AA10" s="16"/>
      <c r="AB10" s="16">
        <v>0</v>
      </c>
      <c r="AC10" s="16">
        <f>4810.08+4810.08</f>
        <v>9620.16</v>
      </c>
      <c r="AD10" s="16">
        <f>(3115.82+129.3)*6</f>
        <v>19470.72</v>
      </c>
      <c r="AE10" s="44"/>
      <c r="AF10" s="16">
        <v>600</v>
      </c>
      <c r="AG10" s="43"/>
      <c r="AH10" s="9">
        <f t="shared" si="1"/>
        <v>90594.8</v>
      </c>
      <c r="AI10" s="9">
        <f t="shared" si="2"/>
        <v>13473.04</v>
      </c>
    </row>
    <row r="11" spans="1:35" x14ac:dyDescent="0.4">
      <c r="A11" s="46"/>
      <c r="B11" s="18"/>
      <c r="C11" s="8"/>
      <c r="D11" s="25">
        <v>61.71</v>
      </c>
      <c r="E11" s="29">
        <v>59847.199999999997</v>
      </c>
      <c r="F11" s="32"/>
      <c r="G11" s="23"/>
      <c r="H11" s="23"/>
      <c r="I11" s="30"/>
      <c r="J11" s="30"/>
      <c r="K11" s="30"/>
      <c r="L11" s="30"/>
      <c r="M11" s="31">
        <f t="shared" si="3"/>
        <v>59847.199999999997</v>
      </c>
      <c r="N11" s="16">
        <v>5482.92</v>
      </c>
      <c r="O11" s="21">
        <v>1866.24</v>
      </c>
      <c r="P11" s="16">
        <v>519.96</v>
      </c>
      <c r="Q11" s="21">
        <v>162.96</v>
      </c>
      <c r="R11" s="16">
        <f t="shared" si="4"/>
        <v>34.86</v>
      </c>
      <c r="S11" s="16">
        <v>67.62</v>
      </c>
      <c r="T11" s="16">
        <f>(69.62*6)+(2.3*6)</f>
        <v>431.52000000000004</v>
      </c>
      <c r="U11" s="16">
        <f>(3.45*6)+(32.13*6)+(12)</f>
        <v>225.48000000000002</v>
      </c>
      <c r="V11" s="16"/>
      <c r="W11" s="16">
        <v>126.06</v>
      </c>
      <c r="X11" s="16">
        <f>(182*6)</f>
        <v>1092</v>
      </c>
      <c r="Y11" s="16"/>
      <c r="Z11" s="16"/>
      <c r="AA11" s="16"/>
      <c r="AB11" s="16">
        <v>0</v>
      </c>
      <c r="AC11" s="16">
        <v>2629</v>
      </c>
      <c r="AD11" s="16">
        <f>(3130.69+129.91)*6</f>
        <v>19563.599999999999</v>
      </c>
      <c r="AE11" s="16"/>
      <c r="AF11" s="16">
        <v>600</v>
      </c>
      <c r="AG11" s="43"/>
      <c r="AH11" s="9">
        <f t="shared" si="1"/>
        <v>87572.06</v>
      </c>
      <c r="AI11" s="9">
        <f t="shared" si="2"/>
        <v>4951.3</v>
      </c>
    </row>
    <row r="12" spans="1:35" ht="13.5" customHeight="1" x14ac:dyDescent="0.4">
      <c r="A12" s="46"/>
      <c r="B12" s="17"/>
      <c r="C12" s="8"/>
      <c r="D12" s="25">
        <v>55.65</v>
      </c>
      <c r="E12" s="29">
        <v>55650.400000000001</v>
      </c>
      <c r="F12" s="23"/>
      <c r="G12" s="23"/>
      <c r="H12" s="23"/>
      <c r="I12" s="30"/>
      <c r="J12" s="30"/>
      <c r="K12" s="30"/>
      <c r="L12" s="30"/>
      <c r="M12" s="31">
        <f t="shared" si="3"/>
        <v>55650.400000000001</v>
      </c>
      <c r="N12" s="16">
        <v>6061.68</v>
      </c>
      <c r="O12" s="16">
        <v>2178</v>
      </c>
      <c r="P12" s="16">
        <v>351.24</v>
      </c>
      <c r="Q12" s="16">
        <v>72.12</v>
      </c>
      <c r="R12" s="16">
        <f t="shared" si="4"/>
        <v>34.86</v>
      </c>
      <c r="S12" s="16">
        <v>31.38</v>
      </c>
      <c r="T12" s="16">
        <f>(65.52*6)+(2.3*6)</f>
        <v>406.92</v>
      </c>
      <c r="U12" s="16">
        <f>(3.45*6)+(30.24*6)</f>
        <v>202.14</v>
      </c>
      <c r="V12" s="16"/>
      <c r="W12" s="16">
        <v>198.36</v>
      </c>
      <c r="X12" s="16">
        <f>(171.51*6)</f>
        <v>1029.06</v>
      </c>
      <c r="Y12" s="16"/>
      <c r="Z12" s="16"/>
      <c r="AA12" s="16"/>
      <c r="AB12" s="16">
        <v>0</v>
      </c>
      <c r="AC12" s="16">
        <v>5565.04</v>
      </c>
      <c r="AD12" s="16">
        <f>(2950.4)*6</f>
        <v>17702.400000000001</v>
      </c>
      <c r="AE12" s="16"/>
      <c r="AF12" s="16">
        <v>600</v>
      </c>
      <c r="AG12" s="43"/>
      <c r="AH12" s="9">
        <f t="shared" si="1"/>
        <v>81836.56</v>
      </c>
      <c r="AI12" s="9">
        <f t="shared" si="2"/>
        <v>8048.68</v>
      </c>
    </row>
    <row r="13" spans="1:35" x14ac:dyDescent="0.4">
      <c r="A13" s="46"/>
      <c r="B13" s="18"/>
      <c r="C13" s="8"/>
      <c r="D13" s="25">
        <v>68.290000000000006</v>
      </c>
      <c r="E13" s="29">
        <v>62280.480000000003</v>
      </c>
      <c r="F13" s="32"/>
      <c r="G13" s="23"/>
      <c r="H13" s="23"/>
      <c r="I13" s="30"/>
      <c r="J13" s="30"/>
      <c r="K13" s="30"/>
      <c r="L13" s="30"/>
      <c r="M13" s="31">
        <f t="shared" si="3"/>
        <v>62280.480000000003</v>
      </c>
      <c r="N13" s="16">
        <v>6061.68</v>
      </c>
      <c r="O13" s="21">
        <v>1996.5</v>
      </c>
      <c r="P13" s="16">
        <v>217</v>
      </c>
      <c r="Q13" s="21">
        <v>0</v>
      </c>
      <c r="R13" s="16">
        <f>(5.81*6)</f>
        <v>34.86</v>
      </c>
      <c r="S13" s="16">
        <v>26.15</v>
      </c>
      <c r="T13" s="16">
        <f>(83.66*6)+(4.3*6)</f>
        <v>527.76</v>
      </c>
      <c r="U13" s="16">
        <f>(6.45*6)+(72.07*6)</f>
        <v>471.11999999999995</v>
      </c>
      <c r="V13" s="16"/>
      <c r="W13" s="16">
        <v>181.83</v>
      </c>
      <c r="X13" s="16">
        <f>(218.89*6)</f>
        <v>1313.34</v>
      </c>
      <c r="Y13" s="16"/>
      <c r="Z13" s="16"/>
      <c r="AA13" s="16">
        <v>618.96</v>
      </c>
      <c r="AB13" s="16">
        <v>0</v>
      </c>
      <c r="AC13" s="16">
        <v>0</v>
      </c>
      <c r="AD13" s="16">
        <f>(3765.32+156.25)*6</f>
        <v>23529.420000000002</v>
      </c>
      <c r="AE13" s="16"/>
      <c r="AF13" s="16">
        <v>600</v>
      </c>
      <c r="AG13" s="43"/>
      <c r="AH13" s="9">
        <f t="shared" si="1"/>
        <v>94564.54</v>
      </c>
      <c r="AI13" s="9">
        <f t="shared" si="2"/>
        <v>2493.77</v>
      </c>
    </row>
    <row r="14" spans="1:35" x14ac:dyDescent="0.4">
      <c r="B14" s="11"/>
      <c r="C14" s="12"/>
      <c r="D14" s="26"/>
      <c r="E14" s="10"/>
      <c r="F14" s="10"/>
      <c r="G14" s="10"/>
      <c r="H14" s="10"/>
      <c r="I14" s="10"/>
      <c r="J14" s="10"/>
      <c r="K14" s="10"/>
      <c r="L14" s="10"/>
      <c r="M14" s="31">
        <f t="shared" si="3"/>
        <v>0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9">
        <f t="shared" si="1"/>
        <v>0</v>
      </c>
      <c r="AI14" s="9">
        <f t="shared" si="2"/>
        <v>0</v>
      </c>
    </row>
    <row r="15" spans="1:35" x14ac:dyDescent="0.4">
      <c r="B15" s="13" t="s">
        <v>10</v>
      </c>
      <c r="C15" s="14"/>
      <c r="D15" s="27"/>
      <c r="E15" s="37">
        <f t="shared" ref="E15:AI15" si="5">SUM(E7:E14)</f>
        <v>461221.28</v>
      </c>
      <c r="F15" s="37">
        <f t="shared" si="5"/>
        <v>0</v>
      </c>
      <c r="G15" s="37">
        <f t="shared" si="5"/>
        <v>73282.11</v>
      </c>
      <c r="H15" s="37">
        <f t="shared" si="5"/>
        <v>0</v>
      </c>
      <c r="I15" s="37">
        <f t="shared" si="5"/>
        <v>0</v>
      </c>
      <c r="J15" s="37">
        <f t="shared" si="5"/>
        <v>0</v>
      </c>
      <c r="K15" s="37">
        <f t="shared" si="5"/>
        <v>0</v>
      </c>
      <c r="L15" s="37">
        <f t="shared" si="5"/>
        <v>0</v>
      </c>
      <c r="M15" s="37">
        <f t="shared" si="5"/>
        <v>534503.39000000013</v>
      </c>
      <c r="N15" s="15">
        <f t="shared" si="5"/>
        <v>42865.439999999995</v>
      </c>
      <c r="O15" s="15">
        <f t="shared" si="5"/>
        <v>15274.369999999999</v>
      </c>
      <c r="P15" s="15">
        <f t="shared" si="5"/>
        <v>2999.16</v>
      </c>
      <c r="Q15" s="15">
        <f t="shared" si="5"/>
        <v>782.42000000000007</v>
      </c>
      <c r="R15" s="15">
        <f t="shared" si="5"/>
        <v>209.16000000000003</v>
      </c>
      <c r="S15" s="34">
        <f t="shared" si="5"/>
        <v>316.74</v>
      </c>
      <c r="T15" s="15">
        <f t="shared" si="5"/>
        <v>3383.6800000000003</v>
      </c>
      <c r="U15" s="15">
        <f t="shared" si="5"/>
        <v>1375.66</v>
      </c>
      <c r="V15" s="15">
        <f t="shared" si="5"/>
        <v>0</v>
      </c>
      <c r="W15" s="15">
        <f t="shared" si="5"/>
        <v>1231.0999999999999</v>
      </c>
      <c r="X15" s="15">
        <f t="shared" si="5"/>
        <v>8751.7800000000007</v>
      </c>
      <c r="Y15" s="15">
        <f t="shared" si="5"/>
        <v>0</v>
      </c>
      <c r="Z15" s="15">
        <f t="shared" si="5"/>
        <v>0</v>
      </c>
      <c r="AA15" s="15">
        <f t="shared" si="5"/>
        <v>618.96</v>
      </c>
      <c r="AB15" s="15">
        <f t="shared" si="5"/>
        <v>0</v>
      </c>
      <c r="AC15" s="15">
        <f t="shared" si="5"/>
        <v>35749.24</v>
      </c>
      <c r="AD15" s="15">
        <f t="shared" si="5"/>
        <v>96128.52</v>
      </c>
      <c r="AE15" s="15">
        <f t="shared" si="5"/>
        <v>0</v>
      </c>
      <c r="AF15" s="15">
        <f t="shared" si="5"/>
        <v>4200</v>
      </c>
      <c r="AG15" s="15">
        <f t="shared" si="5"/>
        <v>0</v>
      </c>
      <c r="AH15" s="15">
        <f t="shared" si="5"/>
        <v>693041.13000000012</v>
      </c>
      <c r="AI15" s="15">
        <f t="shared" si="5"/>
        <v>53498.43</v>
      </c>
    </row>
  </sheetData>
  <mergeCells count="29">
    <mergeCell ref="AH5:AI5"/>
    <mergeCell ref="X4:Y4"/>
    <mergeCell ref="X5:Y5"/>
    <mergeCell ref="AB4:AC4"/>
    <mergeCell ref="P5:Q5"/>
    <mergeCell ref="R5:S5"/>
    <mergeCell ref="AB5:AC5"/>
    <mergeCell ref="T5:U5"/>
    <mergeCell ref="T4:U4"/>
    <mergeCell ref="AF5:AG5"/>
    <mergeCell ref="AD5:AE5"/>
    <mergeCell ref="Z5:AA5"/>
    <mergeCell ref="V5:W5"/>
    <mergeCell ref="B5:B6"/>
    <mergeCell ref="C5:C6"/>
    <mergeCell ref="D5:D6"/>
    <mergeCell ref="E5:E6"/>
    <mergeCell ref="F5:F6"/>
    <mergeCell ref="G5:G6"/>
    <mergeCell ref="H5:H6"/>
    <mergeCell ref="N4:O4"/>
    <mergeCell ref="P4:Q4"/>
    <mergeCell ref="R4:S4"/>
    <mergeCell ref="I5:I6"/>
    <mergeCell ref="M5:M6"/>
    <mergeCell ref="N5:O5"/>
    <mergeCell ref="J5:J6"/>
    <mergeCell ref="K5:K6"/>
    <mergeCell ref="L5:L6"/>
  </mergeCells>
  <pageMargins left="0" right="0" top="0.75" bottom="0.75" header="0.3" footer="0.3"/>
  <pageSetup scale="39" orientation="landscape" r:id="rId1"/>
  <ignoredErrors>
    <ignoredError sqref="M7:M14" formulaRange="1"/>
    <ignoredError sqref="R7:U13 X7:X14 AC7:AD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7EA5-11A6-4C43-9A74-92C208AD83F7}">
  <sheetPr>
    <pageSetUpPr fitToPage="1"/>
  </sheetPr>
  <dimension ref="A1:AI19"/>
  <sheetViews>
    <sheetView topLeftCell="A2" workbookViewId="0">
      <selection activeCell="C15" sqref="C15"/>
    </sheetView>
  </sheetViews>
  <sheetFormatPr defaultColWidth="9.15234375" defaultRowHeight="15.45" x14ac:dyDescent="0.4"/>
  <cols>
    <col min="1" max="1" width="12.3828125" style="3" customWidth="1"/>
    <col min="2" max="2" width="10.84375" style="3" customWidth="1"/>
    <col min="3" max="3" width="34.535156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1.84375" style="3" customWidth="1"/>
    <col min="29" max="29" width="12.3046875" style="3" bestFit="1" customWidth="1"/>
    <col min="30" max="33" width="12.3046875" style="3" customWidth="1"/>
    <col min="34" max="34" width="11.3046875" style="3" customWidth="1"/>
    <col min="35" max="35" width="9.69140625" style="3" customWidth="1"/>
    <col min="36" max="38" width="9.15234375" style="3" customWidth="1"/>
    <col min="39" max="16384" width="9.15234375" style="3"/>
  </cols>
  <sheetData>
    <row r="1" spans="1:35" ht="20.25" hidden="1" customHeight="1" x14ac:dyDescent="0.4">
      <c r="B1" s="1" t="s">
        <v>11</v>
      </c>
      <c r="C1" s="2"/>
      <c r="D1" s="2"/>
      <c r="F1" s="2"/>
      <c r="G1" s="2"/>
      <c r="H1" s="2"/>
      <c r="I1" s="2"/>
      <c r="J1" s="2"/>
      <c r="K1" s="2"/>
      <c r="L1" s="2"/>
      <c r="M1" s="20"/>
      <c r="N1" s="36"/>
      <c r="O1" s="35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4">
      <c r="B2" s="1" t="s">
        <v>24</v>
      </c>
      <c r="C2" s="2"/>
      <c r="D2" s="2"/>
      <c r="F2" s="2"/>
      <c r="G2" s="2"/>
      <c r="H2" s="2"/>
      <c r="I2" s="2"/>
      <c r="J2" s="2"/>
      <c r="K2" s="2"/>
      <c r="L2" s="2"/>
      <c r="M2" s="20"/>
      <c r="N2" s="36"/>
      <c r="O2" s="35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47</v>
      </c>
      <c r="C3" s="2"/>
      <c r="D3" s="2"/>
      <c r="F3" s="4">
        <v>2024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1" t="s">
        <v>17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4">
      <c r="D5" s="5"/>
      <c r="E5" s="28"/>
      <c r="F5" s="28"/>
      <c r="G5" s="28"/>
      <c r="H5" s="28"/>
      <c r="I5" s="28"/>
      <c r="J5" s="28"/>
      <c r="K5" s="28"/>
      <c r="L5" s="28"/>
      <c r="M5" s="33"/>
      <c r="N5" s="49"/>
      <c r="O5" s="49"/>
      <c r="P5" s="49"/>
      <c r="Q5" s="49"/>
      <c r="R5" s="49"/>
      <c r="S5" s="49"/>
      <c r="T5" s="49"/>
      <c r="U5" s="49"/>
      <c r="V5" s="42"/>
      <c r="W5" s="42"/>
      <c r="X5" s="49"/>
      <c r="Y5" s="49"/>
      <c r="Z5" s="42"/>
      <c r="AA5" s="42"/>
      <c r="AB5" s="49"/>
      <c r="AC5" s="49"/>
      <c r="AD5" s="42"/>
      <c r="AE5" s="42"/>
      <c r="AF5" s="42"/>
      <c r="AG5" s="42"/>
      <c r="AH5" s="6"/>
      <c r="AI5" s="6"/>
    </row>
    <row r="6" spans="1:35" ht="30" customHeight="1" x14ac:dyDescent="0.4">
      <c r="B6" s="47" t="s">
        <v>12</v>
      </c>
      <c r="C6" s="47" t="s">
        <v>16</v>
      </c>
      <c r="D6" s="47" t="s">
        <v>23</v>
      </c>
      <c r="E6" s="47" t="s">
        <v>0</v>
      </c>
      <c r="F6" s="47" t="s">
        <v>1</v>
      </c>
      <c r="G6" s="47" t="s">
        <v>34</v>
      </c>
      <c r="H6" s="47" t="s">
        <v>33</v>
      </c>
      <c r="I6" s="47" t="s">
        <v>3</v>
      </c>
      <c r="J6" s="47" t="s">
        <v>13</v>
      </c>
      <c r="K6" s="47" t="s">
        <v>42</v>
      </c>
      <c r="L6" s="47" t="s">
        <v>48</v>
      </c>
      <c r="M6" s="47" t="s">
        <v>5</v>
      </c>
      <c r="N6" s="50" t="s">
        <v>45</v>
      </c>
      <c r="O6" s="51"/>
      <c r="P6" s="50" t="s">
        <v>14</v>
      </c>
      <c r="Q6" s="51"/>
      <c r="R6" s="50" t="s">
        <v>46</v>
      </c>
      <c r="S6" s="51"/>
      <c r="T6" s="50" t="s">
        <v>6</v>
      </c>
      <c r="U6" s="51"/>
      <c r="V6" s="53" t="s">
        <v>44</v>
      </c>
      <c r="W6" s="51"/>
      <c r="X6" s="50" t="s">
        <v>22</v>
      </c>
      <c r="Y6" s="51"/>
      <c r="Z6" s="50" t="s">
        <v>43</v>
      </c>
      <c r="AA6" s="51"/>
      <c r="AB6" s="50" t="s">
        <v>7</v>
      </c>
      <c r="AC6" s="51"/>
      <c r="AD6" s="50" t="s">
        <v>41</v>
      </c>
      <c r="AE6" s="51"/>
      <c r="AF6" s="50" t="s">
        <v>39</v>
      </c>
      <c r="AG6" s="51"/>
      <c r="AH6" s="50" t="s">
        <v>8</v>
      </c>
      <c r="AI6" s="51"/>
    </row>
    <row r="7" spans="1:35" x14ac:dyDescent="0.4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7" t="s">
        <v>37</v>
      </c>
      <c r="O7" s="7" t="s">
        <v>9</v>
      </c>
      <c r="P7" s="7" t="str">
        <f>+$N$7</f>
        <v>Clark</v>
      </c>
      <c r="Q7" s="7" t="s">
        <v>9</v>
      </c>
      <c r="R7" s="7" t="str">
        <f>+$N$7</f>
        <v>Clark</v>
      </c>
      <c r="S7" s="7" t="s">
        <v>9</v>
      </c>
      <c r="T7" s="7" t="str">
        <f>+$N$7</f>
        <v>Clark</v>
      </c>
      <c r="U7" s="7" t="s">
        <v>9</v>
      </c>
      <c r="V7" s="7" t="str">
        <f>+$N$7</f>
        <v>Clark</v>
      </c>
      <c r="W7" s="7" t="s">
        <v>9</v>
      </c>
      <c r="X7" s="7" t="str">
        <f>+$N$7</f>
        <v>Clark</v>
      </c>
      <c r="Y7" s="7" t="s">
        <v>9</v>
      </c>
      <c r="Z7" s="7" t="str">
        <f>+$N$7</f>
        <v>Clark</v>
      </c>
      <c r="AA7" s="7" t="s">
        <v>9</v>
      </c>
      <c r="AB7" s="7" t="str">
        <f>+$N$7</f>
        <v>Clark</v>
      </c>
      <c r="AC7" s="7" t="s">
        <v>9</v>
      </c>
      <c r="AD7" s="7" t="str">
        <f>+$N$7</f>
        <v>Clark</v>
      </c>
      <c r="AE7" s="7" t="s">
        <v>9</v>
      </c>
      <c r="AF7" s="7" t="s">
        <v>37</v>
      </c>
      <c r="AG7" s="7" t="s">
        <v>9</v>
      </c>
      <c r="AH7" s="7" t="str">
        <f>+$N$7</f>
        <v>Clark</v>
      </c>
      <c r="AI7" s="7" t="s">
        <v>9</v>
      </c>
    </row>
    <row r="8" spans="1:35" x14ac:dyDescent="0.4">
      <c r="A8" s="46"/>
      <c r="B8" s="17"/>
      <c r="D8" s="25">
        <v>71.540000000000006</v>
      </c>
      <c r="E8" s="29">
        <v>142432.4</v>
      </c>
      <c r="F8" s="23"/>
      <c r="G8" s="23">
        <v>7654.78</v>
      </c>
      <c r="H8" s="23"/>
      <c r="I8" s="30">
        <v>378.99</v>
      </c>
      <c r="J8" s="30"/>
      <c r="K8" s="30"/>
      <c r="L8" s="30"/>
      <c r="M8" s="31">
        <f>SUM(E8:L8)</f>
        <v>150466.16999999998</v>
      </c>
      <c r="N8" s="16">
        <v>14489.88</v>
      </c>
      <c r="O8" s="21">
        <v>5912.88</v>
      </c>
      <c r="P8" s="16">
        <f>(86.66*12)</f>
        <v>1039.92</v>
      </c>
      <c r="Q8" s="21">
        <v>325.92</v>
      </c>
      <c r="R8" s="16">
        <f t="shared" ref="R8:R14" si="0">(5.81*12)</f>
        <v>69.72</v>
      </c>
      <c r="S8" s="16">
        <v>135.24</v>
      </c>
      <c r="T8" s="16">
        <f>(10.8)+(79.38*12)</f>
        <v>963.3599999999999</v>
      </c>
      <c r="U8" s="16">
        <v>257.64</v>
      </c>
      <c r="V8" s="16"/>
      <c r="W8" s="16"/>
      <c r="X8" s="16">
        <f>(207.03*12)</f>
        <v>2484.36</v>
      </c>
      <c r="Y8" s="16"/>
      <c r="Z8" s="16"/>
      <c r="AA8" s="16"/>
      <c r="AB8" s="16"/>
      <c r="AC8" s="16">
        <v>0</v>
      </c>
      <c r="AD8" s="16">
        <f>(2368.99+98.52)*12</f>
        <v>29610.119999999995</v>
      </c>
      <c r="AE8" s="16"/>
      <c r="AF8" s="16">
        <v>500</v>
      </c>
      <c r="AG8" s="16"/>
      <c r="AH8" s="9">
        <f t="shared" ref="AH8:AH15" si="1">+M8+N8+P8+R8+T8+X8+AB8+AD8+AF8</f>
        <v>199623.52999999997</v>
      </c>
      <c r="AI8" s="9">
        <f t="shared" ref="AI8:AI15" si="2">+O8+Q8+S8+U8+Y8+AC8+AE8+AG8</f>
        <v>6631.68</v>
      </c>
    </row>
    <row r="9" spans="1:35" x14ac:dyDescent="0.4">
      <c r="A9" s="46"/>
      <c r="B9" s="17"/>
      <c r="C9" s="8"/>
      <c r="D9" s="25">
        <v>74.239999999999995</v>
      </c>
      <c r="E9" s="29">
        <v>149526.79999999999</v>
      </c>
      <c r="F9" s="23"/>
      <c r="G9" s="23"/>
      <c r="H9" s="23"/>
      <c r="I9" s="30">
        <v>4979</v>
      </c>
      <c r="J9" s="30"/>
      <c r="K9" s="30"/>
      <c r="L9" s="30"/>
      <c r="M9" s="31">
        <f t="shared" ref="M9:M15" si="3">SUM(E9:L9)</f>
        <v>154505.79999999999</v>
      </c>
      <c r="N9" s="16">
        <v>12189.75</v>
      </c>
      <c r="O9" s="21">
        <f>(2463.7)+(2210.46)</f>
        <v>4674.16</v>
      </c>
      <c r="P9" s="16">
        <f>(58.54*5)+(86.66*5)</f>
        <v>726</v>
      </c>
      <c r="Q9" s="21">
        <f>(135.8)+(84.14)</f>
        <v>219.94</v>
      </c>
      <c r="R9" s="16"/>
      <c r="S9" s="16"/>
      <c r="T9" s="16">
        <f>(51.6)+(85.26*12)</f>
        <v>1074.72</v>
      </c>
      <c r="U9" s="16">
        <f>(876.96)+(77.4)+(24)</f>
        <v>978.36</v>
      </c>
      <c r="V9" s="16"/>
      <c r="W9" s="16">
        <v>497.04</v>
      </c>
      <c r="X9" s="16">
        <f>(223.44*12)</f>
        <v>2681.2799999999997</v>
      </c>
      <c r="Y9" s="16"/>
      <c r="Z9" s="16"/>
      <c r="AA9" s="16"/>
      <c r="AB9" s="16"/>
      <c r="AC9" s="16">
        <f>(23000)+(6456.83)</f>
        <v>29456.83</v>
      </c>
      <c r="AD9" s="16"/>
      <c r="AE9" s="16"/>
      <c r="AF9" s="16">
        <v>500</v>
      </c>
      <c r="AG9" s="16"/>
      <c r="AH9" s="9">
        <f t="shared" si="1"/>
        <v>171677.55</v>
      </c>
      <c r="AI9" s="9">
        <f t="shared" si="2"/>
        <v>35329.29</v>
      </c>
    </row>
    <row r="10" spans="1:35" ht="13.5" customHeight="1" x14ac:dyDescent="0.4">
      <c r="A10" s="46"/>
      <c r="B10" s="18"/>
      <c r="C10" s="8"/>
      <c r="D10" s="25">
        <v>74.2</v>
      </c>
      <c r="E10" s="29">
        <v>149443.6</v>
      </c>
      <c r="F10" s="30"/>
      <c r="G10" s="23"/>
      <c r="H10" s="23"/>
      <c r="I10" s="30">
        <v>5478.99</v>
      </c>
      <c r="J10" s="30"/>
      <c r="K10" s="30"/>
      <c r="L10" s="30"/>
      <c r="M10" s="31">
        <f t="shared" si="3"/>
        <v>154922.59</v>
      </c>
      <c r="N10" s="16">
        <v>4421.6400000000003</v>
      </c>
      <c r="O10" s="21">
        <v>491.28</v>
      </c>
      <c r="P10" s="16">
        <f>(86.66*12)</f>
        <v>1039.92</v>
      </c>
      <c r="Q10" s="21">
        <v>325.92</v>
      </c>
      <c r="R10" s="16">
        <f t="shared" si="0"/>
        <v>69.72</v>
      </c>
      <c r="S10" s="16">
        <v>135.24</v>
      </c>
      <c r="T10" s="16">
        <f>(51.6)+(85.26*12)</f>
        <v>1074.72</v>
      </c>
      <c r="U10" s="16">
        <f>(93.96)+(24)</f>
        <v>117.96</v>
      </c>
      <c r="V10" s="16"/>
      <c r="W10" s="16">
        <v>497.04</v>
      </c>
      <c r="X10" s="16">
        <f>(223.31*12)</f>
        <v>2679.7200000000003</v>
      </c>
      <c r="Y10" s="16"/>
      <c r="Z10" s="16"/>
      <c r="AA10" s="16"/>
      <c r="AB10" s="16"/>
      <c r="AC10" s="16">
        <v>8966.67</v>
      </c>
      <c r="AD10" s="16"/>
      <c r="AE10" s="16"/>
      <c r="AF10" s="16">
        <v>500</v>
      </c>
      <c r="AG10" s="16"/>
      <c r="AH10" s="9">
        <f t="shared" si="1"/>
        <v>164708.31000000003</v>
      </c>
      <c r="AI10" s="9">
        <f t="shared" si="2"/>
        <v>10037.07</v>
      </c>
    </row>
    <row r="11" spans="1:35" x14ac:dyDescent="0.4">
      <c r="A11" s="46"/>
      <c r="B11" s="18"/>
      <c r="C11" s="8"/>
      <c r="D11" s="25">
        <v>56.51</v>
      </c>
      <c r="E11" s="29">
        <v>114354.8</v>
      </c>
      <c r="F11" s="32"/>
      <c r="G11" s="23">
        <v>2260.4</v>
      </c>
      <c r="H11" s="23"/>
      <c r="I11" s="30">
        <v>4579</v>
      </c>
      <c r="J11" s="30"/>
      <c r="K11" s="30"/>
      <c r="L11" s="30"/>
      <c r="M11" s="31">
        <f t="shared" si="3"/>
        <v>121194.2</v>
      </c>
      <c r="N11" s="16">
        <v>14489.88</v>
      </c>
      <c r="O11" s="21">
        <v>5912.88</v>
      </c>
      <c r="P11" s="16">
        <f>(86.66*12)</f>
        <v>1039.92</v>
      </c>
      <c r="Q11" s="21">
        <v>325.92</v>
      </c>
      <c r="R11" s="16">
        <f t="shared" si="0"/>
        <v>69.72</v>
      </c>
      <c r="S11" s="16">
        <v>135.24</v>
      </c>
      <c r="T11" s="16">
        <f>(27.6)+(65.86*12)</f>
        <v>817.92</v>
      </c>
      <c r="U11" s="16">
        <f>(362.88)+(41.4)+(528.72)+(24)</f>
        <v>957</v>
      </c>
      <c r="V11" s="16"/>
      <c r="W11" s="16">
        <v>497.04</v>
      </c>
      <c r="X11" s="16">
        <f>(171*68*12)</f>
        <v>139536</v>
      </c>
      <c r="Y11" s="16"/>
      <c r="Z11" s="16"/>
      <c r="AA11" s="16"/>
      <c r="AB11" s="16"/>
      <c r="AC11" s="16">
        <f>(9148.28)+(9148.28)</f>
        <v>18296.560000000001</v>
      </c>
      <c r="AD11" s="16">
        <f>(2953.16+122.55)*12</f>
        <v>36908.520000000004</v>
      </c>
      <c r="AE11" s="16"/>
      <c r="AF11" s="16">
        <v>500</v>
      </c>
      <c r="AG11" s="16"/>
      <c r="AH11" s="9">
        <f t="shared" si="1"/>
        <v>314556.16000000003</v>
      </c>
      <c r="AI11" s="9">
        <f t="shared" si="2"/>
        <v>25627.600000000002</v>
      </c>
    </row>
    <row r="12" spans="1:35" x14ac:dyDescent="0.4">
      <c r="A12" s="46"/>
      <c r="B12" s="18"/>
      <c r="C12" s="8"/>
      <c r="D12" s="25">
        <v>56.78</v>
      </c>
      <c r="E12" s="29">
        <v>114905.60000000001</v>
      </c>
      <c r="F12" s="32"/>
      <c r="G12" s="23">
        <v>12443.57</v>
      </c>
      <c r="H12" s="23"/>
      <c r="I12" s="30"/>
      <c r="J12" s="30"/>
      <c r="K12" s="30"/>
      <c r="L12" s="30"/>
      <c r="M12" s="31">
        <f t="shared" si="3"/>
        <v>127349.17000000001</v>
      </c>
      <c r="N12" s="16">
        <v>9539.52</v>
      </c>
      <c r="O12" s="21">
        <v>3247.2</v>
      </c>
      <c r="P12" s="16">
        <f>(86.66*12)</f>
        <v>1039.92</v>
      </c>
      <c r="Q12" s="21">
        <v>325.92</v>
      </c>
      <c r="R12" s="16">
        <f t="shared" si="0"/>
        <v>69.72</v>
      </c>
      <c r="S12" s="16">
        <v>135.24</v>
      </c>
      <c r="T12" s="16">
        <f>(27.6)+(65.86*12)</f>
        <v>817.92</v>
      </c>
      <c r="U12" s="16">
        <f>(362.88)+(41.4)+(24)</f>
        <v>428.28</v>
      </c>
      <c r="V12" s="16"/>
      <c r="W12" s="16">
        <v>252.12</v>
      </c>
      <c r="X12" s="16">
        <f>(172.51*12)</f>
        <v>2070.12</v>
      </c>
      <c r="Y12" s="16"/>
      <c r="Z12" s="16"/>
      <c r="AA12" s="16"/>
      <c r="AB12" s="16"/>
      <c r="AC12" s="16">
        <v>4596.22</v>
      </c>
      <c r="AD12" s="16">
        <f>(2967.5+123.14)*12</f>
        <v>37087.68</v>
      </c>
      <c r="AE12" s="16"/>
      <c r="AF12" s="16">
        <v>500</v>
      </c>
      <c r="AG12" s="16"/>
      <c r="AH12" s="9">
        <f t="shared" si="1"/>
        <v>178474.05000000002</v>
      </c>
      <c r="AI12" s="9">
        <f t="shared" si="2"/>
        <v>8732.86</v>
      </c>
    </row>
    <row r="13" spans="1:35" x14ac:dyDescent="0.4">
      <c r="A13" s="46"/>
      <c r="B13" s="17"/>
      <c r="C13" s="8"/>
      <c r="D13" s="38">
        <v>53.51</v>
      </c>
      <c r="E13" s="29">
        <v>104002</v>
      </c>
      <c r="F13" s="23"/>
      <c r="G13" s="23">
        <v>2140.4</v>
      </c>
      <c r="H13" s="23"/>
      <c r="I13" s="30">
        <v>379</v>
      </c>
      <c r="J13" s="30"/>
      <c r="K13" s="30"/>
      <c r="L13" s="30"/>
      <c r="M13" s="31">
        <f t="shared" si="3"/>
        <v>106521.4</v>
      </c>
      <c r="N13" s="16">
        <v>10546.8</v>
      </c>
      <c r="O13" s="16">
        <v>3789.36</v>
      </c>
      <c r="P13" s="16">
        <f>(58.54*12)</f>
        <v>702.48</v>
      </c>
      <c r="Q13" s="16">
        <v>144.24</v>
      </c>
      <c r="R13" s="16">
        <f t="shared" si="0"/>
        <v>69.72</v>
      </c>
      <c r="S13" s="16">
        <v>62.76</v>
      </c>
      <c r="T13" s="16">
        <f>(27.6)+(58.8*12)</f>
        <v>733.19999999999993</v>
      </c>
      <c r="U13" s="16">
        <f>(324)+(41.4)</f>
        <v>365.4</v>
      </c>
      <c r="V13" s="16"/>
      <c r="W13" s="16">
        <v>396.72</v>
      </c>
      <c r="X13" s="16">
        <f>(153.41*12)</f>
        <v>1840.92</v>
      </c>
      <c r="Y13" s="16"/>
      <c r="Z13" s="16"/>
      <c r="AA13" s="16"/>
      <c r="AB13" s="16"/>
      <c r="AC13" s="16">
        <v>10400.200000000001</v>
      </c>
      <c r="AD13" s="16">
        <f>(2638.88+109.5)*12</f>
        <v>32980.559999999998</v>
      </c>
      <c r="AE13" s="16"/>
      <c r="AF13" s="16">
        <v>500</v>
      </c>
      <c r="AG13" s="16"/>
      <c r="AH13" s="9">
        <f t="shared" si="1"/>
        <v>153895.07999999999</v>
      </c>
      <c r="AI13" s="9">
        <f t="shared" si="2"/>
        <v>14761.960000000001</v>
      </c>
    </row>
    <row r="14" spans="1:35" x14ac:dyDescent="0.4">
      <c r="A14" s="46"/>
      <c r="B14" s="18"/>
      <c r="C14" s="8"/>
      <c r="D14" s="25">
        <v>68.290000000000006</v>
      </c>
      <c r="E14" s="29">
        <v>132809.88</v>
      </c>
      <c r="F14" s="32"/>
      <c r="G14" s="23"/>
      <c r="H14" s="23"/>
      <c r="I14" s="30">
        <v>379</v>
      </c>
      <c r="J14" s="30"/>
      <c r="K14" s="30"/>
      <c r="L14" s="30"/>
      <c r="M14" s="31">
        <f t="shared" si="3"/>
        <v>133188.88</v>
      </c>
      <c r="N14" s="16">
        <v>10546.8</v>
      </c>
      <c r="O14" s="21">
        <v>3789.36</v>
      </c>
      <c r="P14" s="16">
        <v>0</v>
      </c>
      <c r="Q14" s="21">
        <v>0</v>
      </c>
      <c r="R14" s="16">
        <f t="shared" si="0"/>
        <v>69.72</v>
      </c>
      <c r="S14" s="16">
        <v>62.76</v>
      </c>
      <c r="T14" s="16">
        <f>(51.6)+(77.62*12)</f>
        <v>983.04000000000008</v>
      </c>
      <c r="U14" s="16">
        <f>(883.92)+(77.4)+(86.4)</f>
        <v>1047.72</v>
      </c>
      <c r="V14" s="16"/>
      <c r="W14" s="16">
        <v>396.72</v>
      </c>
      <c r="X14" s="16">
        <f>(202.41*12)</f>
        <v>2428.92</v>
      </c>
      <c r="Y14" s="16"/>
      <c r="Z14" s="16"/>
      <c r="AA14" s="16">
        <v>1237.92</v>
      </c>
      <c r="AB14" s="16"/>
      <c r="AC14" s="16">
        <v>0</v>
      </c>
      <c r="AD14" s="16">
        <f>(3481.92+144.49)*12</f>
        <v>43516.92</v>
      </c>
      <c r="AE14" s="16"/>
      <c r="AF14" s="16">
        <v>500</v>
      </c>
      <c r="AG14" s="16"/>
      <c r="AH14" s="9">
        <f t="shared" si="1"/>
        <v>191234.28000000003</v>
      </c>
      <c r="AI14" s="9">
        <f t="shared" si="2"/>
        <v>4899.84</v>
      </c>
    </row>
    <row r="15" spans="1:35" x14ac:dyDescent="0.4">
      <c r="A15" s="46"/>
      <c r="B15" s="11"/>
      <c r="C15" s="12"/>
      <c r="D15" s="39"/>
      <c r="E15" s="10"/>
      <c r="F15" s="10"/>
      <c r="G15" s="10"/>
      <c r="H15" s="10"/>
      <c r="I15" s="10"/>
      <c r="J15" s="10"/>
      <c r="K15" s="10"/>
      <c r="L15" s="10"/>
      <c r="M15" s="31">
        <f t="shared" si="3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9">
        <f t="shared" si="1"/>
        <v>0</v>
      </c>
      <c r="AI15" s="9">
        <f t="shared" si="2"/>
        <v>0</v>
      </c>
    </row>
    <row r="16" spans="1:35" x14ac:dyDescent="0.4">
      <c r="B16" s="13" t="s">
        <v>10</v>
      </c>
      <c r="C16" s="14"/>
      <c r="D16" s="40"/>
      <c r="E16" s="37">
        <f t="shared" ref="E16:AI16" si="4">SUM(E8:E15)</f>
        <v>907475.08</v>
      </c>
      <c r="F16" s="37">
        <f t="shared" si="4"/>
        <v>0</v>
      </c>
      <c r="G16" s="37">
        <f t="shared" si="4"/>
        <v>24499.15</v>
      </c>
      <c r="H16" s="37">
        <f t="shared" si="4"/>
        <v>0</v>
      </c>
      <c r="I16" s="37">
        <f t="shared" si="4"/>
        <v>16173.98</v>
      </c>
      <c r="J16" s="37">
        <f t="shared" si="4"/>
        <v>0</v>
      </c>
      <c r="K16" s="37">
        <f t="shared" si="4"/>
        <v>0</v>
      </c>
      <c r="L16" s="37">
        <f t="shared" si="4"/>
        <v>0</v>
      </c>
      <c r="M16" s="37">
        <f t="shared" si="4"/>
        <v>948148.21</v>
      </c>
      <c r="N16" s="15">
        <f t="shared" si="4"/>
        <v>76224.27</v>
      </c>
      <c r="O16" s="15">
        <f t="shared" si="4"/>
        <v>27817.120000000003</v>
      </c>
      <c r="P16" s="15">
        <f t="shared" si="4"/>
        <v>5588.16</v>
      </c>
      <c r="Q16" s="15">
        <f t="shared" si="4"/>
        <v>1667.8600000000001</v>
      </c>
      <c r="R16" s="15">
        <f t="shared" si="4"/>
        <v>418.32000000000005</v>
      </c>
      <c r="S16" s="34">
        <f t="shared" si="4"/>
        <v>666.48</v>
      </c>
      <c r="T16" s="15">
        <f t="shared" si="4"/>
        <v>6464.88</v>
      </c>
      <c r="U16" s="15">
        <f t="shared" si="4"/>
        <v>4152.3599999999997</v>
      </c>
      <c r="V16" s="15">
        <f t="shared" si="4"/>
        <v>0</v>
      </c>
      <c r="W16" s="15">
        <f t="shared" si="4"/>
        <v>2536.6800000000003</v>
      </c>
      <c r="X16" s="15">
        <f t="shared" si="4"/>
        <v>153721.32</v>
      </c>
      <c r="Y16" s="15">
        <f t="shared" si="4"/>
        <v>0</v>
      </c>
      <c r="Z16" s="15">
        <f t="shared" si="4"/>
        <v>0</v>
      </c>
      <c r="AA16" s="15">
        <f t="shared" si="4"/>
        <v>1237.92</v>
      </c>
      <c r="AB16" s="15">
        <f t="shared" si="4"/>
        <v>0</v>
      </c>
      <c r="AC16" s="15">
        <f t="shared" si="4"/>
        <v>71716.479999999996</v>
      </c>
      <c r="AD16" s="15">
        <f t="shared" si="4"/>
        <v>180103.8</v>
      </c>
      <c r="AE16" s="15">
        <f t="shared" si="4"/>
        <v>0</v>
      </c>
      <c r="AF16" s="15">
        <f t="shared" si="4"/>
        <v>3500</v>
      </c>
      <c r="AG16" s="15">
        <f t="shared" si="4"/>
        <v>0</v>
      </c>
      <c r="AH16" s="15">
        <f t="shared" si="4"/>
        <v>1374168.9600000002</v>
      </c>
      <c r="AI16" s="15">
        <f t="shared" si="4"/>
        <v>106020.3</v>
      </c>
    </row>
    <row r="17" spans="5:15" x14ac:dyDescent="0.4">
      <c r="O17" s="19"/>
    </row>
    <row r="19" spans="5:15" x14ac:dyDescent="0.4">
      <c r="E19" s="19"/>
    </row>
  </sheetData>
  <mergeCells count="29">
    <mergeCell ref="X5:Y5"/>
    <mergeCell ref="X6:Y6"/>
    <mergeCell ref="AB5:AC5"/>
    <mergeCell ref="AB6:AC6"/>
    <mergeCell ref="AF6:AG6"/>
    <mergeCell ref="Z6:AA6"/>
    <mergeCell ref="AH6:AI6"/>
    <mergeCell ref="B6:B7"/>
    <mergeCell ref="C6:C7"/>
    <mergeCell ref="D6:D7"/>
    <mergeCell ref="AD6:AE6"/>
    <mergeCell ref="J6:J7"/>
    <mergeCell ref="K6:K7"/>
    <mergeCell ref="V6:W6"/>
    <mergeCell ref="P5:Q5"/>
    <mergeCell ref="R5:S5"/>
    <mergeCell ref="T5:U5"/>
    <mergeCell ref="I6:I7"/>
    <mergeCell ref="E6:E7"/>
    <mergeCell ref="F6:F7"/>
    <mergeCell ref="G6:G7"/>
    <mergeCell ref="H6:H7"/>
    <mergeCell ref="N5:O5"/>
    <mergeCell ref="M6:M7"/>
    <mergeCell ref="N6:O6"/>
    <mergeCell ref="P6:Q6"/>
    <mergeCell ref="R6:S6"/>
    <mergeCell ref="T6:U6"/>
    <mergeCell ref="L6:L7"/>
  </mergeCells>
  <pageMargins left="0" right="0" top="0.75" bottom="0.75" header="0.3" footer="0.3"/>
  <pageSetup scale="39" orientation="landscape" r:id="rId1"/>
  <ignoredErrors>
    <ignoredError sqref="M8:M15" formulaRange="1"/>
    <ignoredError sqref="O9 X8:X14 AC8:AD14 Q9:U9 P10:U14 P8:U8" unlockedFormula="1"/>
    <ignoredError sqref="P9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38D3-6308-4C91-A7D3-4E9D853CA42A}">
  <sheetPr>
    <pageSetUpPr fitToPage="1"/>
  </sheetPr>
  <dimension ref="A1:AI19"/>
  <sheetViews>
    <sheetView topLeftCell="A2" workbookViewId="0">
      <selection activeCell="C15" sqref="C15"/>
    </sheetView>
  </sheetViews>
  <sheetFormatPr defaultColWidth="9.15234375" defaultRowHeight="15.45" x14ac:dyDescent="0.4"/>
  <cols>
    <col min="1" max="1" width="12.3046875" style="3" customWidth="1"/>
    <col min="2" max="2" width="10.84375" style="3" customWidth="1"/>
    <col min="3" max="3" width="34.535156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2.3828125" style="3" customWidth="1"/>
    <col min="29" max="29" width="12.3046875" style="3" bestFit="1" customWidth="1"/>
    <col min="30" max="33" width="12.3046875" style="3" customWidth="1"/>
    <col min="34" max="34" width="11.3046875" style="3" customWidth="1"/>
    <col min="35" max="35" width="9.69140625" style="3" customWidth="1"/>
    <col min="36" max="37" width="9.15234375" style="3" customWidth="1"/>
    <col min="38" max="16384" width="9.15234375" style="3"/>
  </cols>
  <sheetData>
    <row r="1" spans="1:35" ht="20.25" hidden="1" customHeight="1" x14ac:dyDescent="0.4">
      <c r="B1" s="1" t="s">
        <v>11</v>
      </c>
      <c r="C1" s="2"/>
      <c r="D1" s="2"/>
      <c r="F1" s="2"/>
      <c r="G1" s="2"/>
      <c r="H1" s="2"/>
      <c r="I1" s="2"/>
      <c r="J1" s="2"/>
      <c r="K1" s="2"/>
      <c r="L1" s="2"/>
      <c r="M1" s="20"/>
      <c r="N1" s="36"/>
      <c r="O1" s="35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4">
      <c r="B2" s="1" t="s">
        <v>24</v>
      </c>
      <c r="C2" s="2"/>
      <c r="D2" s="2"/>
      <c r="F2" s="2"/>
      <c r="G2" s="2"/>
      <c r="H2" s="2"/>
      <c r="I2" s="2"/>
      <c r="J2" s="2"/>
      <c r="K2" s="2"/>
      <c r="L2" s="2"/>
      <c r="M2" s="20"/>
      <c r="N2" s="36"/>
      <c r="O2" s="35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47</v>
      </c>
      <c r="C3" s="2"/>
      <c r="D3" s="2"/>
      <c r="F3" s="4">
        <v>2023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1" t="s">
        <v>17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4">
      <c r="D5" s="5"/>
      <c r="E5" s="28"/>
      <c r="F5" s="28"/>
      <c r="G5" s="28"/>
      <c r="H5" s="28"/>
      <c r="I5" s="28"/>
      <c r="J5" s="28"/>
      <c r="K5" s="28"/>
      <c r="L5" s="28"/>
      <c r="M5" s="33"/>
      <c r="N5" s="49"/>
      <c r="O5" s="49"/>
      <c r="P5" s="49"/>
      <c r="Q5" s="49"/>
      <c r="R5" s="49"/>
      <c r="S5" s="49"/>
      <c r="T5" s="49"/>
      <c r="U5" s="49"/>
      <c r="V5" s="42"/>
      <c r="W5" s="42"/>
      <c r="X5" s="49"/>
      <c r="Y5" s="49"/>
      <c r="Z5" s="42"/>
      <c r="AA5" s="42"/>
      <c r="AB5" s="49"/>
      <c r="AC5" s="49"/>
      <c r="AD5" s="42"/>
      <c r="AE5" s="42"/>
      <c r="AF5" s="42"/>
      <c r="AG5" s="42"/>
      <c r="AH5" s="6"/>
      <c r="AI5" s="6"/>
    </row>
    <row r="6" spans="1:35" ht="30" customHeight="1" x14ac:dyDescent="0.4">
      <c r="B6" s="47" t="s">
        <v>12</v>
      </c>
      <c r="C6" s="47" t="s">
        <v>15</v>
      </c>
      <c r="D6" s="47" t="s">
        <v>31</v>
      </c>
      <c r="E6" s="47" t="s">
        <v>0</v>
      </c>
      <c r="F6" s="47" t="s">
        <v>1</v>
      </c>
      <c r="G6" s="47" t="s">
        <v>34</v>
      </c>
      <c r="H6" s="47" t="s">
        <v>35</v>
      </c>
      <c r="I6" s="47" t="s">
        <v>3</v>
      </c>
      <c r="J6" s="47" t="s">
        <v>13</v>
      </c>
      <c r="K6" s="47" t="s">
        <v>42</v>
      </c>
      <c r="L6" s="47" t="s">
        <v>48</v>
      </c>
      <c r="M6" s="47" t="s">
        <v>5</v>
      </c>
      <c r="N6" s="50" t="s">
        <v>45</v>
      </c>
      <c r="O6" s="51"/>
      <c r="P6" s="50" t="s">
        <v>14</v>
      </c>
      <c r="Q6" s="51"/>
      <c r="R6" s="50" t="s">
        <v>46</v>
      </c>
      <c r="S6" s="51"/>
      <c r="T6" s="50" t="s">
        <v>6</v>
      </c>
      <c r="U6" s="51"/>
      <c r="V6" s="53" t="s">
        <v>44</v>
      </c>
      <c r="W6" s="51"/>
      <c r="X6" s="50" t="s">
        <v>22</v>
      </c>
      <c r="Y6" s="51"/>
      <c r="Z6" s="50" t="s">
        <v>43</v>
      </c>
      <c r="AA6" s="51"/>
      <c r="AB6" s="50" t="s">
        <v>7</v>
      </c>
      <c r="AC6" s="51"/>
      <c r="AD6" s="50" t="s">
        <v>41</v>
      </c>
      <c r="AE6" s="51"/>
      <c r="AF6" s="50" t="s">
        <v>39</v>
      </c>
      <c r="AG6" s="51"/>
      <c r="AH6" s="50" t="s">
        <v>8</v>
      </c>
      <c r="AI6" s="51"/>
    </row>
    <row r="7" spans="1:35" x14ac:dyDescent="0.4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7" t="s">
        <v>37</v>
      </c>
      <c r="O7" s="7" t="s">
        <v>9</v>
      </c>
      <c r="P7" s="7" t="str">
        <f>+$N$7</f>
        <v>Clark</v>
      </c>
      <c r="Q7" s="7" t="s">
        <v>9</v>
      </c>
      <c r="R7" s="7" t="str">
        <f>+$N$7</f>
        <v>Clark</v>
      </c>
      <c r="S7" s="7" t="s">
        <v>9</v>
      </c>
      <c r="T7" s="7" t="str">
        <f>+$N$7</f>
        <v>Clark</v>
      </c>
      <c r="U7" s="7" t="s">
        <v>9</v>
      </c>
      <c r="V7" s="7" t="str">
        <f>+$N$7</f>
        <v>Clark</v>
      </c>
      <c r="W7" s="7" t="s">
        <v>9</v>
      </c>
      <c r="X7" s="7" t="str">
        <f>+$N$7</f>
        <v>Clark</v>
      </c>
      <c r="Y7" s="7" t="s">
        <v>9</v>
      </c>
      <c r="Z7" s="7" t="str">
        <f>+$N$7</f>
        <v>Clark</v>
      </c>
      <c r="AA7" s="7" t="s">
        <v>9</v>
      </c>
      <c r="AB7" s="7" t="str">
        <f>+$N$7</f>
        <v>Clark</v>
      </c>
      <c r="AC7" s="7" t="s">
        <v>9</v>
      </c>
      <c r="AD7" s="7" t="str">
        <f>+$N$7</f>
        <v>Clark</v>
      </c>
      <c r="AE7" s="7" t="s">
        <v>9</v>
      </c>
      <c r="AF7" s="7" t="str">
        <f>+$N$7</f>
        <v>Clark</v>
      </c>
      <c r="AG7" s="7" t="s">
        <v>9</v>
      </c>
      <c r="AH7" s="7" t="str">
        <f>+$N$7</f>
        <v>Clark</v>
      </c>
      <c r="AI7" s="7" t="s">
        <v>9</v>
      </c>
    </row>
    <row r="8" spans="1:35" x14ac:dyDescent="0.4">
      <c r="A8" s="46"/>
      <c r="B8" s="17"/>
      <c r="D8" s="25">
        <v>64.59</v>
      </c>
      <c r="E8" s="29">
        <v>128804</v>
      </c>
      <c r="F8" s="23"/>
      <c r="G8" s="23">
        <f>(4521.3)+(2583.6)</f>
        <v>7104.9</v>
      </c>
      <c r="H8" s="23"/>
      <c r="I8" s="30">
        <v>379</v>
      </c>
      <c r="J8" s="30"/>
      <c r="K8" s="30"/>
      <c r="L8" s="30"/>
      <c r="M8" s="31">
        <f>SUM(E8:L8)</f>
        <v>136287.9</v>
      </c>
      <c r="N8" s="16">
        <v>14489.88</v>
      </c>
      <c r="O8" s="21">
        <v>5912.88</v>
      </c>
      <c r="P8" s="16">
        <f>(86.66*12)</f>
        <v>1039.92</v>
      </c>
      <c r="Q8" s="21">
        <v>325.92</v>
      </c>
      <c r="R8" s="16">
        <f t="shared" ref="R8:R14" si="0">(5.81*12)</f>
        <v>69.72</v>
      </c>
      <c r="S8" s="16">
        <v>135.24</v>
      </c>
      <c r="T8" s="16">
        <f>(10.8)+(74.66*12)</f>
        <v>906.71999999999991</v>
      </c>
      <c r="U8" s="16">
        <v>232.8</v>
      </c>
      <c r="V8" s="16"/>
      <c r="W8" s="16"/>
      <c r="X8" s="16">
        <f>(187.86*12)</f>
        <v>2254.3200000000002</v>
      </c>
      <c r="Y8" s="16"/>
      <c r="Z8" s="16"/>
      <c r="AA8" s="16"/>
      <c r="AB8" s="16"/>
      <c r="AC8" s="16"/>
      <c r="AD8" s="16">
        <f>(2128.33+88.38)*12</f>
        <v>26600.52</v>
      </c>
      <c r="AE8" s="16"/>
      <c r="AF8" s="16">
        <v>500</v>
      </c>
      <c r="AG8" s="16"/>
      <c r="AH8" s="9">
        <f t="shared" ref="AH8:AH15" si="1">+M8+N8+P8+R8+T8+X8+AB8</f>
        <v>155048.46000000002</v>
      </c>
      <c r="AI8" s="9">
        <f t="shared" ref="AI8:AI15" si="2">+O8+Q9+S8+U8+Y8+AC8</f>
        <v>6606.84</v>
      </c>
    </row>
    <row r="9" spans="1:35" x14ac:dyDescent="0.4">
      <c r="A9" s="46"/>
      <c r="B9" s="17"/>
      <c r="C9" s="8"/>
      <c r="D9" s="25">
        <v>69.709999999999994</v>
      </c>
      <c r="E9" s="29">
        <v>140330.4</v>
      </c>
      <c r="F9" s="23"/>
      <c r="G9" s="23"/>
      <c r="H9" s="23"/>
      <c r="I9" s="30">
        <v>379</v>
      </c>
      <c r="J9" s="30"/>
      <c r="K9" s="30"/>
      <c r="L9" s="30"/>
      <c r="M9" s="31">
        <f t="shared" ref="M9:M15" si="3">SUM(E9:L9)</f>
        <v>140709.4</v>
      </c>
      <c r="N9" s="16">
        <v>14489.88</v>
      </c>
      <c r="O9" s="21">
        <v>5912.88</v>
      </c>
      <c r="P9" s="16">
        <f>(86.66*12)</f>
        <v>1039.92</v>
      </c>
      <c r="Q9" s="21">
        <v>325.92</v>
      </c>
      <c r="R9" s="16"/>
      <c r="S9" s="16"/>
      <c r="T9" s="16">
        <f>(27.6)+(82.62*12)</f>
        <v>1019.0400000000001</v>
      </c>
      <c r="U9" s="16">
        <f>(437.4)+(41.4)+(24)</f>
        <v>502.79999999999995</v>
      </c>
      <c r="V9" s="16"/>
      <c r="W9" s="16">
        <v>497.04</v>
      </c>
      <c r="X9" s="16">
        <f>(206.61*12)</f>
        <v>2479.3200000000002</v>
      </c>
      <c r="Y9" s="16"/>
      <c r="Z9" s="16"/>
      <c r="AA9" s="16"/>
      <c r="AB9" s="16"/>
      <c r="AC9" s="16">
        <v>28066.080000000002</v>
      </c>
      <c r="AD9" s="16"/>
      <c r="AE9" s="16"/>
      <c r="AF9" s="16">
        <v>500</v>
      </c>
      <c r="AG9" s="16"/>
      <c r="AH9" s="9">
        <f t="shared" si="1"/>
        <v>159737.56000000003</v>
      </c>
      <c r="AI9" s="9">
        <f t="shared" si="2"/>
        <v>34807.68</v>
      </c>
    </row>
    <row r="10" spans="1:35" x14ac:dyDescent="0.4">
      <c r="A10" s="46"/>
      <c r="B10" s="18"/>
      <c r="C10" s="8"/>
      <c r="D10" s="25">
        <v>69.67</v>
      </c>
      <c r="E10" s="29">
        <v>140085.20000000001</v>
      </c>
      <c r="F10" s="30"/>
      <c r="G10" s="23"/>
      <c r="H10" s="23"/>
      <c r="I10" s="30">
        <v>378.99</v>
      </c>
      <c r="J10" s="30"/>
      <c r="K10" s="30"/>
      <c r="L10" s="30"/>
      <c r="M10" s="31">
        <f t="shared" si="3"/>
        <v>140464.19</v>
      </c>
      <c r="N10" s="16">
        <v>4421.6400000000003</v>
      </c>
      <c r="O10" s="21">
        <v>491.28</v>
      </c>
      <c r="P10" s="16">
        <f>(86.66*12)</f>
        <v>1039.92</v>
      </c>
      <c r="Q10" s="21">
        <v>325.92</v>
      </c>
      <c r="R10" s="16">
        <f t="shared" si="0"/>
        <v>69.72</v>
      </c>
      <c r="S10" s="16">
        <v>135.19999999999999</v>
      </c>
      <c r="T10" s="16">
        <f>(51.6)+(82.01*12)</f>
        <v>1035.72</v>
      </c>
      <c r="U10" s="16">
        <f>(86.88)+(24)</f>
        <v>110.88</v>
      </c>
      <c r="V10" s="16"/>
      <c r="W10" s="16">
        <v>497.04</v>
      </c>
      <c r="X10" s="16">
        <f>(206*12)</f>
        <v>2472</v>
      </c>
      <c r="Y10" s="16"/>
      <c r="Z10" s="16"/>
      <c r="AA10" s="16"/>
      <c r="AB10" s="16"/>
      <c r="AC10" s="16">
        <v>8405.19</v>
      </c>
      <c r="AD10" s="16"/>
      <c r="AE10" s="16"/>
      <c r="AF10" s="16">
        <v>500</v>
      </c>
      <c r="AG10" s="16"/>
      <c r="AH10" s="9">
        <f t="shared" si="1"/>
        <v>149503.19000000003</v>
      </c>
      <c r="AI10" s="9">
        <f t="shared" si="2"/>
        <v>9468.4700000000012</v>
      </c>
    </row>
    <row r="11" spans="1:35" x14ac:dyDescent="0.4">
      <c r="A11" s="46"/>
      <c r="B11" s="18"/>
      <c r="C11" s="8"/>
      <c r="D11" s="25">
        <v>53.56</v>
      </c>
      <c r="E11" s="29">
        <v>108484.9</v>
      </c>
      <c r="F11" s="32"/>
      <c r="G11" s="23">
        <v>1713.92</v>
      </c>
      <c r="H11" s="23"/>
      <c r="I11" s="30">
        <v>379</v>
      </c>
      <c r="J11" s="30"/>
      <c r="K11" s="30"/>
      <c r="L11" s="30"/>
      <c r="M11" s="31">
        <f t="shared" si="3"/>
        <v>110577.81999999999</v>
      </c>
      <c r="N11" s="16">
        <v>14489.88</v>
      </c>
      <c r="O11" s="21">
        <v>5912.88</v>
      </c>
      <c r="P11" s="16">
        <f>(86.66*12)</f>
        <v>1039.92</v>
      </c>
      <c r="Q11" s="21">
        <v>325.92</v>
      </c>
      <c r="R11" s="16">
        <f t="shared" si="0"/>
        <v>69.72</v>
      </c>
      <c r="S11" s="16">
        <v>135.24</v>
      </c>
      <c r="T11" s="16">
        <f>(18)+(62.26*12)</f>
        <v>765.12</v>
      </c>
      <c r="U11" s="16">
        <f>(221.76)+(27)+(484.66)+(264.36)+(24)</f>
        <v>1021.7800000000001</v>
      </c>
      <c r="V11" s="16"/>
      <c r="W11" s="16">
        <v>497.04</v>
      </c>
      <c r="X11" s="16">
        <f>(161.45*12)</f>
        <v>1937.3999999999999</v>
      </c>
      <c r="Y11" s="16"/>
      <c r="Z11" s="16"/>
      <c r="AA11" s="16"/>
      <c r="AB11" s="16"/>
      <c r="AC11" s="16">
        <f>(8678.74)+(8678.74)</f>
        <v>17357.48</v>
      </c>
      <c r="AD11" s="16">
        <f>(2750.21+114.37)*12</f>
        <v>34374.959999999999</v>
      </c>
      <c r="AE11" s="16"/>
      <c r="AF11" s="16">
        <v>500</v>
      </c>
      <c r="AG11" s="16"/>
      <c r="AH11" s="9">
        <f t="shared" si="1"/>
        <v>128879.85999999999</v>
      </c>
      <c r="AI11" s="9">
        <f t="shared" si="2"/>
        <v>24753.3</v>
      </c>
    </row>
    <row r="12" spans="1:35" x14ac:dyDescent="0.4">
      <c r="A12" s="46"/>
      <c r="B12" s="18"/>
      <c r="C12" s="8"/>
      <c r="D12" s="25">
        <v>53.82</v>
      </c>
      <c r="E12" s="29">
        <v>109004</v>
      </c>
      <c r="F12" s="32"/>
      <c r="G12" s="23">
        <f>(5921.37)+(2152.8)</f>
        <v>8074.17</v>
      </c>
      <c r="H12" s="23"/>
      <c r="I12" s="30">
        <v>378.99</v>
      </c>
      <c r="J12" s="30"/>
      <c r="K12" s="30"/>
      <c r="L12" s="30"/>
      <c r="M12" s="31">
        <f t="shared" si="3"/>
        <v>117457.16</v>
      </c>
      <c r="N12" s="16">
        <v>9539.52</v>
      </c>
      <c r="O12" s="21">
        <v>3247.2</v>
      </c>
      <c r="P12" s="16">
        <f>(86.66*12)</f>
        <v>1039.92</v>
      </c>
      <c r="Q12" s="21">
        <v>325.92</v>
      </c>
      <c r="R12" s="16">
        <f t="shared" si="0"/>
        <v>69.72</v>
      </c>
      <c r="S12" s="16">
        <v>135.24</v>
      </c>
      <c r="T12" s="16">
        <f>(27.6)+(64.87*12)</f>
        <v>806.04000000000008</v>
      </c>
      <c r="U12" s="16">
        <f>(343.44)+(41.4)+(24)</f>
        <v>408.84</v>
      </c>
      <c r="V12" s="16"/>
      <c r="W12" s="16">
        <v>252.12</v>
      </c>
      <c r="X12" s="16">
        <f>(162.22*12)</f>
        <v>1946.6399999999999</v>
      </c>
      <c r="Y12" s="16"/>
      <c r="Z12" s="16"/>
      <c r="AA12" s="16"/>
      <c r="AB12" s="16"/>
      <c r="AC12" s="16">
        <v>3375.97</v>
      </c>
      <c r="AD12" s="16">
        <f>(2763.31+114.92)*12</f>
        <v>34538.76</v>
      </c>
      <c r="AE12" s="16"/>
      <c r="AF12" s="16">
        <v>500</v>
      </c>
      <c r="AG12" s="16"/>
      <c r="AH12" s="9">
        <f t="shared" si="1"/>
        <v>130859</v>
      </c>
      <c r="AI12" s="9">
        <f t="shared" si="2"/>
        <v>7311.49</v>
      </c>
    </row>
    <row r="13" spans="1:35" x14ac:dyDescent="0.4">
      <c r="A13" s="46"/>
      <c r="B13" s="17"/>
      <c r="C13" s="8"/>
      <c r="D13" s="25">
        <v>47.86</v>
      </c>
      <c r="E13" s="29">
        <v>97442.8</v>
      </c>
      <c r="G13" s="23"/>
      <c r="H13" s="23"/>
      <c r="I13" s="23">
        <v>1336.19</v>
      </c>
      <c r="J13" s="23"/>
      <c r="K13" s="23"/>
      <c r="L13" s="23"/>
      <c r="M13" s="31">
        <f t="shared" si="3"/>
        <v>98778.99</v>
      </c>
      <c r="N13" s="16">
        <v>10546.8</v>
      </c>
      <c r="O13" s="16">
        <v>3789.36</v>
      </c>
      <c r="P13" s="16">
        <f>(58.54*12)</f>
        <v>702.48</v>
      </c>
      <c r="Q13" s="16">
        <v>144.24</v>
      </c>
      <c r="R13" s="16">
        <f t="shared" si="0"/>
        <v>69.72</v>
      </c>
      <c r="S13" s="16">
        <v>62.76</v>
      </c>
      <c r="T13" s="16">
        <f>(27.6)+(58.75*12)</f>
        <v>732.6</v>
      </c>
      <c r="U13" s="16">
        <f>(311.04)+(41.4)</f>
        <v>352.44</v>
      </c>
      <c r="V13" s="16"/>
      <c r="W13" s="16">
        <v>396.72</v>
      </c>
      <c r="X13" s="16">
        <f>(147.15*12)</f>
        <v>1765.8000000000002</v>
      </c>
      <c r="Y13" s="16"/>
      <c r="Z13" s="16"/>
      <c r="AA13" s="16"/>
      <c r="AB13" s="16"/>
      <c r="AC13" s="16">
        <v>9744.2800000000007</v>
      </c>
      <c r="AD13" s="16">
        <f>(2506.69+104.25)*12</f>
        <v>31331.279999999999</v>
      </c>
      <c r="AE13" s="16"/>
      <c r="AF13" s="16">
        <v>500</v>
      </c>
      <c r="AG13" s="16"/>
      <c r="AH13" s="9">
        <f t="shared" si="1"/>
        <v>112596.39000000001</v>
      </c>
      <c r="AI13" s="9">
        <f t="shared" si="2"/>
        <v>13948.84</v>
      </c>
    </row>
    <row r="14" spans="1:35" x14ac:dyDescent="0.4">
      <c r="A14" s="46"/>
      <c r="B14" s="18"/>
      <c r="C14" s="8"/>
      <c r="D14" s="25">
        <v>63.15</v>
      </c>
      <c r="E14" s="29">
        <v>126970</v>
      </c>
      <c r="F14" s="32"/>
      <c r="G14" s="23"/>
      <c r="H14" s="23"/>
      <c r="I14" s="30">
        <v>378.99</v>
      </c>
      <c r="J14" s="30"/>
      <c r="K14" s="30"/>
      <c r="L14" s="30"/>
      <c r="M14" s="31">
        <f t="shared" si="3"/>
        <v>127348.99</v>
      </c>
      <c r="N14" s="16">
        <v>10546.8</v>
      </c>
      <c r="O14" s="21">
        <v>3789.36</v>
      </c>
      <c r="P14" s="16">
        <f>(36.2*12)</f>
        <v>434.40000000000003</v>
      </c>
      <c r="Q14" s="21">
        <v>0</v>
      </c>
      <c r="R14" s="16">
        <f t="shared" si="0"/>
        <v>69.72</v>
      </c>
      <c r="S14" s="16">
        <v>62.76</v>
      </c>
      <c r="T14" s="16">
        <f>(51.6)+(74.66*12)</f>
        <v>947.52</v>
      </c>
      <c r="U14" s="16">
        <f>(816.96)+(77.4)+(79.2)+(39.6)</f>
        <v>1013.1600000000001</v>
      </c>
      <c r="V14" s="16"/>
      <c r="W14" s="16">
        <v>396.72</v>
      </c>
      <c r="X14" s="16">
        <f>(186.71*12)</f>
        <v>2240.52</v>
      </c>
      <c r="Y14" s="16"/>
      <c r="Z14" s="16"/>
      <c r="AA14" s="16">
        <v>1237.92</v>
      </c>
      <c r="AB14" s="16"/>
      <c r="AC14" s="16"/>
      <c r="AD14" s="16">
        <f>(3180.45+132.27)*12</f>
        <v>39752.639999999999</v>
      </c>
      <c r="AE14" s="16"/>
      <c r="AF14" s="16">
        <v>500</v>
      </c>
      <c r="AG14" s="16"/>
      <c r="AH14" s="9">
        <f t="shared" si="1"/>
        <v>141587.94999999998</v>
      </c>
      <c r="AI14" s="9">
        <f t="shared" si="2"/>
        <v>4865.2800000000007</v>
      </c>
    </row>
    <row r="15" spans="1:35" x14ac:dyDescent="0.4">
      <c r="B15" s="11"/>
      <c r="C15" s="12"/>
      <c r="D15" s="26"/>
      <c r="E15" s="10"/>
      <c r="F15" s="10"/>
      <c r="G15" s="10"/>
      <c r="H15" s="10"/>
      <c r="I15" s="10"/>
      <c r="J15" s="10"/>
      <c r="K15" s="10"/>
      <c r="L15" s="10"/>
      <c r="M15" s="31">
        <f t="shared" si="3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9">
        <f t="shared" si="1"/>
        <v>0</v>
      </c>
      <c r="AI15" s="9">
        <f t="shared" si="2"/>
        <v>1773.8400000000001</v>
      </c>
    </row>
    <row r="16" spans="1:35" x14ac:dyDescent="0.4">
      <c r="B16" s="13" t="s">
        <v>10</v>
      </c>
      <c r="C16" s="14"/>
      <c r="D16" s="27"/>
      <c r="E16" s="37">
        <f t="shared" ref="E16:AI16" si="4">SUM(E8:E15)</f>
        <v>851121.3</v>
      </c>
      <c r="F16" s="37">
        <f t="shared" si="4"/>
        <v>0</v>
      </c>
      <c r="G16" s="37">
        <f t="shared" si="4"/>
        <v>16892.989999999998</v>
      </c>
      <c r="H16" s="37">
        <f t="shared" si="4"/>
        <v>0</v>
      </c>
      <c r="I16" s="37">
        <f t="shared" si="4"/>
        <v>3610.16</v>
      </c>
      <c r="J16" s="37">
        <f t="shared" si="4"/>
        <v>0</v>
      </c>
      <c r="K16" s="37">
        <f t="shared" si="4"/>
        <v>0</v>
      </c>
      <c r="L16" s="37">
        <f t="shared" si="4"/>
        <v>0</v>
      </c>
      <c r="M16" s="37">
        <f t="shared" si="4"/>
        <v>871624.45</v>
      </c>
      <c r="N16" s="15">
        <f t="shared" si="4"/>
        <v>78524.400000000009</v>
      </c>
      <c r="O16" s="15">
        <f t="shared" si="4"/>
        <v>29055.840000000004</v>
      </c>
      <c r="P16" s="15">
        <f t="shared" si="4"/>
        <v>6336.48</v>
      </c>
      <c r="Q16" s="15">
        <f t="shared" si="4"/>
        <v>1773.8400000000001</v>
      </c>
      <c r="R16" s="15">
        <f t="shared" si="4"/>
        <v>418.32000000000005</v>
      </c>
      <c r="S16" s="15">
        <f t="shared" si="4"/>
        <v>666.44</v>
      </c>
      <c r="T16" s="15">
        <f t="shared" si="4"/>
        <v>6212.76</v>
      </c>
      <c r="U16" s="15">
        <f t="shared" si="4"/>
        <v>3642.7</v>
      </c>
      <c r="V16" s="15">
        <f t="shared" si="4"/>
        <v>0</v>
      </c>
      <c r="W16" s="15">
        <f t="shared" si="4"/>
        <v>2536.6800000000003</v>
      </c>
      <c r="X16" s="15">
        <f t="shared" si="4"/>
        <v>15096</v>
      </c>
      <c r="Y16" s="15">
        <f t="shared" si="4"/>
        <v>0</v>
      </c>
      <c r="Z16" s="15">
        <f t="shared" si="4"/>
        <v>0</v>
      </c>
      <c r="AA16" s="15">
        <f t="shared" si="4"/>
        <v>1237.92</v>
      </c>
      <c r="AB16" s="15">
        <f t="shared" si="4"/>
        <v>0</v>
      </c>
      <c r="AC16" s="15">
        <f t="shared" si="4"/>
        <v>66949</v>
      </c>
      <c r="AD16" s="15">
        <f t="shared" si="4"/>
        <v>166598.15999999997</v>
      </c>
      <c r="AE16" s="15">
        <f t="shared" si="4"/>
        <v>0</v>
      </c>
      <c r="AF16" s="15">
        <f t="shared" si="4"/>
        <v>3500</v>
      </c>
      <c r="AG16" s="15">
        <f t="shared" si="4"/>
        <v>0</v>
      </c>
      <c r="AH16" s="15">
        <f t="shared" si="4"/>
        <v>978212.41</v>
      </c>
      <c r="AI16" s="15">
        <f t="shared" si="4"/>
        <v>103535.74</v>
      </c>
    </row>
    <row r="17" spans="5:15" x14ac:dyDescent="0.4">
      <c r="O17" s="19"/>
    </row>
    <row r="19" spans="5:15" x14ac:dyDescent="0.4">
      <c r="E19" s="19"/>
    </row>
  </sheetData>
  <mergeCells count="29">
    <mergeCell ref="R6:S6"/>
    <mergeCell ref="AH6:AI6"/>
    <mergeCell ref="T6:U6"/>
    <mergeCell ref="X6:Y6"/>
    <mergeCell ref="AB6:AC6"/>
    <mergeCell ref="AF6:AG6"/>
    <mergeCell ref="AD6:AE6"/>
    <mergeCell ref="V6:W6"/>
    <mergeCell ref="Z6:AA6"/>
    <mergeCell ref="R5:S5"/>
    <mergeCell ref="T5:U5"/>
    <mergeCell ref="X5:Y5"/>
    <mergeCell ref="AB5:AC5"/>
    <mergeCell ref="P5:Q5"/>
    <mergeCell ref="G6:G7"/>
    <mergeCell ref="H6:H7"/>
    <mergeCell ref="I6:I7"/>
    <mergeCell ref="M6:M7"/>
    <mergeCell ref="N6:O6"/>
    <mergeCell ref="B6:B7"/>
    <mergeCell ref="C6:C7"/>
    <mergeCell ref="D6:D7"/>
    <mergeCell ref="E6:E7"/>
    <mergeCell ref="F6:F7"/>
    <mergeCell ref="P6:Q6"/>
    <mergeCell ref="J6:J7"/>
    <mergeCell ref="K6:K7"/>
    <mergeCell ref="L6:L7"/>
    <mergeCell ref="N5:O5"/>
  </mergeCells>
  <pageMargins left="0" right="0" top="0" bottom="0" header="0.3" footer="0.3"/>
  <pageSetup scale="42" orientation="landscape" r:id="rId1"/>
  <ignoredErrors>
    <ignoredError sqref="G8 G12 P8:R14 X8:X14 AC11 AD8:AD14 T8:U14" unlockedFormula="1"/>
    <ignoredError sqref="M9:M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AF4C-0DEE-4645-9952-92FD1304713F}">
  <dimension ref="A1:AI19"/>
  <sheetViews>
    <sheetView topLeftCell="A2" workbookViewId="0">
      <selection activeCell="C15" sqref="C15"/>
    </sheetView>
  </sheetViews>
  <sheetFormatPr defaultColWidth="9.15234375" defaultRowHeight="15.45" x14ac:dyDescent="0.4"/>
  <cols>
    <col min="1" max="1" width="12.15234375" style="3" customWidth="1"/>
    <col min="2" max="2" width="10.84375" style="3" customWidth="1"/>
    <col min="3" max="3" width="34.535156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13.1523437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4.15234375" style="3" customWidth="1"/>
    <col min="29" max="29" width="12.3046875" style="3" bestFit="1" customWidth="1"/>
    <col min="30" max="33" width="12.3046875" style="3" customWidth="1"/>
    <col min="34" max="34" width="11.3046875" style="3" customWidth="1"/>
    <col min="35" max="35" width="9.69140625" style="3" customWidth="1"/>
    <col min="36" max="16384" width="9.15234375" style="3"/>
  </cols>
  <sheetData>
    <row r="1" spans="1:35" ht="20.25" hidden="1" customHeight="1" x14ac:dyDescent="0.4">
      <c r="B1" s="1" t="s">
        <v>11</v>
      </c>
      <c r="C1" s="2"/>
      <c r="D1" s="2"/>
      <c r="F1" s="2"/>
      <c r="G1" s="2"/>
      <c r="H1" s="2"/>
      <c r="I1" s="2"/>
      <c r="J1" s="2"/>
      <c r="K1" s="2"/>
      <c r="L1" s="2"/>
      <c r="M1" s="20"/>
      <c r="N1" s="36"/>
      <c r="O1" s="35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4">
      <c r="B2" s="1" t="s">
        <v>24</v>
      </c>
      <c r="C2" s="2"/>
      <c r="D2" s="2"/>
      <c r="F2" s="2"/>
      <c r="G2" s="2"/>
      <c r="H2" s="2"/>
      <c r="I2" s="2"/>
      <c r="J2" s="2"/>
      <c r="K2" s="2"/>
      <c r="L2" s="2"/>
      <c r="M2" s="20"/>
      <c r="N2" s="36"/>
      <c r="O2" s="35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/>
      <c r="AD2"/>
      <c r="AE2"/>
      <c r="AF2" s="2"/>
      <c r="AG2" s="2"/>
      <c r="AH2" s="2"/>
      <c r="AI2" s="2"/>
    </row>
    <row r="3" spans="1:35" x14ac:dyDescent="0.4">
      <c r="B3" s="1" t="s">
        <v>47</v>
      </c>
      <c r="C3" s="2"/>
      <c r="D3" s="2"/>
      <c r="F3" s="4">
        <v>2022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/>
      <c r="AD3"/>
      <c r="AE3"/>
      <c r="AF3" s="2"/>
      <c r="AG3" s="2"/>
      <c r="AH3" s="2"/>
      <c r="AI3" s="2"/>
    </row>
    <row r="4" spans="1:35" x14ac:dyDescent="0.4">
      <c r="B4" s="1" t="s">
        <v>17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/>
      <c r="AD4"/>
      <c r="AE4"/>
      <c r="AF4" s="2"/>
      <c r="AG4" s="2"/>
      <c r="AH4" s="2"/>
      <c r="AI4" s="2"/>
    </row>
    <row r="5" spans="1:35" x14ac:dyDescent="0.4">
      <c r="D5" s="5"/>
      <c r="E5" s="28"/>
      <c r="F5" s="28"/>
      <c r="G5" s="28"/>
      <c r="H5" s="28"/>
      <c r="I5" s="28"/>
      <c r="J5" s="28"/>
      <c r="K5" s="28"/>
      <c r="L5" s="28"/>
      <c r="M5" s="33"/>
      <c r="N5" s="49"/>
      <c r="O5" s="49"/>
      <c r="P5" s="49"/>
      <c r="Q5" s="49"/>
      <c r="R5" s="49"/>
      <c r="S5" s="49"/>
      <c r="T5" s="54"/>
      <c r="U5" s="54"/>
      <c r="V5"/>
      <c r="W5"/>
      <c r="X5" s="49"/>
      <c r="Y5" s="49"/>
      <c r="Z5" s="42"/>
      <c r="AA5" s="42"/>
      <c r="AB5" s="49"/>
      <c r="AC5" s="49"/>
      <c r="AD5" s="42"/>
      <c r="AE5" s="42"/>
      <c r="AF5" s="42"/>
      <c r="AG5" s="42"/>
      <c r="AH5" s="6"/>
      <c r="AI5" s="6"/>
    </row>
    <row r="6" spans="1:35" ht="30" customHeight="1" x14ac:dyDescent="0.4">
      <c r="B6" s="47" t="s">
        <v>12</v>
      </c>
      <c r="C6" s="47" t="s">
        <v>29</v>
      </c>
      <c r="D6" s="47" t="s">
        <v>30</v>
      </c>
      <c r="E6" s="47" t="s">
        <v>0</v>
      </c>
      <c r="F6" s="47" t="s">
        <v>1</v>
      </c>
      <c r="G6" s="47" t="s">
        <v>34</v>
      </c>
      <c r="H6" s="47" t="s">
        <v>36</v>
      </c>
      <c r="I6" s="47" t="s">
        <v>3</v>
      </c>
      <c r="J6" s="47" t="s">
        <v>13</v>
      </c>
      <c r="K6" s="47" t="s">
        <v>42</v>
      </c>
      <c r="L6" s="47" t="s">
        <v>48</v>
      </c>
      <c r="M6" s="47" t="s">
        <v>5</v>
      </c>
      <c r="N6" s="50" t="s">
        <v>45</v>
      </c>
      <c r="O6" s="51"/>
      <c r="P6" s="50" t="s">
        <v>14</v>
      </c>
      <c r="Q6" s="51"/>
      <c r="R6" s="50" t="s">
        <v>46</v>
      </c>
      <c r="S6" s="51"/>
      <c r="T6" s="50" t="s">
        <v>6</v>
      </c>
      <c r="U6" s="51"/>
      <c r="V6" s="53" t="s">
        <v>44</v>
      </c>
      <c r="W6" s="51"/>
      <c r="X6" s="50" t="s">
        <v>22</v>
      </c>
      <c r="Y6" s="51"/>
      <c r="Z6" s="50" t="s">
        <v>43</v>
      </c>
      <c r="AA6" s="51"/>
      <c r="AB6" s="50" t="s">
        <v>7</v>
      </c>
      <c r="AC6" s="51"/>
      <c r="AD6" s="50" t="s">
        <v>41</v>
      </c>
      <c r="AE6" s="51"/>
      <c r="AF6" s="50" t="s">
        <v>39</v>
      </c>
      <c r="AG6" s="51"/>
      <c r="AH6" s="50" t="s">
        <v>8</v>
      </c>
      <c r="AI6" s="51"/>
    </row>
    <row r="7" spans="1:35" x14ac:dyDescent="0.4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7" t="s">
        <v>21</v>
      </c>
      <c r="O7" s="7" t="s">
        <v>9</v>
      </c>
      <c r="P7" s="7" t="str">
        <f>+$N$7</f>
        <v xml:space="preserve">Clark </v>
      </c>
      <c r="Q7" s="7" t="s">
        <v>9</v>
      </c>
      <c r="R7" s="7" t="str">
        <f>+$N$7</f>
        <v xml:space="preserve">Clark </v>
      </c>
      <c r="S7" s="7" t="s">
        <v>9</v>
      </c>
      <c r="T7" s="7" t="str">
        <f>+$N$7</f>
        <v xml:space="preserve">Clark </v>
      </c>
      <c r="U7" s="7" t="s">
        <v>9</v>
      </c>
      <c r="V7" s="7" t="str">
        <f>+$N$7</f>
        <v xml:space="preserve">Clark </v>
      </c>
      <c r="W7" s="7" t="s">
        <v>9</v>
      </c>
      <c r="X7" s="7" t="str">
        <f>+$N$7</f>
        <v xml:space="preserve">Clark </v>
      </c>
      <c r="Y7" s="7" t="s">
        <v>9</v>
      </c>
      <c r="Z7" s="7" t="str">
        <f>+$N$7</f>
        <v xml:space="preserve">Clark </v>
      </c>
      <c r="AA7" s="7" t="s">
        <v>9</v>
      </c>
      <c r="AB7" s="7" t="str">
        <f>+$N$7</f>
        <v xml:space="preserve">Clark </v>
      </c>
      <c r="AC7" s="7" t="s">
        <v>9</v>
      </c>
      <c r="AD7" s="7" t="str">
        <f>+$N$7</f>
        <v xml:space="preserve">Clark </v>
      </c>
      <c r="AE7" s="7" t="s">
        <v>9</v>
      </c>
      <c r="AF7" s="7" t="s">
        <v>37</v>
      </c>
      <c r="AG7" s="7" t="s">
        <v>9</v>
      </c>
      <c r="AH7" s="7" t="str">
        <f>+$N$7</f>
        <v xml:space="preserve">Clark </v>
      </c>
      <c r="AI7" s="7" t="s">
        <v>9</v>
      </c>
    </row>
    <row r="8" spans="1:35" x14ac:dyDescent="0.4">
      <c r="A8" s="46"/>
      <c r="B8" s="17"/>
      <c r="D8" s="25">
        <v>58.61</v>
      </c>
      <c r="E8" s="29">
        <v>117982.8</v>
      </c>
      <c r="F8" s="23"/>
      <c r="G8" s="23">
        <v>2232.8000000000002</v>
      </c>
      <c r="H8" s="23">
        <v>400</v>
      </c>
      <c r="I8" s="30">
        <v>541.41999999999996</v>
      </c>
      <c r="J8" s="30"/>
      <c r="K8" s="30"/>
      <c r="L8" s="30"/>
      <c r="M8" s="31">
        <f>SUM(E8:L8)</f>
        <v>121157.02</v>
      </c>
      <c r="N8" s="16">
        <v>13416.6</v>
      </c>
      <c r="O8" s="21">
        <v>5474.88</v>
      </c>
      <c r="P8" s="16">
        <f t="shared" ref="P8:P11" si="0">(86.66*12)</f>
        <v>1039.92</v>
      </c>
      <c r="Q8" s="21">
        <v>325.92</v>
      </c>
      <c r="R8" s="16">
        <f t="shared" ref="R8:R14" si="1">(5.81*12)</f>
        <v>69.72</v>
      </c>
      <c r="S8" s="16">
        <v>135.24</v>
      </c>
      <c r="T8" s="16">
        <f>(10.8)+(66.44*12)</f>
        <v>808.07999999999993</v>
      </c>
      <c r="U8" s="16">
        <f>(24)</f>
        <v>24</v>
      </c>
      <c r="V8" s="16"/>
      <c r="W8" s="16"/>
      <c r="X8" s="16">
        <f>(173.69*12)</f>
        <v>2084.2799999999997</v>
      </c>
      <c r="Y8" s="16"/>
      <c r="Z8" s="16"/>
      <c r="AA8" s="16"/>
      <c r="AB8" s="16"/>
      <c r="AC8" s="16"/>
      <c r="AD8" s="16">
        <f>(1806.26+75.14)*12</f>
        <v>22576.800000000003</v>
      </c>
      <c r="AE8" s="16"/>
      <c r="AF8" s="16">
        <v>500</v>
      </c>
      <c r="AG8" s="16"/>
      <c r="AH8" s="9">
        <f t="shared" ref="AH8:AH15" si="2">+M8+N8+P8+R8+T8+X8+AB8+AD8+AF8</f>
        <v>161652.41999999998</v>
      </c>
      <c r="AI8" s="9">
        <f t="shared" ref="AI8:AI15" si="3">+O8+Q8+S8+U8+Y8+AC8+AE8+AG8</f>
        <v>5960.04</v>
      </c>
    </row>
    <row r="9" spans="1:35" x14ac:dyDescent="0.4">
      <c r="A9" s="46"/>
      <c r="B9" s="17"/>
      <c r="C9" s="8"/>
      <c r="D9" s="25">
        <v>64.459999999999994</v>
      </c>
      <c r="E9" s="29">
        <v>130384.8</v>
      </c>
      <c r="F9" s="23"/>
      <c r="G9" s="23"/>
      <c r="H9" s="23">
        <v>400</v>
      </c>
      <c r="I9" s="30">
        <v>541.41999999999996</v>
      </c>
      <c r="J9" s="30"/>
      <c r="K9" s="30"/>
      <c r="L9" s="30"/>
      <c r="M9" s="31">
        <f t="shared" ref="M9:M15" si="4">SUM(E9:L9)</f>
        <v>131326.22</v>
      </c>
      <c r="N9" s="16">
        <v>13416.6</v>
      </c>
      <c r="O9" s="21">
        <v>5474.88</v>
      </c>
      <c r="P9" s="16">
        <f t="shared" si="0"/>
        <v>1039.92</v>
      </c>
      <c r="Q9" s="21">
        <v>325.92</v>
      </c>
      <c r="R9" s="16"/>
      <c r="S9" s="16"/>
      <c r="T9" s="16">
        <f>(27.6)+(74.09*12)</f>
        <v>916.68000000000006</v>
      </c>
      <c r="U9" s="16">
        <f>(408.24)+(41.4)+(24)</f>
        <v>473.64</v>
      </c>
      <c r="V9" s="16"/>
      <c r="W9" s="16">
        <v>497.04</v>
      </c>
      <c r="X9" s="16">
        <f>(192.86*12)</f>
        <v>2314.3200000000002</v>
      </c>
      <c r="Y9" s="16"/>
      <c r="Z9" s="16"/>
      <c r="AA9" s="16"/>
      <c r="AB9" s="16"/>
      <c r="AC9" s="16">
        <v>27000</v>
      </c>
      <c r="AD9" s="16"/>
      <c r="AE9" s="16"/>
      <c r="AF9" s="16">
        <v>500</v>
      </c>
      <c r="AG9" s="16"/>
      <c r="AH9" s="9">
        <f t="shared" si="2"/>
        <v>149513.74000000002</v>
      </c>
      <c r="AI9" s="9">
        <f t="shared" si="3"/>
        <v>33274.44</v>
      </c>
    </row>
    <row r="10" spans="1:35" x14ac:dyDescent="0.4">
      <c r="A10" s="46"/>
      <c r="B10" s="18"/>
      <c r="C10" s="8"/>
      <c r="D10" s="25">
        <v>64.27</v>
      </c>
      <c r="E10" s="29">
        <v>130006</v>
      </c>
      <c r="F10" s="30"/>
      <c r="G10" s="23"/>
      <c r="H10" s="23">
        <v>400</v>
      </c>
      <c r="I10" s="30">
        <v>541.41999999999996</v>
      </c>
      <c r="J10" s="30"/>
      <c r="K10" s="30"/>
      <c r="L10" s="30"/>
      <c r="M10" s="31">
        <f t="shared" si="4"/>
        <v>130947.42</v>
      </c>
      <c r="N10" s="16">
        <v>4093.92</v>
      </c>
      <c r="O10" s="21">
        <v>455.04</v>
      </c>
      <c r="P10" s="16">
        <f t="shared" si="0"/>
        <v>1039.92</v>
      </c>
      <c r="Q10" s="21">
        <v>325.92</v>
      </c>
      <c r="R10" s="16">
        <f t="shared" si="1"/>
        <v>69.72</v>
      </c>
      <c r="S10" s="16">
        <v>135.24</v>
      </c>
      <c r="T10" s="16">
        <f>(51.6)+(73.5*12)</f>
        <v>933.6</v>
      </c>
      <c r="U10" s="16">
        <f>(81)+(24)</f>
        <v>105</v>
      </c>
      <c r="V10" s="16"/>
      <c r="W10" s="16">
        <v>497.04</v>
      </c>
      <c r="X10" s="16">
        <f>(192.32*12)</f>
        <v>2307.84</v>
      </c>
      <c r="Y10" s="16"/>
      <c r="Z10" s="16"/>
      <c r="AA10" s="16"/>
      <c r="AB10" s="16"/>
      <c r="AC10" s="16">
        <v>7800.41</v>
      </c>
      <c r="AD10" s="16">
        <f>(3179.28+132.08)*12</f>
        <v>39736.32</v>
      </c>
      <c r="AE10" s="16"/>
      <c r="AF10" s="16">
        <v>500</v>
      </c>
      <c r="AG10" s="16"/>
      <c r="AH10" s="9">
        <f t="shared" si="2"/>
        <v>179628.74000000002</v>
      </c>
      <c r="AI10" s="9">
        <f t="shared" si="3"/>
        <v>8821.61</v>
      </c>
    </row>
    <row r="11" spans="1:35" x14ac:dyDescent="0.4">
      <c r="A11" s="46"/>
      <c r="B11" s="18"/>
      <c r="C11" s="8"/>
      <c r="D11" s="25">
        <v>50.37</v>
      </c>
      <c r="E11" s="29">
        <v>102426</v>
      </c>
      <c r="F11" s="32"/>
      <c r="G11" s="23">
        <v>1007.4</v>
      </c>
      <c r="H11" s="23">
        <v>400</v>
      </c>
      <c r="I11" s="30">
        <v>541.41999999999996</v>
      </c>
      <c r="J11" s="30"/>
      <c r="K11" s="30"/>
      <c r="L11" s="30"/>
      <c r="M11" s="31">
        <f t="shared" si="4"/>
        <v>104374.81999999999</v>
      </c>
      <c r="N11" s="16">
        <v>13416.6</v>
      </c>
      <c r="O11" s="21">
        <v>5474.88</v>
      </c>
      <c r="P11" s="16">
        <f t="shared" si="0"/>
        <v>1039.92</v>
      </c>
      <c r="Q11" s="21">
        <v>325.92</v>
      </c>
      <c r="R11" s="16">
        <f t="shared" si="1"/>
        <v>69.72</v>
      </c>
      <c r="S11" s="16">
        <v>135.24</v>
      </c>
      <c r="T11" s="16">
        <f>(18)+(59.39*12)</f>
        <v>730.68000000000006</v>
      </c>
      <c r="U11" s="16">
        <f>(195.58)+(27)+(528.72)+(24)</f>
        <v>775.30000000000007</v>
      </c>
      <c r="V11" s="16"/>
      <c r="W11" s="16">
        <v>497.04</v>
      </c>
      <c r="X11" s="16">
        <f>(154.49*12)</f>
        <v>1853.88</v>
      </c>
      <c r="Y11" s="16"/>
      <c r="Z11" s="16"/>
      <c r="AA11" s="16"/>
      <c r="AB11" s="16"/>
      <c r="AC11" s="16">
        <f>(8194.1)+(8194.1)</f>
        <v>16388.2</v>
      </c>
      <c r="AD11" s="16">
        <f>(2554.02+106.1)*12</f>
        <v>31921.439999999999</v>
      </c>
      <c r="AE11" s="16"/>
      <c r="AF11" s="16">
        <v>500</v>
      </c>
      <c r="AG11" s="16"/>
      <c r="AH11" s="9">
        <f t="shared" si="2"/>
        <v>153907.06</v>
      </c>
      <c r="AI11" s="9">
        <f t="shared" si="3"/>
        <v>23099.54</v>
      </c>
    </row>
    <row r="12" spans="1:35" x14ac:dyDescent="0.4">
      <c r="A12" s="46"/>
      <c r="B12" s="18"/>
      <c r="C12" s="8"/>
      <c r="D12" s="25">
        <v>50.61</v>
      </c>
      <c r="E12" s="29">
        <v>103162.8</v>
      </c>
      <c r="F12" s="32"/>
      <c r="G12" s="23">
        <f>(2024.4)+(6812.4)</f>
        <v>8836.7999999999993</v>
      </c>
      <c r="H12" s="23">
        <v>400</v>
      </c>
      <c r="I12" s="30">
        <v>541.41999999999996</v>
      </c>
      <c r="J12" s="30"/>
      <c r="K12" s="30"/>
      <c r="L12" s="30"/>
      <c r="M12" s="31">
        <f t="shared" si="4"/>
        <v>112941.02</v>
      </c>
      <c r="N12" s="16">
        <v>8832.84</v>
      </c>
      <c r="O12" s="21">
        <v>3006.72</v>
      </c>
      <c r="P12" s="16">
        <f>(86.66*12)</f>
        <v>1039.92</v>
      </c>
      <c r="Q12" s="21">
        <v>325.92</v>
      </c>
      <c r="R12" s="16">
        <f t="shared" si="1"/>
        <v>69.72</v>
      </c>
      <c r="S12" s="16">
        <v>135.24</v>
      </c>
      <c r="T12" s="16">
        <f>(27.6)+(59.98*12)</f>
        <v>747.36</v>
      </c>
      <c r="U12" s="16">
        <f>(302.94)+(41.4)+(24)</f>
        <v>368.34</v>
      </c>
      <c r="V12" s="16"/>
      <c r="W12" s="16">
        <v>252.12</v>
      </c>
      <c r="X12" s="16">
        <f>(155.97*12)</f>
        <v>1871.6399999999999</v>
      </c>
      <c r="Y12" s="16"/>
      <c r="Z12" s="16"/>
      <c r="AA12" s="16"/>
      <c r="AB12" s="16"/>
      <c r="AC12" s="16">
        <v>4792.22</v>
      </c>
      <c r="AD12" s="16">
        <f>(2578.4+107.12)*12</f>
        <v>32226.239999999998</v>
      </c>
      <c r="AE12" s="16"/>
      <c r="AF12" s="16">
        <v>500</v>
      </c>
      <c r="AG12" s="16"/>
      <c r="AH12" s="9">
        <f t="shared" si="2"/>
        <v>158228.74</v>
      </c>
      <c r="AI12" s="9">
        <f t="shared" si="3"/>
        <v>8628.44</v>
      </c>
    </row>
    <row r="13" spans="1:35" x14ac:dyDescent="0.4">
      <c r="A13" s="46"/>
      <c r="B13" s="17"/>
      <c r="C13" s="8"/>
      <c r="D13" s="25">
        <v>45.91</v>
      </c>
      <c r="E13" s="29">
        <v>93354.4</v>
      </c>
      <c r="F13" s="23"/>
      <c r="G13" s="23">
        <v>1836.4</v>
      </c>
      <c r="H13" s="23">
        <v>400</v>
      </c>
      <c r="I13" s="30">
        <v>541.41999999999996</v>
      </c>
      <c r="J13" s="30"/>
      <c r="K13" s="30"/>
      <c r="L13" s="30"/>
      <c r="M13" s="31">
        <f t="shared" si="4"/>
        <v>96132.219999999987</v>
      </c>
      <c r="N13" s="16">
        <v>9765.1200000000008</v>
      </c>
      <c r="O13" s="16">
        <v>3509.04</v>
      </c>
      <c r="P13" s="16">
        <f>(58.54*12)</f>
        <v>702.48</v>
      </c>
      <c r="Q13" s="16">
        <v>144.24</v>
      </c>
      <c r="R13" s="16">
        <f t="shared" si="1"/>
        <v>69.72</v>
      </c>
      <c r="S13" s="16">
        <v>62.76</v>
      </c>
      <c r="T13" s="16">
        <f>(18)+(54.1*12)</f>
        <v>667.2</v>
      </c>
      <c r="U13" s="16">
        <f>(194.28)+(27)</f>
        <v>221.28</v>
      </c>
      <c r="V13" s="16"/>
      <c r="W13" s="16">
        <v>396.72</v>
      </c>
      <c r="X13" s="16">
        <f>(140.81*12)</f>
        <v>1689.72</v>
      </c>
      <c r="Y13" s="16"/>
      <c r="Z13" s="16"/>
      <c r="AA13" s="16"/>
      <c r="AB13" s="16"/>
      <c r="AC13" s="16">
        <v>9335.44</v>
      </c>
      <c r="AD13" s="16">
        <f>(2327.75+96.7)*12</f>
        <v>29093.399999999998</v>
      </c>
      <c r="AE13" s="16"/>
      <c r="AF13" s="16">
        <v>500</v>
      </c>
      <c r="AG13" s="16"/>
      <c r="AH13" s="9">
        <f t="shared" si="2"/>
        <v>138619.85999999999</v>
      </c>
      <c r="AI13" s="9">
        <f t="shared" si="3"/>
        <v>13272.76</v>
      </c>
    </row>
    <row r="14" spans="1:35" x14ac:dyDescent="0.4">
      <c r="A14" s="46"/>
      <c r="B14" s="18"/>
      <c r="C14" s="8"/>
      <c r="D14" s="25">
        <v>58.25</v>
      </c>
      <c r="E14" s="29">
        <v>117828.01</v>
      </c>
      <c r="F14" s="32"/>
      <c r="G14" s="23"/>
      <c r="H14" s="23">
        <v>400</v>
      </c>
      <c r="I14" s="30">
        <v>541.12</v>
      </c>
      <c r="J14" s="30"/>
      <c r="K14" s="30"/>
      <c r="L14" s="30"/>
      <c r="M14" s="31">
        <f t="shared" si="4"/>
        <v>118769.12999999999</v>
      </c>
      <c r="N14" s="16">
        <v>9765.1200000000008</v>
      </c>
      <c r="O14" s="21">
        <v>3509.04</v>
      </c>
      <c r="P14" s="16">
        <f>36.2*12</f>
        <v>434.40000000000003</v>
      </c>
      <c r="Q14" s="21"/>
      <c r="R14" s="16">
        <f t="shared" si="1"/>
        <v>69.72</v>
      </c>
      <c r="S14" s="16">
        <v>62.76</v>
      </c>
      <c r="T14" s="16">
        <f>(51.6)+(67.03*12)</f>
        <v>855.96</v>
      </c>
      <c r="U14" s="16">
        <f>(763.44)+(77.4)+(86.4)</f>
        <v>927.24</v>
      </c>
      <c r="V14" s="16"/>
      <c r="W14" s="16">
        <v>396.72</v>
      </c>
      <c r="X14" s="16">
        <f>(174.3*12)</f>
        <v>2091.6000000000004</v>
      </c>
      <c r="Y14" s="16"/>
      <c r="Z14" s="16"/>
      <c r="AA14" s="16">
        <v>1237.92</v>
      </c>
      <c r="AB14" s="16"/>
      <c r="AC14" s="16"/>
      <c r="AD14" s="16">
        <f>(2881.48+119.71)*12</f>
        <v>36014.28</v>
      </c>
      <c r="AE14" s="16"/>
      <c r="AF14" s="16">
        <v>500</v>
      </c>
      <c r="AG14" s="16"/>
      <c r="AH14" s="9">
        <f t="shared" si="2"/>
        <v>168500.21</v>
      </c>
      <c r="AI14" s="9">
        <f t="shared" si="3"/>
        <v>4499.04</v>
      </c>
    </row>
    <row r="15" spans="1:35" x14ac:dyDescent="0.4">
      <c r="B15" s="11"/>
      <c r="C15" s="12"/>
      <c r="D15" s="41"/>
      <c r="E15" s="10"/>
      <c r="F15" s="10"/>
      <c r="G15" s="10"/>
      <c r="H15" s="10"/>
      <c r="I15" s="10"/>
      <c r="J15" s="10"/>
      <c r="K15" s="10"/>
      <c r="L15" s="10"/>
      <c r="M15" s="31">
        <f t="shared" si="4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9">
        <f t="shared" si="2"/>
        <v>0</v>
      </c>
      <c r="AI15" s="9">
        <f t="shared" si="3"/>
        <v>0</v>
      </c>
    </row>
    <row r="16" spans="1:35" x14ac:dyDescent="0.4">
      <c r="B16" s="13" t="s">
        <v>10</v>
      </c>
      <c r="C16" s="14"/>
      <c r="D16" s="27"/>
      <c r="E16" s="37">
        <f t="shared" ref="E16:AI16" si="5">SUM(E8:E15)</f>
        <v>795144.81</v>
      </c>
      <c r="F16" s="37">
        <f t="shared" si="5"/>
        <v>0</v>
      </c>
      <c r="G16" s="37">
        <f t="shared" si="5"/>
        <v>13913.4</v>
      </c>
      <c r="H16" s="37">
        <f t="shared" si="5"/>
        <v>2800</v>
      </c>
      <c r="I16" s="37">
        <f t="shared" si="5"/>
        <v>3789.64</v>
      </c>
      <c r="J16" s="37">
        <f t="shared" si="5"/>
        <v>0</v>
      </c>
      <c r="K16" s="37">
        <f t="shared" si="5"/>
        <v>0</v>
      </c>
      <c r="L16" s="37">
        <f t="shared" si="5"/>
        <v>0</v>
      </c>
      <c r="M16" s="37">
        <f t="shared" si="5"/>
        <v>815647.85</v>
      </c>
      <c r="N16" s="15">
        <f t="shared" si="5"/>
        <v>72706.8</v>
      </c>
      <c r="O16" s="15">
        <f t="shared" si="5"/>
        <v>26904.480000000003</v>
      </c>
      <c r="P16" s="15">
        <f t="shared" si="5"/>
        <v>6336.48</v>
      </c>
      <c r="Q16" s="15">
        <f t="shared" si="5"/>
        <v>1773.8400000000001</v>
      </c>
      <c r="R16" s="15">
        <f t="shared" si="5"/>
        <v>418.32000000000005</v>
      </c>
      <c r="S16" s="34">
        <f t="shared" si="5"/>
        <v>666.48</v>
      </c>
      <c r="T16" s="15">
        <f t="shared" si="5"/>
        <v>5659.5599999999995</v>
      </c>
      <c r="U16" s="15">
        <f t="shared" si="5"/>
        <v>2894.8</v>
      </c>
      <c r="V16" s="15">
        <f t="shared" si="5"/>
        <v>0</v>
      </c>
      <c r="W16" s="15">
        <f t="shared" si="5"/>
        <v>2536.6800000000003</v>
      </c>
      <c r="X16" s="15">
        <f t="shared" si="5"/>
        <v>14213.279999999999</v>
      </c>
      <c r="Y16" s="15">
        <f t="shared" si="5"/>
        <v>0</v>
      </c>
      <c r="Z16" s="15">
        <f t="shared" si="5"/>
        <v>0</v>
      </c>
      <c r="AA16" s="15">
        <f t="shared" si="5"/>
        <v>1237.92</v>
      </c>
      <c r="AB16" s="15">
        <f t="shared" si="5"/>
        <v>0</v>
      </c>
      <c r="AC16" s="15">
        <f t="shared" si="5"/>
        <v>65316.270000000004</v>
      </c>
      <c r="AD16" s="15">
        <f t="shared" si="5"/>
        <v>191568.47999999998</v>
      </c>
      <c r="AE16" s="15">
        <f t="shared" si="5"/>
        <v>0</v>
      </c>
      <c r="AF16" s="15">
        <f t="shared" si="5"/>
        <v>3500</v>
      </c>
      <c r="AG16" s="15">
        <f t="shared" si="5"/>
        <v>0</v>
      </c>
      <c r="AH16" s="15">
        <f t="shared" si="5"/>
        <v>1110050.77</v>
      </c>
      <c r="AI16" s="15">
        <f t="shared" si="5"/>
        <v>97555.87</v>
      </c>
    </row>
    <row r="17" spans="5:15" x14ac:dyDescent="0.4">
      <c r="O17" s="19"/>
    </row>
    <row r="19" spans="5:15" x14ac:dyDescent="0.4">
      <c r="E19" s="19"/>
    </row>
  </sheetData>
  <mergeCells count="29">
    <mergeCell ref="V6:W6"/>
    <mergeCell ref="Z6:AA6"/>
    <mergeCell ref="AH6:AI6"/>
    <mergeCell ref="N6:O6"/>
    <mergeCell ref="P6:Q6"/>
    <mergeCell ref="R6:S6"/>
    <mergeCell ref="T6:U6"/>
    <mergeCell ref="X6:Y6"/>
    <mergeCell ref="AB6:AC6"/>
    <mergeCell ref="AF6:AG6"/>
    <mergeCell ref="AD6:AE6"/>
    <mergeCell ref="B6:B7"/>
    <mergeCell ref="C6:C7"/>
    <mergeCell ref="D6:D7"/>
    <mergeCell ref="E6:E7"/>
    <mergeCell ref="F6:F7"/>
    <mergeCell ref="G6:G7"/>
    <mergeCell ref="H6:H7"/>
    <mergeCell ref="I6:I7"/>
    <mergeCell ref="M6:M7"/>
    <mergeCell ref="N5:O5"/>
    <mergeCell ref="L6:L7"/>
    <mergeCell ref="J6:J7"/>
    <mergeCell ref="K6:K7"/>
    <mergeCell ref="P5:Q5"/>
    <mergeCell ref="R5:S5"/>
    <mergeCell ref="T5:U5"/>
    <mergeCell ref="X5:Y5"/>
    <mergeCell ref="AB5:AC5"/>
  </mergeCells>
  <pageMargins left="0.7" right="0.7" top="0.75" bottom="0.75" header="0.3" footer="0.3"/>
  <ignoredErrors>
    <ignoredError sqref="X8:X14 AC11 AD8:AD14 G12 P8:U14" unlockedFormula="1"/>
    <ignoredError sqref="M8:M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76B0-0255-4ED5-A77C-8C245EC19EA6}">
  <dimension ref="A1:AI19"/>
  <sheetViews>
    <sheetView topLeftCell="A2" workbookViewId="0">
      <selection activeCell="C15" sqref="C15"/>
    </sheetView>
  </sheetViews>
  <sheetFormatPr defaultColWidth="9.15234375" defaultRowHeight="15.45" x14ac:dyDescent="0.4"/>
  <cols>
    <col min="1" max="1" width="13.69140625" style="3" customWidth="1"/>
    <col min="2" max="2" width="10.84375" style="3" customWidth="1"/>
    <col min="3" max="3" width="34.535156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3" width="10.69140625" style="3" customWidth="1"/>
    <col min="24" max="24" width="9.3828125" style="3" customWidth="1"/>
    <col min="25" max="27" width="10" style="3" customWidth="1"/>
    <col min="28" max="28" width="12.53515625" style="3" customWidth="1"/>
    <col min="29" max="29" width="12.3046875" style="3" bestFit="1" customWidth="1"/>
    <col min="30" max="33" width="12.3046875" style="3" customWidth="1"/>
    <col min="34" max="34" width="11.3046875" style="3" customWidth="1"/>
    <col min="35" max="35" width="9.69140625" style="3" customWidth="1"/>
    <col min="36" max="16384" width="9.15234375" style="3"/>
  </cols>
  <sheetData>
    <row r="1" spans="1:35" ht="20.25" hidden="1" customHeight="1" x14ac:dyDescent="0.4">
      <c r="B1" s="1" t="s">
        <v>11</v>
      </c>
      <c r="C1" s="2"/>
      <c r="D1" s="2"/>
      <c r="F1" s="2"/>
      <c r="G1" s="2"/>
      <c r="H1" s="2"/>
      <c r="I1" s="2"/>
      <c r="J1" s="2"/>
      <c r="K1" s="2"/>
      <c r="L1" s="2"/>
      <c r="M1" s="20"/>
      <c r="N1" s="36"/>
      <c r="O1" s="35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4">
      <c r="B2" s="1" t="s">
        <v>24</v>
      </c>
      <c r="C2" s="2"/>
      <c r="D2" s="2"/>
      <c r="F2" s="2"/>
      <c r="G2" s="2"/>
      <c r="H2" s="2"/>
      <c r="I2" s="2"/>
      <c r="J2" s="2"/>
      <c r="K2" s="2"/>
      <c r="L2" s="2"/>
      <c r="M2" s="20"/>
      <c r="N2" s="36"/>
      <c r="O2" s="35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47</v>
      </c>
      <c r="C3" s="2"/>
      <c r="D3" s="2"/>
      <c r="F3" s="4">
        <v>2021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1" t="s">
        <v>17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4">
      <c r="D5" s="5"/>
      <c r="E5" s="28"/>
      <c r="F5" s="28"/>
      <c r="G5" s="28"/>
      <c r="H5" s="28"/>
      <c r="I5" s="28"/>
      <c r="J5" s="28"/>
      <c r="K5" s="28"/>
      <c r="L5" s="28"/>
      <c r="M5" s="33"/>
      <c r="N5" s="49"/>
      <c r="O5" s="49"/>
      <c r="P5" s="49"/>
      <c r="Q5" s="49"/>
      <c r="R5" s="49"/>
      <c r="S5" s="49"/>
      <c r="T5" s="49"/>
      <c r="U5" s="49"/>
      <c r="V5" s="42"/>
      <c r="W5" s="42"/>
      <c r="X5" s="49"/>
      <c r="Y5" s="49"/>
      <c r="Z5" s="42"/>
      <c r="AA5" s="42"/>
      <c r="AB5" s="49"/>
      <c r="AC5" s="49"/>
      <c r="AD5" s="42"/>
      <c r="AE5" s="42"/>
      <c r="AF5" s="42"/>
      <c r="AG5" s="42"/>
      <c r="AH5" s="6"/>
      <c r="AI5" s="6"/>
    </row>
    <row r="6" spans="1:35" ht="30" customHeight="1" x14ac:dyDescent="0.4">
      <c r="B6" s="47" t="s">
        <v>12</v>
      </c>
      <c r="C6" s="47" t="s">
        <v>27</v>
      </c>
      <c r="D6" s="47" t="s">
        <v>28</v>
      </c>
      <c r="E6" s="47" t="s">
        <v>0</v>
      </c>
      <c r="F6" s="47" t="s">
        <v>1</v>
      </c>
      <c r="G6" s="47" t="s">
        <v>34</v>
      </c>
      <c r="H6" s="47" t="s">
        <v>4</v>
      </c>
      <c r="I6" s="47" t="s">
        <v>3</v>
      </c>
      <c r="J6" s="47" t="s">
        <v>13</v>
      </c>
      <c r="K6" s="47" t="s">
        <v>42</v>
      </c>
      <c r="L6" s="47" t="s">
        <v>48</v>
      </c>
      <c r="M6" s="47" t="s">
        <v>5</v>
      </c>
      <c r="N6" s="50" t="s">
        <v>45</v>
      </c>
      <c r="O6" s="51"/>
      <c r="P6" s="50" t="s">
        <v>14</v>
      </c>
      <c r="Q6" s="51"/>
      <c r="R6" s="50" t="s">
        <v>46</v>
      </c>
      <c r="S6" s="51"/>
      <c r="T6" s="50" t="s">
        <v>6</v>
      </c>
      <c r="U6" s="51"/>
      <c r="V6" s="53" t="s">
        <v>44</v>
      </c>
      <c r="W6" s="51"/>
      <c r="X6" s="50" t="s">
        <v>22</v>
      </c>
      <c r="Y6" s="51"/>
      <c r="Z6" s="50" t="s">
        <v>43</v>
      </c>
      <c r="AA6" s="51"/>
      <c r="AB6" s="50" t="s">
        <v>7</v>
      </c>
      <c r="AC6" s="51"/>
      <c r="AD6" s="50" t="s">
        <v>41</v>
      </c>
      <c r="AE6" s="51"/>
      <c r="AF6" s="50" t="s">
        <v>39</v>
      </c>
      <c r="AG6" s="51"/>
      <c r="AH6" s="50" t="s">
        <v>8</v>
      </c>
      <c r="AI6" s="51"/>
    </row>
    <row r="7" spans="1:35" x14ac:dyDescent="0.4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7" t="s">
        <v>37</v>
      </c>
      <c r="O7" s="7" t="s">
        <v>9</v>
      </c>
      <c r="P7" s="7" t="str">
        <f>+$N$7</f>
        <v>Clark</v>
      </c>
      <c r="Q7" s="7" t="s">
        <v>9</v>
      </c>
      <c r="R7" s="7" t="str">
        <f>+$N$7</f>
        <v>Clark</v>
      </c>
      <c r="S7" s="7" t="s">
        <v>9</v>
      </c>
      <c r="T7" s="7" t="str">
        <f>+$N$7</f>
        <v>Clark</v>
      </c>
      <c r="U7" s="7" t="s">
        <v>9</v>
      </c>
      <c r="V7" s="7" t="str">
        <f>+$N$7</f>
        <v>Clark</v>
      </c>
      <c r="W7" s="7" t="s">
        <v>9</v>
      </c>
      <c r="X7" s="7" t="str">
        <f>+$N$7</f>
        <v>Clark</v>
      </c>
      <c r="Y7" s="7" t="s">
        <v>9</v>
      </c>
      <c r="Z7" s="7" t="str">
        <f>+$N$7</f>
        <v>Clark</v>
      </c>
      <c r="AA7" s="7" t="s">
        <v>9</v>
      </c>
      <c r="AB7" s="7" t="str">
        <f>+$N$7</f>
        <v>Clark</v>
      </c>
      <c r="AC7" s="7" t="s">
        <v>9</v>
      </c>
      <c r="AD7" s="7" t="str">
        <f>+$N$7</f>
        <v>Clark</v>
      </c>
      <c r="AE7" s="7" t="s">
        <v>9</v>
      </c>
      <c r="AF7" s="7" t="s">
        <v>37</v>
      </c>
      <c r="AG7" s="7" t="s">
        <v>9</v>
      </c>
      <c r="AH7" s="7" t="str">
        <f>+$N$7</f>
        <v>Clark</v>
      </c>
      <c r="AI7" s="7" t="s">
        <v>9</v>
      </c>
    </row>
    <row r="8" spans="1:35" x14ac:dyDescent="0.4">
      <c r="A8" s="45"/>
      <c r="B8" s="17"/>
      <c r="D8" s="25">
        <v>54.19</v>
      </c>
      <c r="E8" s="29">
        <v>108888.4</v>
      </c>
      <c r="F8" s="23"/>
      <c r="G8" s="23"/>
      <c r="H8" s="23"/>
      <c r="I8" s="30">
        <v>2879</v>
      </c>
      <c r="J8" s="30"/>
      <c r="K8" s="30"/>
      <c r="L8" s="30"/>
      <c r="M8" s="31">
        <f>SUM(E8:L8)</f>
        <v>111767.4</v>
      </c>
      <c r="N8" s="16">
        <v>12422.76</v>
      </c>
      <c r="O8" s="21">
        <v>5069.28</v>
      </c>
      <c r="P8" s="16">
        <f>(86.66*12)</f>
        <v>1039.92</v>
      </c>
      <c r="Q8" s="21">
        <v>325.92</v>
      </c>
      <c r="R8" s="16">
        <f t="shared" ref="R8:R14" si="0">(5.81*12)</f>
        <v>69.72</v>
      </c>
      <c r="S8" s="16">
        <v>135.24</v>
      </c>
      <c r="T8" s="16">
        <f>(10.8)+(61.78*12)</f>
        <v>752.16</v>
      </c>
      <c r="U8" s="16">
        <f>(12)</f>
        <v>12</v>
      </c>
      <c r="V8" s="16"/>
      <c r="W8" s="16"/>
      <c r="X8" s="16">
        <f>(160.2*12)</f>
        <v>1922.3999999999999</v>
      </c>
      <c r="Y8" s="16"/>
      <c r="Z8" s="16"/>
      <c r="AA8" s="16"/>
      <c r="AB8" s="16"/>
      <c r="AC8" s="16">
        <f>(1633.87+67.57)*12</f>
        <v>20417.28</v>
      </c>
      <c r="AD8" s="16">
        <f>(1633.87+67.57)*12</f>
        <v>20417.28</v>
      </c>
      <c r="AE8" s="16"/>
      <c r="AF8" s="16">
        <v>500</v>
      </c>
      <c r="AG8" s="16"/>
      <c r="AH8" s="9">
        <f t="shared" ref="AH8:AH15" si="1">+M8+N8+P8+R8+T8+X8+AB8+AD8+AF8</f>
        <v>148891.63999999998</v>
      </c>
      <c r="AI8" s="9">
        <f t="shared" ref="AI8:AI15" si="2">+O8+Q8+S8+U8+Y8+AC8+AE8+AG8</f>
        <v>25959.719999999998</v>
      </c>
    </row>
    <row r="9" spans="1:35" x14ac:dyDescent="0.4">
      <c r="A9" s="45"/>
      <c r="B9" s="17"/>
      <c r="C9" s="8"/>
      <c r="D9" s="25">
        <v>60.17</v>
      </c>
      <c r="E9" s="29">
        <v>122799.2</v>
      </c>
      <c r="F9" s="23"/>
      <c r="G9" s="23">
        <v>12034</v>
      </c>
      <c r="H9" s="23"/>
      <c r="I9" s="30">
        <v>6879</v>
      </c>
      <c r="J9" s="30"/>
      <c r="K9" s="30"/>
      <c r="L9" s="30"/>
      <c r="M9" s="31">
        <f t="shared" ref="M9:M15" si="3">SUM(E9:L9)</f>
        <v>141712.20000000001</v>
      </c>
      <c r="N9" s="16">
        <v>12422.76</v>
      </c>
      <c r="O9" s="21">
        <v>5069.28</v>
      </c>
      <c r="P9" s="16">
        <f>(86.66*12)</f>
        <v>1039.92</v>
      </c>
      <c r="Q9" s="21">
        <v>325.92</v>
      </c>
      <c r="R9" s="16"/>
      <c r="S9" s="16"/>
      <c r="T9" s="16">
        <f>(27.6)+(71.87*12)</f>
        <v>890.04000000000008</v>
      </c>
      <c r="U9" s="16">
        <f>(392.04)+(12)</f>
        <v>404.04</v>
      </c>
      <c r="V9" s="16"/>
      <c r="W9" s="16">
        <v>497.04</v>
      </c>
      <c r="X9" s="16">
        <f>(185.87*12)</f>
        <v>2230.44</v>
      </c>
      <c r="Y9" s="16"/>
      <c r="Z9" s="16"/>
      <c r="AA9" s="16"/>
      <c r="AB9" s="16"/>
      <c r="AC9" s="16">
        <v>26000</v>
      </c>
      <c r="AD9" s="16"/>
      <c r="AE9" s="16"/>
      <c r="AF9" s="16">
        <v>500</v>
      </c>
      <c r="AG9" s="16"/>
      <c r="AH9" s="9">
        <f t="shared" si="1"/>
        <v>158795.36000000004</v>
      </c>
      <c r="AI9" s="9">
        <f t="shared" si="2"/>
        <v>31799.239999999998</v>
      </c>
    </row>
    <row r="10" spans="1:35" x14ac:dyDescent="0.4">
      <c r="A10" s="45"/>
      <c r="B10" s="18"/>
      <c r="C10" s="8"/>
      <c r="D10" s="25">
        <v>60</v>
      </c>
      <c r="E10" s="29">
        <v>122456.4</v>
      </c>
      <c r="F10" s="30"/>
      <c r="G10" s="23"/>
      <c r="H10" s="23"/>
      <c r="I10" s="30">
        <v>6379</v>
      </c>
      <c r="J10" s="30"/>
      <c r="K10" s="30"/>
      <c r="L10" s="30"/>
      <c r="M10" s="31">
        <f t="shared" si="3"/>
        <v>128835.4</v>
      </c>
      <c r="N10" s="16">
        <v>3790.8</v>
      </c>
      <c r="O10" s="21">
        <v>421.2</v>
      </c>
      <c r="P10" s="16">
        <f>(86.66*12)</f>
        <v>1039.92</v>
      </c>
      <c r="Q10" s="21">
        <v>325.92</v>
      </c>
      <c r="R10" s="16">
        <f t="shared" si="0"/>
        <v>69.72</v>
      </c>
      <c r="S10" s="16">
        <v>135.24</v>
      </c>
      <c r="T10" s="16">
        <f>(51.6)+(71.87*12)</f>
        <v>914.04000000000008</v>
      </c>
      <c r="U10" s="16">
        <f>(12)</f>
        <v>12</v>
      </c>
      <c r="V10" s="16"/>
      <c r="W10" s="16">
        <v>497.04</v>
      </c>
      <c r="X10" s="16">
        <f>(185.36*12)</f>
        <v>2224.3200000000002</v>
      </c>
      <c r="Y10" s="16"/>
      <c r="Z10" s="16"/>
      <c r="AA10" s="16"/>
      <c r="AB10" s="16"/>
      <c r="AC10" s="16">
        <v>7347.33</v>
      </c>
      <c r="AD10" s="16">
        <f>(3004.14+125.3)*12</f>
        <v>37553.279999999999</v>
      </c>
      <c r="AE10" s="16"/>
      <c r="AF10" s="16">
        <v>500</v>
      </c>
      <c r="AG10" s="16"/>
      <c r="AH10" s="9">
        <f t="shared" si="1"/>
        <v>174927.48</v>
      </c>
      <c r="AI10" s="9">
        <f t="shared" si="2"/>
        <v>8241.69</v>
      </c>
    </row>
    <row r="11" spans="1:35" x14ac:dyDescent="0.4">
      <c r="A11" s="45"/>
      <c r="B11" s="18"/>
      <c r="C11" s="8"/>
      <c r="D11" s="25">
        <v>48.2</v>
      </c>
      <c r="E11" s="29">
        <v>98376.8</v>
      </c>
      <c r="F11" s="32"/>
      <c r="G11" s="23">
        <v>1928</v>
      </c>
      <c r="H11" s="23"/>
      <c r="I11" s="30">
        <v>5379</v>
      </c>
      <c r="J11" s="30"/>
      <c r="K11" s="30"/>
      <c r="L11" s="30"/>
      <c r="M11" s="31">
        <f t="shared" si="3"/>
        <v>105683.8</v>
      </c>
      <c r="N11" s="16">
        <v>12422.76</v>
      </c>
      <c r="O11" s="21">
        <v>5069.28</v>
      </c>
      <c r="P11" s="16">
        <f>(86.66*12)</f>
        <v>1039.92</v>
      </c>
      <c r="Q11" s="21">
        <v>325.92</v>
      </c>
      <c r="R11" s="16">
        <f t="shared" si="0"/>
        <v>69.72</v>
      </c>
      <c r="S11" s="16">
        <v>135.24</v>
      </c>
      <c r="T11" s="16">
        <f>(18)+(57.62*12)</f>
        <v>709.43999999999994</v>
      </c>
      <c r="U11" s="16">
        <f>(528.72)+(12)</f>
        <v>540.72</v>
      </c>
      <c r="V11" s="16"/>
      <c r="W11" s="16">
        <v>497.04</v>
      </c>
      <c r="X11" s="16">
        <f>(148.92*12)</f>
        <v>1787.04</v>
      </c>
      <c r="Y11" s="16"/>
      <c r="Z11" s="16"/>
      <c r="AA11" s="16"/>
      <c r="AB11" s="16"/>
      <c r="AC11" s="16">
        <f>(7870.09)+(7870.09)</f>
        <v>15740.18</v>
      </c>
      <c r="AD11" s="16">
        <f>(2413.51+100.66)*12</f>
        <v>30170.04</v>
      </c>
      <c r="AE11" s="16"/>
      <c r="AF11" s="16">
        <v>500</v>
      </c>
      <c r="AG11" s="16"/>
      <c r="AH11" s="9">
        <f t="shared" si="1"/>
        <v>152382.72</v>
      </c>
      <c r="AI11" s="9">
        <f t="shared" si="2"/>
        <v>21811.34</v>
      </c>
    </row>
    <row r="12" spans="1:35" x14ac:dyDescent="0.4">
      <c r="A12" s="45"/>
      <c r="B12" s="18"/>
      <c r="C12" s="8"/>
      <c r="D12" s="25">
        <v>48.66</v>
      </c>
      <c r="E12" s="29">
        <v>99430.8</v>
      </c>
      <c r="F12" s="32"/>
      <c r="G12" s="23">
        <f>(3990.12)+(1946.4)</f>
        <v>5936.52</v>
      </c>
      <c r="H12" s="23"/>
      <c r="I12" s="30">
        <v>5379</v>
      </c>
      <c r="J12" s="30"/>
      <c r="K12" s="30"/>
      <c r="L12" s="30"/>
      <c r="M12" s="31">
        <f t="shared" si="3"/>
        <v>110746.32</v>
      </c>
      <c r="N12" s="16">
        <v>8178.72</v>
      </c>
      <c r="O12" s="21">
        <v>2783.76</v>
      </c>
      <c r="P12" s="16">
        <f>(86.66*12)</f>
        <v>1039.92</v>
      </c>
      <c r="Q12" s="21">
        <v>325.92</v>
      </c>
      <c r="R12" s="16">
        <f t="shared" si="0"/>
        <v>69.72</v>
      </c>
      <c r="S12" s="16">
        <v>135.24</v>
      </c>
      <c r="T12" s="16">
        <f>(27.6)+(58.21*12)</f>
        <v>726.12</v>
      </c>
      <c r="U12" s="16">
        <f>(158.76)+(41.4)+(12)</f>
        <v>212.16</v>
      </c>
      <c r="V12" s="16"/>
      <c r="W12" s="16">
        <v>252.12</v>
      </c>
      <c r="X12" s="16">
        <f>(150.68*12)</f>
        <v>1808.16</v>
      </c>
      <c r="Y12" s="16"/>
      <c r="Z12" s="16"/>
      <c r="AA12" s="16"/>
      <c r="AB12" s="16"/>
      <c r="AC12" s="16">
        <v>6960.26</v>
      </c>
      <c r="AD12" s="16">
        <f>(2442.08+101.86)*12</f>
        <v>30527.279999999999</v>
      </c>
      <c r="AE12" s="16"/>
      <c r="AF12" s="16">
        <v>500</v>
      </c>
      <c r="AG12" s="16"/>
      <c r="AH12" s="9">
        <f t="shared" si="1"/>
        <v>153596.24</v>
      </c>
      <c r="AI12" s="9">
        <f t="shared" si="2"/>
        <v>10417.34</v>
      </c>
    </row>
    <row r="13" spans="1:35" x14ac:dyDescent="0.4">
      <c r="A13" s="45"/>
      <c r="B13" s="17"/>
      <c r="C13" s="8"/>
      <c r="D13" s="25">
        <v>43.93</v>
      </c>
      <c r="E13" s="29">
        <v>89992</v>
      </c>
      <c r="F13" s="23"/>
      <c r="G13" s="23"/>
      <c r="H13" s="23"/>
      <c r="I13" s="30">
        <v>379</v>
      </c>
      <c r="J13" s="30"/>
      <c r="K13" s="30"/>
      <c r="L13" s="30"/>
      <c r="M13" s="31">
        <f t="shared" si="3"/>
        <v>90371</v>
      </c>
      <c r="N13" s="16">
        <v>9042</v>
      </c>
      <c r="O13" s="16">
        <v>3248.88</v>
      </c>
      <c r="P13" s="16">
        <f>(58.54*12)</f>
        <v>702.48</v>
      </c>
      <c r="Q13" s="16">
        <v>144.24</v>
      </c>
      <c r="R13" s="16">
        <f t="shared" si="0"/>
        <v>69.72</v>
      </c>
      <c r="S13" s="16">
        <v>62.76</v>
      </c>
      <c r="T13" s="16">
        <f>(18)+(52.87*12)</f>
        <v>652.43999999999994</v>
      </c>
      <c r="U13" s="16">
        <f>(187.92)+(27)</f>
        <v>214.92</v>
      </c>
      <c r="V13" s="16"/>
      <c r="W13" s="16">
        <v>396.72</v>
      </c>
      <c r="X13" s="16">
        <f>(136.71*12)</f>
        <v>1640.52</v>
      </c>
      <c r="Y13" s="16"/>
      <c r="Z13" s="16"/>
      <c r="AA13" s="16"/>
      <c r="AB13" s="16"/>
      <c r="AC13" s="16">
        <v>8999.2000000000007</v>
      </c>
      <c r="AD13" s="16">
        <f>(2215.58+92.41)*12</f>
        <v>27695.879999999997</v>
      </c>
      <c r="AE13" s="16"/>
      <c r="AF13" s="16">
        <v>500</v>
      </c>
      <c r="AG13" s="16"/>
      <c r="AH13" s="9">
        <f t="shared" si="1"/>
        <v>130674.04000000001</v>
      </c>
      <c r="AI13" s="9">
        <f t="shared" si="2"/>
        <v>12670</v>
      </c>
    </row>
    <row r="14" spans="1:35" x14ac:dyDescent="0.4">
      <c r="A14" s="45"/>
      <c r="B14" s="18"/>
      <c r="C14" s="8"/>
      <c r="D14" s="25">
        <v>54.38</v>
      </c>
      <c r="E14" s="29">
        <v>110853.21</v>
      </c>
      <c r="F14" s="32"/>
      <c r="G14" s="23"/>
      <c r="H14" s="23"/>
      <c r="I14" s="30">
        <v>2379</v>
      </c>
      <c r="J14" s="30"/>
      <c r="K14" s="30"/>
      <c r="L14" s="30"/>
      <c r="M14" s="31">
        <f t="shared" si="3"/>
        <v>113232.21</v>
      </c>
      <c r="N14" s="16">
        <v>9042</v>
      </c>
      <c r="O14" s="21">
        <v>3248.88</v>
      </c>
      <c r="P14" s="16">
        <f>(36.2*12)</f>
        <v>434.40000000000003</v>
      </c>
      <c r="Q14" s="21"/>
      <c r="R14" s="16">
        <f t="shared" si="0"/>
        <v>69.72</v>
      </c>
      <c r="S14" s="16">
        <v>62.76</v>
      </c>
      <c r="T14" s="16">
        <f>(51.6)+(64.75*12)</f>
        <v>828.6</v>
      </c>
      <c r="U14" s="16">
        <f>(659.28)+(77.4)+(86.4)</f>
        <v>823.07999999999993</v>
      </c>
      <c r="V14" s="16"/>
      <c r="W14" s="16">
        <v>396.72</v>
      </c>
      <c r="X14" s="16">
        <f>(167.6*12)</f>
        <v>2011.1999999999998</v>
      </c>
      <c r="Y14" s="16"/>
      <c r="Z14" s="16"/>
      <c r="AA14" s="16">
        <v>1237.92</v>
      </c>
      <c r="AB14" s="16"/>
      <c r="AC14" s="16"/>
      <c r="AD14" s="16">
        <f>(2716.36+113.29)*12</f>
        <v>33955.800000000003</v>
      </c>
      <c r="AE14" s="16"/>
      <c r="AF14" s="16">
        <v>500</v>
      </c>
      <c r="AG14" s="16"/>
      <c r="AH14" s="9">
        <f t="shared" si="1"/>
        <v>160073.93</v>
      </c>
      <c r="AI14" s="9">
        <f t="shared" si="2"/>
        <v>4134.72</v>
      </c>
    </row>
    <row r="15" spans="1:35" x14ac:dyDescent="0.4">
      <c r="B15" s="18"/>
      <c r="D15" s="26"/>
      <c r="E15" s="10"/>
      <c r="F15" s="10"/>
      <c r="G15" s="10"/>
      <c r="H15" s="10"/>
      <c r="I15" s="10"/>
      <c r="J15" s="10"/>
      <c r="K15" s="10"/>
      <c r="L15" s="10"/>
      <c r="M15" s="31">
        <f t="shared" si="3"/>
        <v>0</v>
      </c>
      <c r="N15" s="10"/>
      <c r="O15" s="10"/>
      <c r="P15" s="10"/>
      <c r="Q15" s="10"/>
      <c r="R15" s="10"/>
      <c r="S15" s="10"/>
      <c r="T15" s="16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9">
        <f t="shared" si="1"/>
        <v>0</v>
      </c>
      <c r="AI15" s="9">
        <f t="shared" si="2"/>
        <v>0</v>
      </c>
    </row>
    <row r="16" spans="1:35" x14ac:dyDescent="0.4">
      <c r="B16" s="13" t="s">
        <v>10</v>
      </c>
      <c r="C16" s="14"/>
      <c r="D16" s="27"/>
      <c r="E16" s="37">
        <f>SUM(E8:E15)</f>
        <v>752796.80999999994</v>
      </c>
      <c r="F16" s="37">
        <f>SUM(F8:F15)</f>
        <v>0</v>
      </c>
      <c r="G16" s="37">
        <f>SUM(G8:G15)</f>
        <v>19898.52</v>
      </c>
      <c r="H16" s="37">
        <f>SUM(H8:H15)</f>
        <v>0</v>
      </c>
      <c r="I16" s="37">
        <f>SUM(I8:I15)</f>
        <v>29653</v>
      </c>
      <c r="J16" s="37">
        <f t="shared" ref="J16:L16" si="4">SUM(J8:J15)</f>
        <v>0</v>
      </c>
      <c r="K16" s="37">
        <f t="shared" si="4"/>
        <v>0</v>
      </c>
      <c r="L16" s="37">
        <f t="shared" si="4"/>
        <v>0</v>
      </c>
      <c r="M16" s="37">
        <f t="shared" ref="M16:AI16" si="5">SUM(M8:M15)</f>
        <v>802348.33</v>
      </c>
      <c r="N16" s="15">
        <f t="shared" si="5"/>
        <v>67321.8</v>
      </c>
      <c r="O16" s="15">
        <f t="shared" si="5"/>
        <v>24910.560000000005</v>
      </c>
      <c r="P16" s="15">
        <f t="shared" si="5"/>
        <v>6336.48</v>
      </c>
      <c r="Q16" s="15">
        <f t="shared" si="5"/>
        <v>1773.8400000000001</v>
      </c>
      <c r="R16" s="15">
        <f t="shared" si="5"/>
        <v>418.32000000000005</v>
      </c>
      <c r="S16" s="34">
        <f t="shared" si="5"/>
        <v>666.48</v>
      </c>
      <c r="T16" s="15">
        <f t="shared" si="5"/>
        <v>5472.84</v>
      </c>
      <c r="U16" s="15">
        <f t="shared" si="5"/>
        <v>2218.92</v>
      </c>
      <c r="V16" s="15">
        <f t="shared" si="5"/>
        <v>0</v>
      </c>
      <c r="W16" s="15">
        <f t="shared" si="5"/>
        <v>2536.6800000000003</v>
      </c>
      <c r="X16" s="15">
        <f t="shared" si="5"/>
        <v>13624.080000000002</v>
      </c>
      <c r="Y16" s="15">
        <f t="shared" si="5"/>
        <v>0</v>
      </c>
      <c r="Z16" s="15">
        <f t="shared" si="5"/>
        <v>0</v>
      </c>
      <c r="AA16" s="15">
        <f t="shared" si="5"/>
        <v>1237.92</v>
      </c>
      <c r="AB16" s="15">
        <f t="shared" si="5"/>
        <v>0</v>
      </c>
      <c r="AC16" s="15">
        <f t="shared" si="5"/>
        <v>85464.25</v>
      </c>
      <c r="AD16" s="15">
        <f t="shared" si="5"/>
        <v>180319.56</v>
      </c>
      <c r="AE16" s="15">
        <f t="shared" si="5"/>
        <v>0</v>
      </c>
      <c r="AF16" s="15">
        <f t="shared" si="5"/>
        <v>3500</v>
      </c>
      <c r="AG16" s="15">
        <f t="shared" si="5"/>
        <v>0</v>
      </c>
      <c r="AH16" s="15">
        <f t="shared" si="5"/>
        <v>1079341.4099999999</v>
      </c>
      <c r="AI16" s="15">
        <f t="shared" si="5"/>
        <v>115034.04999999999</v>
      </c>
    </row>
    <row r="17" spans="5:15" x14ac:dyDescent="0.4">
      <c r="O17" s="19"/>
    </row>
    <row r="19" spans="5:15" x14ac:dyDescent="0.4">
      <c r="E19" s="19"/>
    </row>
  </sheetData>
  <mergeCells count="29">
    <mergeCell ref="V6:W6"/>
    <mergeCell ref="Z6:AA6"/>
    <mergeCell ref="AH6:AI6"/>
    <mergeCell ref="N6:O6"/>
    <mergeCell ref="P6:Q6"/>
    <mergeCell ref="R6:S6"/>
    <mergeCell ref="T6:U6"/>
    <mergeCell ref="X6:Y6"/>
    <mergeCell ref="AB6:AC6"/>
    <mergeCell ref="AF6:AG6"/>
    <mergeCell ref="AD6:AE6"/>
    <mergeCell ref="B6:B7"/>
    <mergeCell ref="C6:C7"/>
    <mergeCell ref="D6:D7"/>
    <mergeCell ref="E6:E7"/>
    <mergeCell ref="F6:F7"/>
    <mergeCell ref="G6:G7"/>
    <mergeCell ref="H6:H7"/>
    <mergeCell ref="I6:I7"/>
    <mergeCell ref="M6:M7"/>
    <mergeCell ref="N5:O5"/>
    <mergeCell ref="L6:L7"/>
    <mergeCell ref="J6:J7"/>
    <mergeCell ref="K6:K7"/>
    <mergeCell ref="P5:Q5"/>
    <mergeCell ref="R5:S5"/>
    <mergeCell ref="T5:U5"/>
    <mergeCell ref="X5:Y5"/>
    <mergeCell ref="AB5:AC5"/>
  </mergeCells>
  <pageMargins left="0.7" right="0.7" top="0.75" bottom="0.75" header="0.3" footer="0.3"/>
  <pageSetup orientation="portrait" r:id="rId1"/>
  <ignoredErrors>
    <ignoredError sqref="G12 P8:P15 R8:R14 T9 X8:X14 AC8:AC12 AD8:AD14 T10:U14 T8:U8" unlockedFormula="1"/>
    <ignoredError sqref="M8:M15" formulaRange="1"/>
    <ignoredError sqref="U9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A336-8BCA-4FF8-AA16-B9524BE253DD}">
  <dimension ref="A1:AI20"/>
  <sheetViews>
    <sheetView tabSelected="1" topLeftCell="A2" workbookViewId="0">
      <selection activeCell="C16" sqref="C16"/>
    </sheetView>
  </sheetViews>
  <sheetFormatPr defaultColWidth="9.15234375" defaultRowHeight="15.45" x14ac:dyDescent="0.4"/>
  <cols>
    <col min="1" max="1" width="12.53515625" style="3" customWidth="1"/>
    <col min="2" max="2" width="10.84375" style="3" customWidth="1"/>
    <col min="3" max="3" width="34.53515625" style="3" customWidth="1"/>
    <col min="4" max="4" width="11.69140625" style="3" customWidth="1"/>
    <col min="5" max="5" width="14.69140625" style="3" customWidth="1"/>
    <col min="6" max="6" width="11.3046875" style="3" customWidth="1"/>
    <col min="7" max="7" width="14.84375" style="3" customWidth="1"/>
    <col min="8" max="8" width="9.3828125" style="3" customWidth="1"/>
    <col min="9" max="12" width="10.3046875" style="3" customWidth="1"/>
    <col min="13" max="13" width="14" style="3" bestFit="1" customWidth="1"/>
    <col min="14" max="14" width="11.84375" style="3" customWidth="1"/>
    <col min="15" max="15" width="11.3046875" style="3" customWidth="1"/>
    <col min="16" max="16" width="12.69140625" style="3" customWidth="1"/>
    <col min="17" max="17" width="11.3046875" style="3" customWidth="1"/>
    <col min="18" max="18" width="10.3046875" style="3" customWidth="1"/>
    <col min="19" max="19" width="11.3046875" style="3" customWidth="1"/>
    <col min="20" max="20" width="9.3828125" style="3" customWidth="1"/>
    <col min="21" max="21" width="10.69140625" style="3" customWidth="1"/>
    <col min="22" max="23" width="10" style="3" customWidth="1"/>
    <col min="24" max="24" width="9.3828125" style="3" customWidth="1"/>
    <col min="25" max="27" width="10" style="3" customWidth="1"/>
    <col min="28" max="28" width="13.3828125" style="3" customWidth="1"/>
    <col min="29" max="29" width="12.3046875" style="3" bestFit="1" customWidth="1"/>
    <col min="30" max="30" width="12.3046875" style="3" customWidth="1"/>
    <col min="31" max="31" width="10.15234375" style="3" customWidth="1"/>
    <col min="32" max="32" width="8.69140625" style="3" customWidth="1"/>
    <col min="33" max="33" width="9.69140625" style="3" customWidth="1"/>
    <col min="34" max="34" width="11.3046875" style="3" customWidth="1"/>
    <col min="35" max="35" width="9.69140625" style="3" customWidth="1"/>
    <col min="36" max="16384" width="9.15234375" style="3"/>
  </cols>
  <sheetData>
    <row r="1" spans="1:35" ht="20.25" hidden="1" customHeight="1" x14ac:dyDescent="0.4">
      <c r="B1" s="1" t="s">
        <v>11</v>
      </c>
      <c r="C1" s="2"/>
      <c r="D1" s="2"/>
      <c r="F1" s="2"/>
      <c r="G1" s="2"/>
      <c r="H1" s="2"/>
      <c r="I1" s="2"/>
      <c r="J1" s="2"/>
      <c r="K1" s="2"/>
      <c r="L1" s="2"/>
      <c r="M1" s="20"/>
      <c r="N1" s="36"/>
      <c r="O1" s="35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4">
      <c r="B2" s="1" t="s">
        <v>24</v>
      </c>
      <c r="C2" s="2"/>
      <c r="D2" s="2"/>
      <c r="F2" s="2"/>
      <c r="G2" s="2"/>
      <c r="H2" s="2"/>
      <c r="I2" s="2"/>
      <c r="J2" s="2"/>
      <c r="K2" s="2"/>
      <c r="L2" s="2"/>
      <c r="M2" s="20"/>
      <c r="N2" s="36"/>
      <c r="O2" s="35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">
      <c r="B3" s="1" t="s">
        <v>47</v>
      </c>
      <c r="C3" s="2"/>
      <c r="D3" s="2"/>
      <c r="F3" s="4">
        <v>2020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">
      <c r="B4" s="1" t="s">
        <v>17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4">
      <c r="D5" s="5"/>
      <c r="E5" s="28"/>
      <c r="F5" s="28"/>
      <c r="G5" s="28"/>
      <c r="H5" s="28"/>
      <c r="I5" s="28"/>
      <c r="J5" s="28"/>
      <c r="K5" s="28"/>
      <c r="L5" s="28"/>
      <c r="M5" s="33"/>
      <c r="N5" s="49"/>
      <c r="O5" s="49"/>
      <c r="P5" s="49"/>
      <c r="Q5" s="49"/>
      <c r="R5" s="49"/>
      <c r="S5" s="49"/>
      <c r="T5" s="49"/>
      <c r="U5" s="49"/>
      <c r="V5" s="42"/>
      <c r="W5" s="42"/>
      <c r="X5" s="49"/>
      <c r="Y5" s="49"/>
      <c r="Z5" s="42"/>
      <c r="AA5" s="42"/>
      <c r="AB5" s="49"/>
      <c r="AC5" s="49"/>
      <c r="AD5" s="42"/>
      <c r="AE5" s="42"/>
      <c r="AF5" s="42"/>
      <c r="AG5" s="42"/>
      <c r="AH5" s="6"/>
      <c r="AI5" s="6"/>
    </row>
    <row r="6" spans="1:35" ht="30" customHeight="1" x14ac:dyDescent="0.4">
      <c r="B6" s="47" t="s">
        <v>12</v>
      </c>
      <c r="C6" s="47" t="s">
        <v>26</v>
      </c>
      <c r="D6" s="47" t="s">
        <v>25</v>
      </c>
      <c r="E6" s="47" t="s">
        <v>0</v>
      </c>
      <c r="F6" s="47" t="s">
        <v>1</v>
      </c>
      <c r="G6" s="47" t="s">
        <v>34</v>
      </c>
      <c r="H6" s="47" t="s">
        <v>4</v>
      </c>
      <c r="I6" s="47" t="s">
        <v>3</v>
      </c>
      <c r="J6" s="47" t="s">
        <v>13</v>
      </c>
      <c r="K6" s="47" t="s">
        <v>42</v>
      </c>
      <c r="L6" s="47" t="s">
        <v>48</v>
      </c>
      <c r="M6" s="47" t="s">
        <v>5</v>
      </c>
      <c r="N6" s="50" t="s">
        <v>45</v>
      </c>
      <c r="O6" s="51"/>
      <c r="P6" s="50" t="s">
        <v>14</v>
      </c>
      <c r="Q6" s="51"/>
      <c r="R6" s="50" t="s">
        <v>46</v>
      </c>
      <c r="S6" s="51"/>
      <c r="T6" s="50" t="s">
        <v>6</v>
      </c>
      <c r="U6" s="51"/>
      <c r="V6" s="53" t="s">
        <v>44</v>
      </c>
      <c r="W6" s="51"/>
      <c r="X6" s="50" t="s">
        <v>22</v>
      </c>
      <c r="Y6" s="51"/>
      <c r="Z6" s="50" t="s">
        <v>43</v>
      </c>
      <c r="AA6" s="51"/>
      <c r="AB6" s="50" t="s">
        <v>7</v>
      </c>
      <c r="AC6" s="51"/>
      <c r="AD6" s="50" t="s">
        <v>41</v>
      </c>
      <c r="AE6" s="51"/>
      <c r="AF6" s="50" t="s">
        <v>39</v>
      </c>
      <c r="AG6" s="51"/>
      <c r="AH6" s="50" t="s">
        <v>8</v>
      </c>
      <c r="AI6" s="51"/>
    </row>
    <row r="7" spans="1:35" x14ac:dyDescent="0.4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7" t="s">
        <v>37</v>
      </c>
      <c r="O7" s="7" t="s">
        <v>9</v>
      </c>
      <c r="P7" s="7" t="str">
        <f>+$N$7</f>
        <v>Clark</v>
      </c>
      <c r="Q7" s="7" t="s">
        <v>9</v>
      </c>
      <c r="R7" s="7" t="str">
        <f>+$N$7</f>
        <v>Clark</v>
      </c>
      <c r="S7" s="7" t="s">
        <v>9</v>
      </c>
      <c r="T7" s="7" t="str">
        <f>+$N$7</f>
        <v>Clark</v>
      </c>
      <c r="U7" s="7" t="s">
        <v>9</v>
      </c>
      <c r="V7" s="7" t="str">
        <f>+$N$7</f>
        <v>Clark</v>
      </c>
      <c r="W7" s="7" t="s">
        <v>9</v>
      </c>
      <c r="X7" s="7" t="str">
        <f>+$N$7</f>
        <v>Clark</v>
      </c>
      <c r="Y7" s="7" t="s">
        <v>9</v>
      </c>
      <c r="Z7" s="7" t="str">
        <f>+$N$7</f>
        <v>Clark</v>
      </c>
      <c r="AA7" s="7" t="s">
        <v>9</v>
      </c>
      <c r="AB7" s="7" t="str">
        <f>+$N$7</f>
        <v>Clark</v>
      </c>
      <c r="AC7" s="7" t="s">
        <v>9</v>
      </c>
      <c r="AD7" s="7" t="s">
        <v>37</v>
      </c>
      <c r="AE7" s="7" t="s">
        <v>9</v>
      </c>
      <c r="AF7" s="7" t="s">
        <v>37</v>
      </c>
      <c r="AG7" s="7" t="s">
        <v>9</v>
      </c>
      <c r="AH7" s="7" t="str">
        <f>+$N$7</f>
        <v>Clark</v>
      </c>
      <c r="AI7" s="7" t="s">
        <v>9</v>
      </c>
    </row>
    <row r="8" spans="1:35" x14ac:dyDescent="0.4">
      <c r="A8" s="45"/>
      <c r="B8" s="17"/>
      <c r="D8" s="25">
        <v>49.98</v>
      </c>
      <c r="E8" s="29">
        <v>41630.400000000001</v>
      </c>
      <c r="F8" s="23"/>
      <c r="G8" s="23"/>
      <c r="H8" s="23"/>
      <c r="I8" s="30">
        <v>379</v>
      </c>
      <c r="J8" s="30"/>
      <c r="K8" s="30"/>
      <c r="L8" s="30"/>
      <c r="M8" s="31">
        <f>SUM(E8:L8)</f>
        <v>42009.4</v>
      </c>
      <c r="N8" s="16">
        <v>5686</v>
      </c>
      <c r="O8" s="21">
        <v>2138.6999999999998</v>
      </c>
      <c r="P8" s="16">
        <f>(86.66*4)</f>
        <v>346.64</v>
      </c>
      <c r="Q8" s="21">
        <v>108.64</v>
      </c>
      <c r="R8" s="16">
        <f t="shared" ref="R8:R15" si="0">(5.81*12)</f>
        <v>69.72</v>
      </c>
      <c r="S8" s="16">
        <v>45.08</v>
      </c>
      <c r="T8" s="16">
        <f>(4*0.8)+(4*62.12)</f>
        <v>251.67999999999998</v>
      </c>
      <c r="U8" s="16">
        <f>(4)</f>
        <v>4</v>
      </c>
      <c r="V8" s="16"/>
      <c r="W8" s="16"/>
      <c r="X8" s="16">
        <f>(157.06*4)</f>
        <v>628.24</v>
      </c>
      <c r="Y8" s="16"/>
      <c r="Z8" s="16"/>
      <c r="AA8" s="16"/>
      <c r="AB8" s="16"/>
      <c r="AC8" s="16"/>
      <c r="AD8" s="16">
        <f>(1166.35+64.55)</f>
        <v>1230.8999999999999</v>
      </c>
      <c r="AE8" s="16"/>
      <c r="AF8" s="16"/>
      <c r="AG8" s="16"/>
      <c r="AH8" s="9">
        <f t="shared" ref="AH8:AH16" si="1">+M8+N8+P8+R8+T8+X8+AB8</f>
        <v>48991.68</v>
      </c>
      <c r="AI8" s="9">
        <f t="shared" ref="AI8:AI16" si="2">+O8+Q8+S8+U8+Y8+AC8+AE8+AG8</f>
        <v>2296.4199999999996</v>
      </c>
    </row>
    <row r="9" spans="1:35" x14ac:dyDescent="0.4">
      <c r="A9" s="45"/>
      <c r="B9" s="17"/>
      <c r="C9" s="8"/>
      <c r="D9" s="25">
        <v>57.99</v>
      </c>
      <c r="E9" s="29">
        <v>121512</v>
      </c>
      <c r="F9" s="23"/>
      <c r="G9" s="23"/>
      <c r="H9" s="23"/>
      <c r="I9" s="30">
        <v>379</v>
      </c>
      <c r="J9" s="30"/>
      <c r="K9" s="30"/>
      <c r="L9" s="30"/>
      <c r="M9" s="31">
        <f t="shared" ref="M9:M16" si="3">SUM(E9:L9)</f>
        <v>121891</v>
      </c>
      <c r="N9" s="16">
        <v>13646.4</v>
      </c>
      <c r="O9" s="21">
        <v>5132.88</v>
      </c>
      <c r="P9" s="16">
        <f>(58.54*12)</f>
        <v>702.48</v>
      </c>
      <c r="Q9" s="21">
        <v>325.92</v>
      </c>
      <c r="R9" s="16"/>
      <c r="S9" s="16"/>
      <c r="T9" s="16">
        <f>(27.6)+(70.64*12)</f>
        <v>875.28000000000009</v>
      </c>
      <c r="U9" s="16">
        <f>(375.84)+(12)</f>
        <v>387.84</v>
      </c>
      <c r="V9" s="16"/>
      <c r="W9" s="16">
        <v>497.04</v>
      </c>
      <c r="X9" s="16">
        <f>(178.73*12)</f>
        <v>2144.7599999999998</v>
      </c>
      <c r="Y9" s="16"/>
      <c r="Z9" s="16"/>
      <c r="AA9" s="16"/>
      <c r="AB9" s="16"/>
      <c r="AC9" s="16">
        <v>24502.2</v>
      </c>
      <c r="AD9" s="16"/>
      <c r="AE9" s="16"/>
      <c r="AF9" s="16">
        <v>500</v>
      </c>
      <c r="AG9" s="16"/>
      <c r="AH9" s="9">
        <f t="shared" si="1"/>
        <v>139259.92000000001</v>
      </c>
      <c r="AI9" s="9">
        <f t="shared" si="2"/>
        <v>30348.84</v>
      </c>
    </row>
    <row r="10" spans="1:35" x14ac:dyDescent="0.4">
      <c r="A10" s="45"/>
      <c r="B10" s="18"/>
      <c r="C10" s="8"/>
      <c r="D10" s="25">
        <v>57.83</v>
      </c>
      <c r="E10" s="29">
        <v>121183.2</v>
      </c>
      <c r="F10" s="30"/>
      <c r="G10" s="23"/>
      <c r="H10" s="23"/>
      <c r="I10" s="30">
        <v>379</v>
      </c>
      <c r="J10" s="30"/>
      <c r="K10" s="30"/>
      <c r="L10" s="30"/>
      <c r="M10" s="31">
        <f t="shared" si="3"/>
        <v>121562.2</v>
      </c>
      <c r="N10" s="16">
        <v>5183.6400000000003</v>
      </c>
      <c r="O10" s="21">
        <v>576</v>
      </c>
      <c r="P10" s="16">
        <f>(86.66*12)</f>
        <v>1039.92</v>
      </c>
      <c r="Q10" s="21">
        <v>325.92</v>
      </c>
      <c r="R10" s="16">
        <f t="shared" si="0"/>
        <v>69.72</v>
      </c>
      <c r="S10" s="16">
        <v>135.24</v>
      </c>
      <c r="T10" s="16">
        <f>(27.6)+(70.64*12)</f>
        <v>875.28000000000009</v>
      </c>
      <c r="U10" s="16">
        <f>(12)</f>
        <v>12</v>
      </c>
      <c r="V10" s="16"/>
      <c r="W10" s="16">
        <v>497.04</v>
      </c>
      <c r="X10" s="16">
        <f>(178.25*12)</f>
        <v>2139</v>
      </c>
      <c r="Y10" s="16"/>
      <c r="Z10" s="16"/>
      <c r="AA10" s="16"/>
      <c r="AB10" s="16"/>
      <c r="AC10" s="16">
        <v>7271.01</v>
      </c>
      <c r="AD10" s="16">
        <f>(2103.73+116.63)</f>
        <v>2220.36</v>
      </c>
      <c r="AE10" s="16"/>
      <c r="AF10" s="16">
        <v>500</v>
      </c>
      <c r="AG10" s="16"/>
      <c r="AH10" s="9">
        <f t="shared" si="1"/>
        <v>130869.75999999999</v>
      </c>
      <c r="AI10" s="9">
        <f t="shared" si="2"/>
        <v>8320.17</v>
      </c>
    </row>
    <row r="11" spans="1:35" x14ac:dyDescent="0.4">
      <c r="A11" s="45"/>
      <c r="B11" s="18"/>
      <c r="C11" s="8"/>
      <c r="D11" s="25">
        <v>46.46</v>
      </c>
      <c r="E11" s="29">
        <v>97716</v>
      </c>
      <c r="F11" s="32"/>
      <c r="G11" s="23">
        <v>1300.8800000000001</v>
      </c>
      <c r="H11" s="23"/>
      <c r="I11" s="30">
        <v>379</v>
      </c>
      <c r="J11" s="30"/>
      <c r="K11" s="30"/>
      <c r="L11" s="30"/>
      <c r="M11" s="31">
        <f t="shared" si="3"/>
        <v>99395.88</v>
      </c>
      <c r="N11" s="16">
        <v>13646.4</v>
      </c>
      <c r="O11" s="21">
        <v>5132.88</v>
      </c>
      <c r="P11" s="16">
        <f>(86.66*12)</f>
        <v>1039.92</v>
      </c>
      <c r="Q11" s="21">
        <v>325.92</v>
      </c>
      <c r="R11" s="16">
        <f t="shared" si="0"/>
        <v>69.72</v>
      </c>
      <c r="S11" s="16">
        <v>135.24</v>
      </c>
      <c r="T11" s="16">
        <f>(18)+(57.25*12)</f>
        <v>705</v>
      </c>
      <c r="U11" s="16">
        <f>(528.72)+(12)</f>
        <v>540.72</v>
      </c>
      <c r="V11" s="16"/>
      <c r="W11" s="16">
        <v>497.04</v>
      </c>
      <c r="X11" s="16">
        <f>(143.88*12)</f>
        <v>1726.56</v>
      </c>
      <c r="Y11" s="16"/>
      <c r="Z11" s="16"/>
      <c r="AA11" s="16"/>
      <c r="AB11" s="16"/>
      <c r="AC11" s="16">
        <f>(7817.34)+(7817.34)</f>
        <v>15634.68</v>
      </c>
      <c r="AD11" s="16">
        <f>(1698.19+94.15)</f>
        <v>1792.3400000000001</v>
      </c>
      <c r="AE11" s="16"/>
      <c r="AF11" s="16">
        <v>500</v>
      </c>
      <c r="AG11" s="16"/>
      <c r="AH11" s="9">
        <f t="shared" si="1"/>
        <v>116583.48</v>
      </c>
      <c r="AI11" s="9">
        <f t="shared" si="2"/>
        <v>21769.440000000002</v>
      </c>
    </row>
    <row r="12" spans="1:35" x14ac:dyDescent="0.4">
      <c r="A12" s="45"/>
      <c r="B12" s="18"/>
      <c r="C12" s="8"/>
      <c r="D12" s="25">
        <v>47.01</v>
      </c>
      <c r="E12" s="29">
        <v>98148</v>
      </c>
      <c r="F12" s="32"/>
      <c r="G12" s="23">
        <f>(3525.75)+(1880.4)</f>
        <v>5406.15</v>
      </c>
      <c r="H12" s="23"/>
      <c r="I12" s="30">
        <v>379</v>
      </c>
      <c r="J12" s="30"/>
      <c r="K12" s="30"/>
      <c r="L12" s="30"/>
      <c r="M12" s="31">
        <f t="shared" si="3"/>
        <v>103933.15</v>
      </c>
      <c r="N12" s="16">
        <v>9485.52</v>
      </c>
      <c r="O12" s="21">
        <v>2892.24</v>
      </c>
      <c r="P12" s="16">
        <f>(60.2*12)</f>
        <v>722.40000000000009</v>
      </c>
      <c r="Q12" s="21">
        <v>155.28</v>
      </c>
      <c r="R12" s="16">
        <f t="shared" si="0"/>
        <v>69.72</v>
      </c>
      <c r="S12" s="16">
        <v>69.72</v>
      </c>
      <c r="T12" s="16">
        <f>(18)+(57.25*12)</f>
        <v>705</v>
      </c>
      <c r="U12" s="16">
        <f>(27)+(99.24)+(12)</f>
        <v>138.24</v>
      </c>
      <c r="V12" s="16"/>
      <c r="W12" s="16">
        <v>252.12</v>
      </c>
      <c r="X12" s="16">
        <f>(144.21*12)</f>
        <v>1730.52</v>
      </c>
      <c r="Y12" s="16"/>
      <c r="Z12" s="16"/>
      <c r="AA12" s="16"/>
      <c r="AB12" s="16"/>
      <c r="AC12" s="16">
        <v>6870.3</v>
      </c>
      <c r="AD12" s="16">
        <f>(1701.97+94.36)</f>
        <v>1796.33</v>
      </c>
      <c r="AE12" s="16"/>
      <c r="AF12" s="16">
        <v>500</v>
      </c>
      <c r="AG12" s="16"/>
      <c r="AH12" s="9">
        <f t="shared" si="1"/>
        <v>116646.31</v>
      </c>
      <c r="AI12" s="9">
        <f t="shared" si="2"/>
        <v>10125.779999999999</v>
      </c>
    </row>
    <row r="13" spans="1:35" x14ac:dyDescent="0.4">
      <c r="A13" s="45"/>
      <c r="B13" s="17"/>
      <c r="C13" s="8"/>
      <c r="D13" s="25">
        <v>42.65</v>
      </c>
      <c r="E13" s="29">
        <v>90040.8</v>
      </c>
      <c r="F13" s="23"/>
      <c r="G13" s="23"/>
      <c r="H13" s="23"/>
      <c r="I13" s="30">
        <v>379</v>
      </c>
      <c r="J13" s="30"/>
      <c r="K13" s="30"/>
      <c r="L13" s="30"/>
      <c r="M13" s="31">
        <f t="shared" si="3"/>
        <v>90419.8</v>
      </c>
      <c r="N13" s="16">
        <v>11160.69</v>
      </c>
      <c r="O13" s="16">
        <f>(1283.22)+(2511)</f>
        <v>3794.2200000000003</v>
      </c>
      <c r="P13" s="16">
        <f>(58.54*9)+(86.66*3)</f>
        <v>786.84</v>
      </c>
      <c r="Q13" s="16">
        <f>(81.48)+(108.18)</f>
        <v>189.66000000000003</v>
      </c>
      <c r="R13" s="16">
        <f t="shared" si="0"/>
        <v>69.72</v>
      </c>
      <c r="S13" s="16">
        <v>80.88</v>
      </c>
      <c r="T13" s="16">
        <f>(18)+(52.98*12)</f>
        <v>653.76</v>
      </c>
      <c r="U13" s="16">
        <f>(183.72)+(27)+(3)</f>
        <v>213.72</v>
      </c>
      <c r="V13" s="16"/>
      <c r="W13" s="16">
        <v>396.72</v>
      </c>
      <c r="X13" s="16">
        <f>(132.73*12)</f>
        <v>1592.7599999999998</v>
      </c>
      <c r="Y13" s="16"/>
      <c r="Z13" s="16"/>
      <c r="AA13" s="16"/>
      <c r="AB13" s="16"/>
      <c r="AC13" s="16">
        <v>9004.08</v>
      </c>
      <c r="AD13" s="16">
        <f>(1566.54+86.85)</f>
        <v>1653.3899999999999</v>
      </c>
      <c r="AE13" s="16"/>
      <c r="AF13" s="16">
        <v>500</v>
      </c>
      <c r="AG13" s="16"/>
      <c r="AH13" s="9">
        <f t="shared" si="1"/>
        <v>104683.56999999999</v>
      </c>
      <c r="AI13" s="9">
        <f t="shared" si="2"/>
        <v>13282.560000000001</v>
      </c>
    </row>
    <row r="14" spans="1:35" x14ac:dyDescent="0.4">
      <c r="A14" s="45"/>
      <c r="B14" s="18"/>
      <c r="C14" s="8"/>
      <c r="D14" s="25">
        <v>52.29</v>
      </c>
      <c r="E14" s="29">
        <v>109569.60000000001</v>
      </c>
      <c r="F14" s="32"/>
      <c r="G14" s="23"/>
      <c r="H14" s="23"/>
      <c r="I14" s="30">
        <v>379</v>
      </c>
      <c r="J14" s="30"/>
      <c r="K14" s="30"/>
      <c r="L14" s="30"/>
      <c r="M14" s="31">
        <f t="shared" si="3"/>
        <v>109948.6</v>
      </c>
      <c r="N14" s="16">
        <v>10332.120000000001</v>
      </c>
      <c r="O14" s="21">
        <v>3348</v>
      </c>
      <c r="P14" s="16">
        <f>(36.2*12)</f>
        <v>434.40000000000003</v>
      </c>
      <c r="Q14" s="21">
        <v>0</v>
      </c>
      <c r="R14" s="16">
        <f t="shared" si="0"/>
        <v>69.72</v>
      </c>
      <c r="S14" s="16">
        <v>62.76</v>
      </c>
      <c r="T14" s="16">
        <f>(27.6)+(63.95*12)</f>
        <v>795.00000000000011</v>
      </c>
      <c r="U14" s="16">
        <f>(340.2)+(41.4)+(86.4)</f>
        <v>468</v>
      </c>
      <c r="V14" s="16"/>
      <c r="W14" s="16">
        <v>396.72</v>
      </c>
      <c r="X14" s="16">
        <f>(161.16*12)</f>
        <v>1933.92</v>
      </c>
      <c r="Y14" s="16"/>
      <c r="Z14" s="16"/>
      <c r="AA14" s="16">
        <v>928.08</v>
      </c>
      <c r="AB14" s="16"/>
      <c r="AC14" s="16"/>
      <c r="AD14" s="16">
        <f>(1902.09+105.45)</f>
        <v>2007.54</v>
      </c>
      <c r="AE14" s="16"/>
      <c r="AF14" s="16">
        <v>500</v>
      </c>
      <c r="AG14" s="16"/>
      <c r="AH14" s="9">
        <f t="shared" si="1"/>
        <v>123513.76</v>
      </c>
      <c r="AI14" s="9">
        <f t="shared" si="2"/>
        <v>3878.76</v>
      </c>
    </row>
    <row r="15" spans="1:35" x14ac:dyDescent="0.4">
      <c r="A15" s="45"/>
      <c r="B15" s="18"/>
      <c r="D15" s="25">
        <v>71.19</v>
      </c>
      <c r="E15" s="29">
        <v>153770.4</v>
      </c>
      <c r="F15" s="32"/>
      <c r="G15" s="23">
        <f>(19151.53)+(8542.8)</f>
        <v>27694.329999999998</v>
      </c>
      <c r="H15" s="23"/>
      <c r="I15" s="30">
        <v>2855.15</v>
      </c>
      <c r="J15" s="30"/>
      <c r="K15" s="30"/>
      <c r="L15" s="30"/>
      <c r="M15" s="31">
        <f t="shared" si="3"/>
        <v>184319.87999999998</v>
      </c>
      <c r="N15" s="16">
        <v>10332.120000000001</v>
      </c>
      <c r="O15" s="21">
        <v>3348</v>
      </c>
      <c r="P15" s="16">
        <f>(36.2*4)+(8*58.54)</f>
        <v>613.12</v>
      </c>
      <c r="Q15" s="21">
        <v>96.16</v>
      </c>
      <c r="R15" s="16">
        <f t="shared" si="0"/>
        <v>69.72</v>
      </c>
      <c r="S15" s="16">
        <v>47.07</v>
      </c>
      <c r="T15" s="16">
        <f>(12*4.3)+(90.74*12)</f>
        <v>1140.4799999999998</v>
      </c>
      <c r="U15" s="16">
        <f>(77.4)</f>
        <v>77.400000000000006</v>
      </c>
      <c r="V15" s="16"/>
      <c r="W15" s="16">
        <v>396.72</v>
      </c>
      <c r="X15" s="16">
        <f>(228.18*12)</f>
        <v>2738.16</v>
      </c>
      <c r="Y15" s="16"/>
      <c r="Z15" s="16"/>
      <c r="AA15" s="16"/>
      <c r="AB15" s="16"/>
      <c r="AC15" s="16">
        <v>11532.78</v>
      </c>
      <c r="AD15" s="16"/>
      <c r="AE15" s="16"/>
      <c r="AF15" s="16">
        <v>500</v>
      </c>
      <c r="AG15" s="16"/>
      <c r="AH15" s="9">
        <f t="shared" si="1"/>
        <v>199213.47999999998</v>
      </c>
      <c r="AI15" s="9">
        <f t="shared" si="2"/>
        <v>15101.41</v>
      </c>
    </row>
    <row r="16" spans="1:35" x14ac:dyDescent="0.4">
      <c r="A16" s="45"/>
      <c r="B16" s="11"/>
      <c r="C16" s="12"/>
      <c r="D16" s="26"/>
      <c r="E16" s="10"/>
      <c r="F16" s="10"/>
      <c r="G16" s="10"/>
      <c r="H16" s="10"/>
      <c r="I16" s="10"/>
      <c r="J16" s="10"/>
      <c r="K16" s="10"/>
      <c r="L16" s="10"/>
      <c r="M16" s="31">
        <f t="shared" si="3"/>
        <v>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9">
        <f t="shared" si="1"/>
        <v>0</v>
      </c>
      <c r="AI16" s="9">
        <f t="shared" si="2"/>
        <v>0</v>
      </c>
    </row>
    <row r="17" spans="2:35" x14ac:dyDescent="0.4">
      <c r="B17" s="13" t="s">
        <v>10</v>
      </c>
      <c r="C17" s="14"/>
      <c r="D17" s="27"/>
      <c r="E17" s="37">
        <f>SUM(E8:E16)</f>
        <v>833570.4</v>
      </c>
      <c r="F17" s="37">
        <f>SUM(F8:F16)</f>
        <v>0</v>
      </c>
      <c r="G17" s="37">
        <f>SUM(G8:G16)</f>
        <v>34401.360000000001</v>
      </c>
      <c r="H17" s="37">
        <f>SUM(H8:H16)</f>
        <v>0</v>
      </c>
      <c r="I17" s="37">
        <f>SUM(I8:I16)</f>
        <v>5508.15</v>
      </c>
      <c r="J17" s="37">
        <f t="shared" ref="J17:L17" si="4">SUM(J8:J16)</f>
        <v>0</v>
      </c>
      <c r="K17" s="37">
        <f t="shared" si="4"/>
        <v>0</v>
      </c>
      <c r="L17" s="37">
        <f t="shared" si="4"/>
        <v>0</v>
      </c>
      <c r="M17" s="37">
        <f t="shared" ref="M17:AI17" si="5">SUM(M8:M16)</f>
        <v>873479.91</v>
      </c>
      <c r="N17" s="15">
        <f t="shared" si="5"/>
        <v>79472.89</v>
      </c>
      <c r="O17" s="15">
        <f t="shared" si="5"/>
        <v>26362.92</v>
      </c>
      <c r="P17" s="15">
        <f t="shared" si="5"/>
        <v>5685.7199999999993</v>
      </c>
      <c r="Q17" s="15">
        <f t="shared" si="5"/>
        <v>1527.5000000000002</v>
      </c>
      <c r="R17" s="15">
        <f t="shared" si="5"/>
        <v>488.04000000000008</v>
      </c>
      <c r="S17" s="34">
        <f t="shared" si="5"/>
        <v>575.99</v>
      </c>
      <c r="T17" s="15">
        <f t="shared" si="5"/>
        <v>6001.48</v>
      </c>
      <c r="U17" s="15">
        <f t="shared" si="5"/>
        <v>1841.92</v>
      </c>
      <c r="V17" s="15">
        <f t="shared" si="5"/>
        <v>0</v>
      </c>
      <c r="W17" s="15">
        <f t="shared" si="5"/>
        <v>2933.4000000000005</v>
      </c>
      <c r="X17" s="15">
        <f t="shared" si="5"/>
        <v>14633.92</v>
      </c>
      <c r="Y17" s="15">
        <f t="shared" si="5"/>
        <v>0</v>
      </c>
      <c r="Z17" s="15">
        <f t="shared" si="5"/>
        <v>0</v>
      </c>
      <c r="AA17" s="15">
        <f t="shared" si="5"/>
        <v>928.08</v>
      </c>
      <c r="AB17" s="15">
        <f t="shared" si="5"/>
        <v>0</v>
      </c>
      <c r="AC17" s="15">
        <f t="shared" si="5"/>
        <v>74815.05</v>
      </c>
      <c r="AD17" s="15">
        <f t="shared" si="5"/>
        <v>10700.86</v>
      </c>
      <c r="AE17" s="15">
        <f t="shared" si="5"/>
        <v>0</v>
      </c>
      <c r="AF17" s="15">
        <f t="shared" si="5"/>
        <v>3500</v>
      </c>
      <c r="AG17" s="15">
        <f t="shared" si="5"/>
        <v>0</v>
      </c>
      <c r="AH17" s="15">
        <f t="shared" si="5"/>
        <v>979761.95999999985</v>
      </c>
      <c r="AI17" s="15">
        <f t="shared" si="5"/>
        <v>105123.37999999999</v>
      </c>
    </row>
    <row r="18" spans="2:35" x14ac:dyDescent="0.4">
      <c r="O18" s="19"/>
    </row>
    <row r="20" spans="2:35" x14ac:dyDescent="0.4">
      <c r="E20" s="19"/>
    </row>
  </sheetData>
  <mergeCells count="29">
    <mergeCell ref="Z6:AA6"/>
    <mergeCell ref="V6:W6"/>
    <mergeCell ref="AH6:AI6"/>
    <mergeCell ref="N6:O6"/>
    <mergeCell ref="P6:Q6"/>
    <mergeCell ref="R6:S6"/>
    <mergeCell ref="T6:U6"/>
    <mergeCell ref="X6:Y6"/>
    <mergeCell ref="AB6:AC6"/>
    <mergeCell ref="AF6:AG6"/>
    <mergeCell ref="AD6:AE6"/>
    <mergeCell ref="B6:B7"/>
    <mergeCell ref="C6:C7"/>
    <mergeCell ref="D6:D7"/>
    <mergeCell ref="E6:E7"/>
    <mergeCell ref="F6:F7"/>
    <mergeCell ref="G6:G7"/>
    <mergeCell ref="H6:H7"/>
    <mergeCell ref="I6:I7"/>
    <mergeCell ref="M6:M7"/>
    <mergeCell ref="N5:O5"/>
    <mergeCell ref="L6:L7"/>
    <mergeCell ref="J6:J7"/>
    <mergeCell ref="K6:K7"/>
    <mergeCell ref="P5:Q5"/>
    <mergeCell ref="R5:S5"/>
    <mergeCell ref="T5:U5"/>
    <mergeCell ref="X5:Y5"/>
    <mergeCell ref="AB5:AC5"/>
  </mergeCells>
  <pageMargins left="0.7" right="0.7" top="0.75" bottom="0.75" header="0.3" footer="0.3"/>
  <ignoredErrors>
    <ignoredError sqref="AD8:AD14 AC8:AC11 X8:X15 P9:R15 Q8:R8 O13 G12:G15 T8:U15" unlockedFormula="1"/>
    <ignoredError sqref="P8" formula="1" unlockedFormula="1"/>
    <ignoredError sqref="M8:M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Heather Temple</cp:lastModifiedBy>
  <cp:lastPrinted>2025-09-11T10:51:08Z</cp:lastPrinted>
  <dcterms:created xsi:type="dcterms:W3CDTF">2023-08-27T19:57:21Z</dcterms:created>
  <dcterms:modified xsi:type="dcterms:W3CDTF">2025-09-22T14:41:02Z</dcterms:modified>
</cp:coreProperties>
</file>