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te Case\"/>
    </mc:Choice>
  </mc:AlternateContent>
  <xr:revisionPtr revIDLastSave="0" documentId="13_ncr:1_{B49C054D-10A8-4087-B692-349D34667367}" xr6:coauthVersionLast="47" xr6:coauthVersionMax="47" xr10:uidLastSave="{00000000-0000-0000-0000-000000000000}"/>
  <bookViews>
    <workbookView xWindow="-120" yWindow="-120" windowWidth="51840" windowHeight="21120" tabRatio="783" xr2:uid="{87FF5408-64D2-40B8-B74F-8494C0F1876E}"/>
  </bookViews>
  <sheets>
    <sheet name="2025" sheetId="20" r:id="rId1"/>
    <sheet name="2024" sheetId="12" r:id="rId2"/>
    <sheet name="2023" sheetId="9" r:id="rId3"/>
    <sheet name="2022" sheetId="21" r:id="rId4"/>
    <sheet name="2021" sheetId="22" r:id="rId5"/>
    <sheet name="2020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3" l="1"/>
  <c r="K10" i="23"/>
  <c r="L10" i="23"/>
  <c r="J10" i="22"/>
  <c r="K10" i="22"/>
  <c r="L10" i="22"/>
  <c r="L10" i="21"/>
  <c r="L10" i="9"/>
  <c r="M7" i="20"/>
  <c r="L9" i="20"/>
  <c r="L10" i="12"/>
  <c r="M8" i="12"/>
  <c r="M8" i="9"/>
  <c r="M8" i="21"/>
  <c r="M8" i="22"/>
  <c r="M8" i="23"/>
  <c r="Z9" i="20" l="1"/>
  <c r="AA9" i="20"/>
  <c r="V9" i="20"/>
  <c r="W9" i="20"/>
  <c r="V6" i="20"/>
  <c r="V10" i="12"/>
  <c r="W10" i="12"/>
  <c r="Y10" i="12"/>
  <c r="Z10" i="12"/>
  <c r="AA10" i="12"/>
  <c r="V7" i="12"/>
  <c r="Z7" i="12"/>
  <c r="V10" i="9"/>
  <c r="W10" i="9"/>
  <c r="Y10" i="9"/>
  <c r="Z10" i="9"/>
  <c r="AA10" i="9"/>
  <c r="Z7" i="9"/>
  <c r="V7" i="9"/>
  <c r="Z10" i="21"/>
  <c r="AA10" i="21"/>
  <c r="V10" i="21"/>
  <c r="W10" i="21"/>
  <c r="Z7" i="21"/>
  <c r="V7" i="21"/>
  <c r="Z10" i="22"/>
  <c r="AA10" i="22"/>
  <c r="V10" i="22"/>
  <c r="W10" i="22"/>
  <c r="Z7" i="22"/>
  <c r="V7" i="22"/>
  <c r="Z10" i="23"/>
  <c r="AA10" i="23"/>
  <c r="V10" i="23"/>
  <c r="W10" i="23"/>
  <c r="V7" i="23"/>
  <c r="Z7" i="23"/>
  <c r="Z6" i="20"/>
  <c r="AE9" i="20"/>
  <c r="AF9" i="20"/>
  <c r="AG9" i="20"/>
  <c r="J9" i="20"/>
  <c r="K9" i="20"/>
  <c r="AI8" i="20"/>
  <c r="M8" i="20"/>
  <c r="AH8" i="20" s="1"/>
  <c r="E10" i="12"/>
  <c r="AI9" i="12"/>
  <c r="AE10" i="12"/>
  <c r="AF10" i="12"/>
  <c r="AG10" i="12"/>
  <c r="J10" i="12"/>
  <c r="K10" i="12"/>
  <c r="M9" i="12"/>
  <c r="AH9" i="12" s="1"/>
  <c r="K10" i="9"/>
  <c r="J10" i="9"/>
  <c r="S10" i="9"/>
  <c r="AB10" i="9"/>
  <c r="AE10" i="9"/>
  <c r="AF10" i="9"/>
  <c r="AG10" i="9"/>
  <c r="M9" i="9"/>
  <c r="AH9" i="9" s="1"/>
  <c r="AE10" i="23"/>
  <c r="AF10" i="23"/>
  <c r="AG10" i="23"/>
  <c r="AD10" i="22"/>
  <c r="AE10" i="22"/>
  <c r="AF10" i="22"/>
  <c r="AG10" i="22"/>
  <c r="AE10" i="21"/>
  <c r="AF10" i="21"/>
  <c r="AG10" i="21"/>
  <c r="J10" i="21"/>
  <c r="K10" i="21"/>
  <c r="AI9" i="21"/>
  <c r="M9" i="21"/>
  <c r="AH9" i="21" s="1"/>
  <c r="AI9" i="22"/>
  <c r="M9" i="22"/>
  <c r="AH9" i="22" s="1"/>
  <c r="M9" i="23"/>
  <c r="AH9" i="23" s="1"/>
  <c r="AI9" i="23"/>
  <c r="AD6" i="20"/>
  <c r="AD7" i="12"/>
  <c r="AD7" i="9"/>
  <c r="AD7" i="21"/>
  <c r="AD8" i="22"/>
  <c r="X8" i="22"/>
  <c r="AD7" i="22"/>
  <c r="AD8" i="23"/>
  <c r="X8" i="12"/>
  <c r="X10" i="12" s="1"/>
  <c r="T8" i="12"/>
  <c r="X8" i="9"/>
  <c r="X10" i="9" s="1"/>
  <c r="T8" i="9"/>
  <c r="X8" i="21"/>
  <c r="T8" i="21"/>
  <c r="T8" i="22"/>
  <c r="X8" i="23"/>
  <c r="T8" i="23"/>
  <c r="U8" i="12"/>
  <c r="U8" i="9"/>
  <c r="U8" i="21"/>
  <c r="AD10" i="12" l="1"/>
  <c r="AD10" i="9"/>
  <c r="T10" i="9"/>
  <c r="AD10" i="21"/>
  <c r="AD9" i="20"/>
  <c r="AD10" i="23"/>
  <c r="R8" i="23"/>
  <c r="R8" i="22"/>
  <c r="R8" i="21"/>
  <c r="R8" i="9"/>
  <c r="R7" i="20"/>
  <c r="R8" i="12" l="1"/>
  <c r="P8" i="22" l="1"/>
  <c r="AH8" i="22" s="1"/>
  <c r="P8" i="21"/>
  <c r="AH8" i="21" s="1"/>
  <c r="P8" i="9" l="1"/>
  <c r="AH8" i="9" s="1"/>
  <c r="P8" i="12"/>
  <c r="AH8" i="12" s="1"/>
  <c r="P8" i="23"/>
  <c r="U8" i="23"/>
  <c r="AC8" i="23"/>
  <c r="U8" i="22"/>
  <c r="AC8" i="22"/>
  <c r="AI8" i="23" l="1"/>
  <c r="AI8" i="22"/>
  <c r="AC8" i="21"/>
  <c r="AI8" i="21" s="1"/>
  <c r="Q10" i="9"/>
  <c r="AI9" i="9" s="1"/>
  <c r="AC8" i="9"/>
  <c r="AC10" i="9" l="1"/>
  <c r="AI8" i="9"/>
  <c r="U10" i="9"/>
  <c r="AF7" i="9"/>
  <c r="AF6" i="20"/>
  <c r="AC8" i="12"/>
  <c r="AI8" i="12" s="1"/>
  <c r="AC10" i="23"/>
  <c r="AB10" i="23"/>
  <c r="Y10" i="23"/>
  <c r="X10" i="23"/>
  <c r="U10" i="23"/>
  <c r="T10" i="23"/>
  <c r="S10" i="23"/>
  <c r="R10" i="23"/>
  <c r="Q10" i="23"/>
  <c r="P10" i="23"/>
  <c r="O10" i="23"/>
  <c r="N10" i="23"/>
  <c r="I10" i="23"/>
  <c r="H10" i="23"/>
  <c r="F10" i="23"/>
  <c r="E10" i="23"/>
  <c r="AH8" i="23"/>
  <c r="AH7" i="23"/>
  <c r="AB7" i="23"/>
  <c r="X7" i="23"/>
  <c r="T7" i="23"/>
  <c r="R7" i="23"/>
  <c r="P7" i="23"/>
  <c r="AC10" i="22"/>
  <c r="AB10" i="22"/>
  <c r="Y10" i="22"/>
  <c r="X10" i="22"/>
  <c r="U10" i="22"/>
  <c r="T10" i="22"/>
  <c r="S10" i="22"/>
  <c r="R10" i="22"/>
  <c r="Q10" i="22"/>
  <c r="P10" i="22"/>
  <c r="O10" i="22"/>
  <c r="N10" i="22"/>
  <c r="I10" i="22"/>
  <c r="H10" i="22"/>
  <c r="F10" i="22"/>
  <c r="E10" i="22"/>
  <c r="AH7" i="22"/>
  <c r="AB7" i="22"/>
  <c r="X7" i="22"/>
  <c r="T7" i="22"/>
  <c r="R7" i="22"/>
  <c r="P7" i="22"/>
  <c r="AC10" i="21"/>
  <c r="AB10" i="21"/>
  <c r="Y10" i="21"/>
  <c r="X10" i="21"/>
  <c r="U10" i="21"/>
  <c r="T10" i="21"/>
  <c r="S10" i="21"/>
  <c r="R10" i="21"/>
  <c r="Q10" i="21"/>
  <c r="P10" i="21"/>
  <c r="O10" i="21"/>
  <c r="N10" i="21"/>
  <c r="I10" i="21"/>
  <c r="H10" i="21"/>
  <c r="F10" i="21"/>
  <c r="E10" i="21"/>
  <c r="AH7" i="21"/>
  <c r="AB7" i="21"/>
  <c r="X7" i="21"/>
  <c r="T7" i="21"/>
  <c r="R7" i="21"/>
  <c r="P7" i="21"/>
  <c r="R10" i="9"/>
  <c r="P10" i="9"/>
  <c r="O10" i="9"/>
  <c r="N10" i="9"/>
  <c r="I10" i="9"/>
  <c r="H10" i="9"/>
  <c r="F10" i="9"/>
  <c r="E10" i="9"/>
  <c r="AH7" i="9"/>
  <c r="AB7" i="9"/>
  <c r="X7" i="9"/>
  <c r="T7" i="9"/>
  <c r="R7" i="9"/>
  <c r="P7" i="9"/>
  <c r="AC7" i="20"/>
  <c r="G10" i="9" l="1"/>
  <c r="G10" i="21"/>
  <c r="G10" i="22"/>
  <c r="AI10" i="23"/>
  <c r="G10" i="23"/>
  <c r="AI10" i="22"/>
  <c r="AI10" i="21"/>
  <c r="AI10" i="9"/>
  <c r="AH10" i="9"/>
  <c r="X7" i="20"/>
  <c r="U7" i="20"/>
  <c r="AI7" i="20" s="1"/>
  <c r="T7" i="20"/>
  <c r="AH7" i="20" s="1"/>
  <c r="M10" i="23" l="1"/>
  <c r="AH10" i="23"/>
  <c r="M10" i="9"/>
  <c r="M10" i="22"/>
  <c r="AH10" i="22"/>
  <c r="M10" i="21"/>
  <c r="AH10" i="21"/>
  <c r="Y9" i="20"/>
  <c r="X9" i="20"/>
  <c r="U9" i="20"/>
  <c r="T9" i="20"/>
  <c r="S9" i="20"/>
  <c r="R9" i="20"/>
  <c r="Q9" i="20"/>
  <c r="P9" i="20"/>
  <c r="O9" i="20"/>
  <c r="N9" i="20"/>
  <c r="I9" i="20"/>
  <c r="H9" i="20"/>
  <c r="G9" i="20"/>
  <c r="F9" i="20"/>
  <c r="E9" i="20"/>
  <c r="AH6" i="20"/>
  <c r="AB6" i="20"/>
  <c r="X6" i="20"/>
  <c r="T6" i="20"/>
  <c r="R6" i="20"/>
  <c r="P6" i="20"/>
  <c r="AB9" i="20" l="1"/>
  <c r="AC9" i="20"/>
  <c r="M9" i="20"/>
  <c r="AI9" i="20"/>
  <c r="AH9" i="20" l="1"/>
  <c r="G10" i="12"/>
  <c r="Q10" i="12" l="1"/>
  <c r="O10" i="12"/>
  <c r="AB10" i="12"/>
  <c r="U10" i="12"/>
  <c r="T10" i="12"/>
  <c r="S10" i="12"/>
  <c r="R10" i="12"/>
  <c r="H10" i="12"/>
  <c r="F10" i="12"/>
  <c r="I10" i="12"/>
  <c r="AH7" i="12"/>
  <c r="AB7" i="12"/>
  <c r="X7" i="12"/>
  <c r="T7" i="12"/>
  <c r="R7" i="12"/>
  <c r="P7" i="12"/>
  <c r="AC10" i="12" l="1"/>
  <c r="N10" i="12"/>
  <c r="P10" i="12"/>
  <c r="AI10" i="12" l="1"/>
  <c r="AH10" i="12"/>
  <c r="M10" i="12"/>
</calcChain>
</file>

<file path=xl/sharedStrings.xml><?xml version="1.0" encoding="utf-8"?>
<sst xmlns="http://schemas.openxmlformats.org/spreadsheetml/2006/main" count="257" uniqueCount="55">
  <si>
    <t>Regular</t>
  </si>
  <si>
    <t>Overtime</t>
  </si>
  <si>
    <t>Vacation Payout</t>
  </si>
  <si>
    <t>Bonus</t>
  </si>
  <si>
    <t>Other</t>
  </si>
  <si>
    <t>Sub-Total</t>
  </si>
  <si>
    <t>Health Benefits Cost</t>
  </si>
  <si>
    <t>Dental Benefits</t>
  </si>
  <si>
    <t>Vision</t>
  </si>
  <si>
    <t>Life Insurance</t>
  </si>
  <si>
    <t>401k</t>
  </si>
  <si>
    <t>Totals</t>
  </si>
  <si>
    <t>Employee</t>
  </si>
  <si>
    <t>TOTALS</t>
  </si>
  <si>
    <t>Farmers RECC</t>
  </si>
  <si>
    <t>PSC Reference</t>
  </si>
  <si>
    <t>Service Awards</t>
  </si>
  <si>
    <t>Dental Insurance</t>
  </si>
  <si>
    <t>Position Title - as of December 31, 2023</t>
  </si>
  <si>
    <t>Position Title - as of December 31, 2024</t>
  </si>
  <si>
    <t>Q2 - 2025</t>
  </si>
  <si>
    <t>06/30/2025 Pay Rate</t>
  </si>
  <si>
    <t xml:space="preserve">Clark Energy Cooperatvie Inc. </t>
  </si>
  <si>
    <t>Chief Executive Officer</t>
  </si>
  <si>
    <t xml:space="preserve">Clark </t>
  </si>
  <si>
    <t>R.BREWER</t>
  </si>
  <si>
    <t>LTD</t>
  </si>
  <si>
    <t>12/30/2024 Pay Rate</t>
  </si>
  <si>
    <t xml:space="preserve">Clark Energy Cooperative Inc. </t>
  </si>
  <si>
    <t>12/30/2020 Pay Rate</t>
  </si>
  <si>
    <t>Position Title - as of December 31, 2020</t>
  </si>
  <si>
    <t>Position Title - as of December 31, 2021</t>
  </si>
  <si>
    <t>12/30/2021 Pay Rate</t>
  </si>
  <si>
    <t>Position Title - as of December 31, 2022</t>
  </si>
  <si>
    <t>12/30/2022 Pay Rate</t>
  </si>
  <si>
    <t>12/30/2023 Pay Rate</t>
  </si>
  <si>
    <t>Position Title - as of June 30, 2025</t>
  </si>
  <si>
    <t xml:space="preserve">Standy Pay </t>
  </si>
  <si>
    <t>PTO Payout</t>
  </si>
  <si>
    <t>Standy Pay</t>
  </si>
  <si>
    <t xml:space="preserve">Spot Inflation Assitstance </t>
  </si>
  <si>
    <t>Clark</t>
  </si>
  <si>
    <t>401K</t>
  </si>
  <si>
    <t>HRA</t>
  </si>
  <si>
    <t>Employe</t>
  </si>
  <si>
    <t>R&amp;S PLAN</t>
  </si>
  <si>
    <t>Incentive Pay</t>
  </si>
  <si>
    <t>STD</t>
  </si>
  <si>
    <t>Cancer Insurance</t>
  </si>
  <si>
    <t>Health Insurance</t>
  </si>
  <si>
    <t>Vision Insurance</t>
  </si>
  <si>
    <t>Salary &amp; Benefit Data by Executive Employees</t>
  </si>
  <si>
    <t>CONFIDENTIAL - Case No 2025-00230</t>
  </si>
  <si>
    <t>Vehicle Allowance</t>
  </si>
  <si>
    <t>Vehicle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</si>
</sst>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0070C0"/>
      <name val="Arial Narrow"/>
      <family val="2"/>
    </font>
    <font>
      <sz val="12"/>
      <color rgb="FF282D2D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6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166" fontId="5" fillId="2" borderId="1" xfId="0" applyNumberFormat="1" applyFont="1" applyFill="1" applyBorder="1" applyAlignment="1">
      <alignment vertical="top"/>
    </xf>
    <xf numFmtId="41" fontId="7" fillId="0" borderId="1" xfId="0" applyNumberFormat="1" applyFont="1" applyBorder="1" applyAlignment="1" applyProtection="1">
      <alignment vertical="top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vertical="top"/>
    </xf>
    <xf numFmtId="41" fontId="6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0" xfId="0" applyNumberFormat="1" applyFont="1"/>
    <xf numFmtId="0" fontId="10" fillId="0" borderId="0" xfId="0" applyFont="1" applyAlignment="1">
      <alignment horizontal="left" vertical="top"/>
    </xf>
    <xf numFmtId="165" fontId="6" fillId="0" borderId="1" xfId="1" applyNumberFormat="1" applyFont="1" applyFill="1" applyBorder="1" applyAlignment="1" applyProtection="1">
      <alignment vertical="top"/>
      <protection locked="0"/>
    </xf>
    <xf numFmtId="43" fontId="3" fillId="0" borderId="0" xfId="0" applyNumberFormat="1" applyFont="1"/>
    <xf numFmtId="43" fontId="6" fillId="0" borderId="1" xfId="1" applyFont="1" applyFill="1" applyBorder="1" applyAlignment="1" applyProtection="1">
      <alignment vertical="top"/>
      <protection locked="0"/>
    </xf>
    <xf numFmtId="43" fontId="3" fillId="0" borderId="0" xfId="0" applyNumberFormat="1" applyFont="1" applyAlignment="1">
      <alignment horizontal="left" vertical="top"/>
    </xf>
    <xf numFmtId="44" fontId="3" fillId="3" borderId="1" xfId="3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3" fillId="0" borderId="1" xfId="1" applyFont="1" applyBorder="1"/>
    <xf numFmtId="43" fontId="6" fillId="0" borderId="1" xfId="1" applyFont="1" applyBorder="1" applyProtection="1">
      <protection locked="0"/>
    </xf>
    <xf numFmtId="43" fontId="5" fillId="2" borderId="1" xfId="1" applyFont="1" applyFill="1" applyBorder="1" applyAlignment="1">
      <alignment vertical="top"/>
    </xf>
    <xf numFmtId="43" fontId="5" fillId="0" borderId="0" xfId="0" applyNumberFormat="1" applyFont="1" applyAlignment="1">
      <alignment horizontal="left" vertical="top"/>
    </xf>
    <xf numFmtId="165" fontId="2" fillId="2" borderId="1" xfId="1" applyNumberFormat="1" applyFont="1" applyFill="1" applyBorder="1" applyAlignment="1">
      <alignment vertical="top"/>
    </xf>
    <xf numFmtId="41" fontId="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6" fontId="2" fillId="2" borderId="1" xfId="3" applyNumberFormat="1" applyFont="1" applyFill="1" applyBorder="1" applyAlignment="1">
      <alignment vertical="top"/>
    </xf>
    <xf numFmtId="4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1" xfId="0" applyNumberFormat="1" applyFont="1" applyFill="1" applyBorder="1" applyAlignment="1">
      <alignment horizontal="left" vertical="top"/>
    </xf>
    <xf numFmtId="44" fontId="7" fillId="3" borderId="1" xfId="3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center" vertical="top" wrapText="1"/>
    </xf>
    <xf numFmtId="0" fontId="3" fillId="0" borderId="1" xfId="0" applyFont="1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0" fontId="0" fillId="0" borderId="0" xfId="0"/>
  </cellXfs>
  <cellStyles count="4">
    <cellStyle name="Comma" xfId="1" builtinId="3"/>
    <cellStyle name="Currency" xfId="3" builtinId="4"/>
    <cellStyle name="Normal" xfId="0" builtinId="0"/>
    <cellStyle name="Normal 2" xfId="2" xr:uid="{21ED767A-62C8-48B0-9B17-EE3D11679F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4D08-7452-43F7-BCF3-29D5CDC85DCA}">
  <sheetPr>
    <pageSetUpPr fitToPage="1"/>
  </sheetPr>
  <dimension ref="A1:AI9"/>
  <sheetViews>
    <sheetView tabSelected="1" workbookViewId="0">
      <selection activeCell="M21" sqref="M21"/>
    </sheetView>
  </sheetViews>
  <sheetFormatPr defaultColWidth="9.140625" defaultRowHeight="15.75" x14ac:dyDescent="0.25"/>
  <cols>
    <col min="1" max="1" width="13.42578125" style="3" customWidth="1"/>
    <col min="2" max="2" width="10.85546875" style="3" customWidth="1"/>
    <col min="3" max="3" width="39.7109375" style="3" customWidth="1"/>
    <col min="4" max="4" width="11.7109375" style="3" customWidth="1"/>
    <col min="5" max="5" width="16.28515625" style="3" customWidth="1"/>
    <col min="6" max="6" width="11.28515625" style="3" customWidth="1"/>
    <col min="7" max="7" width="14.85546875" style="3" customWidth="1"/>
    <col min="8" max="8" width="9.425781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3" width="10.7109375" style="3" customWidth="1"/>
    <col min="24" max="24" width="9.42578125" style="3" customWidth="1"/>
    <col min="25" max="27" width="10" style="3" customWidth="1"/>
    <col min="28" max="28" width="12" style="3" customWidth="1"/>
    <col min="29" max="29" width="12.28515625" style="3" bestFit="1" customWidth="1"/>
    <col min="30" max="33" width="12.28515625" style="3" customWidth="1"/>
    <col min="34" max="34" width="11.28515625" style="3" customWidth="1"/>
    <col min="35" max="35" width="9.7109375" style="3" customWidth="1"/>
    <col min="36" max="16384" width="9.140625" style="3"/>
  </cols>
  <sheetData>
    <row r="1" spans="1:35" ht="20.25" x14ac:dyDescent="0.25">
      <c r="B1" s="1" t="s">
        <v>22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B2" s="1" t="s">
        <v>52</v>
      </c>
      <c r="C2" s="2"/>
      <c r="D2" s="2"/>
      <c r="F2" s="4" t="s">
        <v>20</v>
      </c>
      <c r="G2" s="2"/>
      <c r="H2" s="2"/>
      <c r="I2" s="2"/>
      <c r="J2" s="2"/>
      <c r="K2" s="2"/>
      <c r="L2" s="2"/>
      <c r="M2" s="2"/>
      <c r="N2" s="2"/>
      <c r="O2" s="2"/>
      <c r="P2" s="22"/>
      <c r="Q2" s="24"/>
      <c r="R2" s="24"/>
      <c r="S2" s="24"/>
      <c r="T2" s="2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B3" s="1" t="s">
        <v>51</v>
      </c>
      <c r="C3" s="2"/>
      <c r="D3" s="2"/>
      <c r="E3"/>
      <c r="G3" s="2"/>
      <c r="H3" s="2"/>
      <c r="I3" s="2"/>
      <c r="J3" s="2"/>
      <c r="K3" s="2"/>
      <c r="L3" s="2"/>
      <c r="M3" s="2"/>
      <c r="N3" s="2"/>
      <c r="O3" s="24"/>
      <c r="P3" s="22"/>
      <c r="Q3" s="24"/>
      <c r="R3" s="24"/>
      <c r="S3" s="2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B4" s="2"/>
      <c r="C4" s="5"/>
      <c r="D4" s="5"/>
      <c r="E4" s="28"/>
      <c r="F4" s="28"/>
      <c r="G4" s="28"/>
      <c r="H4" s="28"/>
      <c r="I4" s="28"/>
      <c r="J4" s="28"/>
      <c r="K4" s="28"/>
      <c r="L4" s="28"/>
      <c r="M4" s="32"/>
      <c r="N4" s="44"/>
      <c r="O4" s="44"/>
      <c r="P4" s="44"/>
      <c r="Q4" s="44"/>
      <c r="R4" s="44"/>
      <c r="S4" s="44"/>
      <c r="T4" s="44"/>
      <c r="U4" s="44"/>
      <c r="V4" s="40"/>
      <c r="W4" s="40"/>
      <c r="X4" s="44"/>
      <c r="Y4" s="44"/>
      <c r="Z4" s="40"/>
      <c r="AA4" s="40"/>
      <c r="AB4" s="44"/>
      <c r="AC4" s="44"/>
      <c r="AD4" s="40"/>
      <c r="AE4" s="40"/>
      <c r="AF4" s="40"/>
      <c r="AG4" s="40"/>
      <c r="AH4" s="6"/>
      <c r="AI4" s="6"/>
    </row>
    <row r="5" spans="1:35" ht="30" customHeight="1" x14ac:dyDescent="0.25">
      <c r="B5" s="46" t="s">
        <v>15</v>
      </c>
      <c r="C5" s="46" t="s">
        <v>36</v>
      </c>
      <c r="D5" s="48" t="s">
        <v>21</v>
      </c>
      <c r="E5" s="46" t="s">
        <v>0</v>
      </c>
      <c r="F5" s="46" t="s">
        <v>1</v>
      </c>
      <c r="G5" s="46" t="s">
        <v>2</v>
      </c>
      <c r="H5" s="46" t="s">
        <v>4</v>
      </c>
      <c r="I5" s="46" t="s">
        <v>3</v>
      </c>
      <c r="J5" s="46" t="s">
        <v>16</v>
      </c>
      <c r="K5" s="46" t="s">
        <v>46</v>
      </c>
      <c r="L5" s="46" t="s">
        <v>54</v>
      </c>
      <c r="M5" s="46" t="s">
        <v>5</v>
      </c>
      <c r="N5" s="42" t="s">
        <v>49</v>
      </c>
      <c r="O5" s="43"/>
      <c r="P5" s="42" t="s">
        <v>17</v>
      </c>
      <c r="Q5" s="43"/>
      <c r="R5" s="42" t="s">
        <v>50</v>
      </c>
      <c r="S5" s="43"/>
      <c r="T5" s="42" t="s">
        <v>9</v>
      </c>
      <c r="U5" s="43"/>
      <c r="V5" s="45" t="s">
        <v>48</v>
      </c>
      <c r="W5" s="43"/>
      <c r="X5" s="42" t="s">
        <v>26</v>
      </c>
      <c r="Y5" s="43"/>
      <c r="Z5" s="42" t="s">
        <v>47</v>
      </c>
      <c r="AA5" s="43"/>
      <c r="AB5" s="42" t="s">
        <v>42</v>
      </c>
      <c r="AC5" s="43"/>
      <c r="AD5" s="42" t="s">
        <v>45</v>
      </c>
      <c r="AE5" s="43"/>
      <c r="AF5" s="42" t="s">
        <v>43</v>
      </c>
      <c r="AG5" s="43"/>
      <c r="AH5" s="42" t="s">
        <v>11</v>
      </c>
      <c r="AI5" s="43"/>
    </row>
    <row r="6" spans="1:35" ht="31.5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">
        <v>24</v>
      </c>
      <c r="O6" s="7" t="s">
        <v>12</v>
      </c>
      <c r="P6" s="7" t="str">
        <f>+$N$6</f>
        <v xml:space="preserve">Clark </v>
      </c>
      <c r="Q6" s="7" t="s">
        <v>12</v>
      </c>
      <c r="R6" s="7" t="str">
        <f>+$N$6</f>
        <v xml:space="preserve">Clark </v>
      </c>
      <c r="S6" s="7" t="s">
        <v>12</v>
      </c>
      <c r="T6" s="7" t="str">
        <f>+$N$6</f>
        <v xml:space="preserve">Clark </v>
      </c>
      <c r="U6" s="7" t="s">
        <v>12</v>
      </c>
      <c r="V6" s="7" t="str">
        <f>+$N$6</f>
        <v xml:space="preserve">Clark </v>
      </c>
      <c r="W6" s="7" t="s">
        <v>12</v>
      </c>
      <c r="X6" s="7" t="str">
        <f>+$N$6</f>
        <v xml:space="preserve">Clark </v>
      </c>
      <c r="Y6" s="7" t="s">
        <v>12</v>
      </c>
      <c r="Z6" s="7" t="str">
        <f>+$N$6</f>
        <v xml:space="preserve">Clark </v>
      </c>
      <c r="AA6" s="7" t="s">
        <v>12</v>
      </c>
      <c r="AB6" s="7" t="str">
        <f>+$N$6</f>
        <v xml:space="preserve">Clark </v>
      </c>
      <c r="AC6" s="7" t="s">
        <v>12</v>
      </c>
      <c r="AD6" s="7" t="str">
        <f>+$N$6</f>
        <v xml:space="preserve">Clark </v>
      </c>
      <c r="AE6" s="7" t="s">
        <v>12</v>
      </c>
      <c r="AF6" s="7" t="str">
        <f>+$N$6</f>
        <v xml:space="preserve">Clark </v>
      </c>
      <c r="AG6" s="7" t="s">
        <v>44</v>
      </c>
      <c r="AH6" s="7" t="str">
        <f>+$N$6</f>
        <v xml:space="preserve">Clark </v>
      </c>
      <c r="AI6" s="7" t="s">
        <v>12</v>
      </c>
    </row>
    <row r="7" spans="1:35" x14ac:dyDescent="0.25">
      <c r="A7" s="3" t="s">
        <v>25</v>
      </c>
      <c r="B7" s="17"/>
      <c r="C7" s="8" t="s">
        <v>23</v>
      </c>
      <c r="D7" s="25">
        <v>114.46</v>
      </c>
      <c r="E7" s="29">
        <v>118791.83</v>
      </c>
      <c r="F7" s="23"/>
      <c r="G7" s="23"/>
      <c r="H7" s="23"/>
      <c r="I7" s="30"/>
      <c r="J7" s="30"/>
      <c r="K7" s="30"/>
      <c r="L7" s="30"/>
      <c r="M7" s="31">
        <f>SUM(E7:L7)</f>
        <v>118791.83</v>
      </c>
      <c r="N7" s="16">
        <v>6061.68</v>
      </c>
      <c r="O7" s="21">
        <v>2178</v>
      </c>
      <c r="P7" s="16">
        <v>351</v>
      </c>
      <c r="Q7" s="21">
        <v>72</v>
      </c>
      <c r="R7" s="16">
        <f t="shared" ref="R7" si="0">(5.81*6)</f>
        <v>34.86</v>
      </c>
      <c r="S7" s="16">
        <v>31</v>
      </c>
      <c r="T7" s="16">
        <f>(133.97*6)+(4.3*6)</f>
        <v>829.61999999999989</v>
      </c>
      <c r="U7" s="16">
        <f>(6.45*6)+(57.71*6)</f>
        <v>384.96</v>
      </c>
      <c r="V7" s="16"/>
      <c r="W7" s="16">
        <v>198.36</v>
      </c>
      <c r="X7" s="16">
        <f>+(352.76*6)</f>
        <v>2116.56</v>
      </c>
      <c r="Y7" s="16"/>
      <c r="Z7" s="16"/>
      <c r="AA7" s="16"/>
      <c r="AB7" s="16">
        <v>0</v>
      </c>
      <c r="AC7" s="16">
        <f>9365.95+4660.08</f>
        <v>14026.03</v>
      </c>
      <c r="AD7" s="16"/>
      <c r="AE7" s="16"/>
      <c r="AF7" s="16">
        <v>600</v>
      </c>
      <c r="AG7" s="41"/>
      <c r="AH7" s="9">
        <f>+M7+N7+P7+R7+T7+X7+AB7+AD7+AF7</f>
        <v>128785.55</v>
      </c>
      <c r="AI7" s="9">
        <f>+O7+Q7+S7+U7+Y7+AC7+AE7+AG7</f>
        <v>16691.990000000002</v>
      </c>
    </row>
    <row r="8" spans="1:35" x14ac:dyDescent="0.25">
      <c r="B8" s="11"/>
      <c r="C8" s="12"/>
      <c r="D8" s="26"/>
      <c r="E8" s="10"/>
      <c r="F8" s="10"/>
      <c r="G8" s="10"/>
      <c r="H8" s="10"/>
      <c r="I8" s="10"/>
      <c r="J8" s="10"/>
      <c r="K8" s="10"/>
      <c r="L8" s="10"/>
      <c r="M8" s="31">
        <f t="shared" ref="M8" si="1">SUM(E8:K8)</f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9">
        <f>+M8+N8+P8+R8+T8+X8+AB8+AD8+AF8</f>
        <v>0</v>
      </c>
      <c r="AI8" s="9">
        <f>+O8+Q8+S8+U8+Y8+AC8+AE8+AG8</f>
        <v>0</v>
      </c>
    </row>
    <row r="9" spans="1:35" x14ac:dyDescent="0.25">
      <c r="B9" s="13" t="s">
        <v>13</v>
      </c>
      <c r="C9" s="14"/>
      <c r="D9" s="27"/>
      <c r="E9" s="36">
        <f t="shared" ref="E9:AI9" si="2">SUM(E7:E8)</f>
        <v>118791.83</v>
      </c>
      <c r="F9" s="36">
        <f t="shared" si="2"/>
        <v>0</v>
      </c>
      <c r="G9" s="36">
        <f t="shared" si="2"/>
        <v>0</v>
      </c>
      <c r="H9" s="36">
        <f t="shared" si="2"/>
        <v>0</v>
      </c>
      <c r="I9" s="36">
        <f t="shared" si="2"/>
        <v>0</v>
      </c>
      <c r="J9" s="36">
        <f t="shared" si="2"/>
        <v>0</v>
      </c>
      <c r="K9" s="36">
        <f t="shared" si="2"/>
        <v>0</v>
      </c>
      <c r="L9" s="36">
        <f t="shared" si="2"/>
        <v>0</v>
      </c>
      <c r="M9" s="36">
        <f t="shared" si="2"/>
        <v>118791.83</v>
      </c>
      <c r="N9" s="15">
        <f t="shared" si="2"/>
        <v>6061.68</v>
      </c>
      <c r="O9" s="15">
        <f t="shared" si="2"/>
        <v>2178</v>
      </c>
      <c r="P9" s="15">
        <f t="shared" si="2"/>
        <v>351</v>
      </c>
      <c r="Q9" s="15">
        <f t="shared" si="2"/>
        <v>72</v>
      </c>
      <c r="R9" s="15">
        <f t="shared" si="2"/>
        <v>34.86</v>
      </c>
      <c r="S9" s="33">
        <f t="shared" si="2"/>
        <v>31</v>
      </c>
      <c r="T9" s="15">
        <f t="shared" si="2"/>
        <v>829.61999999999989</v>
      </c>
      <c r="U9" s="15">
        <f t="shared" si="2"/>
        <v>384.96</v>
      </c>
      <c r="V9" s="15">
        <f t="shared" si="2"/>
        <v>0</v>
      </c>
      <c r="W9" s="15">
        <f t="shared" si="2"/>
        <v>198.36</v>
      </c>
      <c r="X9" s="15">
        <f t="shared" si="2"/>
        <v>2116.56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5">
        <f t="shared" si="2"/>
        <v>0</v>
      </c>
      <c r="AC9" s="15">
        <f t="shared" si="2"/>
        <v>14026.03</v>
      </c>
      <c r="AD9" s="15">
        <f t="shared" si="2"/>
        <v>0</v>
      </c>
      <c r="AE9" s="15">
        <f t="shared" si="2"/>
        <v>0</v>
      </c>
      <c r="AF9" s="15">
        <f t="shared" si="2"/>
        <v>600</v>
      </c>
      <c r="AG9" s="15">
        <f t="shared" si="2"/>
        <v>0</v>
      </c>
      <c r="AH9" s="15">
        <f t="shared" si="2"/>
        <v>128785.55</v>
      </c>
      <c r="AI9" s="15">
        <f t="shared" si="2"/>
        <v>16691.990000000002</v>
      </c>
    </row>
  </sheetData>
  <mergeCells count="29">
    <mergeCell ref="G5:G6"/>
    <mergeCell ref="H5:H6"/>
    <mergeCell ref="N4:O4"/>
    <mergeCell ref="P4:Q4"/>
    <mergeCell ref="R4:S4"/>
    <mergeCell ref="I5:I6"/>
    <mergeCell ref="M5:M6"/>
    <mergeCell ref="N5:O5"/>
    <mergeCell ref="J5:J6"/>
    <mergeCell ref="K5:K6"/>
    <mergeCell ref="L5:L6"/>
    <mergeCell ref="B5:B6"/>
    <mergeCell ref="C5:C6"/>
    <mergeCell ref="D5:D6"/>
    <mergeCell ref="E5:E6"/>
    <mergeCell ref="F5:F6"/>
    <mergeCell ref="AH5:AI5"/>
    <mergeCell ref="X4:Y4"/>
    <mergeCell ref="X5:Y5"/>
    <mergeCell ref="AB4:AC4"/>
    <mergeCell ref="P5:Q5"/>
    <mergeCell ref="R5:S5"/>
    <mergeCell ref="AB5:AC5"/>
    <mergeCell ref="T5:U5"/>
    <mergeCell ref="T4:U4"/>
    <mergeCell ref="AF5:AG5"/>
    <mergeCell ref="AD5:AE5"/>
    <mergeCell ref="Z5:AA5"/>
    <mergeCell ref="V5:W5"/>
  </mergeCells>
  <pageMargins left="0" right="0" top="0.75" bottom="0.75" header="0.3" footer="0.3"/>
  <pageSetup scale="39" orientation="landscape" r:id="rId1"/>
  <ignoredErrors>
    <ignoredError sqref="M7:M8" formulaRange="1"/>
    <ignoredError sqref="R7:U7 X7 AC7:AD7 X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7EA5-11A6-4C43-9A74-92C208AD83F7}">
  <sheetPr>
    <pageSetUpPr fitToPage="1"/>
  </sheetPr>
  <dimension ref="A1:AI13"/>
  <sheetViews>
    <sheetView topLeftCell="A2" workbookViewId="0">
      <selection activeCell="K10" sqref="K10:L10"/>
    </sheetView>
  </sheetViews>
  <sheetFormatPr defaultColWidth="9.140625" defaultRowHeight="15.75" x14ac:dyDescent="0.25"/>
  <cols>
    <col min="1" max="2" width="10.85546875" style="3" customWidth="1"/>
    <col min="3" max="3" width="34.5703125" style="3" customWidth="1"/>
    <col min="4" max="4" width="11.7109375" style="3" customWidth="1"/>
    <col min="5" max="5" width="14.7109375" style="3" customWidth="1"/>
    <col min="6" max="6" width="11.28515625" style="3" customWidth="1"/>
    <col min="7" max="7" width="14.85546875" style="3" customWidth="1"/>
    <col min="8" max="8" width="9.425781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3" width="10.7109375" style="3" customWidth="1"/>
    <col min="24" max="24" width="9.42578125" style="3" customWidth="1"/>
    <col min="25" max="27" width="10" style="3" customWidth="1"/>
    <col min="28" max="28" width="11.85546875" style="3" customWidth="1"/>
    <col min="29" max="29" width="12.28515625" style="3" bestFit="1" customWidth="1"/>
    <col min="30" max="33" width="12.28515625" style="3" customWidth="1"/>
    <col min="34" max="34" width="11.28515625" style="3" customWidth="1"/>
    <col min="35" max="35" width="9.7109375" style="3" customWidth="1"/>
    <col min="36" max="38" width="9.140625" style="3" customWidth="1"/>
    <col min="39" max="16384" width="9.140625" style="3"/>
  </cols>
  <sheetData>
    <row r="1" spans="1:35" ht="20.25" hidden="1" customHeight="1" x14ac:dyDescent="0.25">
      <c r="B1" s="1" t="s">
        <v>14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B2" s="1" t="s">
        <v>28</v>
      </c>
      <c r="C2" s="2"/>
      <c r="D2" s="2"/>
      <c r="F2" s="2"/>
      <c r="G2" s="2"/>
      <c r="H2" s="2"/>
      <c r="I2" s="2"/>
      <c r="J2" s="2"/>
      <c r="K2" s="2"/>
      <c r="L2" s="2"/>
      <c r="M2" s="20"/>
      <c r="N2" s="35"/>
      <c r="O2" s="3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B3" s="1" t="s">
        <v>52</v>
      </c>
      <c r="C3" s="2"/>
      <c r="D3" s="2"/>
      <c r="F3" s="4">
        <v>2024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B4" s="1" t="s">
        <v>51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D5" s="5"/>
      <c r="E5" s="28"/>
      <c r="F5" s="28"/>
      <c r="G5" s="28"/>
      <c r="H5" s="28"/>
      <c r="I5" s="28"/>
      <c r="J5" s="28"/>
      <c r="K5" s="28"/>
      <c r="L5" s="28"/>
      <c r="M5" s="32"/>
      <c r="N5" s="44"/>
      <c r="O5" s="44"/>
      <c r="P5" s="44"/>
      <c r="Q5" s="44"/>
      <c r="R5" s="44"/>
      <c r="S5" s="44"/>
      <c r="T5" s="44"/>
      <c r="U5" s="44"/>
      <c r="V5" s="40"/>
      <c r="W5" s="40"/>
      <c r="X5" s="44"/>
      <c r="Y5" s="44"/>
      <c r="Z5" s="40"/>
      <c r="AA5" s="40"/>
      <c r="AB5" s="44"/>
      <c r="AC5" s="44"/>
      <c r="AD5" s="40"/>
      <c r="AE5" s="40"/>
      <c r="AF5" s="40"/>
      <c r="AG5" s="40"/>
      <c r="AH5" s="6"/>
      <c r="AI5" s="6"/>
    </row>
    <row r="6" spans="1:35" ht="30" customHeight="1" x14ac:dyDescent="0.25">
      <c r="B6" s="46" t="s">
        <v>15</v>
      </c>
      <c r="C6" s="46" t="s">
        <v>19</v>
      </c>
      <c r="D6" s="46" t="s">
        <v>27</v>
      </c>
      <c r="E6" s="46" t="s">
        <v>0</v>
      </c>
      <c r="F6" s="46" t="s">
        <v>1</v>
      </c>
      <c r="G6" s="46" t="s">
        <v>38</v>
      </c>
      <c r="H6" s="46" t="s">
        <v>37</v>
      </c>
      <c r="I6" s="46" t="s">
        <v>3</v>
      </c>
      <c r="J6" s="46" t="s">
        <v>16</v>
      </c>
      <c r="K6" s="46" t="s">
        <v>46</v>
      </c>
      <c r="L6" s="46" t="s">
        <v>53</v>
      </c>
      <c r="M6" s="46" t="s">
        <v>5</v>
      </c>
      <c r="N6" s="42" t="s">
        <v>49</v>
      </c>
      <c r="O6" s="43"/>
      <c r="P6" s="42" t="s">
        <v>17</v>
      </c>
      <c r="Q6" s="43"/>
      <c r="R6" s="42" t="s">
        <v>50</v>
      </c>
      <c r="S6" s="43"/>
      <c r="T6" s="42" t="s">
        <v>9</v>
      </c>
      <c r="U6" s="43"/>
      <c r="V6" s="45" t="s">
        <v>48</v>
      </c>
      <c r="W6" s="43"/>
      <c r="X6" s="42" t="s">
        <v>26</v>
      </c>
      <c r="Y6" s="43"/>
      <c r="Z6" s="42" t="s">
        <v>47</v>
      </c>
      <c r="AA6" s="43"/>
      <c r="AB6" s="42" t="s">
        <v>10</v>
      </c>
      <c r="AC6" s="43"/>
      <c r="AD6" s="42" t="s">
        <v>45</v>
      </c>
      <c r="AE6" s="43"/>
      <c r="AF6" s="42" t="s">
        <v>43</v>
      </c>
      <c r="AG6" s="43"/>
      <c r="AH6" s="42" t="s">
        <v>11</v>
      </c>
      <c r="AI6" s="43"/>
    </row>
    <row r="7" spans="1:35" ht="31.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">
        <v>41</v>
      </c>
      <c r="O7" s="7" t="s">
        <v>12</v>
      </c>
      <c r="P7" s="7" t="str">
        <f>+$N$7</f>
        <v>Clark</v>
      </c>
      <c r="Q7" s="7" t="s">
        <v>12</v>
      </c>
      <c r="R7" s="7" t="str">
        <f>+$N$7</f>
        <v>Clark</v>
      </c>
      <c r="S7" s="7" t="s">
        <v>12</v>
      </c>
      <c r="T7" s="7" t="str">
        <f>+$N$7</f>
        <v>Clark</v>
      </c>
      <c r="U7" s="7" t="s">
        <v>12</v>
      </c>
      <c r="V7" s="7" t="str">
        <f>+$N$7</f>
        <v>Clark</v>
      </c>
      <c r="W7" s="7" t="s">
        <v>12</v>
      </c>
      <c r="X7" s="7" t="str">
        <f>+$N$7</f>
        <v>Clark</v>
      </c>
      <c r="Y7" s="7" t="s">
        <v>12</v>
      </c>
      <c r="Z7" s="7" t="str">
        <f>+$N$7</f>
        <v>Clark</v>
      </c>
      <c r="AA7" s="7" t="s">
        <v>12</v>
      </c>
      <c r="AB7" s="7" t="str">
        <f>+$N$7</f>
        <v>Clark</v>
      </c>
      <c r="AC7" s="7" t="s">
        <v>12</v>
      </c>
      <c r="AD7" s="7" t="str">
        <f>+$N$7</f>
        <v>Clark</v>
      </c>
      <c r="AE7" s="7" t="s">
        <v>12</v>
      </c>
      <c r="AF7" s="7" t="s">
        <v>41</v>
      </c>
      <c r="AG7" s="7" t="s">
        <v>12</v>
      </c>
      <c r="AH7" s="7" t="str">
        <f>+$N$7</f>
        <v>Clark</v>
      </c>
      <c r="AI7" s="7" t="s">
        <v>12</v>
      </c>
    </row>
    <row r="8" spans="1:35" x14ac:dyDescent="0.25">
      <c r="A8" s="3" t="s">
        <v>25</v>
      </c>
      <c r="B8" s="17"/>
      <c r="C8" s="8" t="s">
        <v>23</v>
      </c>
      <c r="D8" s="25">
        <v>110.057</v>
      </c>
      <c r="E8" s="29">
        <v>228728.95999999999</v>
      </c>
      <c r="F8" s="23"/>
      <c r="G8" s="23"/>
      <c r="H8" s="23"/>
      <c r="I8" s="30">
        <v>54982.8</v>
      </c>
      <c r="J8" s="30"/>
      <c r="K8" s="30"/>
      <c r="L8" s="30"/>
      <c r="M8" s="31">
        <f>SUM(E8:L8)</f>
        <v>283711.76</v>
      </c>
      <c r="N8" s="16">
        <v>10546.8</v>
      </c>
      <c r="O8" s="21">
        <v>3789.36</v>
      </c>
      <c r="P8" s="16">
        <f>(58.54*12)</f>
        <v>702.48</v>
      </c>
      <c r="Q8" s="21">
        <v>144.24</v>
      </c>
      <c r="R8" s="16">
        <f>(5.81*12)</f>
        <v>69.72</v>
      </c>
      <c r="S8" s="16">
        <v>62.76</v>
      </c>
      <c r="T8" s="16">
        <f>(51.6)+(129.36*12)</f>
        <v>1603.92</v>
      </c>
      <c r="U8" s="16">
        <f>(1330.56)+(206.4)+(24)</f>
        <v>1560.96</v>
      </c>
      <c r="V8" s="16"/>
      <c r="W8" s="16">
        <v>396.72</v>
      </c>
      <c r="X8" s="16">
        <f>(337.57*12)</f>
        <v>4050.84</v>
      </c>
      <c r="Y8" s="16"/>
      <c r="Z8" s="16"/>
      <c r="AA8" s="16"/>
      <c r="AB8" s="16"/>
      <c r="AC8" s="16">
        <f>(18298.2)+(8904.36)</f>
        <v>27202.560000000001</v>
      </c>
      <c r="AD8" s="16"/>
      <c r="AE8" s="16"/>
      <c r="AF8" s="16">
        <v>500</v>
      </c>
      <c r="AG8" s="16"/>
      <c r="AH8" s="9">
        <f>+M8+N8+P8+R8+T8+X8+AB8+AD8+AF8</f>
        <v>301185.51999999996</v>
      </c>
      <c r="AI8" s="9">
        <f>+O8+Q8+S8+U8+Y8+AC8+AE8+AG8</f>
        <v>32759.88</v>
      </c>
    </row>
    <row r="9" spans="1:35" x14ac:dyDescent="0.25">
      <c r="B9" s="11"/>
      <c r="C9" s="12"/>
      <c r="D9" s="37"/>
      <c r="E9" s="10"/>
      <c r="F9" s="10"/>
      <c r="G9" s="10"/>
      <c r="H9" s="10"/>
      <c r="I9" s="10"/>
      <c r="J9" s="10"/>
      <c r="K9" s="10"/>
      <c r="L9" s="10"/>
      <c r="M9" s="31">
        <f t="shared" ref="M9" si="0">SUM(E9:K9)</f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9">
        <f>+M9+N9+P9+R9+T9+X9+AB9+AD9+AF9</f>
        <v>0</v>
      </c>
      <c r="AI9" s="9">
        <f>+O9+Q9+S9+U9+Y9+AC9+AE9+AG9</f>
        <v>0</v>
      </c>
    </row>
    <row r="10" spans="1:35" x14ac:dyDescent="0.25">
      <c r="B10" s="13" t="s">
        <v>13</v>
      </c>
      <c r="C10" s="14"/>
      <c r="D10" s="38"/>
      <c r="E10" s="36">
        <f t="shared" ref="E10:AI10" si="1">SUM(E8:E9)</f>
        <v>228728.95999999999</v>
      </c>
      <c r="F10" s="36">
        <f t="shared" si="1"/>
        <v>0</v>
      </c>
      <c r="G10" s="36">
        <f t="shared" si="1"/>
        <v>0</v>
      </c>
      <c r="H10" s="36">
        <f t="shared" si="1"/>
        <v>0</v>
      </c>
      <c r="I10" s="36">
        <f t="shared" si="1"/>
        <v>54982.8</v>
      </c>
      <c r="J10" s="36">
        <f t="shared" si="1"/>
        <v>0</v>
      </c>
      <c r="K10" s="36">
        <f t="shared" si="1"/>
        <v>0</v>
      </c>
      <c r="L10" s="36">
        <f t="shared" si="1"/>
        <v>0</v>
      </c>
      <c r="M10" s="36">
        <f t="shared" si="1"/>
        <v>283711.76</v>
      </c>
      <c r="N10" s="15">
        <f t="shared" si="1"/>
        <v>10546.8</v>
      </c>
      <c r="O10" s="15">
        <f t="shared" si="1"/>
        <v>3789.36</v>
      </c>
      <c r="P10" s="15">
        <f t="shared" si="1"/>
        <v>702.48</v>
      </c>
      <c r="Q10" s="15">
        <f t="shared" si="1"/>
        <v>144.24</v>
      </c>
      <c r="R10" s="15">
        <f t="shared" si="1"/>
        <v>69.72</v>
      </c>
      <c r="S10" s="33">
        <f t="shared" si="1"/>
        <v>62.76</v>
      </c>
      <c r="T10" s="15">
        <f t="shared" si="1"/>
        <v>1603.92</v>
      </c>
      <c r="U10" s="15">
        <f t="shared" si="1"/>
        <v>1560.96</v>
      </c>
      <c r="V10" s="15">
        <f t="shared" si="1"/>
        <v>0</v>
      </c>
      <c r="W10" s="15">
        <f t="shared" si="1"/>
        <v>396.72</v>
      </c>
      <c r="X10" s="15">
        <f t="shared" si="1"/>
        <v>4050.84</v>
      </c>
      <c r="Y10" s="15">
        <f t="shared" si="1"/>
        <v>0</v>
      </c>
      <c r="Z10" s="15">
        <f t="shared" si="1"/>
        <v>0</v>
      </c>
      <c r="AA10" s="15">
        <f t="shared" si="1"/>
        <v>0</v>
      </c>
      <c r="AB10" s="15">
        <f t="shared" si="1"/>
        <v>0</v>
      </c>
      <c r="AC10" s="15">
        <f t="shared" si="1"/>
        <v>27202.560000000001</v>
      </c>
      <c r="AD10" s="15">
        <f t="shared" si="1"/>
        <v>0</v>
      </c>
      <c r="AE10" s="15">
        <f t="shared" si="1"/>
        <v>0</v>
      </c>
      <c r="AF10" s="15">
        <f t="shared" si="1"/>
        <v>500</v>
      </c>
      <c r="AG10" s="15">
        <f t="shared" si="1"/>
        <v>0</v>
      </c>
      <c r="AH10" s="15">
        <f t="shared" si="1"/>
        <v>301185.51999999996</v>
      </c>
      <c r="AI10" s="15">
        <f t="shared" si="1"/>
        <v>32759.88</v>
      </c>
    </row>
    <row r="11" spans="1:35" x14ac:dyDescent="0.25">
      <c r="O11" s="19"/>
    </row>
    <row r="13" spans="1:35" x14ac:dyDescent="0.25">
      <c r="E13" s="19"/>
    </row>
  </sheetData>
  <mergeCells count="29">
    <mergeCell ref="P5:Q5"/>
    <mergeCell ref="R5:S5"/>
    <mergeCell ref="T5:U5"/>
    <mergeCell ref="I6:I7"/>
    <mergeCell ref="E6:E7"/>
    <mergeCell ref="F6:F7"/>
    <mergeCell ref="G6:G7"/>
    <mergeCell ref="H6:H7"/>
    <mergeCell ref="N5:O5"/>
    <mergeCell ref="M6:M7"/>
    <mergeCell ref="N6:O6"/>
    <mergeCell ref="P6:Q6"/>
    <mergeCell ref="R6:S6"/>
    <mergeCell ref="T6:U6"/>
    <mergeCell ref="AH6:AI6"/>
    <mergeCell ref="B6:B7"/>
    <mergeCell ref="C6:C7"/>
    <mergeCell ref="D6:D7"/>
    <mergeCell ref="AD6:AE6"/>
    <mergeCell ref="J6:J7"/>
    <mergeCell ref="K6:K7"/>
    <mergeCell ref="V6:W6"/>
    <mergeCell ref="L6:L7"/>
    <mergeCell ref="X5:Y5"/>
    <mergeCell ref="X6:Y6"/>
    <mergeCell ref="AB5:AC5"/>
    <mergeCell ref="AB6:AC6"/>
    <mergeCell ref="AF6:AG6"/>
    <mergeCell ref="Z6:AA6"/>
  </mergeCells>
  <pageMargins left="0" right="0" top="0.75" bottom="0.75" header="0.3" footer="0.3"/>
  <pageSetup scale="39" orientation="landscape" r:id="rId1"/>
  <ignoredErrors>
    <ignoredError sqref="M8:M9" formulaRange="1"/>
    <ignoredError sqref="X8 AC8:AD8 P8:U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38D3-6308-4C91-A7D3-4E9D853CA42A}">
  <sheetPr>
    <pageSetUpPr fitToPage="1"/>
  </sheetPr>
  <dimension ref="A1:AI13"/>
  <sheetViews>
    <sheetView topLeftCell="A2" workbookViewId="0">
      <selection activeCell="I19" sqref="I19"/>
    </sheetView>
  </sheetViews>
  <sheetFormatPr defaultColWidth="9.140625" defaultRowHeight="15.75" x14ac:dyDescent="0.25"/>
  <cols>
    <col min="1" max="1" width="12.28515625" style="3" customWidth="1"/>
    <col min="2" max="2" width="10.85546875" style="3" customWidth="1"/>
    <col min="3" max="3" width="34.5703125" style="3" customWidth="1"/>
    <col min="4" max="4" width="11.7109375" style="3" customWidth="1"/>
    <col min="5" max="5" width="14.7109375" style="3" customWidth="1"/>
    <col min="6" max="6" width="11.28515625" style="3" customWidth="1"/>
    <col min="7" max="7" width="14.85546875" style="3" customWidth="1"/>
    <col min="8" max="8" width="9.425781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3" width="10.7109375" style="3" customWidth="1"/>
    <col min="24" max="24" width="9.42578125" style="3" customWidth="1"/>
    <col min="25" max="27" width="10" style="3" customWidth="1"/>
    <col min="28" max="28" width="12.42578125" style="3" customWidth="1"/>
    <col min="29" max="29" width="12.28515625" style="3" bestFit="1" customWidth="1"/>
    <col min="30" max="33" width="12.28515625" style="3" customWidth="1"/>
    <col min="34" max="34" width="11.28515625" style="3" customWidth="1"/>
    <col min="35" max="35" width="9.7109375" style="3" customWidth="1"/>
    <col min="36" max="37" width="9.140625" style="3" customWidth="1"/>
    <col min="38" max="16384" width="9.140625" style="3"/>
  </cols>
  <sheetData>
    <row r="1" spans="1:35" ht="20.25" hidden="1" customHeight="1" x14ac:dyDescent="0.25">
      <c r="B1" s="1" t="s">
        <v>14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B2" s="1" t="s">
        <v>28</v>
      </c>
      <c r="C2" s="2"/>
      <c r="D2" s="2"/>
      <c r="F2" s="2"/>
      <c r="G2" s="2"/>
      <c r="H2" s="2"/>
      <c r="I2" s="2"/>
      <c r="J2" s="2"/>
      <c r="K2" s="2"/>
      <c r="L2" s="2"/>
      <c r="M2" s="20"/>
      <c r="N2" s="35"/>
      <c r="O2" s="3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B3" s="1" t="s">
        <v>52</v>
      </c>
      <c r="C3" s="2"/>
      <c r="D3" s="2"/>
      <c r="F3" s="4">
        <v>2023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B4" s="1" t="s">
        <v>51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D5" s="5"/>
      <c r="E5" s="28"/>
      <c r="F5" s="28"/>
      <c r="G5" s="28"/>
      <c r="H5" s="28"/>
      <c r="I5" s="28"/>
      <c r="J5" s="28"/>
      <c r="K5" s="28"/>
      <c r="L5" s="28"/>
      <c r="M5" s="32"/>
      <c r="N5" s="44"/>
      <c r="O5" s="44"/>
      <c r="P5" s="44"/>
      <c r="Q5" s="44"/>
      <c r="R5" s="44"/>
      <c r="S5" s="44"/>
      <c r="T5" s="44"/>
      <c r="U5" s="44"/>
      <c r="V5" s="40"/>
      <c r="W5" s="40"/>
      <c r="X5" s="44"/>
      <c r="Y5" s="44"/>
      <c r="Z5" s="40"/>
      <c r="AA5" s="40"/>
      <c r="AB5" s="44"/>
      <c r="AC5" s="44"/>
      <c r="AD5" s="40"/>
      <c r="AE5" s="40"/>
      <c r="AF5" s="40"/>
      <c r="AG5" s="40"/>
      <c r="AH5" s="6"/>
      <c r="AI5" s="6"/>
    </row>
    <row r="6" spans="1:35" ht="30" customHeight="1" x14ac:dyDescent="0.25">
      <c r="B6" s="46" t="s">
        <v>15</v>
      </c>
      <c r="C6" s="46" t="s">
        <v>18</v>
      </c>
      <c r="D6" s="46" t="s">
        <v>35</v>
      </c>
      <c r="E6" s="46" t="s">
        <v>0</v>
      </c>
      <c r="F6" s="46" t="s">
        <v>1</v>
      </c>
      <c r="G6" s="46" t="s">
        <v>38</v>
      </c>
      <c r="H6" s="46" t="s">
        <v>39</v>
      </c>
      <c r="I6" s="46" t="s">
        <v>3</v>
      </c>
      <c r="J6" s="46" t="s">
        <v>16</v>
      </c>
      <c r="K6" s="46" t="s">
        <v>46</v>
      </c>
      <c r="L6" s="46" t="s">
        <v>53</v>
      </c>
      <c r="M6" s="46" t="s">
        <v>5</v>
      </c>
      <c r="N6" s="42" t="s">
        <v>49</v>
      </c>
      <c r="O6" s="43"/>
      <c r="P6" s="42" t="s">
        <v>17</v>
      </c>
      <c r="Q6" s="43"/>
      <c r="R6" s="42" t="s">
        <v>50</v>
      </c>
      <c r="S6" s="43"/>
      <c r="T6" s="42" t="s">
        <v>9</v>
      </c>
      <c r="U6" s="43"/>
      <c r="V6" s="45" t="s">
        <v>48</v>
      </c>
      <c r="W6" s="43"/>
      <c r="X6" s="42" t="s">
        <v>26</v>
      </c>
      <c r="Y6" s="43"/>
      <c r="Z6" s="42" t="s">
        <v>47</v>
      </c>
      <c r="AA6" s="43"/>
      <c r="AB6" s="42" t="s">
        <v>10</v>
      </c>
      <c r="AC6" s="43"/>
      <c r="AD6" s="42" t="s">
        <v>45</v>
      </c>
      <c r="AE6" s="43"/>
      <c r="AF6" s="42" t="s">
        <v>43</v>
      </c>
      <c r="AG6" s="43"/>
      <c r="AH6" s="42" t="s">
        <v>11</v>
      </c>
      <c r="AI6" s="43"/>
    </row>
    <row r="7" spans="1:35" ht="31.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">
        <v>41</v>
      </c>
      <c r="O7" s="7" t="s">
        <v>12</v>
      </c>
      <c r="P7" s="7" t="str">
        <f>+$N$7</f>
        <v>Clark</v>
      </c>
      <c r="Q7" s="7" t="s">
        <v>12</v>
      </c>
      <c r="R7" s="7" t="str">
        <f>+$N$7</f>
        <v>Clark</v>
      </c>
      <c r="S7" s="7" t="s">
        <v>12</v>
      </c>
      <c r="T7" s="7" t="str">
        <f>+$N$7</f>
        <v>Clark</v>
      </c>
      <c r="U7" s="7" t="s">
        <v>12</v>
      </c>
      <c r="V7" s="7" t="str">
        <f>+$N$7</f>
        <v>Clark</v>
      </c>
      <c r="W7" s="7" t="s">
        <v>12</v>
      </c>
      <c r="X7" s="7" t="str">
        <f>+$N$7</f>
        <v>Clark</v>
      </c>
      <c r="Y7" s="7" t="s">
        <v>12</v>
      </c>
      <c r="Z7" s="7" t="str">
        <f>+$N$7</f>
        <v>Clark</v>
      </c>
      <c r="AA7" s="7" t="s">
        <v>12</v>
      </c>
      <c r="AB7" s="7" t="str">
        <f>+$N$7</f>
        <v>Clark</v>
      </c>
      <c r="AC7" s="7" t="s">
        <v>12</v>
      </c>
      <c r="AD7" s="7" t="str">
        <f>+$N$7</f>
        <v>Clark</v>
      </c>
      <c r="AE7" s="7" t="s">
        <v>12</v>
      </c>
      <c r="AF7" s="7" t="str">
        <f>+$N$7</f>
        <v>Clark</v>
      </c>
      <c r="AG7" s="7" t="s">
        <v>12</v>
      </c>
      <c r="AH7" s="7" t="str">
        <f>+$N$7</f>
        <v>Clark</v>
      </c>
      <c r="AI7" s="7" t="s">
        <v>12</v>
      </c>
    </row>
    <row r="8" spans="1:35" x14ac:dyDescent="0.25">
      <c r="A8" s="3" t="s">
        <v>25</v>
      </c>
      <c r="B8" s="17"/>
      <c r="C8" s="8" t="s">
        <v>23</v>
      </c>
      <c r="D8" s="25">
        <v>105.31699999999999</v>
      </c>
      <c r="E8" s="29">
        <v>218509.89</v>
      </c>
      <c r="F8" s="23"/>
      <c r="G8" s="23"/>
      <c r="H8" s="23"/>
      <c r="I8" s="30">
        <v>54982.8</v>
      </c>
      <c r="J8" s="30"/>
      <c r="K8" s="30"/>
      <c r="L8" s="30"/>
      <c r="M8" s="31">
        <f>SUM(E8:L8)</f>
        <v>273492.69</v>
      </c>
      <c r="N8" s="16">
        <v>10546.8</v>
      </c>
      <c r="O8" s="21">
        <v>3789.39</v>
      </c>
      <c r="P8" s="16">
        <f>(58.54*12)</f>
        <v>702.48</v>
      </c>
      <c r="Q8" s="21">
        <v>144.24</v>
      </c>
      <c r="R8" s="16">
        <f t="shared" ref="R8" si="0">(5.81*12)</f>
        <v>69.72</v>
      </c>
      <c r="S8" s="16">
        <v>62.76</v>
      </c>
      <c r="T8" s="16">
        <f>(27.6)+(116.89*12)</f>
        <v>1430.28</v>
      </c>
      <c r="U8" s="16">
        <f>(618.84)+(110.4)+(24)</f>
        <v>753.24</v>
      </c>
      <c r="V8" s="16"/>
      <c r="W8" s="16">
        <v>396.72</v>
      </c>
      <c r="X8" s="16">
        <f>(293.54*12)</f>
        <v>3522.4800000000005</v>
      </c>
      <c r="Y8" s="16"/>
      <c r="Z8" s="16"/>
      <c r="AA8" s="16"/>
      <c r="AB8" s="16"/>
      <c r="AC8" s="16">
        <f>(17357.18)+(8000)</f>
        <v>25357.18</v>
      </c>
      <c r="AD8" s="16"/>
      <c r="AE8" s="16"/>
      <c r="AF8" s="16">
        <v>500</v>
      </c>
      <c r="AG8" s="16"/>
      <c r="AH8" s="9">
        <f>+M8+N8+P8+R8+T8+X8+AB8</f>
        <v>289764.44999999995</v>
      </c>
      <c r="AI8" s="9" t="e">
        <f>+O8+#REF!+S8+U8+Y8+AC8</f>
        <v>#REF!</v>
      </c>
    </row>
    <row r="9" spans="1:35" x14ac:dyDescent="0.25">
      <c r="B9" s="11"/>
      <c r="C9" s="12"/>
      <c r="D9" s="26"/>
      <c r="E9" s="10"/>
      <c r="F9" s="10"/>
      <c r="G9" s="10"/>
      <c r="H9" s="10"/>
      <c r="I9" s="10"/>
      <c r="J9" s="10"/>
      <c r="K9" s="10"/>
      <c r="L9" s="10"/>
      <c r="M9" s="31">
        <f t="shared" ref="M9" si="1">SUM(E9:K9)</f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9">
        <f>+M9+N9+P9+R9+T9+X9+AB9</f>
        <v>0</v>
      </c>
      <c r="AI9" s="9">
        <f>+O9+Q10+S9+U9+Y9+AC9</f>
        <v>144.24</v>
      </c>
    </row>
    <row r="10" spans="1:35" x14ac:dyDescent="0.25">
      <c r="B10" s="13" t="s">
        <v>13</v>
      </c>
      <c r="C10" s="14"/>
      <c r="D10" s="27"/>
      <c r="E10" s="36">
        <f t="shared" ref="E10:AI10" si="2">SUM(E8:E9)</f>
        <v>218509.89</v>
      </c>
      <c r="F10" s="36">
        <f t="shared" si="2"/>
        <v>0</v>
      </c>
      <c r="G10" s="36">
        <f t="shared" si="2"/>
        <v>0</v>
      </c>
      <c r="H10" s="36">
        <f t="shared" si="2"/>
        <v>0</v>
      </c>
      <c r="I10" s="36">
        <f t="shared" si="2"/>
        <v>54982.8</v>
      </c>
      <c r="J10" s="36">
        <f t="shared" si="2"/>
        <v>0</v>
      </c>
      <c r="K10" s="36">
        <f t="shared" si="2"/>
        <v>0</v>
      </c>
      <c r="L10" s="36">
        <f t="shared" si="2"/>
        <v>0</v>
      </c>
      <c r="M10" s="36">
        <f t="shared" si="2"/>
        <v>273492.69</v>
      </c>
      <c r="N10" s="15">
        <f t="shared" si="2"/>
        <v>10546.8</v>
      </c>
      <c r="O10" s="15">
        <f t="shared" si="2"/>
        <v>3789.39</v>
      </c>
      <c r="P10" s="15">
        <f t="shared" si="2"/>
        <v>702.48</v>
      </c>
      <c r="Q10" s="15">
        <f t="shared" si="2"/>
        <v>144.24</v>
      </c>
      <c r="R10" s="15">
        <f t="shared" si="2"/>
        <v>69.72</v>
      </c>
      <c r="S10" s="15">
        <f t="shared" si="2"/>
        <v>62.76</v>
      </c>
      <c r="T10" s="15">
        <f t="shared" si="2"/>
        <v>1430.28</v>
      </c>
      <c r="U10" s="15">
        <f t="shared" si="2"/>
        <v>753.24</v>
      </c>
      <c r="V10" s="15">
        <f t="shared" si="2"/>
        <v>0</v>
      </c>
      <c r="W10" s="15">
        <f t="shared" si="2"/>
        <v>396.72</v>
      </c>
      <c r="X10" s="15">
        <f t="shared" si="2"/>
        <v>3522.4800000000005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5">
        <f t="shared" si="2"/>
        <v>0</v>
      </c>
      <c r="AC10" s="15">
        <f t="shared" si="2"/>
        <v>25357.18</v>
      </c>
      <c r="AD10" s="15">
        <f t="shared" si="2"/>
        <v>0</v>
      </c>
      <c r="AE10" s="15">
        <f t="shared" si="2"/>
        <v>0</v>
      </c>
      <c r="AF10" s="15">
        <f t="shared" si="2"/>
        <v>500</v>
      </c>
      <c r="AG10" s="15">
        <f t="shared" si="2"/>
        <v>0</v>
      </c>
      <c r="AH10" s="15">
        <f t="shared" si="2"/>
        <v>289764.44999999995</v>
      </c>
      <c r="AI10" s="15" t="e">
        <f t="shared" si="2"/>
        <v>#REF!</v>
      </c>
    </row>
    <row r="11" spans="1:35" x14ac:dyDescent="0.25">
      <c r="O11" s="19"/>
    </row>
    <row r="13" spans="1:35" x14ac:dyDescent="0.25">
      <c r="E13" s="19"/>
    </row>
  </sheetData>
  <mergeCells count="29">
    <mergeCell ref="N5:O5"/>
    <mergeCell ref="B6:B7"/>
    <mergeCell ref="C6:C7"/>
    <mergeCell ref="D6:D7"/>
    <mergeCell ref="E6:E7"/>
    <mergeCell ref="F6:F7"/>
    <mergeCell ref="G6:G7"/>
    <mergeCell ref="H6:H7"/>
    <mergeCell ref="I6:I7"/>
    <mergeCell ref="M6:M7"/>
    <mergeCell ref="N6:O6"/>
    <mergeCell ref="J6:J7"/>
    <mergeCell ref="K6:K7"/>
    <mergeCell ref="R5:S5"/>
    <mergeCell ref="T5:U5"/>
    <mergeCell ref="X5:Y5"/>
    <mergeCell ref="AB5:AC5"/>
    <mergeCell ref="P5:Q5"/>
    <mergeCell ref="L6:L7"/>
    <mergeCell ref="R6:S6"/>
    <mergeCell ref="AH6:AI6"/>
    <mergeCell ref="T6:U6"/>
    <mergeCell ref="X6:Y6"/>
    <mergeCell ref="AB6:AC6"/>
    <mergeCell ref="AF6:AG6"/>
    <mergeCell ref="AD6:AE6"/>
    <mergeCell ref="V6:W6"/>
    <mergeCell ref="Z6:AA6"/>
    <mergeCell ref="P6:Q6"/>
  </mergeCells>
  <pageMargins left="0" right="0" top="0" bottom="0" header="0.3" footer="0.3"/>
  <pageSetup scale="42" orientation="landscape" r:id="rId1"/>
  <ignoredErrors>
    <ignoredError sqref="P8:R8 X8 AC8 T8:U8" unlockedFormula="1"/>
    <ignoredError sqref="M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AF4C-0DEE-4645-9952-92FD1304713F}">
  <dimension ref="A1:AI13"/>
  <sheetViews>
    <sheetView topLeftCell="A2" workbookViewId="0">
      <selection activeCell="I17" sqref="I17"/>
    </sheetView>
  </sheetViews>
  <sheetFormatPr defaultColWidth="9.140625" defaultRowHeight="15.75" x14ac:dyDescent="0.25"/>
  <cols>
    <col min="1" max="1" width="12.140625" style="3" customWidth="1"/>
    <col min="2" max="2" width="10.85546875" style="3" customWidth="1"/>
    <col min="3" max="3" width="34.5703125" style="3" customWidth="1"/>
    <col min="4" max="4" width="11.7109375" style="3" customWidth="1"/>
    <col min="5" max="5" width="14.7109375" style="3" customWidth="1"/>
    <col min="6" max="6" width="11.28515625" style="3" customWidth="1"/>
    <col min="7" max="7" width="14.85546875" style="3" customWidth="1"/>
    <col min="8" max="8" width="13.1406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3" width="10.7109375" style="3" customWidth="1"/>
    <col min="24" max="24" width="9.42578125" style="3" customWidth="1"/>
    <col min="25" max="27" width="10" style="3" customWidth="1"/>
    <col min="28" max="28" width="14.140625" style="3" customWidth="1"/>
    <col min="29" max="29" width="12.28515625" style="3" bestFit="1" customWidth="1"/>
    <col min="30" max="33" width="12.28515625" style="3" customWidth="1"/>
    <col min="34" max="34" width="11.28515625" style="3" customWidth="1"/>
    <col min="35" max="35" width="9.7109375" style="3" customWidth="1"/>
    <col min="36" max="16384" width="9.140625" style="3"/>
  </cols>
  <sheetData>
    <row r="1" spans="1:35" ht="20.25" hidden="1" customHeight="1" x14ac:dyDescent="0.25">
      <c r="B1" s="1" t="s">
        <v>14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B2" s="1" t="s">
        <v>28</v>
      </c>
      <c r="C2" s="2"/>
      <c r="D2" s="2"/>
      <c r="F2" s="2"/>
      <c r="G2" s="2"/>
      <c r="H2" s="2"/>
      <c r="I2" s="2"/>
      <c r="J2" s="2"/>
      <c r="K2" s="2"/>
      <c r="L2" s="2"/>
      <c r="M2" s="20"/>
      <c r="N2" s="35"/>
      <c r="O2" s="3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/>
      <c r="AD2"/>
      <c r="AE2"/>
      <c r="AF2" s="2"/>
      <c r="AG2" s="2"/>
      <c r="AH2" s="2"/>
      <c r="AI2" s="2"/>
    </row>
    <row r="3" spans="1:35" x14ac:dyDescent="0.25">
      <c r="B3" s="1" t="s">
        <v>52</v>
      </c>
      <c r="C3" s="2"/>
      <c r="D3" s="2"/>
      <c r="F3" s="4">
        <v>2022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/>
      <c r="AD3"/>
      <c r="AE3"/>
      <c r="AF3" s="2"/>
      <c r="AG3" s="2"/>
      <c r="AH3" s="2"/>
      <c r="AI3" s="2"/>
    </row>
    <row r="4" spans="1:35" x14ac:dyDescent="0.25">
      <c r="B4" s="1" t="s">
        <v>51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/>
      <c r="AD4"/>
      <c r="AE4"/>
      <c r="AF4" s="2"/>
      <c r="AG4" s="2"/>
      <c r="AH4" s="2"/>
      <c r="AI4" s="2"/>
    </row>
    <row r="5" spans="1:35" x14ac:dyDescent="0.25">
      <c r="D5" s="5"/>
      <c r="E5" s="28"/>
      <c r="F5" s="28"/>
      <c r="G5" s="28"/>
      <c r="H5" s="28"/>
      <c r="I5" s="28"/>
      <c r="J5" s="28"/>
      <c r="K5" s="28"/>
      <c r="L5" s="28"/>
      <c r="M5" s="32"/>
      <c r="N5" s="44"/>
      <c r="O5" s="44"/>
      <c r="P5" s="44"/>
      <c r="Q5" s="44"/>
      <c r="R5" s="44"/>
      <c r="S5" s="44"/>
      <c r="T5" s="49"/>
      <c r="U5" s="49"/>
      <c r="V5"/>
      <c r="W5"/>
      <c r="X5" s="44"/>
      <c r="Y5" s="44"/>
      <c r="Z5" s="40"/>
      <c r="AA5" s="40"/>
      <c r="AB5" s="44"/>
      <c r="AC5" s="44"/>
      <c r="AD5" s="40"/>
      <c r="AE5" s="40"/>
      <c r="AF5" s="40"/>
      <c r="AG5" s="40"/>
      <c r="AH5" s="6"/>
      <c r="AI5" s="6"/>
    </row>
    <row r="6" spans="1:35" ht="30" customHeight="1" x14ac:dyDescent="0.25">
      <c r="B6" s="46" t="s">
        <v>15</v>
      </c>
      <c r="C6" s="46" t="s">
        <v>33</v>
      </c>
      <c r="D6" s="46" t="s">
        <v>34</v>
      </c>
      <c r="E6" s="46" t="s">
        <v>0</v>
      </c>
      <c r="F6" s="46" t="s">
        <v>1</v>
      </c>
      <c r="G6" s="46" t="s">
        <v>38</v>
      </c>
      <c r="H6" s="46" t="s">
        <v>40</v>
      </c>
      <c r="I6" s="46" t="s">
        <v>3</v>
      </c>
      <c r="J6" s="46" t="s">
        <v>16</v>
      </c>
      <c r="K6" s="46" t="s">
        <v>46</v>
      </c>
      <c r="L6" s="46" t="s">
        <v>53</v>
      </c>
      <c r="M6" s="46" t="s">
        <v>5</v>
      </c>
      <c r="N6" s="42" t="s">
        <v>49</v>
      </c>
      <c r="O6" s="43"/>
      <c r="P6" s="42" t="s">
        <v>17</v>
      </c>
      <c r="Q6" s="43"/>
      <c r="R6" s="42" t="s">
        <v>50</v>
      </c>
      <c r="S6" s="43"/>
      <c r="T6" s="42" t="s">
        <v>9</v>
      </c>
      <c r="U6" s="43"/>
      <c r="V6" s="45" t="s">
        <v>48</v>
      </c>
      <c r="W6" s="43"/>
      <c r="X6" s="42" t="s">
        <v>26</v>
      </c>
      <c r="Y6" s="43"/>
      <c r="Z6" s="42" t="s">
        <v>47</v>
      </c>
      <c r="AA6" s="43"/>
      <c r="AB6" s="42" t="s">
        <v>10</v>
      </c>
      <c r="AC6" s="43"/>
      <c r="AD6" s="42" t="s">
        <v>45</v>
      </c>
      <c r="AE6" s="43"/>
      <c r="AF6" s="42" t="s">
        <v>43</v>
      </c>
      <c r="AG6" s="43"/>
      <c r="AH6" s="42" t="s">
        <v>11</v>
      </c>
      <c r="AI6" s="43"/>
    </row>
    <row r="7" spans="1:35" ht="31.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">
        <v>24</v>
      </c>
      <c r="O7" s="7" t="s">
        <v>12</v>
      </c>
      <c r="P7" s="7" t="str">
        <f>+$N$7</f>
        <v xml:space="preserve">Clark </v>
      </c>
      <c r="Q7" s="7" t="s">
        <v>12</v>
      </c>
      <c r="R7" s="7" t="str">
        <f>+$N$7</f>
        <v xml:space="preserve">Clark </v>
      </c>
      <c r="S7" s="7" t="s">
        <v>12</v>
      </c>
      <c r="T7" s="7" t="str">
        <f>+$N$7</f>
        <v xml:space="preserve">Clark </v>
      </c>
      <c r="U7" s="7" t="s">
        <v>12</v>
      </c>
      <c r="V7" s="7" t="str">
        <f>+$N$7</f>
        <v xml:space="preserve">Clark </v>
      </c>
      <c r="W7" s="7" t="s">
        <v>12</v>
      </c>
      <c r="X7" s="7" t="str">
        <f>+$N$7</f>
        <v xml:space="preserve">Clark </v>
      </c>
      <c r="Y7" s="7" t="s">
        <v>12</v>
      </c>
      <c r="Z7" s="7" t="str">
        <f>+$N$7</f>
        <v xml:space="preserve">Clark </v>
      </c>
      <c r="AA7" s="7" t="s">
        <v>12</v>
      </c>
      <c r="AB7" s="7" t="str">
        <f>+$N$7</f>
        <v xml:space="preserve">Clark </v>
      </c>
      <c r="AC7" s="7" t="s">
        <v>12</v>
      </c>
      <c r="AD7" s="7" t="str">
        <f>+$N$7</f>
        <v xml:space="preserve">Clark </v>
      </c>
      <c r="AE7" s="7" t="s">
        <v>12</v>
      </c>
      <c r="AF7" s="7" t="s">
        <v>41</v>
      </c>
      <c r="AG7" s="7" t="s">
        <v>12</v>
      </c>
      <c r="AH7" s="7" t="str">
        <f>+$N$7</f>
        <v xml:space="preserve">Clark </v>
      </c>
      <c r="AI7" s="7" t="s">
        <v>12</v>
      </c>
    </row>
    <row r="8" spans="1:35" x14ac:dyDescent="0.25">
      <c r="A8" s="3" t="s">
        <v>25</v>
      </c>
      <c r="B8" s="17"/>
      <c r="C8" s="8" t="s">
        <v>23</v>
      </c>
      <c r="D8" s="25">
        <v>91.58</v>
      </c>
      <c r="E8" s="29">
        <v>190345.48</v>
      </c>
      <c r="F8" s="23"/>
      <c r="G8" s="23"/>
      <c r="H8" s="23">
        <v>400</v>
      </c>
      <c r="I8" s="30">
        <v>54982.8</v>
      </c>
      <c r="J8" s="30"/>
      <c r="K8" s="30"/>
      <c r="L8" s="30"/>
      <c r="M8" s="31">
        <f>SUM(E8:L8)</f>
        <v>245728.28000000003</v>
      </c>
      <c r="N8" s="16">
        <v>9765.1200000000008</v>
      </c>
      <c r="O8" s="21">
        <v>3509.04</v>
      </c>
      <c r="P8" s="16">
        <f>(58.54*12)</f>
        <v>702.48</v>
      </c>
      <c r="Q8" s="21">
        <v>144.24</v>
      </c>
      <c r="R8" s="16">
        <f t="shared" ref="R8" si="0">(5.81*12)</f>
        <v>69.72</v>
      </c>
      <c r="S8" s="16">
        <v>62.76</v>
      </c>
      <c r="T8" s="16">
        <f>(27.6)+(108.19*12)</f>
        <v>1325.8799999999999</v>
      </c>
      <c r="U8" s="16">
        <f>(596.16)+(110.4)</f>
        <v>706.56</v>
      </c>
      <c r="V8" s="16"/>
      <c r="W8" s="16">
        <v>396.72</v>
      </c>
      <c r="X8" s="16">
        <f>(282.25*12)</f>
        <v>3387</v>
      </c>
      <c r="Y8" s="16"/>
      <c r="Z8" s="16"/>
      <c r="AA8" s="16"/>
      <c r="AB8" s="16"/>
      <c r="AC8" s="16">
        <f>(14275.91)+(6661.99)</f>
        <v>20937.900000000001</v>
      </c>
      <c r="AD8" s="16"/>
      <c r="AE8" s="16"/>
      <c r="AF8" s="16">
        <v>500</v>
      </c>
      <c r="AG8" s="16"/>
      <c r="AH8" s="9">
        <f>+M8+N8+P8+R8+T8+X8+AB8+AD8+AF8</f>
        <v>261478.48000000004</v>
      </c>
      <c r="AI8" s="9">
        <f>+O8+Q8+S8+U8+Y8+AC8+AE8+AG8</f>
        <v>25360.5</v>
      </c>
    </row>
    <row r="9" spans="1:35" x14ac:dyDescent="0.25">
      <c r="B9" s="11"/>
      <c r="C9" s="12"/>
      <c r="D9" s="39"/>
      <c r="E9" s="10"/>
      <c r="F9" s="10"/>
      <c r="G9" s="10"/>
      <c r="H9" s="10"/>
      <c r="I9" s="10"/>
      <c r="J9" s="10"/>
      <c r="K9" s="10"/>
      <c r="L9" s="10"/>
      <c r="M9" s="31">
        <f t="shared" ref="M9" si="1">SUM(E9:K9)</f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9">
        <f>+M9+N9+P9+R9+T9+X9+AB9+AD9+AF9</f>
        <v>0</v>
      </c>
      <c r="AI9" s="9">
        <f>+O9+Q9+S9+U9+Y9+AC9+AE9+AG9</f>
        <v>0</v>
      </c>
    </row>
    <row r="10" spans="1:35" x14ac:dyDescent="0.25">
      <c r="B10" s="13" t="s">
        <v>13</v>
      </c>
      <c r="C10" s="14"/>
      <c r="D10" s="27"/>
      <c r="E10" s="36">
        <f t="shared" ref="E10:AI10" si="2">SUM(E8:E9)</f>
        <v>190345.48</v>
      </c>
      <c r="F10" s="36">
        <f t="shared" si="2"/>
        <v>0</v>
      </c>
      <c r="G10" s="36">
        <f t="shared" si="2"/>
        <v>0</v>
      </c>
      <c r="H10" s="36">
        <f t="shared" si="2"/>
        <v>400</v>
      </c>
      <c r="I10" s="36">
        <f t="shared" si="2"/>
        <v>54982.8</v>
      </c>
      <c r="J10" s="36">
        <f t="shared" si="2"/>
        <v>0</v>
      </c>
      <c r="K10" s="36">
        <f t="shared" si="2"/>
        <v>0</v>
      </c>
      <c r="L10" s="36">
        <f t="shared" si="2"/>
        <v>0</v>
      </c>
      <c r="M10" s="36">
        <f t="shared" si="2"/>
        <v>245728.28000000003</v>
      </c>
      <c r="N10" s="15">
        <f t="shared" si="2"/>
        <v>9765.1200000000008</v>
      </c>
      <c r="O10" s="15">
        <f t="shared" si="2"/>
        <v>3509.04</v>
      </c>
      <c r="P10" s="15">
        <f t="shared" si="2"/>
        <v>702.48</v>
      </c>
      <c r="Q10" s="15">
        <f t="shared" si="2"/>
        <v>144.24</v>
      </c>
      <c r="R10" s="15">
        <f t="shared" si="2"/>
        <v>69.72</v>
      </c>
      <c r="S10" s="33">
        <f t="shared" si="2"/>
        <v>62.76</v>
      </c>
      <c r="T10" s="15">
        <f t="shared" si="2"/>
        <v>1325.8799999999999</v>
      </c>
      <c r="U10" s="15">
        <f t="shared" si="2"/>
        <v>706.56</v>
      </c>
      <c r="V10" s="15">
        <f t="shared" si="2"/>
        <v>0</v>
      </c>
      <c r="W10" s="15">
        <f t="shared" si="2"/>
        <v>396.72</v>
      </c>
      <c r="X10" s="15">
        <f t="shared" si="2"/>
        <v>3387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5">
        <f t="shared" si="2"/>
        <v>0</v>
      </c>
      <c r="AC10" s="15">
        <f t="shared" si="2"/>
        <v>20937.900000000001</v>
      </c>
      <c r="AD10" s="15">
        <f t="shared" si="2"/>
        <v>0</v>
      </c>
      <c r="AE10" s="15">
        <f t="shared" si="2"/>
        <v>0</v>
      </c>
      <c r="AF10" s="15">
        <f t="shared" si="2"/>
        <v>500</v>
      </c>
      <c r="AG10" s="15">
        <f t="shared" si="2"/>
        <v>0</v>
      </c>
      <c r="AH10" s="15">
        <f t="shared" si="2"/>
        <v>261478.48000000004</v>
      </c>
      <c r="AI10" s="15">
        <f t="shared" si="2"/>
        <v>25360.5</v>
      </c>
    </row>
    <row r="11" spans="1:35" x14ac:dyDescent="0.25">
      <c r="O11" s="19"/>
    </row>
    <row r="13" spans="1:35" x14ac:dyDescent="0.25">
      <c r="E13" s="19"/>
    </row>
  </sheetData>
  <mergeCells count="29">
    <mergeCell ref="P5:Q5"/>
    <mergeCell ref="R5:S5"/>
    <mergeCell ref="T5:U5"/>
    <mergeCell ref="X5:Y5"/>
    <mergeCell ref="AB5:AC5"/>
    <mergeCell ref="G6:G7"/>
    <mergeCell ref="H6:H7"/>
    <mergeCell ref="I6:I7"/>
    <mergeCell ref="M6:M7"/>
    <mergeCell ref="N5:O5"/>
    <mergeCell ref="B6:B7"/>
    <mergeCell ref="C6:C7"/>
    <mergeCell ref="D6:D7"/>
    <mergeCell ref="E6:E7"/>
    <mergeCell ref="F6:F7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J6:J7"/>
    <mergeCell ref="K6:K7"/>
    <mergeCell ref="V6:W6"/>
    <mergeCell ref="Z6:AA6"/>
    <mergeCell ref="L6:L7"/>
  </mergeCells>
  <pageMargins left="0.7" right="0.7" top="0.75" bottom="0.75" header="0.3" footer="0.3"/>
  <ignoredErrors>
    <ignoredError sqref="X8 AC8 P8:U8" unlockedFormula="1"/>
    <ignoredError sqref="M8:M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76B0-0255-4ED5-A77C-8C245EC19EA6}">
  <dimension ref="A1:AI13"/>
  <sheetViews>
    <sheetView topLeftCell="A2" workbookViewId="0">
      <selection activeCell="I10" sqref="I10:L10"/>
    </sheetView>
  </sheetViews>
  <sheetFormatPr defaultColWidth="9.140625" defaultRowHeight="15.75" x14ac:dyDescent="0.25"/>
  <cols>
    <col min="1" max="1" width="11.140625" style="3" customWidth="1"/>
    <col min="2" max="2" width="10.85546875" style="3" customWidth="1"/>
    <col min="3" max="3" width="34.5703125" style="3" customWidth="1"/>
    <col min="4" max="4" width="11.7109375" style="3" customWidth="1"/>
    <col min="5" max="5" width="14.7109375" style="3" customWidth="1"/>
    <col min="6" max="6" width="11.28515625" style="3" customWidth="1"/>
    <col min="7" max="7" width="14.85546875" style="3" customWidth="1"/>
    <col min="8" max="8" width="9.425781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3" width="10.7109375" style="3" customWidth="1"/>
    <col min="24" max="24" width="9.42578125" style="3" customWidth="1"/>
    <col min="25" max="27" width="10" style="3" customWidth="1"/>
    <col min="28" max="28" width="12.5703125" style="3" customWidth="1"/>
    <col min="29" max="29" width="12.28515625" style="3" bestFit="1" customWidth="1"/>
    <col min="30" max="33" width="12.28515625" style="3" customWidth="1"/>
    <col min="34" max="34" width="11.28515625" style="3" customWidth="1"/>
    <col min="35" max="35" width="9.7109375" style="3" customWidth="1"/>
    <col min="36" max="16384" width="9.140625" style="3"/>
  </cols>
  <sheetData>
    <row r="1" spans="1:35" ht="20.25" hidden="1" customHeight="1" x14ac:dyDescent="0.25">
      <c r="B1" s="1" t="s">
        <v>14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B2" s="1" t="s">
        <v>28</v>
      </c>
      <c r="C2" s="2"/>
      <c r="D2" s="2"/>
      <c r="F2" s="2"/>
      <c r="G2" s="2"/>
      <c r="H2" s="2"/>
      <c r="I2" s="2"/>
      <c r="J2" s="2"/>
      <c r="K2" s="2"/>
      <c r="L2" s="2"/>
      <c r="M2" s="20"/>
      <c r="N2" s="35"/>
      <c r="O2" s="3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B3" s="1" t="s">
        <v>52</v>
      </c>
      <c r="C3" s="2"/>
      <c r="D3" s="2"/>
      <c r="F3" s="4">
        <v>2021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B4" s="1" t="s">
        <v>51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D5" s="5"/>
      <c r="E5" s="28"/>
      <c r="F5" s="28"/>
      <c r="G5" s="28"/>
      <c r="H5" s="28"/>
      <c r="I5" s="28"/>
      <c r="J5" s="28"/>
      <c r="K5" s="28"/>
      <c r="L5" s="28"/>
      <c r="M5" s="32"/>
      <c r="N5" s="44"/>
      <c r="O5" s="44"/>
      <c r="P5" s="44"/>
      <c r="Q5" s="44"/>
      <c r="R5" s="44"/>
      <c r="S5" s="44"/>
      <c r="T5" s="44"/>
      <c r="U5" s="44"/>
      <c r="V5" s="40"/>
      <c r="W5" s="40"/>
      <c r="X5" s="44"/>
      <c r="Y5" s="44"/>
      <c r="Z5" s="40"/>
      <c r="AA5" s="40"/>
      <c r="AB5" s="44"/>
      <c r="AC5" s="44"/>
      <c r="AD5" s="40"/>
      <c r="AE5" s="40"/>
      <c r="AF5" s="40"/>
      <c r="AG5" s="40"/>
      <c r="AH5" s="6"/>
      <c r="AI5" s="6"/>
    </row>
    <row r="6" spans="1:35" ht="30" customHeight="1" x14ac:dyDescent="0.25">
      <c r="B6" s="46" t="s">
        <v>15</v>
      </c>
      <c r="C6" s="46" t="s">
        <v>31</v>
      </c>
      <c r="D6" s="46" t="s">
        <v>32</v>
      </c>
      <c r="E6" s="46" t="s">
        <v>0</v>
      </c>
      <c r="F6" s="46" t="s">
        <v>1</v>
      </c>
      <c r="G6" s="46" t="s">
        <v>38</v>
      </c>
      <c r="H6" s="46" t="s">
        <v>4</v>
      </c>
      <c r="I6" s="46" t="s">
        <v>3</v>
      </c>
      <c r="J6" s="46" t="s">
        <v>16</v>
      </c>
      <c r="K6" s="46" t="s">
        <v>46</v>
      </c>
      <c r="L6" s="46" t="s">
        <v>53</v>
      </c>
      <c r="M6" s="46" t="s">
        <v>5</v>
      </c>
      <c r="N6" s="42" t="s">
        <v>49</v>
      </c>
      <c r="O6" s="43"/>
      <c r="P6" s="42" t="s">
        <v>17</v>
      </c>
      <c r="Q6" s="43"/>
      <c r="R6" s="42" t="s">
        <v>50</v>
      </c>
      <c r="S6" s="43"/>
      <c r="T6" s="42" t="s">
        <v>9</v>
      </c>
      <c r="U6" s="43"/>
      <c r="V6" s="45" t="s">
        <v>48</v>
      </c>
      <c r="W6" s="43"/>
      <c r="X6" s="42" t="s">
        <v>26</v>
      </c>
      <c r="Y6" s="43"/>
      <c r="Z6" s="42" t="s">
        <v>47</v>
      </c>
      <c r="AA6" s="43"/>
      <c r="AB6" s="42" t="s">
        <v>10</v>
      </c>
      <c r="AC6" s="43"/>
      <c r="AD6" s="42" t="s">
        <v>45</v>
      </c>
      <c r="AE6" s="43"/>
      <c r="AF6" s="42" t="s">
        <v>43</v>
      </c>
      <c r="AG6" s="43"/>
      <c r="AH6" s="42" t="s">
        <v>11</v>
      </c>
      <c r="AI6" s="43"/>
    </row>
    <row r="7" spans="1:35" ht="31.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">
        <v>41</v>
      </c>
      <c r="O7" s="7" t="s">
        <v>12</v>
      </c>
      <c r="P7" s="7" t="str">
        <f>+$N$7</f>
        <v>Clark</v>
      </c>
      <c r="Q7" s="7" t="s">
        <v>12</v>
      </c>
      <c r="R7" s="7" t="str">
        <f>+$N$7</f>
        <v>Clark</v>
      </c>
      <c r="S7" s="7" t="s">
        <v>12</v>
      </c>
      <c r="T7" s="7" t="str">
        <f>+$N$7</f>
        <v>Clark</v>
      </c>
      <c r="U7" s="7" t="s">
        <v>12</v>
      </c>
      <c r="V7" s="7" t="str">
        <f>+$N$7</f>
        <v>Clark</v>
      </c>
      <c r="W7" s="7" t="s">
        <v>12</v>
      </c>
      <c r="X7" s="7" t="str">
        <f>+$N$7</f>
        <v>Clark</v>
      </c>
      <c r="Y7" s="7" t="s">
        <v>12</v>
      </c>
      <c r="Z7" s="7" t="str">
        <f>+$N$7</f>
        <v>Clark</v>
      </c>
      <c r="AA7" s="7" t="s">
        <v>12</v>
      </c>
      <c r="AB7" s="7" t="str">
        <f>+$N$7</f>
        <v>Clark</v>
      </c>
      <c r="AC7" s="7" t="s">
        <v>12</v>
      </c>
      <c r="AD7" s="7" t="str">
        <f>+$N$7</f>
        <v>Clark</v>
      </c>
      <c r="AE7" s="7" t="s">
        <v>12</v>
      </c>
      <c r="AF7" s="7" t="s">
        <v>41</v>
      </c>
      <c r="AG7" s="7" t="s">
        <v>12</v>
      </c>
      <c r="AH7" s="7" t="str">
        <f>+$N$7</f>
        <v>Clark</v>
      </c>
      <c r="AI7" s="7" t="s">
        <v>12</v>
      </c>
    </row>
    <row r="8" spans="1:35" x14ac:dyDescent="0.25">
      <c r="A8" s="3" t="s">
        <v>25</v>
      </c>
      <c r="B8" s="17"/>
      <c r="C8" s="8" t="s">
        <v>23</v>
      </c>
      <c r="D8" s="25">
        <v>88.057000000000002</v>
      </c>
      <c r="E8" s="29">
        <v>181316.06</v>
      </c>
      <c r="F8" s="23"/>
      <c r="G8" s="23"/>
      <c r="H8" s="23"/>
      <c r="I8" s="30">
        <v>27491.4</v>
      </c>
      <c r="J8" s="30"/>
      <c r="K8" s="30"/>
      <c r="L8" s="30"/>
      <c r="M8" s="31">
        <f>SUM(E8:L8)</f>
        <v>208807.46</v>
      </c>
      <c r="N8" s="16">
        <v>9042</v>
      </c>
      <c r="O8" s="21">
        <v>3248.88</v>
      </c>
      <c r="P8" s="16">
        <f>(58.54*12)</f>
        <v>702.48</v>
      </c>
      <c r="Q8" s="21">
        <v>144.24</v>
      </c>
      <c r="R8" s="16">
        <f t="shared" ref="R8" si="0">(5.81*12)</f>
        <v>69.72</v>
      </c>
      <c r="S8" s="16">
        <v>62.76</v>
      </c>
      <c r="T8" s="16">
        <f>(27.6)+(105.14*12)</f>
        <v>1289.28</v>
      </c>
      <c r="U8" s="16">
        <f>(573.48)+(110.4)</f>
        <v>683.88</v>
      </c>
      <c r="V8" s="16"/>
      <c r="W8" s="16">
        <v>396.72</v>
      </c>
      <c r="X8" s="16">
        <f>(271.39*12)</f>
        <v>3256.68</v>
      </c>
      <c r="Y8" s="16"/>
      <c r="Z8" s="16"/>
      <c r="AA8" s="16"/>
      <c r="AB8" s="16"/>
      <c r="AC8" s="16">
        <f>(13598.67)+(6346.09)</f>
        <v>19944.760000000002</v>
      </c>
      <c r="AD8" s="16">
        <f>(4398.45+183.45)*12</f>
        <v>54982.799999999996</v>
      </c>
      <c r="AE8" s="16"/>
      <c r="AF8" s="16">
        <v>500</v>
      </c>
      <c r="AG8" s="16"/>
      <c r="AH8" s="9">
        <f>+M8+N8+P8+R8+T8+X8+AB8+AD8+AF8</f>
        <v>278650.42</v>
      </c>
      <c r="AI8" s="9">
        <f>+O8+Q8+S8+U8+Y8+AC8+AE8+AG8</f>
        <v>24084.520000000004</v>
      </c>
    </row>
    <row r="9" spans="1:35" x14ac:dyDescent="0.25">
      <c r="B9" s="18"/>
      <c r="D9" s="26"/>
      <c r="E9" s="10"/>
      <c r="F9" s="10"/>
      <c r="G9" s="10"/>
      <c r="H9" s="10"/>
      <c r="I9" s="10"/>
      <c r="J9" s="10"/>
      <c r="K9" s="10"/>
      <c r="L9" s="10"/>
      <c r="M9" s="31">
        <f t="shared" ref="M9" si="1">SUM(E9:K9)</f>
        <v>0</v>
      </c>
      <c r="N9" s="10"/>
      <c r="O9" s="10"/>
      <c r="P9" s="10"/>
      <c r="Q9" s="10"/>
      <c r="R9" s="10"/>
      <c r="S9" s="10"/>
      <c r="T9" s="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9">
        <f>+M9+N9+P9+R9+T9+X9+AB9+AD9+AF9</f>
        <v>0</v>
      </c>
      <c r="AI9" s="9">
        <f>+O9+Q9+S9+U9+Y9+AC9+AE9+AG9</f>
        <v>0</v>
      </c>
    </row>
    <row r="10" spans="1:35" x14ac:dyDescent="0.25">
      <c r="B10" s="13" t="s">
        <v>13</v>
      </c>
      <c r="C10" s="14"/>
      <c r="D10" s="27"/>
      <c r="E10" s="36">
        <f>SUM(E8:E9)</f>
        <v>181316.06</v>
      </c>
      <c r="F10" s="36">
        <f>SUM(F8:F9)</f>
        <v>0</v>
      </c>
      <c r="G10" s="36">
        <f>SUM(G8:G9)</f>
        <v>0</v>
      </c>
      <c r="H10" s="36">
        <f>SUM(H8:H9)</f>
        <v>0</v>
      </c>
      <c r="I10" s="36">
        <f>SUM(I8:I9)</f>
        <v>27491.4</v>
      </c>
      <c r="J10" s="36">
        <f t="shared" ref="J10:L10" si="2">SUM(J8:J9)</f>
        <v>0</v>
      </c>
      <c r="K10" s="36">
        <f t="shared" si="2"/>
        <v>0</v>
      </c>
      <c r="L10" s="36">
        <f t="shared" si="2"/>
        <v>0</v>
      </c>
      <c r="M10" s="36">
        <f t="shared" ref="M10:AI10" si="3">SUM(M8:M9)</f>
        <v>208807.46</v>
      </c>
      <c r="N10" s="15">
        <f t="shared" si="3"/>
        <v>9042</v>
      </c>
      <c r="O10" s="15">
        <f t="shared" si="3"/>
        <v>3248.88</v>
      </c>
      <c r="P10" s="15">
        <f t="shared" si="3"/>
        <v>702.48</v>
      </c>
      <c r="Q10" s="15">
        <f t="shared" si="3"/>
        <v>144.24</v>
      </c>
      <c r="R10" s="15">
        <f t="shared" si="3"/>
        <v>69.72</v>
      </c>
      <c r="S10" s="33">
        <f t="shared" si="3"/>
        <v>62.76</v>
      </c>
      <c r="T10" s="15">
        <f t="shared" si="3"/>
        <v>1289.28</v>
      </c>
      <c r="U10" s="15">
        <f t="shared" si="3"/>
        <v>683.88</v>
      </c>
      <c r="V10" s="15">
        <f t="shared" si="3"/>
        <v>0</v>
      </c>
      <c r="W10" s="15">
        <f t="shared" si="3"/>
        <v>396.72</v>
      </c>
      <c r="X10" s="15">
        <f t="shared" si="3"/>
        <v>3256.68</v>
      </c>
      <c r="Y10" s="15">
        <f t="shared" si="3"/>
        <v>0</v>
      </c>
      <c r="Z10" s="15">
        <f t="shared" si="3"/>
        <v>0</v>
      </c>
      <c r="AA10" s="15">
        <f t="shared" si="3"/>
        <v>0</v>
      </c>
      <c r="AB10" s="15">
        <f t="shared" si="3"/>
        <v>0</v>
      </c>
      <c r="AC10" s="15">
        <f t="shared" si="3"/>
        <v>19944.760000000002</v>
      </c>
      <c r="AD10" s="15">
        <f t="shared" si="3"/>
        <v>54982.799999999996</v>
      </c>
      <c r="AE10" s="15">
        <f t="shared" si="3"/>
        <v>0</v>
      </c>
      <c r="AF10" s="15">
        <f t="shared" si="3"/>
        <v>500</v>
      </c>
      <c r="AG10" s="15">
        <f t="shared" si="3"/>
        <v>0</v>
      </c>
      <c r="AH10" s="15">
        <f t="shared" si="3"/>
        <v>278650.42</v>
      </c>
      <c r="AI10" s="15">
        <f t="shared" si="3"/>
        <v>24084.520000000004</v>
      </c>
    </row>
    <row r="11" spans="1:35" x14ac:dyDescent="0.25">
      <c r="O11" s="19"/>
    </row>
    <row r="13" spans="1:35" x14ac:dyDescent="0.25">
      <c r="E13" s="19"/>
    </row>
  </sheetData>
  <mergeCells count="29">
    <mergeCell ref="P5:Q5"/>
    <mergeCell ref="R5:S5"/>
    <mergeCell ref="T5:U5"/>
    <mergeCell ref="X5:Y5"/>
    <mergeCell ref="AB5:AC5"/>
    <mergeCell ref="G6:G7"/>
    <mergeCell ref="H6:H7"/>
    <mergeCell ref="I6:I7"/>
    <mergeCell ref="M6:M7"/>
    <mergeCell ref="N5:O5"/>
    <mergeCell ref="B6:B7"/>
    <mergeCell ref="C6:C7"/>
    <mergeCell ref="D6:D7"/>
    <mergeCell ref="E6:E7"/>
    <mergeCell ref="F6:F7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J6:J7"/>
    <mergeCell ref="K6:K7"/>
    <mergeCell ref="V6:W6"/>
    <mergeCell ref="Z6:AA6"/>
    <mergeCell ref="L6:L7"/>
  </mergeCells>
  <pageMargins left="0.7" right="0.7" top="0.75" bottom="0.75" header="0.3" footer="0.3"/>
  <pageSetup orientation="portrait" r:id="rId1"/>
  <ignoredErrors>
    <ignoredError sqref="P8 R8 X8 AC8 AD8 T8:U8 P9" unlockedFormula="1"/>
    <ignoredError sqref="M8:M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A336-8BCA-4FF8-AA16-B9524BE253DD}">
  <dimension ref="A1:AI13"/>
  <sheetViews>
    <sheetView topLeftCell="A2" workbookViewId="0">
      <selection activeCell="K19" sqref="K19"/>
    </sheetView>
  </sheetViews>
  <sheetFormatPr defaultColWidth="9.140625" defaultRowHeight="15.75" x14ac:dyDescent="0.25"/>
  <cols>
    <col min="1" max="1" width="12.5703125" style="3" customWidth="1"/>
    <col min="2" max="2" width="10.85546875" style="3" customWidth="1"/>
    <col min="3" max="3" width="34.5703125" style="3" customWidth="1"/>
    <col min="4" max="4" width="11.7109375" style="3" customWidth="1"/>
    <col min="5" max="5" width="14.7109375" style="3" customWidth="1"/>
    <col min="6" max="6" width="11.28515625" style="3" customWidth="1"/>
    <col min="7" max="7" width="14.85546875" style="3" customWidth="1"/>
    <col min="8" max="8" width="9.42578125" style="3" customWidth="1"/>
    <col min="9" max="12" width="10.28515625" style="3" customWidth="1"/>
    <col min="13" max="13" width="14" style="3" bestFit="1" customWidth="1"/>
    <col min="14" max="14" width="11.85546875" style="3" customWidth="1"/>
    <col min="15" max="15" width="11.28515625" style="3" customWidth="1"/>
    <col min="16" max="16" width="12.7109375" style="3" customWidth="1"/>
    <col min="17" max="17" width="11.28515625" style="3" customWidth="1"/>
    <col min="18" max="18" width="10.28515625" style="3" customWidth="1"/>
    <col min="19" max="19" width="11.28515625" style="3" customWidth="1"/>
    <col min="20" max="20" width="9.42578125" style="3" customWidth="1"/>
    <col min="21" max="21" width="10.7109375" style="3" customWidth="1"/>
    <col min="22" max="23" width="10" style="3" customWidth="1"/>
    <col min="24" max="24" width="9.42578125" style="3" customWidth="1"/>
    <col min="25" max="27" width="10" style="3" customWidth="1"/>
    <col min="28" max="28" width="13.42578125" style="3" customWidth="1"/>
    <col min="29" max="29" width="12.28515625" style="3" bestFit="1" customWidth="1"/>
    <col min="30" max="30" width="12.28515625" style="3" customWidth="1"/>
    <col min="31" max="31" width="10.140625" style="3" customWidth="1"/>
    <col min="32" max="32" width="8.7109375" style="3" customWidth="1"/>
    <col min="33" max="33" width="9.7109375" style="3" customWidth="1"/>
    <col min="34" max="34" width="11.28515625" style="3" customWidth="1"/>
    <col min="35" max="35" width="9.7109375" style="3" customWidth="1"/>
    <col min="36" max="16384" width="9.140625" style="3"/>
  </cols>
  <sheetData>
    <row r="1" spans="1:35" ht="20.25" hidden="1" customHeight="1" x14ac:dyDescent="0.25">
      <c r="B1" s="1" t="s">
        <v>14</v>
      </c>
      <c r="C1" s="2"/>
      <c r="D1" s="2"/>
      <c r="F1" s="2"/>
      <c r="G1" s="2"/>
      <c r="H1" s="2"/>
      <c r="I1" s="2"/>
      <c r="J1" s="2"/>
      <c r="K1" s="2"/>
      <c r="L1" s="2"/>
      <c r="M1" s="20"/>
      <c r="N1" s="35"/>
      <c r="O1" s="34"/>
      <c r="P1" s="24"/>
      <c r="Q1" s="24"/>
      <c r="R1" s="24"/>
      <c r="S1" s="2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B2" s="1" t="s">
        <v>28</v>
      </c>
      <c r="C2" s="2"/>
      <c r="D2" s="2"/>
      <c r="F2" s="2"/>
      <c r="G2" s="2"/>
      <c r="H2" s="2"/>
      <c r="I2" s="2"/>
      <c r="J2" s="2"/>
      <c r="K2" s="2"/>
      <c r="L2" s="2"/>
      <c r="M2" s="20"/>
      <c r="N2" s="35"/>
      <c r="O2" s="3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B3" s="1" t="s">
        <v>52</v>
      </c>
      <c r="C3" s="2"/>
      <c r="D3" s="2"/>
      <c r="F3" s="4">
        <v>2020</v>
      </c>
      <c r="G3" s="2"/>
      <c r="H3" s="2"/>
      <c r="I3" s="2"/>
      <c r="J3" s="2"/>
      <c r="K3" s="2"/>
      <c r="L3" s="2"/>
      <c r="M3" s="2"/>
      <c r="N3" s="2"/>
      <c r="O3" s="2"/>
      <c r="P3" s="22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B4" s="1" t="s">
        <v>51</v>
      </c>
      <c r="C4" s="2"/>
      <c r="D4" s="2"/>
      <c r="E4"/>
      <c r="G4" s="2"/>
      <c r="H4" s="2"/>
      <c r="I4" s="2"/>
      <c r="J4" s="2"/>
      <c r="K4" s="2"/>
      <c r="L4" s="2"/>
      <c r="M4" s="2"/>
      <c r="N4" s="2"/>
      <c r="O4" s="24"/>
      <c r="P4" s="22"/>
      <c r="Q4" s="24"/>
      <c r="R4" s="24"/>
      <c r="S4" s="2"/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D5" s="5"/>
      <c r="E5" s="28"/>
      <c r="F5" s="28"/>
      <c r="G5" s="28"/>
      <c r="H5" s="28"/>
      <c r="I5" s="28"/>
      <c r="J5" s="28"/>
      <c r="K5" s="28"/>
      <c r="L5" s="28"/>
      <c r="M5" s="32"/>
      <c r="N5" s="44"/>
      <c r="O5" s="44"/>
      <c r="P5" s="44"/>
      <c r="Q5" s="44"/>
      <c r="R5" s="44"/>
      <c r="S5" s="44"/>
      <c r="T5" s="44"/>
      <c r="U5" s="44"/>
      <c r="V5" s="40"/>
      <c r="W5" s="40"/>
      <c r="X5" s="44"/>
      <c r="Y5" s="44"/>
      <c r="Z5" s="40"/>
      <c r="AA5" s="40"/>
      <c r="AB5" s="44"/>
      <c r="AC5" s="44"/>
      <c r="AD5" s="40"/>
      <c r="AE5" s="40"/>
      <c r="AF5" s="40"/>
      <c r="AG5" s="40"/>
      <c r="AH5" s="6"/>
      <c r="AI5" s="6"/>
    </row>
    <row r="6" spans="1:35" ht="30" customHeight="1" x14ac:dyDescent="0.25">
      <c r="B6" s="46" t="s">
        <v>15</v>
      </c>
      <c r="C6" s="46" t="s">
        <v>30</v>
      </c>
      <c r="D6" s="46" t="s">
        <v>29</v>
      </c>
      <c r="E6" s="46" t="s">
        <v>0</v>
      </c>
      <c r="F6" s="46" t="s">
        <v>1</v>
      </c>
      <c r="G6" s="46" t="s">
        <v>38</v>
      </c>
      <c r="H6" s="46" t="s">
        <v>4</v>
      </c>
      <c r="I6" s="46" t="s">
        <v>3</v>
      </c>
      <c r="J6" s="46" t="s">
        <v>16</v>
      </c>
      <c r="K6" s="46" t="s">
        <v>46</v>
      </c>
      <c r="L6" s="46" t="s">
        <v>53</v>
      </c>
      <c r="M6" s="46" t="s">
        <v>5</v>
      </c>
      <c r="N6" s="42" t="s">
        <v>6</v>
      </c>
      <c r="O6" s="43"/>
      <c r="P6" s="42" t="s">
        <v>7</v>
      </c>
      <c r="Q6" s="43"/>
      <c r="R6" s="42" t="s">
        <v>8</v>
      </c>
      <c r="S6" s="43"/>
      <c r="T6" s="42" t="s">
        <v>9</v>
      </c>
      <c r="U6" s="43"/>
      <c r="V6" s="42" t="s">
        <v>48</v>
      </c>
      <c r="W6" s="43"/>
      <c r="X6" s="42" t="s">
        <v>26</v>
      </c>
      <c r="Y6" s="43"/>
      <c r="Z6" s="42" t="s">
        <v>47</v>
      </c>
      <c r="AA6" s="43"/>
      <c r="AB6" s="42" t="s">
        <v>10</v>
      </c>
      <c r="AC6" s="43"/>
      <c r="AD6" s="42" t="s">
        <v>45</v>
      </c>
      <c r="AE6" s="43"/>
      <c r="AF6" s="42" t="s">
        <v>43</v>
      </c>
      <c r="AG6" s="43"/>
      <c r="AH6" s="42" t="s">
        <v>11</v>
      </c>
      <c r="AI6" s="43"/>
    </row>
    <row r="7" spans="1:35" ht="31.5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">
        <v>41</v>
      </c>
      <c r="O7" s="7" t="s">
        <v>12</v>
      </c>
      <c r="P7" s="7" t="str">
        <f>+$N$7</f>
        <v>Clark</v>
      </c>
      <c r="Q7" s="7" t="s">
        <v>12</v>
      </c>
      <c r="R7" s="7" t="str">
        <f>+$N$7</f>
        <v>Clark</v>
      </c>
      <c r="S7" s="7" t="s">
        <v>12</v>
      </c>
      <c r="T7" s="7" t="str">
        <f>+$N$7</f>
        <v>Clark</v>
      </c>
      <c r="U7" s="7" t="s">
        <v>12</v>
      </c>
      <c r="V7" s="7" t="str">
        <f>+$N$7</f>
        <v>Clark</v>
      </c>
      <c r="W7" s="7" t="s">
        <v>12</v>
      </c>
      <c r="X7" s="7" t="str">
        <f>+$N$7</f>
        <v>Clark</v>
      </c>
      <c r="Y7" s="7" t="s">
        <v>12</v>
      </c>
      <c r="Z7" s="7" t="str">
        <f>+$N$7</f>
        <v>Clark</v>
      </c>
      <c r="AA7" s="7" t="s">
        <v>12</v>
      </c>
      <c r="AB7" s="7" t="str">
        <f>+$N$7</f>
        <v>Clark</v>
      </c>
      <c r="AC7" s="7" t="s">
        <v>12</v>
      </c>
      <c r="AD7" s="7" t="s">
        <v>41</v>
      </c>
      <c r="AE7" s="7" t="s">
        <v>12</v>
      </c>
      <c r="AF7" s="7" t="s">
        <v>41</v>
      </c>
      <c r="AG7" s="7" t="s">
        <v>12</v>
      </c>
      <c r="AH7" s="7" t="str">
        <f>+$N$7</f>
        <v>Clark</v>
      </c>
      <c r="AI7" s="7" t="s">
        <v>12</v>
      </c>
    </row>
    <row r="8" spans="1:35" x14ac:dyDescent="0.25">
      <c r="A8" s="3" t="s">
        <v>25</v>
      </c>
      <c r="B8" s="17"/>
      <c r="C8" s="8" t="s">
        <v>23</v>
      </c>
      <c r="D8" s="25">
        <v>84.67</v>
      </c>
      <c r="E8" s="29">
        <v>182427.36</v>
      </c>
      <c r="F8" s="23"/>
      <c r="G8" s="23"/>
      <c r="H8" s="23"/>
      <c r="I8" s="30"/>
      <c r="J8" s="30"/>
      <c r="K8" s="30"/>
      <c r="L8" s="30"/>
      <c r="M8" s="31">
        <f>SUM(E8:L8)</f>
        <v>182427.36</v>
      </c>
      <c r="N8" s="16">
        <v>10332.120000000001</v>
      </c>
      <c r="O8" s="21">
        <v>3348</v>
      </c>
      <c r="P8" s="16">
        <f>(58.54*12)</f>
        <v>702.48</v>
      </c>
      <c r="Q8" s="21">
        <v>144.24</v>
      </c>
      <c r="R8" s="16">
        <f t="shared" ref="R8" si="0">(5.81*12)</f>
        <v>69.72</v>
      </c>
      <c r="S8" s="16">
        <v>62.76</v>
      </c>
      <c r="T8" s="16">
        <f>(27.6)+(101.7*12)</f>
        <v>1248</v>
      </c>
      <c r="U8" s="16">
        <f>(541.08)+(110.4)</f>
        <v>651.48</v>
      </c>
      <c r="V8" s="16"/>
      <c r="W8" s="16">
        <v>396.72</v>
      </c>
      <c r="X8" s="16">
        <f>(256.04*12)</f>
        <v>3072.4800000000005</v>
      </c>
      <c r="Y8" s="16"/>
      <c r="Z8" s="16"/>
      <c r="AA8" s="16"/>
      <c r="AB8" s="16"/>
      <c r="AC8" s="16">
        <f>(13447.27)+(6385.05)</f>
        <v>19832.32</v>
      </c>
      <c r="AD8" s="16">
        <f>(3021.85+167.53)</f>
        <v>3189.38</v>
      </c>
      <c r="AE8" s="16"/>
      <c r="AF8" s="16">
        <v>500</v>
      </c>
      <c r="AG8" s="16"/>
      <c r="AH8" s="9">
        <f>+M8+N8+P8+R8+T8+X8+AB8+AD8+AF8</f>
        <v>201541.54</v>
      </c>
      <c r="AI8" s="9">
        <f>+O8+Q8+S8+U8+Y8+AC8+AE8+AG8</f>
        <v>24038.799999999999</v>
      </c>
    </row>
    <row r="9" spans="1:35" x14ac:dyDescent="0.25">
      <c r="B9" s="11"/>
      <c r="C9" s="12"/>
      <c r="D9" s="26"/>
      <c r="E9" s="10"/>
      <c r="F9" s="10"/>
      <c r="G9" s="10"/>
      <c r="H9" s="10"/>
      <c r="I9" s="10"/>
      <c r="J9" s="10"/>
      <c r="K9" s="10"/>
      <c r="L9" s="10"/>
      <c r="M9" s="31">
        <f t="shared" ref="M9" si="1">SUM(E9:K9)</f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9">
        <f>+M9+N9+P9+R9+T9+X9+AB9</f>
        <v>0</v>
      </c>
      <c r="AI9" s="9">
        <f>+O9+Q9+S9+U9+Y9+AC9+AE9+AG9</f>
        <v>0</v>
      </c>
    </row>
    <row r="10" spans="1:35" x14ac:dyDescent="0.25">
      <c r="B10" s="13" t="s">
        <v>13</v>
      </c>
      <c r="C10" s="14"/>
      <c r="D10" s="27"/>
      <c r="E10" s="36">
        <f>SUM(E8:E9)</f>
        <v>182427.36</v>
      </c>
      <c r="F10" s="36">
        <f>SUM(F8:F9)</f>
        <v>0</v>
      </c>
      <c r="G10" s="36">
        <f>SUM(G8:G9)</f>
        <v>0</v>
      </c>
      <c r="H10" s="36">
        <f>SUM(H8:H9)</f>
        <v>0</v>
      </c>
      <c r="I10" s="36">
        <f>SUM(I8:I9)</f>
        <v>0</v>
      </c>
      <c r="J10" s="36">
        <f t="shared" ref="J10:L10" si="2">SUM(J8:J9)</f>
        <v>0</v>
      </c>
      <c r="K10" s="36">
        <f t="shared" si="2"/>
        <v>0</v>
      </c>
      <c r="L10" s="36">
        <f t="shared" si="2"/>
        <v>0</v>
      </c>
      <c r="M10" s="36">
        <f t="shared" ref="M10:AI10" si="3">SUM(M8:M9)</f>
        <v>182427.36</v>
      </c>
      <c r="N10" s="15">
        <f t="shared" si="3"/>
        <v>10332.120000000001</v>
      </c>
      <c r="O10" s="15">
        <f t="shared" si="3"/>
        <v>3348</v>
      </c>
      <c r="P10" s="15">
        <f t="shared" si="3"/>
        <v>702.48</v>
      </c>
      <c r="Q10" s="15">
        <f t="shared" si="3"/>
        <v>144.24</v>
      </c>
      <c r="R10" s="15">
        <f t="shared" si="3"/>
        <v>69.72</v>
      </c>
      <c r="S10" s="33">
        <f t="shared" si="3"/>
        <v>62.76</v>
      </c>
      <c r="T10" s="15">
        <f t="shared" si="3"/>
        <v>1248</v>
      </c>
      <c r="U10" s="15">
        <f t="shared" si="3"/>
        <v>651.48</v>
      </c>
      <c r="V10" s="15">
        <f t="shared" si="3"/>
        <v>0</v>
      </c>
      <c r="W10" s="15">
        <f t="shared" si="3"/>
        <v>396.72</v>
      </c>
      <c r="X10" s="15">
        <f t="shared" si="3"/>
        <v>3072.4800000000005</v>
      </c>
      <c r="Y10" s="15">
        <f t="shared" si="3"/>
        <v>0</v>
      </c>
      <c r="Z10" s="15">
        <f t="shared" si="3"/>
        <v>0</v>
      </c>
      <c r="AA10" s="15">
        <f t="shared" si="3"/>
        <v>0</v>
      </c>
      <c r="AB10" s="15">
        <f t="shared" si="3"/>
        <v>0</v>
      </c>
      <c r="AC10" s="15">
        <f t="shared" si="3"/>
        <v>19832.32</v>
      </c>
      <c r="AD10" s="15">
        <f t="shared" si="3"/>
        <v>3189.38</v>
      </c>
      <c r="AE10" s="15">
        <f t="shared" si="3"/>
        <v>0</v>
      </c>
      <c r="AF10" s="15">
        <f t="shared" si="3"/>
        <v>500</v>
      </c>
      <c r="AG10" s="15">
        <f t="shared" si="3"/>
        <v>0</v>
      </c>
      <c r="AH10" s="15">
        <f t="shared" si="3"/>
        <v>201541.54</v>
      </c>
      <c r="AI10" s="15">
        <f t="shared" si="3"/>
        <v>24038.799999999999</v>
      </c>
    </row>
    <row r="11" spans="1:35" x14ac:dyDescent="0.25">
      <c r="O11" s="19"/>
    </row>
    <row r="13" spans="1:35" x14ac:dyDescent="0.25">
      <c r="E13" s="19"/>
    </row>
  </sheetData>
  <mergeCells count="29">
    <mergeCell ref="P5:Q5"/>
    <mergeCell ref="R5:S5"/>
    <mergeCell ref="T5:U5"/>
    <mergeCell ref="X5:Y5"/>
    <mergeCell ref="AB5:AC5"/>
    <mergeCell ref="G6:G7"/>
    <mergeCell ref="H6:H7"/>
    <mergeCell ref="I6:I7"/>
    <mergeCell ref="M6:M7"/>
    <mergeCell ref="N5:O5"/>
    <mergeCell ref="B6:B7"/>
    <mergeCell ref="C6:C7"/>
    <mergeCell ref="D6:D7"/>
    <mergeCell ref="E6:E7"/>
    <mergeCell ref="F6:F7"/>
    <mergeCell ref="AH6:AI6"/>
    <mergeCell ref="N6:O6"/>
    <mergeCell ref="P6:Q6"/>
    <mergeCell ref="R6:S6"/>
    <mergeCell ref="T6:U6"/>
    <mergeCell ref="X6:Y6"/>
    <mergeCell ref="AB6:AC6"/>
    <mergeCell ref="AF6:AG6"/>
    <mergeCell ref="AD6:AE6"/>
    <mergeCell ref="J6:J7"/>
    <mergeCell ref="K6:K7"/>
    <mergeCell ref="Z6:AA6"/>
    <mergeCell ref="V6:W6"/>
    <mergeCell ref="L6:L7"/>
  </mergeCells>
  <pageMargins left="0.7" right="0.7" top="0.75" bottom="0.75" header="0.3" footer="0.3"/>
  <ignoredErrors>
    <ignoredError sqref="AD8 AC8 X8 P8:R8 T8:U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Brian  Frasure</cp:lastModifiedBy>
  <cp:lastPrinted>2025-09-11T10:51:08Z</cp:lastPrinted>
  <dcterms:created xsi:type="dcterms:W3CDTF">2023-08-27T19:57:21Z</dcterms:created>
  <dcterms:modified xsi:type="dcterms:W3CDTF">2025-09-18T01:46:47Z</dcterms:modified>
</cp:coreProperties>
</file>