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885 - Clark Energy Cooperative\0002 - 2025 Rate\Drafts\AG DR1\"/>
    </mc:Choice>
  </mc:AlternateContent>
  <xr:revisionPtr revIDLastSave="0" documentId="13_ncr:1_{9C890962-0B4B-4978-A6BF-ED94388EA951}" xr6:coauthVersionLast="47" xr6:coauthVersionMax="47" xr10:uidLastSave="{00000000-0000-0000-0000-000000000000}"/>
  <bookViews>
    <workbookView xWindow="46455" yWindow="3510" windowWidth="19575" windowHeight="10305" xr2:uid="{BB420D77-F9AA-4F3D-B2F8-8F890A44D577}"/>
  </bookViews>
  <sheets>
    <sheet name="2025" sheetId="20" r:id="rId1"/>
    <sheet name="2024" sheetId="12" r:id="rId2"/>
    <sheet name="2023" sheetId="9" r:id="rId3"/>
    <sheet name="2022" sheetId="21" r:id="rId4"/>
    <sheet name="2021" sheetId="22" r:id="rId5"/>
    <sheet name="2020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20" l="1"/>
  <c r="L81" i="12"/>
  <c r="L82" i="9"/>
  <c r="M76" i="21"/>
  <c r="L76" i="22"/>
  <c r="L75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" i="23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" i="22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" i="2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7" i="9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7" i="12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7" i="20"/>
  <c r="E81" i="12"/>
  <c r="AI12" i="23" l="1"/>
  <c r="AI13" i="23"/>
  <c r="AI15" i="23"/>
  <c r="AI16" i="23"/>
  <c r="AI17" i="23"/>
  <c r="AI18" i="23"/>
  <c r="AI21" i="23"/>
  <c r="AI22" i="23"/>
  <c r="AI27" i="23"/>
  <c r="AI28" i="23"/>
  <c r="AI31" i="23"/>
  <c r="AI32" i="23"/>
  <c r="AI33" i="23"/>
  <c r="AI34" i="23"/>
  <c r="AI39" i="23"/>
  <c r="AI44" i="23"/>
  <c r="AI47" i="23"/>
  <c r="AI51" i="23"/>
  <c r="AI52" i="23"/>
  <c r="AI53" i="23"/>
  <c r="AI54" i="23"/>
  <c r="AI55" i="23"/>
  <c r="AI56" i="23"/>
  <c r="AI57" i="23"/>
  <c r="AI58" i="23"/>
  <c r="AI59" i="23"/>
  <c r="AI60" i="23"/>
  <c r="AI61" i="23"/>
  <c r="AI62" i="23"/>
  <c r="AI63" i="23"/>
  <c r="AI64" i="23"/>
  <c r="AI65" i="23"/>
  <c r="AI66" i="23"/>
  <c r="AI67" i="23"/>
  <c r="AI68" i="23"/>
  <c r="AI69" i="23"/>
  <c r="AI70" i="23"/>
  <c r="AI71" i="23"/>
  <c r="AI72" i="23"/>
  <c r="AI73" i="23"/>
  <c r="AI74" i="23"/>
  <c r="AI12" i="22"/>
  <c r="AI13" i="22"/>
  <c r="AI15" i="22"/>
  <c r="AI16" i="22"/>
  <c r="AI17" i="22"/>
  <c r="AI18" i="22"/>
  <c r="AI22" i="22"/>
  <c r="AI26" i="22"/>
  <c r="AI31" i="22"/>
  <c r="AI32" i="22"/>
  <c r="AI33" i="22"/>
  <c r="AI38" i="22"/>
  <c r="AI39" i="22"/>
  <c r="AI44" i="22"/>
  <c r="AI46" i="22"/>
  <c r="AI48" i="22"/>
  <c r="AI53" i="22"/>
  <c r="AI54" i="22"/>
  <c r="AI55" i="22"/>
  <c r="AI56" i="22"/>
  <c r="AI57" i="22"/>
  <c r="AI58" i="22"/>
  <c r="AI59" i="22"/>
  <c r="AI60" i="22"/>
  <c r="AI61" i="22"/>
  <c r="AI62" i="22"/>
  <c r="AI63" i="22"/>
  <c r="AI64" i="22"/>
  <c r="AI65" i="22"/>
  <c r="AI66" i="22"/>
  <c r="AI67" i="22"/>
  <c r="AI68" i="22"/>
  <c r="AI69" i="22"/>
  <c r="AI70" i="22"/>
  <c r="AI71" i="22"/>
  <c r="AI72" i="22"/>
  <c r="AI73" i="22"/>
  <c r="AI74" i="22"/>
  <c r="AI75" i="22"/>
  <c r="AJ13" i="21"/>
  <c r="AJ17" i="21"/>
  <c r="AJ18" i="21"/>
  <c r="AJ19" i="21"/>
  <c r="AJ22" i="21"/>
  <c r="AJ23" i="21"/>
  <c r="AJ26" i="21"/>
  <c r="AJ28" i="21"/>
  <c r="AJ29" i="21"/>
  <c r="AJ33" i="21"/>
  <c r="AJ34" i="21"/>
  <c r="AJ38" i="21"/>
  <c r="AJ39" i="21"/>
  <c r="AJ44" i="21"/>
  <c r="AJ54" i="21"/>
  <c r="AJ55" i="21"/>
  <c r="AJ56" i="21"/>
  <c r="AJ57" i="21"/>
  <c r="AJ58" i="21"/>
  <c r="AJ59" i="21"/>
  <c r="AJ60" i="21"/>
  <c r="AJ61" i="21"/>
  <c r="AJ62" i="21"/>
  <c r="AJ63" i="21"/>
  <c r="AJ64" i="21"/>
  <c r="AJ65" i="21"/>
  <c r="AJ66" i="21"/>
  <c r="AJ67" i="21"/>
  <c r="AJ68" i="21"/>
  <c r="AJ69" i="21"/>
  <c r="AJ70" i="21"/>
  <c r="AJ71" i="21"/>
  <c r="AJ72" i="21"/>
  <c r="AJ73" i="21"/>
  <c r="AJ74" i="21"/>
  <c r="AJ75" i="21"/>
  <c r="AI9" i="9"/>
  <c r="AI17" i="9"/>
  <c r="AI21" i="9"/>
  <c r="AI23" i="9"/>
  <c r="AI27" i="9"/>
  <c r="AI30" i="9"/>
  <c r="AI32" i="9"/>
  <c r="AI33" i="9"/>
  <c r="AI36" i="9"/>
  <c r="AI38" i="9"/>
  <c r="AI39" i="9"/>
  <c r="AI41" i="9"/>
  <c r="AI42" i="9"/>
  <c r="AI44" i="9"/>
  <c r="AI48" i="9"/>
  <c r="AI54" i="9"/>
  <c r="AI55" i="9"/>
  <c r="AI56" i="9"/>
  <c r="AI58" i="9"/>
  <c r="AI59" i="9"/>
  <c r="AI60" i="9"/>
  <c r="AI61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9" i="12"/>
  <c r="AI17" i="12"/>
  <c r="AI18" i="12"/>
  <c r="AI21" i="12"/>
  <c r="AI22" i="12"/>
  <c r="AI23" i="12"/>
  <c r="AI26" i="12"/>
  <c r="AI27" i="12"/>
  <c r="AI30" i="12"/>
  <c r="AI31" i="12"/>
  <c r="AI32" i="12"/>
  <c r="AI35" i="12"/>
  <c r="AI38" i="12"/>
  <c r="AI39" i="12"/>
  <c r="AI41" i="12"/>
  <c r="AI43" i="12"/>
  <c r="AI49" i="12"/>
  <c r="AI52" i="12"/>
  <c r="AI53" i="12"/>
  <c r="AI54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17" i="20"/>
  <c r="AI18" i="20"/>
  <c r="AI19" i="20"/>
  <c r="AI21" i="20"/>
  <c r="AI22" i="20"/>
  <c r="AI23" i="20"/>
  <c r="AI26" i="20"/>
  <c r="AI27" i="20"/>
  <c r="AI29" i="20"/>
  <c r="AI30" i="20"/>
  <c r="AI31" i="20"/>
  <c r="AI32" i="20"/>
  <c r="AI33" i="20"/>
  <c r="AI36" i="20"/>
  <c r="AI40" i="20"/>
  <c r="AI41" i="20"/>
  <c r="AI48" i="20"/>
  <c r="AI50" i="20"/>
  <c r="AI53" i="20"/>
  <c r="AI54" i="20"/>
  <c r="AI55" i="20"/>
  <c r="AI58" i="20"/>
  <c r="AI59" i="20"/>
  <c r="AI60" i="20"/>
  <c r="AI61" i="20"/>
  <c r="AI62" i="20"/>
  <c r="AI63" i="20"/>
  <c r="AI64" i="20"/>
  <c r="AI65" i="20"/>
  <c r="AI66" i="20"/>
  <c r="AI67" i="20"/>
  <c r="AI68" i="20"/>
  <c r="AI69" i="20"/>
  <c r="AI70" i="20"/>
  <c r="AI71" i="20"/>
  <c r="AI72" i="20"/>
  <c r="AI73" i="20"/>
  <c r="AI74" i="20"/>
  <c r="AI75" i="20"/>
  <c r="AI76" i="20"/>
  <c r="AI77" i="20"/>
  <c r="AI78" i="20"/>
  <c r="AI79" i="20"/>
  <c r="AI80" i="20"/>
  <c r="AI81" i="20"/>
  <c r="AI82" i="20"/>
  <c r="AI83" i="20"/>
  <c r="V84" i="20"/>
  <c r="W84" i="20"/>
  <c r="Y84" i="20"/>
  <c r="Z84" i="20"/>
  <c r="AA84" i="20"/>
  <c r="Z6" i="20"/>
  <c r="V6" i="20"/>
  <c r="Z81" i="12"/>
  <c r="AA81" i="12"/>
  <c r="V81" i="12"/>
  <c r="W81" i="12"/>
  <c r="Z6" i="12"/>
  <c r="V6" i="12"/>
  <c r="Y82" i="9"/>
  <c r="Z82" i="9"/>
  <c r="AA82" i="9"/>
  <c r="V82" i="9"/>
  <c r="W82" i="9"/>
  <c r="Z6" i="9"/>
  <c r="V6" i="9"/>
  <c r="AA76" i="21"/>
  <c r="AB76" i="21"/>
  <c r="W76" i="21"/>
  <c r="X76" i="21"/>
  <c r="AA6" i="21"/>
  <c r="W6" i="21"/>
  <c r="Z76" i="22"/>
  <c r="AA76" i="22"/>
  <c r="Z6" i="22"/>
  <c r="V76" i="22"/>
  <c r="W76" i="22"/>
  <c r="V6" i="22"/>
  <c r="Z75" i="23"/>
  <c r="AA75" i="23"/>
  <c r="V75" i="23"/>
  <c r="W75" i="23"/>
  <c r="V6" i="23"/>
  <c r="Z6" i="23"/>
  <c r="AE84" i="20"/>
  <c r="AE81" i="12"/>
  <c r="J81" i="12"/>
  <c r="K81" i="12"/>
  <c r="AE82" i="9"/>
  <c r="J82" i="9"/>
  <c r="K82" i="9"/>
  <c r="AF76" i="21"/>
  <c r="AE75" i="23"/>
  <c r="J75" i="23"/>
  <c r="K75" i="23"/>
  <c r="AE76" i="22"/>
  <c r="J76" i="22"/>
  <c r="K76" i="22"/>
  <c r="L76" i="21"/>
  <c r="K76" i="21"/>
  <c r="AH51" i="23" l="1"/>
  <c r="AH52" i="23"/>
  <c r="AH53" i="23"/>
  <c r="AH54" i="23"/>
  <c r="AH55" i="23"/>
  <c r="AH56" i="23"/>
  <c r="AH57" i="23"/>
  <c r="AH58" i="23"/>
  <c r="AH59" i="23"/>
  <c r="AH60" i="23"/>
  <c r="AH61" i="23"/>
  <c r="AH62" i="23"/>
  <c r="AH63" i="23"/>
  <c r="AH64" i="23"/>
  <c r="AH65" i="23"/>
  <c r="AH66" i="23"/>
  <c r="AH67" i="23"/>
  <c r="AH68" i="23"/>
  <c r="AH69" i="23"/>
  <c r="AH70" i="23"/>
  <c r="AH71" i="23"/>
  <c r="AH72" i="23"/>
  <c r="AH73" i="23"/>
  <c r="AH74" i="23"/>
  <c r="AH53" i="22"/>
  <c r="AH54" i="22"/>
  <c r="AH55" i="22"/>
  <c r="AH56" i="22"/>
  <c r="AH57" i="22"/>
  <c r="AH58" i="22"/>
  <c r="AH59" i="22"/>
  <c r="AH60" i="22"/>
  <c r="AH61" i="22"/>
  <c r="AH62" i="22"/>
  <c r="AH63" i="22"/>
  <c r="AH64" i="22"/>
  <c r="AH65" i="22"/>
  <c r="AH66" i="22"/>
  <c r="AH67" i="22"/>
  <c r="AH68" i="22"/>
  <c r="AH69" i="22"/>
  <c r="AH70" i="22"/>
  <c r="AH71" i="22"/>
  <c r="AH72" i="22"/>
  <c r="AH73" i="22"/>
  <c r="AH74" i="22"/>
  <c r="AH75" i="22"/>
  <c r="AI54" i="21"/>
  <c r="AI55" i="21"/>
  <c r="AI56" i="21"/>
  <c r="AI57" i="21"/>
  <c r="AI58" i="21"/>
  <c r="AI59" i="21"/>
  <c r="AI60" i="21"/>
  <c r="AI61" i="21"/>
  <c r="AI62" i="21"/>
  <c r="AI63" i="21"/>
  <c r="AI64" i="21"/>
  <c r="AI65" i="21"/>
  <c r="AI66" i="21"/>
  <c r="AI67" i="21"/>
  <c r="AI68" i="21"/>
  <c r="AI69" i="21"/>
  <c r="AI70" i="21"/>
  <c r="AI71" i="21"/>
  <c r="AI72" i="21"/>
  <c r="AI73" i="21"/>
  <c r="AI74" i="21"/>
  <c r="AI75" i="21"/>
  <c r="AH55" i="9"/>
  <c r="AH63" i="9"/>
  <c r="AH64" i="9"/>
  <c r="AH65" i="9"/>
  <c r="AH66" i="9"/>
  <c r="AH67" i="9"/>
  <c r="AH68" i="9"/>
  <c r="AH69" i="9"/>
  <c r="AH70" i="9"/>
  <c r="AH71" i="9"/>
  <c r="AH72" i="9"/>
  <c r="AH73" i="9"/>
  <c r="AH74" i="9"/>
  <c r="AH75" i="9"/>
  <c r="AH76" i="9"/>
  <c r="AH77" i="9"/>
  <c r="AH78" i="9"/>
  <c r="AH79" i="9"/>
  <c r="AH80" i="9"/>
  <c r="AH81" i="9"/>
  <c r="AH54" i="12"/>
  <c r="AH57" i="12"/>
  <c r="AH58" i="12"/>
  <c r="AH59" i="12"/>
  <c r="AH60" i="12"/>
  <c r="AH61" i="12"/>
  <c r="AH62" i="12"/>
  <c r="AH63" i="12"/>
  <c r="AH64" i="12"/>
  <c r="AH65" i="12"/>
  <c r="AH66" i="12"/>
  <c r="AH67" i="12"/>
  <c r="AH68" i="12"/>
  <c r="AH69" i="12"/>
  <c r="AH70" i="12"/>
  <c r="AH71" i="12"/>
  <c r="AH72" i="12"/>
  <c r="AH73" i="12"/>
  <c r="AH74" i="12"/>
  <c r="AH75" i="12"/>
  <c r="AH76" i="12"/>
  <c r="AH77" i="12"/>
  <c r="AH78" i="12"/>
  <c r="AH79" i="12"/>
  <c r="AH80" i="12"/>
  <c r="AH40" i="20"/>
  <c r="AH59" i="20"/>
  <c r="AH60" i="20"/>
  <c r="AH61" i="20"/>
  <c r="AH62" i="20"/>
  <c r="AH63" i="20"/>
  <c r="AH64" i="20"/>
  <c r="AH65" i="20"/>
  <c r="AH66" i="20"/>
  <c r="AH67" i="20"/>
  <c r="AH68" i="20"/>
  <c r="AH69" i="20"/>
  <c r="AH70" i="20"/>
  <c r="AH71" i="20"/>
  <c r="AH72" i="20"/>
  <c r="AH73" i="20"/>
  <c r="AH74" i="20"/>
  <c r="AH75" i="20"/>
  <c r="AH76" i="20"/>
  <c r="AH77" i="20"/>
  <c r="AH78" i="20"/>
  <c r="AH79" i="20"/>
  <c r="AH80" i="20"/>
  <c r="AH81" i="20"/>
  <c r="AH82" i="20"/>
  <c r="AH83" i="20"/>
  <c r="J84" i="20"/>
  <c r="K84" i="20"/>
  <c r="AD10" i="20"/>
  <c r="AD45" i="20"/>
  <c r="AD56" i="20"/>
  <c r="AD46" i="20"/>
  <c r="AD48" i="20"/>
  <c r="AD7" i="20"/>
  <c r="AD38" i="20"/>
  <c r="AD49" i="20"/>
  <c r="AD37" i="20"/>
  <c r="AD39" i="20"/>
  <c r="AD16" i="20"/>
  <c r="AD34" i="20"/>
  <c r="AD27" i="20"/>
  <c r="AD26" i="20"/>
  <c r="AD28" i="20"/>
  <c r="AD17" i="20"/>
  <c r="AD12" i="20"/>
  <c r="AD53" i="20"/>
  <c r="AD52" i="20"/>
  <c r="AD33" i="20"/>
  <c r="AD24" i="20"/>
  <c r="AD41" i="20"/>
  <c r="AD20" i="20"/>
  <c r="AD13" i="20"/>
  <c r="AD9" i="20"/>
  <c r="AD43" i="20"/>
  <c r="AD19" i="20"/>
  <c r="AD35" i="20"/>
  <c r="AD57" i="20"/>
  <c r="AD54" i="20"/>
  <c r="AD51" i="20"/>
  <c r="AD47" i="20"/>
  <c r="AD44" i="20"/>
  <c r="AD36" i="20"/>
  <c r="AD32" i="20"/>
  <c r="AD23" i="20"/>
  <c r="AD22" i="20"/>
  <c r="AD18" i="20"/>
  <c r="AD15" i="20"/>
  <c r="AD6" i="20"/>
  <c r="AD7" i="12"/>
  <c r="AD9" i="12"/>
  <c r="AD26" i="12"/>
  <c r="AD30" i="12"/>
  <c r="AD32" i="12"/>
  <c r="AD36" i="12"/>
  <c r="AD37" i="12"/>
  <c r="AD40" i="12"/>
  <c r="AD44" i="12"/>
  <c r="AD55" i="12"/>
  <c r="AD45" i="12"/>
  <c r="AD47" i="12"/>
  <c r="AD48" i="12"/>
  <c r="AD38" i="12"/>
  <c r="AD14" i="12"/>
  <c r="AD16" i="12"/>
  <c r="AD33" i="12"/>
  <c r="AD27" i="12"/>
  <c r="AD28" i="12"/>
  <c r="AD17" i="12"/>
  <c r="AD12" i="12"/>
  <c r="AD52" i="12"/>
  <c r="AD51" i="12"/>
  <c r="AD24" i="12"/>
  <c r="AD20" i="12"/>
  <c r="AD13" i="12"/>
  <c r="AD42" i="12"/>
  <c r="AD19" i="12"/>
  <c r="AD34" i="12"/>
  <c r="AD43" i="12"/>
  <c r="AD56" i="12"/>
  <c r="AD35" i="12"/>
  <c r="AD18" i="12"/>
  <c r="AD50" i="12"/>
  <c r="AD29" i="12"/>
  <c r="AD15" i="12"/>
  <c r="AD39" i="12"/>
  <c r="AD31" i="12"/>
  <c r="AD22" i="12"/>
  <c r="AD46" i="12"/>
  <c r="AD10" i="12"/>
  <c r="AD53" i="12"/>
  <c r="AD23" i="12"/>
  <c r="AD6" i="12"/>
  <c r="AD21" i="9"/>
  <c r="AD25" i="9"/>
  <c r="AD29" i="9"/>
  <c r="AD30" i="9"/>
  <c r="AD40" i="9"/>
  <c r="AD58" i="9"/>
  <c r="AD62" i="9"/>
  <c r="AD56" i="9"/>
  <c r="AD46" i="9"/>
  <c r="AD48" i="9"/>
  <c r="AD49" i="9"/>
  <c r="AD39" i="9"/>
  <c r="AD14" i="9"/>
  <c r="AD16" i="9"/>
  <c r="AD34" i="9"/>
  <c r="AD27" i="9"/>
  <c r="AD28" i="9"/>
  <c r="AD17" i="9"/>
  <c r="AD12" i="9"/>
  <c r="AD53" i="9"/>
  <c r="AD52" i="9"/>
  <c r="AD24" i="9"/>
  <c r="AD20" i="9"/>
  <c r="AD13" i="9"/>
  <c r="AD43" i="9"/>
  <c r="AD19" i="9"/>
  <c r="AD35" i="9"/>
  <c r="AD44" i="9"/>
  <c r="AD57" i="9"/>
  <c r="AD36" i="9"/>
  <c r="AD18" i="9"/>
  <c r="AD51" i="9"/>
  <c r="AD31" i="9"/>
  <c r="AD15" i="9"/>
  <c r="AD50" i="9"/>
  <c r="AD32" i="9"/>
  <c r="AD22" i="9"/>
  <c r="AD47" i="9"/>
  <c r="AD10" i="9"/>
  <c r="AD54" i="9"/>
  <c r="AD23" i="9"/>
  <c r="AD6" i="9"/>
  <c r="AE47" i="21"/>
  <c r="AE46" i="21"/>
  <c r="AE43" i="21"/>
  <c r="AE39" i="21"/>
  <c r="AE50" i="21"/>
  <c r="AE40" i="21"/>
  <c r="AE42" i="21"/>
  <c r="AE34" i="21"/>
  <c r="AE11" i="21"/>
  <c r="AE30" i="21"/>
  <c r="AE23" i="21"/>
  <c r="AE24" i="21"/>
  <c r="AE35" i="21"/>
  <c r="AE13" i="21"/>
  <c r="AE29" i="21"/>
  <c r="AE36" i="21"/>
  <c r="AE20" i="21"/>
  <c r="AE10" i="21"/>
  <c r="AE25" i="21"/>
  <c r="AE37" i="21"/>
  <c r="AE15" i="21"/>
  <c r="AE31" i="21"/>
  <c r="AE38" i="21"/>
  <c r="AE51" i="21"/>
  <c r="AE32" i="21"/>
  <c r="AE14" i="21"/>
  <c r="AE21" i="21"/>
  <c r="AE7" i="21"/>
  <c r="AE45" i="21"/>
  <c r="AE27" i="21"/>
  <c r="AE33" i="21"/>
  <c r="AE12" i="21"/>
  <c r="AE44" i="21"/>
  <c r="AE28" i="21"/>
  <c r="AE18" i="21"/>
  <c r="AE41" i="21"/>
  <c r="AE49" i="21"/>
  <c r="AE8" i="21"/>
  <c r="AE48" i="21"/>
  <c r="AE52" i="21"/>
  <c r="AE19" i="21"/>
  <c r="AE17" i="21"/>
  <c r="AE6" i="21"/>
  <c r="AD35" i="22"/>
  <c r="AD50" i="22"/>
  <c r="AD40" i="22"/>
  <c r="AD42" i="22"/>
  <c r="AD33" i="22"/>
  <c r="AD10" i="22"/>
  <c r="AD28" i="22"/>
  <c r="AD22" i="22"/>
  <c r="AD23" i="22"/>
  <c r="AD34" i="22"/>
  <c r="AD12" i="22"/>
  <c r="AD27" i="22"/>
  <c r="AD36" i="22"/>
  <c r="AD19" i="22"/>
  <c r="AD9" i="22"/>
  <c r="AD52" i="22"/>
  <c r="AD51" i="22"/>
  <c r="AD49" i="22"/>
  <c r="AD48" i="22"/>
  <c r="AD45" i="22"/>
  <c r="AD44" i="22"/>
  <c r="AD41" i="22"/>
  <c r="AD38" i="22"/>
  <c r="AD37" i="22"/>
  <c r="AD32" i="22"/>
  <c r="AD30" i="22"/>
  <c r="AD29" i="22"/>
  <c r="AD26" i="22"/>
  <c r="AD25" i="22"/>
  <c r="AD24" i="22"/>
  <c r="AD20" i="22"/>
  <c r="AD18" i="22"/>
  <c r="AD17" i="22"/>
  <c r="AD15" i="22"/>
  <c r="AD14" i="22"/>
  <c r="AD13" i="22"/>
  <c r="AD11" i="22"/>
  <c r="AD8" i="22"/>
  <c r="AD7" i="22"/>
  <c r="AD6" i="22"/>
  <c r="AD22" i="23"/>
  <c r="AD21" i="23"/>
  <c r="AD43" i="23"/>
  <c r="AD50" i="23"/>
  <c r="AD49" i="23"/>
  <c r="AD48" i="23"/>
  <c r="AD47" i="23"/>
  <c r="AD45" i="23"/>
  <c r="AD44" i="23"/>
  <c r="AD42" i="23"/>
  <c r="AD41" i="23"/>
  <c r="AD40" i="23"/>
  <c r="AD39" i="23"/>
  <c r="AD38" i="23"/>
  <c r="AD37" i="23"/>
  <c r="AD36" i="23"/>
  <c r="AD35" i="23"/>
  <c r="AD34" i="23"/>
  <c r="AD33" i="23"/>
  <c r="AD31" i="23"/>
  <c r="AD30" i="23"/>
  <c r="AD29" i="23"/>
  <c r="AD28" i="23"/>
  <c r="AD27" i="23"/>
  <c r="AD26" i="23"/>
  <c r="AD25" i="23"/>
  <c r="AD24" i="23"/>
  <c r="AD20" i="23"/>
  <c r="AD19" i="23"/>
  <c r="AD18" i="23"/>
  <c r="AD17" i="23"/>
  <c r="AD15" i="23"/>
  <c r="AD14" i="23"/>
  <c r="AD13" i="23"/>
  <c r="AD12" i="23"/>
  <c r="AD11" i="23"/>
  <c r="AD10" i="23"/>
  <c r="AD8" i="23"/>
  <c r="AD7" i="23"/>
  <c r="AD46" i="23"/>
  <c r="AD6" i="23"/>
  <c r="X29" i="12"/>
  <c r="T29" i="12"/>
  <c r="X30" i="12"/>
  <c r="T30" i="12"/>
  <c r="X39" i="12"/>
  <c r="T39" i="12"/>
  <c r="X49" i="12"/>
  <c r="X57" i="12"/>
  <c r="T57" i="12"/>
  <c r="X41" i="12"/>
  <c r="T41" i="12"/>
  <c r="T49" i="12"/>
  <c r="P49" i="12"/>
  <c r="P50" i="12"/>
  <c r="R49" i="12"/>
  <c r="X21" i="12"/>
  <c r="T21" i="12"/>
  <c r="X14" i="12"/>
  <c r="T14" i="12"/>
  <c r="X11" i="12"/>
  <c r="T11" i="12"/>
  <c r="X58" i="9"/>
  <c r="T58" i="9"/>
  <c r="X60" i="9"/>
  <c r="T60" i="9"/>
  <c r="X61" i="9"/>
  <c r="T61" i="9"/>
  <c r="X62" i="9"/>
  <c r="T62" i="9"/>
  <c r="X40" i="9"/>
  <c r="T40" i="9"/>
  <c r="R30" i="9"/>
  <c r="X30" i="9"/>
  <c r="T30" i="9"/>
  <c r="X29" i="9"/>
  <c r="T29" i="9"/>
  <c r="X21" i="9"/>
  <c r="T21" i="9"/>
  <c r="X44" i="12"/>
  <c r="T44" i="12"/>
  <c r="X55" i="12"/>
  <c r="T55" i="12"/>
  <c r="X45" i="12"/>
  <c r="T45" i="12"/>
  <c r="X47" i="12"/>
  <c r="T47" i="12"/>
  <c r="X7" i="12"/>
  <c r="T7" i="12"/>
  <c r="X37" i="12"/>
  <c r="T37" i="12"/>
  <c r="X48" i="12"/>
  <c r="T48" i="12"/>
  <c r="X43" i="12"/>
  <c r="T43" i="12"/>
  <c r="X36" i="12"/>
  <c r="T36" i="12"/>
  <c r="X38" i="12"/>
  <c r="T38" i="12"/>
  <c r="X56" i="12"/>
  <c r="T56" i="12"/>
  <c r="X35" i="12"/>
  <c r="T35" i="12"/>
  <c r="X18" i="12"/>
  <c r="T18" i="12"/>
  <c r="X16" i="12"/>
  <c r="T16" i="12"/>
  <c r="X33" i="12"/>
  <c r="T34" i="12"/>
  <c r="T33" i="12"/>
  <c r="X27" i="12"/>
  <c r="T27" i="12"/>
  <c r="X25" i="12"/>
  <c r="T25" i="12"/>
  <c r="X8" i="12"/>
  <c r="T8" i="12"/>
  <c r="X50" i="12"/>
  <c r="T50" i="12"/>
  <c r="X15" i="12"/>
  <c r="T15" i="12"/>
  <c r="X26" i="12"/>
  <c r="T26" i="12"/>
  <c r="X28" i="12"/>
  <c r="T28" i="12"/>
  <c r="X17" i="12"/>
  <c r="T17" i="12"/>
  <c r="X12" i="12"/>
  <c r="T12" i="12"/>
  <c r="X31" i="12"/>
  <c r="T31" i="12"/>
  <c r="X52" i="12"/>
  <c r="T52" i="12"/>
  <c r="X51" i="12"/>
  <c r="T51" i="12"/>
  <c r="X32" i="12"/>
  <c r="T32" i="12"/>
  <c r="X24" i="12"/>
  <c r="T24" i="12"/>
  <c r="X22" i="12"/>
  <c r="T22" i="12"/>
  <c r="X40" i="12"/>
  <c r="T40" i="12"/>
  <c r="X46" i="12"/>
  <c r="T46" i="12"/>
  <c r="X20" i="12"/>
  <c r="T20" i="12"/>
  <c r="X13" i="12"/>
  <c r="T13" i="12"/>
  <c r="X10" i="12"/>
  <c r="T10" i="12"/>
  <c r="X9" i="12"/>
  <c r="T9" i="12"/>
  <c r="X53" i="12"/>
  <c r="T53" i="12"/>
  <c r="X23" i="12"/>
  <c r="T23" i="12"/>
  <c r="X42" i="12"/>
  <c r="T42" i="12"/>
  <c r="X19" i="12"/>
  <c r="T19" i="12"/>
  <c r="X34" i="12"/>
  <c r="T45" i="9"/>
  <c r="X45" i="9"/>
  <c r="X56" i="9"/>
  <c r="T56" i="9"/>
  <c r="X46" i="9"/>
  <c r="T46" i="9"/>
  <c r="X48" i="9"/>
  <c r="T48" i="9"/>
  <c r="X7" i="9"/>
  <c r="T7" i="9"/>
  <c r="X38" i="9"/>
  <c r="T38" i="9"/>
  <c r="X49" i="9"/>
  <c r="T49" i="9"/>
  <c r="X44" i="9"/>
  <c r="T44" i="9"/>
  <c r="X37" i="9"/>
  <c r="T37" i="9"/>
  <c r="X39" i="9"/>
  <c r="T39" i="9"/>
  <c r="X57" i="9"/>
  <c r="T57" i="9"/>
  <c r="X14" i="9"/>
  <c r="T14" i="9"/>
  <c r="X36" i="9"/>
  <c r="T36" i="9"/>
  <c r="X18" i="9"/>
  <c r="T18" i="9"/>
  <c r="X16" i="9"/>
  <c r="T16" i="9"/>
  <c r="X34" i="9"/>
  <c r="T34" i="9"/>
  <c r="X27" i="9"/>
  <c r="T27" i="9"/>
  <c r="X25" i="9"/>
  <c r="T25" i="9"/>
  <c r="X8" i="9"/>
  <c r="T8" i="9"/>
  <c r="X51" i="9"/>
  <c r="T51" i="9"/>
  <c r="X31" i="9"/>
  <c r="T31" i="9"/>
  <c r="X15" i="9"/>
  <c r="T15" i="9"/>
  <c r="T26" i="9"/>
  <c r="X26" i="9"/>
  <c r="X50" i="9"/>
  <c r="T50" i="9"/>
  <c r="X28" i="9"/>
  <c r="T28" i="9"/>
  <c r="X17" i="9"/>
  <c r="T17" i="9"/>
  <c r="X12" i="9"/>
  <c r="T12" i="9"/>
  <c r="X33" i="9"/>
  <c r="X32" i="9"/>
  <c r="T32" i="9"/>
  <c r="X53" i="9"/>
  <c r="T53" i="9"/>
  <c r="X52" i="9"/>
  <c r="T52" i="9"/>
  <c r="T33" i="9"/>
  <c r="X24" i="9"/>
  <c r="T24" i="9"/>
  <c r="X22" i="9"/>
  <c r="T22" i="9"/>
  <c r="X41" i="9"/>
  <c r="T41" i="9"/>
  <c r="X42" i="9"/>
  <c r="T42" i="9"/>
  <c r="X47" i="9"/>
  <c r="T47" i="9"/>
  <c r="X20" i="9"/>
  <c r="T20" i="9"/>
  <c r="X13" i="9"/>
  <c r="T13" i="9"/>
  <c r="T11" i="9"/>
  <c r="X11" i="9"/>
  <c r="X10" i="9"/>
  <c r="T10" i="9"/>
  <c r="X9" i="9"/>
  <c r="T9" i="9"/>
  <c r="X54" i="9"/>
  <c r="T54" i="9"/>
  <c r="X23" i="9"/>
  <c r="T23" i="9"/>
  <c r="X43" i="9"/>
  <c r="T43" i="9"/>
  <c r="X19" i="9"/>
  <c r="T19" i="9"/>
  <c r="X35" i="9"/>
  <c r="T35" i="9"/>
  <c r="Y26" i="21"/>
  <c r="U26" i="21"/>
  <c r="Y16" i="21"/>
  <c r="U16" i="21"/>
  <c r="Y9" i="21"/>
  <c r="U9" i="21"/>
  <c r="Y50" i="21"/>
  <c r="U50" i="21"/>
  <c r="Y40" i="21"/>
  <c r="U40" i="21"/>
  <c r="Y42" i="21"/>
  <c r="U42" i="21"/>
  <c r="Y43" i="21"/>
  <c r="U43" i="21"/>
  <c r="Y38" i="21"/>
  <c r="U38" i="21"/>
  <c r="Y34" i="21"/>
  <c r="U34" i="21"/>
  <c r="Y39" i="21"/>
  <c r="U39" i="21"/>
  <c r="Y51" i="21"/>
  <c r="U51" i="21"/>
  <c r="Y11" i="21"/>
  <c r="U11" i="21"/>
  <c r="Y32" i="21"/>
  <c r="U32" i="21"/>
  <c r="Y14" i="21"/>
  <c r="U14" i="21"/>
  <c r="Y30" i="21"/>
  <c r="U30" i="21"/>
  <c r="Y23" i="21"/>
  <c r="U23" i="21"/>
  <c r="Y21" i="21"/>
  <c r="U21" i="21"/>
  <c r="Y7" i="21"/>
  <c r="U8" i="21"/>
  <c r="U7" i="21"/>
  <c r="Y45" i="21"/>
  <c r="U45" i="21"/>
  <c r="Y27" i="21"/>
  <c r="U27" i="21"/>
  <c r="Y33" i="21"/>
  <c r="U33" i="21"/>
  <c r="Y12" i="21"/>
  <c r="U12" i="21"/>
  <c r="Y44" i="21"/>
  <c r="U44" i="21"/>
  <c r="Y53" i="21"/>
  <c r="U53" i="21"/>
  <c r="Y24" i="21"/>
  <c r="U24" i="21"/>
  <c r="Y35" i="21"/>
  <c r="U35" i="21"/>
  <c r="Y13" i="21"/>
  <c r="U13" i="21"/>
  <c r="Y28" i="21"/>
  <c r="U28" i="21"/>
  <c r="Y47" i="21"/>
  <c r="U47" i="21"/>
  <c r="Y29" i="21"/>
  <c r="U29" i="21"/>
  <c r="Y46" i="21"/>
  <c r="U46" i="21"/>
  <c r="Y22" i="21"/>
  <c r="U22" i="21"/>
  <c r="Y36" i="21"/>
  <c r="U36" i="21"/>
  <c r="Y20" i="21"/>
  <c r="U20" i="21"/>
  <c r="Y18" i="21"/>
  <c r="U18" i="21"/>
  <c r="Y41" i="21"/>
  <c r="U41" i="21"/>
  <c r="Y10" i="21"/>
  <c r="U10" i="21"/>
  <c r="Y25" i="21"/>
  <c r="U25" i="21"/>
  <c r="Y49" i="21"/>
  <c r="U49" i="21"/>
  <c r="Y8" i="21"/>
  <c r="V49" i="21"/>
  <c r="AJ49" i="21" s="1"/>
  <c r="V48" i="21"/>
  <c r="AJ48" i="21" s="1"/>
  <c r="U48" i="21"/>
  <c r="Y52" i="21"/>
  <c r="U52" i="21"/>
  <c r="Y19" i="21"/>
  <c r="U19" i="21"/>
  <c r="Y17" i="21"/>
  <c r="U17" i="21"/>
  <c r="Y37" i="21"/>
  <c r="U37" i="21"/>
  <c r="Y15" i="21"/>
  <c r="V15" i="21"/>
  <c r="AJ15" i="21" s="1"/>
  <c r="U15" i="21"/>
  <c r="Y31" i="21"/>
  <c r="U31" i="21"/>
  <c r="X47" i="22"/>
  <c r="T47" i="22"/>
  <c r="X43" i="22"/>
  <c r="T43" i="22"/>
  <c r="X46" i="22"/>
  <c r="T46" i="22"/>
  <c r="X39" i="22"/>
  <c r="T39" i="22"/>
  <c r="X21" i="22"/>
  <c r="T21" i="22"/>
  <c r="X50" i="22"/>
  <c r="T50" i="22"/>
  <c r="X40" i="22"/>
  <c r="T40" i="22"/>
  <c r="X42" i="22"/>
  <c r="T42" i="22"/>
  <c r="X19" i="22"/>
  <c r="T19" i="22"/>
  <c r="X38" i="22"/>
  <c r="T38" i="22"/>
  <c r="X33" i="22"/>
  <c r="T33" i="22"/>
  <c r="X51" i="22"/>
  <c r="T51" i="22"/>
  <c r="X10" i="22"/>
  <c r="T10" i="22"/>
  <c r="X30" i="22"/>
  <c r="T30" i="22"/>
  <c r="X13" i="22"/>
  <c r="T13" i="22"/>
  <c r="X28" i="22"/>
  <c r="T28" i="22"/>
  <c r="X22" i="22"/>
  <c r="T22" i="22"/>
  <c r="X20" i="22"/>
  <c r="T20" i="22"/>
  <c r="X7" i="22"/>
  <c r="T7" i="22"/>
  <c r="X45" i="22"/>
  <c r="T45" i="22"/>
  <c r="X25" i="22"/>
  <c r="T25" i="22"/>
  <c r="X32" i="22"/>
  <c r="T32" i="22"/>
  <c r="X11" i="22"/>
  <c r="T11" i="22"/>
  <c r="X44" i="22"/>
  <c r="T44" i="22"/>
  <c r="X35" i="22"/>
  <c r="T35" i="22"/>
  <c r="X23" i="22"/>
  <c r="T23" i="22"/>
  <c r="X34" i="22"/>
  <c r="T34" i="22"/>
  <c r="X12" i="22"/>
  <c r="T12" i="22"/>
  <c r="X26" i="22"/>
  <c r="T26" i="22"/>
  <c r="X27" i="22"/>
  <c r="T27" i="22"/>
  <c r="X31" i="22"/>
  <c r="T31" i="22"/>
  <c r="X36" i="22"/>
  <c r="T36" i="22"/>
  <c r="X17" i="22"/>
  <c r="T17" i="22"/>
  <c r="X41" i="22"/>
  <c r="T41" i="22"/>
  <c r="X9" i="22"/>
  <c r="T9" i="22"/>
  <c r="X24" i="22"/>
  <c r="T24" i="22"/>
  <c r="X49" i="22"/>
  <c r="T49" i="22"/>
  <c r="X8" i="22"/>
  <c r="T8" i="22"/>
  <c r="X48" i="22"/>
  <c r="T48" i="22"/>
  <c r="X52" i="22"/>
  <c r="T52" i="22"/>
  <c r="X18" i="22"/>
  <c r="T18" i="22"/>
  <c r="X15" i="22"/>
  <c r="T15" i="22"/>
  <c r="X37" i="22"/>
  <c r="T37" i="22"/>
  <c r="X14" i="22"/>
  <c r="T14" i="22"/>
  <c r="X16" i="22"/>
  <c r="T16" i="22"/>
  <c r="X29" i="22"/>
  <c r="T29" i="22"/>
  <c r="X23" i="23"/>
  <c r="T23" i="23"/>
  <c r="X16" i="23"/>
  <c r="T16" i="23"/>
  <c r="X9" i="23"/>
  <c r="U9" i="23"/>
  <c r="AI9" i="23" s="1"/>
  <c r="T9" i="23"/>
  <c r="R9" i="23"/>
  <c r="X40" i="23"/>
  <c r="T40" i="23"/>
  <c r="X42" i="23"/>
  <c r="T42" i="23"/>
  <c r="X19" i="23"/>
  <c r="T19" i="23"/>
  <c r="X39" i="23"/>
  <c r="T39" i="23"/>
  <c r="X34" i="23"/>
  <c r="T34" i="23"/>
  <c r="X50" i="23"/>
  <c r="T50" i="23"/>
  <c r="X10" i="23"/>
  <c r="T10" i="23"/>
  <c r="X31" i="23"/>
  <c r="T31" i="23"/>
  <c r="X13" i="23"/>
  <c r="T13" i="23"/>
  <c r="X29" i="23"/>
  <c r="T29" i="23"/>
  <c r="X22" i="23"/>
  <c r="T22" i="23"/>
  <c r="X20" i="23"/>
  <c r="T20" i="23"/>
  <c r="X7" i="23"/>
  <c r="T7" i="23"/>
  <c r="X45" i="23"/>
  <c r="T45" i="23"/>
  <c r="X26" i="23"/>
  <c r="T26" i="23"/>
  <c r="X33" i="23"/>
  <c r="T33" i="23"/>
  <c r="X11" i="23"/>
  <c r="T11" i="23"/>
  <c r="X44" i="23"/>
  <c r="T44" i="23"/>
  <c r="X36" i="23"/>
  <c r="T36" i="23"/>
  <c r="X35" i="23"/>
  <c r="T35" i="23"/>
  <c r="X12" i="23"/>
  <c r="T12" i="23"/>
  <c r="X27" i="23"/>
  <c r="T27" i="23"/>
  <c r="T21" i="23"/>
  <c r="X21" i="23"/>
  <c r="X28" i="23"/>
  <c r="T28" i="23"/>
  <c r="X32" i="23"/>
  <c r="T32" i="23"/>
  <c r="X37" i="23"/>
  <c r="T37" i="23"/>
  <c r="T49" i="23"/>
  <c r="X17" i="23"/>
  <c r="T17" i="23"/>
  <c r="X41" i="23"/>
  <c r="T41" i="23"/>
  <c r="X24" i="23"/>
  <c r="T24" i="23"/>
  <c r="X48" i="23"/>
  <c r="T48" i="23"/>
  <c r="X8" i="23"/>
  <c r="T8" i="23"/>
  <c r="X47" i="23"/>
  <c r="T47" i="23"/>
  <c r="X25" i="23"/>
  <c r="T25" i="23"/>
  <c r="X43" i="23"/>
  <c r="T43" i="23"/>
  <c r="X18" i="23"/>
  <c r="T18" i="23"/>
  <c r="X15" i="23"/>
  <c r="T15" i="23"/>
  <c r="X38" i="23"/>
  <c r="T38" i="23"/>
  <c r="X14" i="23"/>
  <c r="T14" i="23"/>
  <c r="X46" i="23"/>
  <c r="T30" i="23"/>
  <c r="X30" i="23"/>
  <c r="T46" i="23"/>
  <c r="AH9" i="23" l="1"/>
  <c r="AH49" i="12"/>
  <c r="AH30" i="12"/>
  <c r="AH21" i="12"/>
  <c r="AH39" i="12"/>
  <c r="AH11" i="12"/>
  <c r="AD84" i="20"/>
  <c r="AD81" i="12"/>
  <c r="AD82" i="9"/>
  <c r="AE76" i="21"/>
  <c r="AD76" i="22"/>
  <c r="AD75" i="23"/>
  <c r="U57" i="20" l="1"/>
  <c r="U56" i="20"/>
  <c r="AI56" i="20" s="1"/>
  <c r="U49" i="20"/>
  <c r="U47" i="20"/>
  <c r="AI47" i="20" s="1"/>
  <c r="U46" i="20"/>
  <c r="AI46" i="20" s="1"/>
  <c r="U45" i="20"/>
  <c r="AI45" i="20" s="1"/>
  <c r="U43" i="20"/>
  <c r="AI43" i="20" s="1"/>
  <c r="U37" i="20"/>
  <c r="AI37" i="20" s="1"/>
  <c r="U35" i="20"/>
  <c r="AI35" i="20" s="1"/>
  <c r="U34" i="20"/>
  <c r="AI34" i="20" s="1"/>
  <c r="U28" i="20"/>
  <c r="AI28" i="20" s="1"/>
  <c r="U24" i="20"/>
  <c r="AI24" i="20" s="1"/>
  <c r="U20" i="20"/>
  <c r="AI20" i="20" s="1"/>
  <c r="U16" i="20"/>
  <c r="AI16" i="20" s="1"/>
  <c r="U14" i="20"/>
  <c r="AI14" i="20" s="1"/>
  <c r="U12" i="20"/>
  <c r="AI12" i="20" s="1"/>
  <c r="U11" i="20"/>
  <c r="AI11" i="20" s="1"/>
  <c r="U10" i="20"/>
  <c r="AI10" i="20" s="1"/>
  <c r="U7" i="20"/>
  <c r="AI7" i="20" s="1"/>
  <c r="U56" i="12"/>
  <c r="U55" i="12"/>
  <c r="AI55" i="12" s="1"/>
  <c r="U50" i="12"/>
  <c r="AI50" i="12" s="1"/>
  <c r="U46" i="12"/>
  <c r="AI46" i="12" s="1"/>
  <c r="U45" i="12"/>
  <c r="AI45" i="12" s="1"/>
  <c r="U44" i="12"/>
  <c r="AI44" i="12" s="1"/>
  <c r="U42" i="12"/>
  <c r="AI42" i="12" s="1"/>
  <c r="U36" i="12"/>
  <c r="U11" i="12"/>
  <c r="AI11" i="12" s="1"/>
  <c r="U34" i="12"/>
  <c r="AI34" i="12" s="1"/>
  <c r="U33" i="12"/>
  <c r="AI33" i="12" s="1"/>
  <c r="U28" i="12"/>
  <c r="AI28" i="12" s="1"/>
  <c r="U25" i="12"/>
  <c r="U24" i="12"/>
  <c r="U20" i="12"/>
  <c r="AI20" i="12" s="1"/>
  <c r="U16" i="12"/>
  <c r="AI16" i="12" s="1"/>
  <c r="U14" i="12"/>
  <c r="U12" i="12"/>
  <c r="AI12" i="12" s="1"/>
  <c r="U10" i="12"/>
  <c r="AI10" i="12" s="1"/>
  <c r="U7" i="12"/>
  <c r="U29" i="12"/>
  <c r="U47" i="9"/>
  <c r="AI47" i="9" s="1"/>
  <c r="U46" i="9"/>
  <c r="U45" i="9"/>
  <c r="AI45" i="9" s="1"/>
  <c r="U43" i="9"/>
  <c r="AI43" i="9" s="1"/>
  <c r="U37" i="9"/>
  <c r="AI37" i="9" s="1"/>
  <c r="U11" i="9"/>
  <c r="AI11" i="9" s="1"/>
  <c r="U40" i="9"/>
  <c r="U20" i="9"/>
  <c r="AI20" i="9" s="1"/>
  <c r="U19" i="9"/>
  <c r="AI19" i="9" s="1"/>
  <c r="U18" i="9"/>
  <c r="AI18" i="9" s="1"/>
  <c r="U16" i="9"/>
  <c r="AI16" i="9" s="1"/>
  <c r="U14" i="9"/>
  <c r="AI14" i="9" s="1"/>
  <c r="U29" i="9"/>
  <c r="AI29" i="9" s="1"/>
  <c r="U12" i="9"/>
  <c r="AI12" i="9" s="1"/>
  <c r="U10" i="9"/>
  <c r="AI10" i="9" s="1"/>
  <c r="U7" i="9"/>
  <c r="AI7" i="9" s="1"/>
  <c r="U31" i="9"/>
  <c r="AI31" i="9" s="1"/>
  <c r="V51" i="21"/>
  <c r="V50" i="21"/>
  <c r="V47" i="21"/>
  <c r="AJ47" i="21" s="1"/>
  <c r="V30" i="21"/>
  <c r="AJ30" i="21" s="1"/>
  <c r="V45" i="21"/>
  <c r="V42" i="21"/>
  <c r="AJ42" i="21" s="1"/>
  <c r="V41" i="21"/>
  <c r="AJ41" i="21" s="1"/>
  <c r="V40" i="21"/>
  <c r="V37" i="21"/>
  <c r="AJ37" i="21" s="1"/>
  <c r="V36" i="21"/>
  <c r="AJ36" i="21" s="1"/>
  <c r="V35" i="21"/>
  <c r="V31" i="21"/>
  <c r="AJ31" i="21" s="1"/>
  <c r="V24" i="21"/>
  <c r="AJ24" i="21" s="1"/>
  <c r="V21" i="21"/>
  <c r="V20" i="21"/>
  <c r="U35" i="9"/>
  <c r="U34" i="9"/>
  <c r="AI34" i="9" s="1"/>
  <c r="U28" i="9"/>
  <c r="AI28" i="9" s="1"/>
  <c r="U25" i="9"/>
  <c r="U24" i="9"/>
  <c r="U50" i="9"/>
  <c r="V16" i="21"/>
  <c r="AJ16" i="21" s="1"/>
  <c r="V14" i="21"/>
  <c r="AJ14" i="21" s="1"/>
  <c r="V11" i="21"/>
  <c r="AJ11" i="21" s="1"/>
  <c r="V25" i="21"/>
  <c r="AJ25" i="21" s="1"/>
  <c r="V9" i="21"/>
  <c r="AJ9" i="21" s="1"/>
  <c r="V8" i="21"/>
  <c r="AJ8" i="21" s="1"/>
  <c r="V32" i="21"/>
  <c r="AJ32" i="21" s="1"/>
  <c r="V27" i="21"/>
  <c r="AJ27" i="21" s="1"/>
  <c r="U51" i="22"/>
  <c r="U50" i="22"/>
  <c r="AI50" i="22" s="1"/>
  <c r="U47" i="22"/>
  <c r="AI47" i="22" s="1"/>
  <c r="U45" i="22"/>
  <c r="AI45" i="22" s="1"/>
  <c r="U42" i="22"/>
  <c r="AI42" i="22" s="1"/>
  <c r="U41" i="22"/>
  <c r="AI41" i="22" s="1"/>
  <c r="U40" i="22"/>
  <c r="AI40" i="22" s="1"/>
  <c r="U37" i="22"/>
  <c r="AI37" i="22" s="1"/>
  <c r="U36" i="22"/>
  <c r="AI36" i="22" s="1"/>
  <c r="U34" i="22"/>
  <c r="U29" i="22"/>
  <c r="AI29" i="22" s="1"/>
  <c r="U28" i="22"/>
  <c r="AI28" i="22" s="1"/>
  <c r="U21" i="22"/>
  <c r="AI21" i="22" s="1"/>
  <c r="U23" i="22"/>
  <c r="AI23" i="22" s="1"/>
  <c r="U19" i="22"/>
  <c r="U14" i="22"/>
  <c r="AI14" i="22" s="1"/>
  <c r="U10" i="22"/>
  <c r="AI10" i="22" s="1"/>
  <c r="U24" i="22"/>
  <c r="AI24" i="22" s="1"/>
  <c r="U8" i="22"/>
  <c r="AI8" i="22" s="1"/>
  <c r="U49" i="22"/>
  <c r="AI49" i="22" s="1"/>
  <c r="U30" i="22"/>
  <c r="AI30" i="22" s="1"/>
  <c r="U25" i="22"/>
  <c r="AI25" i="22" s="1"/>
  <c r="U50" i="23"/>
  <c r="U49" i="23"/>
  <c r="AI49" i="23" s="1"/>
  <c r="U46" i="23"/>
  <c r="AI46" i="23" s="1"/>
  <c r="U45" i="23"/>
  <c r="U42" i="23"/>
  <c r="AI42" i="23" s="1"/>
  <c r="U41" i="23"/>
  <c r="AI41" i="23" s="1"/>
  <c r="U40" i="23"/>
  <c r="AI40" i="23" s="1"/>
  <c r="U38" i="23"/>
  <c r="AI38" i="23" s="1"/>
  <c r="U35" i="23"/>
  <c r="U30" i="23"/>
  <c r="AI30" i="23" s="1"/>
  <c r="U29" i="23"/>
  <c r="AI29" i="23" s="1"/>
  <c r="U23" i="23"/>
  <c r="AI23" i="23" s="1"/>
  <c r="U19" i="23"/>
  <c r="AI19" i="23" s="1"/>
  <c r="U43" i="23"/>
  <c r="AI43" i="23" s="1"/>
  <c r="U14" i="23"/>
  <c r="AI14" i="23" s="1"/>
  <c r="U10" i="23"/>
  <c r="AI10" i="23" s="1"/>
  <c r="U24" i="23"/>
  <c r="AI24" i="23" s="1"/>
  <c r="U8" i="23"/>
  <c r="AI8" i="23" s="1"/>
  <c r="U7" i="23"/>
  <c r="U48" i="23"/>
  <c r="AI48" i="23" s="1"/>
  <c r="U37" i="23"/>
  <c r="U26" i="23"/>
  <c r="AI26" i="23" s="1"/>
  <c r="R46" i="23" l="1"/>
  <c r="R43" i="23"/>
  <c r="R21" i="23"/>
  <c r="R50" i="23"/>
  <c r="R49" i="23"/>
  <c r="R48" i="23"/>
  <c r="R47" i="23"/>
  <c r="R45" i="23"/>
  <c r="R44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0" i="23"/>
  <c r="R19" i="23"/>
  <c r="R18" i="23"/>
  <c r="R17" i="23"/>
  <c r="R16" i="23"/>
  <c r="R15" i="23"/>
  <c r="R14" i="23"/>
  <c r="R13" i="23"/>
  <c r="R12" i="23"/>
  <c r="R11" i="23"/>
  <c r="R10" i="23"/>
  <c r="R8" i="23"/>
  <c r="R7" i="23"/>
  <c r="R21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AH9" i="22" s="1"/>
  <c r="R8" i="22"/>
  <c r="R7" i="22"/>
  <c r="S16" i="21"/>
  <c r="S9" i="21"/>
  <c r="S53" i="21"/>
  <c r="S52" i="21"/>
  <c r="AI52" i="21" s="1"/>
  <c r="S51" i="21"/>
  <c r="S50" i="21"/>
  <c r="S49" i="21"/>
  <c r="S48" i="21"/>
  <c r="S47" i="21"/>
  <c r="S46" i="21"/>
  <c r="S45" i="21"/>
  <c r="S44" i="21"/>
  <c r="S43" i="21"/>
  <c r="S42" i="21"/>
  <c r="S4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5" i="21"/>
  <c r="S14" i="21"/>
  <c r="S13" i="21"/>
  <c r="S12" i="21"/>
  <c r="S11" i="21"/>
  <c r="S10" i="21"/>
  <c r="S8" i="21"/>
  <c r="S7" i="21"/>
  <c r="R58" i="9"/>
  <c r="R45" i="9"/>
  <c r="R42" i="9"/>
  <c r="R41" i="9"/>
  <c r="R40" i="9"/>
  <c r="R38" i="9"/>
  <c r="R33" i="9"/>
  <c r="R29" i="9"/>
  <c r="R26" i="9"/>
  <c r="R21" i="9"/>
  <c r="R16" i="9"/>
  <c r="P9" i="9"/>
  <c r="R9" i="9"/>
  <c r="R57" i="9"/>
  <c r="R56" i="9"/>
  <c r="R54" i="9"/>
  <c r="R53" i="9"/>
  <c r="R52" i="9"/>
  <c r="R51" i="9"/>
  <c r="R50" i="9"/>
  <c r="R49" i="9"/>
  <c r="R48" i="9"/>
  <c r="R47" i="9"/>
  <c r="R46" i="9"/>
  <c r="R44" i="9"/>
  <c r="R43" i="9"/>
  <c r="R39" i="9"/>
  <c r="R37" i="9"/>
  <c r="R36" i="9"/>
  <c r="R35" i="9"/>
  <c r="R34" i="9"/>
  <c r="R32" i="9"/>
  <c r="R31" i="9"/>
  <c r="R28" i="9"/>
  <c r="R27" i="9"/>
  <c r="R25" i="9"/>
  <c r="R24" i="9"/>
  <c r="R23" i="9"/>
  <c r="R22" i="9"/>
  <c r="R20" i="9"/>
  <c r="R19" i="9"/>
  <c r="R18" i="9"/>
  <c r="R17" i="9"/>
  <c r="R15" i="9"/>
  <c r="R14" i="9"/>
  <c r="R13" i="9"/>
  <c r="R12" i="9"/>
  <c r="R11" i="9"/>
  <c r="R10" i="9"/>
  <c r="R8" i="9"/>
  <c r="AH9" i="9" l="1"/>
  <c r="R29" i="20"/>
  <c r="R31" i="20"/>
  <c r="R30" i="20"/>
  <c r="R11" i="20"/>
  <c r="R57" i="20"/>
  <c r="R56" i="20"/>
  <c r="R55" i="20"/>
  <c r="AH55" i="20" s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39" i="20"/>
  <c r="R38" i="20"/>
  <c r="R37" i="20"/>
  <c r="R36" i="20"/>
  <c r="R35" i="20"/>
  <c r="R34" i="20"/>
  <c r="R33" i="20"/>
  <c r="R32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0" i="20"/>
  <c r="R9" i="20"/>
  <c r="R8" i="20"/>
  <c r="R7" i="20"/>
  <c r="R7" i="9" l="1"/>
  <c r="R56" i="12"/>
  <c r="R55" i="12"/>
  <c r="R53" i="12"/>
  <c r="R52" i="12"/>
  <c r="R51" i="12"/>
  <c r="R50" i="12"/>
  <c r="AH50" i="12" s="1"/>
  <c r="R48" i="12"/>
  <c r="R47" i="12"/>
  <c r="R46" i="12"/>
  <c r="R45" i="12"/>
  <c r="R44" i="12"/>
  <c r="R43" i="12"/>
  <c r="R42" i="12"/>
  <c r="R41" i="12"/>
  <c r="R38" i="12"/>
  <c r="R37" i="12"/>
  <c r="R36" i="12"/>
  <c r="R35" i="12"/>
  <c r="R34" i="12"/>
  <c r="R33" i="12"/>
  <c r="R32" i="12"/>
  <c r="R31" i="12"/>
  <c r="R29" i="12"/>
  <c r="R28" i="12"/>
  <c r="R27" i="12"/>
  <c r="R26" i="12"/>
  <c r="R25" i="12"/>
  <c r="R24" i="12"/>
  <c r="R23" i="12"/>
  <c r="R22" i="12"/>
  <c r="R20" i="12"/>
  <c r="R19" i="12"/>
  <c r="R18" i="12"/>
  <c r="R17" i="12"/>
  <c r="R16" i="12"/>
  <c r="R15" i="12"/>
  <c r="R14" i="12"/>
  <c r="R13" i="12"/>
  <c r="R12" i="12"/>
  <c r="R10" i="12"/>
  <c r="R9" i="12"/>
  <c r="R8" i="12"/>
  <c r="R7" i="12"/>
  <c r="P43" i="23" l="1"/>
  <c r="P46" i="23"/>
  <c r="P42" i="23"/>
  <c r="AH42" i="23" s="1"/>
  <c r="P50" i="23"/>
  <c r="AH50" i="23" s="1"/>
  <c r="P30" i="23"/>
  <c r="AH30" i="23" s="1"/>
  <c r="P8" i="23"/>
  <c r="AH8" i="23" s="1"/>
  <c r="P7" i="23"/>
  <c r="AH7" i="23" s="1"/>
  <c r="P45" i="23"/>
  <c r="AH45" i="23" s="1"/>
  <c r="P23" i="23"/>
  <c r="AH23" i="23" s="1"/>
  <c r="P31" i="23"/>
  <c r="AH31" i="23" s="1"/>
  <c r="P26" i="23"/>
  <c r="AH26" i="23" s="1"/>
  <c r="P11" i="23"/>
  <c r="AH11" i="23" s="1"/>
  <c r="P44" i="23"/>
  <c r="P36" i="23"/>
  <c r="AH36" i="23" s="1"/>
  <c r="P48" i="23"/>
  <c r="AH48" i="23" s="1"/>
  <c r="P47" i="23"/>
  <c r="AH47" i="23" s="1"/>
  <c r="P15" i="23"/>
  <c r="AH15" i="23" s="1"/>
  <c r="P16" i="23"/>
  <c r="AH16" i="23" s="1"/>
  <c r="P37" i="23"/>
  <c r="AH37" i="23" s="1"/>
  <c r="P19" i="23"/>
  <c r="AH19" i="23" s="1"/>
  <c r="P10" i="23"/>
  <c r="AH10" i="23" s="1"/>
  <c r="P38" i="23"/>
  <c r="AH38" i="23" s="1"/>
  <c r="P49" i="23"/>
  <c r="AH49" i="23" s="1"/>
  <c r="P41" i="23"/>
  <c r="AH41" i="23" s="1"/>
  <c r="P40" i="23"/>
  <c r="AH40" i="23" s="1"/>
  <c r="P35" i="23"/>
  <c r="AH35" i="23" s="1"/>
  <c r="P24" i="23"/>
  <c r="AH24" i="23" s="1"/>
  <c r="P20" i="23"/>
  <c r="AH20" i="23" s="1"/>
  <c r="P14" i="23"/>
  <c r="AH14" i="23" s="1"/>
  <c r="P39" i="23"/>
  <c r="AH39" i="23" s="1"/>
  <c r="P34" i="23"/>
  <c r="AH34" i="23" s="1"/>
  <c r="P13" i="23"/>
  <c r="AH13" i="23" s="1"/>
  <c r="P29" i="23"/>
  <c r="AH29" i="23" s="1"/>
  <c r="P22" i="23"/>
  <c r="AH22" i="23" s="1"/>
  <c r="P33" i="23"/>
  <c r="P12" i="23"/>
  <c r="AH12" i="23" s="1"/>
  <c r="P27" i="23"/>
  <c r="AH27" i="23" s="1"/>
  <c r="P28" i="23"/>
  <c r="AH28" i="23" s="1"/>
  <c r="P32" i="23"/>
  <c r="AH32" i="23" s="1"/>
  <c r="P17" i="23"/>
  <c r="AH17" i="23" s="1"/>
  <c r="P25" i="23"/>
  <c r="AH25" i="23" s="1"/>
  <c r="P18" i="23"/>
  <c r="AH18" i="23" s="1"/>
  <c r="P16" i="22"/>
  <c r="P21" i="22"/>
  <c r="P20" i="22"/>
  <c r="AH20" i="22" s="1"/>
  <c r="P23" i="22"/>
  <c r="AH23" i="22" s="1"/>
  <c r="P51" i="22"/>
  <c r="AH51" i="22" s="1"/>
  <c r="P42" i="22"/>
  <c r="AH42" i="22" s="1"/>
  <c r="P29" i="22"/>
  <c r="AH29" i="22" s="1"/>
  <c r="P8" i="22"/>
  <c r="AH8" i="22" s="1"/>
  <c r="P45" i="22"/>
  <c r="P30" i="22"/>
  <c r="AH30" i="22" s="1"/>
  <c r="P25" i="22"/>
  <c r="AH25" i="22" s="1"/>
  <c r="P11" i="22"/>
  <c r="AH11" i="22" s="1"/>
  <c r="P44" i="22"/>
  <c r="AH44" i="22" s="1"/>
  <c r="P35" i="22"/>
  <c r="AH35" i="22" s="1"/>
  <c r="P49" i="22"/>
  <c r="AH49" i="22" s="1"/>
  <c r="P48" i="22"/>
  <c r="AH48" i="22" s="1"/>
  <c r="P7" i="22"/>
  <c r="AH7" i="22" s="1"/>
  <c r="P15" i="22"/>
  <c r="AH15" i="22" s="1"/>
  <c r="P27" i="22"/>
  <c r="AH27" i="22" s="1"/>
  <c r="P40" i="22"/>
  <c r="AH40" i="22" s="1"/>
  <c r="P19" i="22"/>
  <c r="AH19" i="22" s="1"/>
  <c r="P10" i="22"/>
  <c r="AH10" i="22" s="1"/>
  <c r="P34" i="22"/>
  <c r="AH34" i="22" s="1"/>
  <c r="P36" i="22"/>
  <c r="AH36" i="22" s="1"/>
  <c r="P50" i="22"/>
  <c r="AH50" i="22" s="1"/>
  <c r="P41" i="22"/>
  <c r="AH41" i="22" s="1"/>
  <c r="P24" i="22"/>
  <c r="AH24" i="22" s="1"/>
  <c r="P37" i="22"/>
  <c r="AH37" i="22" s="1"/>
  <c r="P14" i="22"/>
  <c r="AH14" i="22" s="1"/>
  <c r="P47" i="22"/>
  <c r="AH47" i="22" s="1"/>
  <c r="P46" i="22"/>
  <c r="AH46" i="22" s="1"/>
  <c r="P43" i="22"/>
  <c r="AH43" i="22" s="1"/>
  <c r="P39" i="22"/>
  <c r="AH39" i="22" s="1"/>
  <c r="P38" i="22"/>
  <c r="AH38" i="22" s="1"/>
  <c r="P33" i="22"/>
  <c r="AH33" i="22" s="1"/>
  <c r="P13" i="22"/>
  <c r="AH13" i="22" s="1"/>
  <c r="P28" i="22"/>
  <c r="AH28" i="22" s="1"/>
  <c r="P22" i="22"/>
  <c r="AH22" i="22" s="1"/>
  <c r="P32" i="22"/>
  <c r="P12" i="22"/>
  <c r="AH12" i="22" s="1"/>
  <c r="P26" i="22"/>
  <c r="AH26" i="22" s="1"/>
  <c r="P31" i="22"/>
  <c r="AH31" i="22" s="1"/>
  <c r="P17" i="22"/>
  <c r="AH17" i="22" s="1"/>
  <c r="P52" i="22"/>
  <c r="AH52" i="22" s="1"/>
  <c r="P18" i="22"/>
  <c r="AH18" i="22" s="1"/>
  <c r="Q46" i="21"/>
  <c r="AI46" i="21" s="1"/>
  <c r="Q26" i="21"/>
  <c r="AI26" i="21" s="1"/>
  <c r="Q17" i="21"/>
  <c r="AI17" i="21" s="1"/>
  <c r="Q16" i="21"/>
  <c r="AI16" i="21" s="1"/>
  <c r="Q51" i="21"/>
  <c r="Q42" i="21"/>
  <c r="AI42" i="21" s="1"/>
  <c r="Q31" i="21"/>
  <c r="AI31" i="21" s="1"/>
  <c r="Q24" i="21"/>
  <c r="AI24" i="21" s="1"/>
  <c r="Q8" i="21"/>
  <c r="AI8" i="21" s="1"/>
  <c r="Q45" i="21"/>
  <c r="AI45" i="21" s="1"/>
  <c r="Q32" i="21"/>
  <c r="AI32" i="21" s="1"/>
  <c r="Q7" i="21"/>
  <c r="AI7" i="21" s="1"/>
  <c r="Q27" i="21"/>
  <c r="Q12" i="21"/>
  <c r="AI12" i="21" s="1"/>
  <c r="Q44" i="21"/>
  <c r="Q49" i="21"/>
  <c r="AI49" i="21" s="1"/>
  <c r="Q48" i="21"/>
  <c r="AI48" i="21" s="1"/>
  <c r="Q11" i="21"/>
  <c r="AI11" i="21" s="1"/>
  <c r="Q20" i="21"/>
  <c r="AI20" i="21" s="1"/>
  <c r="Q21" i="21"/>
  <c r="AI21" i="21" s="1"/>
  <c r="Q29" i="21"/>
  <c r="AI29" i="21" s="1"/>
  <c r="Q35" i="21"/>
  <c r="AI35" i="21" s="1"/>
  <c r="Q36" i="21"/>
  <c r="AI36" i="21" s="1"/>
  <c r="Q40" i="21"/>
  <c r="AI40" i="21" s="1"/>
  <c r="Q41" i="21"/>
  <c r="AI41" i="21" s="1"/>
  <c r="Q50" i="21"/>
  <c r="AI50" i="21" s="1"/>
  <c r="Q25" i="21"/>
  <c r="AI25" i="21" s="1"/>
  <c r="Q37" i="21"/>
  <c r="AI37" i="21" s="1"/>
  <c r="Q15" i="21"/>
  <c r="AI15" i="21" s="1"/>
  <c r="Q43" i="21"/>
  <c r="AI43" i="21" s="1"/>
  <c r="Q38" i="21"/>
  <c r="AI38" i="21" s="1"/>
  <c r="Q34" i="21"/>
  <c r="AI34" i="21" s="1"/>
  <c r="Q39" i="21"/>
  <c r="AI39" i="21" s="1"/>
  <c r="Q14" i="21"/>
  <c r="AI14" i="21" s="1"/>
  <c r="Q30" i="21"/>
  <c r="AI30" i="21" s="1"/>
  <c r="Q23" i="21"/>
  <c r="AI23" i="21" s="1"/>
  <c r="Q33" i="21"/>
  <c r="Q28" i="21"/>
  <c r="AI28" i="21" s="1"/>
  <c r="Q13" i="21"/>
  <c r="AI13" i="21" s="1"/>
  <c r="Q9" i="21"/>
  <c r="AI9" i="21" s="1"/>
  <c r="Q47" i="21"/>
  <c r="AI47" i="21" s="1"/>
  <c r="Q22" i="21"/>
  <c r="AI22" i="21" s="1"/>
  <c r="Q18" i="21"/>
  <c r="AI18" i="21" s="1"/>
  <c r="Q10" i="21"/>
  <c r="AI10" i="21" s="1"/>
  <c r="Q19" i="21"/>
  <c r="AI19" i="21" s="1"/>
  <c r="P58" i="9"/>
  <c r="P44" i="9"/>
  <c r="AH44" i="9" s="1"/>
  <c r="P40" i="9"/>
  <c r="P21" i="9"/>
  <c r="P54" i="9"/>
  <c r="AH54" i="9" s="1"/>
  <c r="P51" i="9"/>
  <c r="AH51" i="9" s="1"/>
  <c r="P36" i="9"/>
  <c r="AH36" i="9" s="1"/>
  <c r="P31" i="9"/>
  <c r="AH31" i="9" s="1"/>
  <c r="P22" i="9"/>
  <c r="AH22" i="9" s="1"/>
  <c r="P15" i="9"/>
  <c r="AH15" i="9" s="1"/>
  <c r="P8" i="9"/>
  <c r="AH8" i="9" s="1"/>
  <c r="P52" i="9"/>
  <c r="AH52" i="9" s="1"/>
  <c r="P53" i="9"/>
  <c r="AH53" i="9" s="1"/>
  <c r="P46" i="9"/>
  <c r="AH46" i="9" s="1"/>
  <c r="P37" i="9"/>
  <c r="AH37" i="9" s="1"/>
  <c r="P29" i="9"/>
  <c r="P25" i="9"/>
  <c r="AH25" i="9" s="1"/>
  <c r="P24" i="9"/>
  <c r="AH24" i="9" s="1"/>
  <c r="P7" i="9"/>
  <c r="AH7" i="9" s="1"/>
  <c r="P48" i="9"/>
  <c r="AH48" i="9" s="1"/>
  <c r="P57" i="9"/>
  <c r="AH57" i="9" s="1"/>
  <c r="P28" i="9"/>
  <c r="AH28" i="9" s="1"/>
  <c r="P10" i="9"/>
  <c r="AH10" i="9" s="1"/>
  <c r="P35" i="9"/>
  <c r="AH35" i="9" s="1"/>
  <c r="P41" i="9"/>
  <c r="AH41" i="9" s="1"/>
  <c r="P50" i="9"/>
  <c r="AH50" i="9" s="1"/>
  <c r="P42" i="9"/>
  <c r="AH42" i="9" s="1"/>
  <c r="P38" i="9"/>
  <c r="AH38" i="9" s="1"/>
  <c r="P33" i="9"/>
  <c r="AH33" i="9" s="1"/>
  <c r="P26" i="9"/>
  <c r="AH26" i="9" s="1"/>
  <c r="P45" i="9"/>
  <c r="AH45" i="9" s="1"/>
  <c r="P17" i="9"/>
  <c r="AH17" i="9" s="1"/>
  <c r="P16" i="9"/>
  <c r="AH16" i="9" s="1"/>
  <c r="P12" i="9"/>
  <c r="AH12" i="9" s="1"/>
  <c r="P11" i="9"/>
  <c r="AH11" i="9" s="1"/>
  <c r="P47" i="9"/>
  <c r="AH47" i="9" s="1"/>
  <c r="P43" i="9"/>
  <c r="AH43" i="9" s="1"/>
  <c r="P14" i="9"/>
  <c r="AH14" i="9" s="1"/>
  <c r="P19" i="9"/>
  <c r="AH19" i="9" s="1"/>
  <c r="P56" i="9"/>
  <c r="AH56" i="9" s="1"/>
  <c r="P49" i="9"/>
  <c r="AH49" i="9" s="1"/>
  <c r="P39" i="9"/>
  <c r="AH39" i="9" s="1"/>
  <c r="P18" i="9"/>
  <c r="AH18" i="9" s="1"/>
  <c r="P34" i="9"/>
  <c r="AH34" i="9" s="1"/>
  <c r="P27" i="9"/>
  <c r="AH27" i="9" s="1"/>
  <c r="P32" i="9"/>
  <c r="AH32" i="9" s="1"/>
  <c r="P13" i="9"/>
  <c r="AH13" i="9" s="1"/>
  <c r="P20" i="9"/>
  <c r="AH20" i="9" s="1"/>
  <c r="P23" i="9"/>
  <c r="AH23" i="9" s="1"/>
  <c r="P47" i="12"/>
  <c r="AH47" i="12" s="1"/>
  <c r="P40" i="12"/>
  <c r="AH40" i="12" s="1"/>
  <c r="Q36" i="12"/>
  <c r="P36" i="12"/>
  <c r="AH36" i="12" s="1"/>
  <c r="Q29" i="12"/>
  <c r="AI29" i="12" s="1"/>
  <c r="P29" i="12"/>
  <c r="P16" i="12"/>
  <c r="AH16" i="12" s="1"/>
  <c r="U15" i="20"/>
  <c r="AI15" i="20" s="1"/>
  <c r="U8" i="20"/>
  <c r="AI8" i="20" s="1"/>
  <c r="U15" i="9"/>
  <c r="AI15" i="9" s="1"/>
  <c r="U8" i="9"/>
  <c r="AI8" i="9" s="1"/>
  <c r="V12" i="21"/>
  <c r="AJ12" i="21" s="1"/>
  <c r="V7" i="21"/>
  <c r="AJ7" i="21" s="1"/>
  <c r="U11" i="22"/>
  <c r="AI11" i="22" s="1"/>
  <c r="U7" i="22"/>
  <c r="AI7" i="22" s="1"/>
  <c r="U11" i="23"/>
  <c r="AI11" i="23" s="1"/>
  <c r="U15" i="12"/>
  <c r="AI15" i="12" s="1"/>
  <c r="U8" i="12"/>
  <c r="AI8" i="12" s="1"/>
  <c r="Q14" i="12"/>
  <c r="AI14" i="12" s="1"/>
  <c r="P14" i="12"/>
  <c r="AH14" i="12" s="1"/>
  <c r="P10" i="12"/>
  <c r="AH10" i="12" s="1"/>
  <c r="P56" i="12"/>
  <c r="AH56" i="12" s="1"/>
  <c r="P45" i="12"/>
  <c r="AH45" i="12" s="1"/>
  <c r="P28" i="12"/>
  <c r="AH28" i="12" s="1"/>
  <c r="P7" i="12"/>
  <c r="AH7" i="12" s="1"/>
  <c r="P34" i="12"/>
  <c r="AH34" i="12" s="1"/>
  <c r="P25" i="12"/>
  <c r="AH25" i="12" s="1"/>
  <c r="P35" i="12"/>
  <c r="AH35" i="12" s="1"/>
  <c r="P15" i="12"/>
  <c r="AH15" i="12" s="1"/>
  <c r="P8" i="12"/>
  <c r="AH8" i="12" s="1"/>
  <c r="P22" i="12"/>
  <c r="AH22" i="12" s="1"/>
  <c r="P53" i="12"/>
  <c r="P51" i="12"/>
  <c r="AH51" i="12" s="1"/>
  <c r="P46" i="12"/>
  <c r="AH46" i="12" s="1"/>
  <c r="P42" i="12"/>
  <c r="AH42" i="12" s="1"/>
  <c r="P24" i="12"/>
  <c r="AH24" i="12" s="1"/>
  <c r="P19" i="12"/>
  <c r="AH19" i="12" s="1"/>
  <c r="P44" i="12"/>
  <c r="AH44" i="12" s="1"/>
  <c r="P55" i="12"/>
  <c r="AH55" i="12" s="1"/>
  <c r="P37" i="12"/>
  <c r="AH37" i="12" s="1"/>
  <c r="P48" i="12"/>
  <c r="AH48" i="12" s="1"/>
  <c r="P43" i="12"/>
  <c r="AH43" i="12" s="1"/>
  <c r="P38" i="12"/>
  <c r="AH38" i="12" s="1"/>
  <c r="P18" i="12"/>
  <c r="AH18" i="12" s="1"/>
  <c r="P33" i="12"/>
  <c r="AH33" i="12" s="1"/>
  <c r="P27" i="12"/>
  <c r="AH27" i="12" s="1"/>
  <c r="P26" i="12"/>
  <c r="AH26" i="12" s="1"/>
  <c r="P17" i="12"/>
  <c r="AH17" i="12" s="1"/>
  <c r="P12" i="12"/>
  <c r="AH12" i="12" s="1"/>
  <c r="P31" i="12"/>
  <c r="AH31" i="12" s="1"/>
  <c r="P52" i="12"/>
  <c r="AH52" i="12" s="1"/>
  <c r="P32" i="12"/>
  <c r="AH32" i="12" s="1"/>
  <c r="P20" i="12"/>
  <c r="AH20" i="12" s="1"/>
  <c r="P13" i="12"/>
  <c r="AH13" i="12" s="1"/>
  <c r="P9" i="12"/>
  <c r="AH9" i="12" s="1"/>
  <c r="P41" i="12"/>
  <c r="AH41" i="12" s="1"/>
  <c r="P23" i="12"/>
  <c r="AH23" i="12" s="1"/>
  <c r="U36" i="23"/>
  <c r="AI36" i="23" s="1"/>
  <c r="Q37" i="23"/>
  <c r="Q45" i="23"/>
  <c r="AI45" i="23" s="1"/>
  <c r="Q7" i="23"/>
  <c r="O37" i="23"/>
  <c r="O7" i="23"/>
  <c r="AI7" i="23" s="1"/>
  <c r="AC50" i="23"/>
  <c r="AI50" i="23" s="1"/>
  <c r="AC35" i="23"/>
  <c r="AI35" i="23" s="1"/>
  <c r="AC25" i="23"/>
  <c r="AI25" i="23" s="1"/>
  <c r="AC20" i="23"/>
  <c r="AI20" i="23" s="1"/>
  <c r="U43" i="22"/>
  <c r="AI43" i="22" s="1"/>
  <c r="U35" i="22"/>
  <c r="U9" i="22"/>
  <c r="AI9" i="22" s="1"/>
  <c r="Q20" i="22"/>
  <c r="O20" i="22"/>
  <c r="O19" i="22"/>
  <c r="AI19" i="22" s="1"/>
  <c r="O35" i="22"/>
  <c r="AI35" i="22" s="1"/>
  <c r="AC51" i="22"/>
  <c r="AI51" i="22" s="1"/>
  <c r="AC34" i="22"/>
  <c r="AI34" i="22" s="1"/>
  <c r="AC52" i="22"/>
  <c r="AI52" i="22" s="1"/>
  <c r="AC20" i="22"/>
  <c r="AC27" i="22"/>
  <c r="AI27" i="22" s="1"/>
  <c r="U48" i="12"/>
  <c r="U13" i="12"/>
  <c r="V43" i="21"/>
  <c r="AJ43" i="21" s="1"/>
  <c r="V53" i="21"/>
  <c r="AJ53" i="21" s="1"/>
  <c r="V10" i="21"/>
  <c r="AJ10" i="21" s="1"/>
  <c r="P20" i="21"/>
  <c r="AJ20" i="21" s="1"/>
  <c r="P45" i="21"/>
  <c r="AJ45" i="21" s="1"/>
  <c r="P50" i="21"/>
  <c r="AJ50" i="21" s="1"/>
  <c r="P46" i="21"/>
  <c r="AD51" i="21"/>
  <c r="AJ51" i="21" s="1"/>
  <c r="AD46" i="21"/>
  <c r="AD40" i="21"/>
  <c r="AJ40" i="21" s="1"/>
  <c r="AD35" i="21"/>
  <c r="AJ35" i="21" s="1"/>
  <c r="AD52" i="21"/>
  <c r="AJ52" i="21" s="1"/>
  <c r="AD21" i="21"/>
  <c r="AJ21" i="21" s="1"/>
  <c r="U51" i="9"/>
  <c r="AI51" i="9" s="1"/>
  <c r="U49" i="9"/>
  <c r="AI49" i="9" s="1"/>
  <c r="U62" i="9"/>
  <c r="AI62" i="9" s="1"/>
  <c r="U26" i="9"/>
  <c r="AI26" i="9" s="1"/>
  <c r="U13" i="9"/>
  <c r="AI13" i="9" s="1"/>
  <c r="Q46" i="9"/>
  <c r="Q25" i="9"/>
  <c r="Q24" i="9"/>
  <c r="O52" i="9"/>
  <c r="AI52" i="9" s="1"/>
  <c r="O46" i="9"/>
  <c r="AI46" i="9" s="1"/>
  <c r="O35" i="9"/>
  <c r="AI35" i="9" s="1"/>
  <c r="O25" i="9"/>
  <c r="AI25" i="9" s="1"/>
  <c r="O24" i="9"/>
  <c r="AI24" i="9" s="1"/>
  <c r="O50" i="9"/>
  <c r="AI50" i="9" s="1"/>
  <c r="O22" i="9"/>
  <c r="AI22" i="9" s="1"/>
  <c r="N40" i="9"/>
  <c r="AC57" i="9"/>
  <c r="AI57" i="9" s="1"/>
  <c r="AC53" i="9"/>
  <c r="AI53" i="9" s="1"/>
  <c r="AC52" i="9"/>
  <c r="AC49" i="9"/>
  <c r="AC40" i="9"/>
  <c r="AI40" i="9" s="1"/>
  <c r="AC25" i="9"/>
  <c r="N75" i="23"/>
  <c r="AI37" i="23" l="1"/>
  <c r="AI20" i="22"/>
  <c r="AJ46" i="21"/>
  <c r="Q40" i="12"/>
  <c r="Q24" i="12"/>
  <c r="Q19" i="12"/>
  <c r="AI19" i="12" s="1"/>
  <c r="Q25" i="12"/>
  <c r="Q47" i="12"/>
  <c r="O51" i="12"/>
  <c r="O48" i="12"/>
  <c r="O40" i="12"/>
  <c r="AI40" i="12" s="1"/>
  <c r="O24" i="12"/>
  <c r="AI24" i="12" s="1"/>
  <c r="O13" i="12"/>
  <c r="AI13" i="12" s="1"/>
  <c r="O47" i="12"/>
  <c r="AI47" i="12" s="1"/>
  <c r="O36" i="12"/>
  <c r="AI36" i="12" s="1"/>
  <c r="O25" i="12"/>
  <c r="AC56" i="12"/>
  <c r="AI56" i="12" s="1"/>
  <c r="AC51" i="12"/>
  <c r="AC48" i="12"/>
  <c r="AC37" i="12"/>
  <c r="AI37" i="12" s="1"/>
  <c r="AC25" i="12"/>
  <c r="AC7" i="12"/>
  <c r="AI7" i="12" s="1"/>
  <c r="E75" i="23"/>
  <c r="F75" i="23"/>
  <c r="I75" i="23"/>
  <c r="G46" i="23"/>
  <c r="AH46" i="23" s="1"/>
  <c r="G44" i="23"/>
  <c r="AH44" i="23" s="1"/>
  <c r="G21" i="23"/>
  <c r="AH21" i="23" s="1"/>
  <c r="G33" i="23"/>
  <c r="AH33" i="23" s="1"/>
  <c r="G43" i="23"/>
  <c r="AH43" i="23" s="1"/>
  <c r="E76" i="22"/>
  <c r="F76" i="22"/>
  <c r="I76" i="22"/>
  <c r="G45" i="22"/>
  <c r="AH45" i="22" s="1"/>
  <c r="G21" i="22"/>
  <c r="AH21" i="22" s="1"/>
  <c r="G32" i="22"/>
  <c r="AH32" i="22" s="1"/>
  <c r="G16" i="22"/>
  <c r="AH16" i="22" s="1"/>
  <c r="E76" i="21"/>
  <c r="F76" i="21"/>
  <c r="H76" i="21"/>
  <c r="J76" i="21"/>
  <c r="G51" i="21"/>
  <c r="AI51" i="21" s="1"/>
  <c r="G44" i="21"/>
  <c r="AI44" i="21" s="1"/>
  <c r="G53" i="21"/>
  <c r="AI53" i="21" s="1"/>
  <c r="G27" i="21"/>
  <c r="AI27" i="21" s="1"/>
  <c r="G33" i="21"/>
  <c r="AI33" i="21" s="1"/>
  <c r="E82" i="9"/>
  <c r="F82" i="9"/>
  <c r="I82" i="9"/>
  <c r="G62" i="9"/>
  <c r="AH62" i="9" s="1"/>
  <c r="G61" i="9"/>
  <c r="AH61" i="9" s="1"/>
  <c r="G60" i="9"/>
  <c r="AH60" i="9" s="1"/>
  <c r="G40" i="9"/>
  <c r="AH40" i="9" s="1"/>
  <c r="G59" i="9"/>
  <c r="AH59" i="9" s="1"/>
  <c r="G58" i="9"/>
  <c r="AH58" i="9" s="1"/>
  <c r="G21" i="9"/>
  <c r="AH21" i="9" s="1"/>
  <c r="G30" i="9"/>
  <c r="AH30" i="9" s="1"/>
  <c r="G29" i="9"/>
  <c r="AH29" i="9" s="1"/>
  <c r="AI25" i="12" l="1"/>
  <c r="AI48" i="12"/>
  <c r="AI51" i="12"/>
  <c r="F81" i="12"/>
  <c r="I81" i="12"/>
  <c r="G29" i="12"/>
  <c r="AH29" i="12" s="1"/>
  <c r="G53" i="12"/>
  <c r="AH53" i="12" s="1"/>
  <c r="AG75" i="23" l="1"/>
  <c r="AF75" i="23"/>
  <c r="AC75" i="23"/>
  <c r="AB75" i="23"/>
  <c r="Y75" i="23"/>
  <c r="X75" i="23"/>
  <c r="U75" i="23"/>
  <c r="T75" i="23"/>
  <c r="S75" i="23"/>
  <c r="R75" i="23"/>
  <c r="Q75" i="23"/>
  <c r="P75" i="23"/>
  <c r="O75" i="23"/>
  <c r="H75" i="23"/>
  <c r="G75" i="23"/>
  <c r="AH6" i="23"/>
  <c r="AF6" i="23"/>
  <c r="AB6" i="23"/>
  <c r="X6" i="23"/>
  <c r="T6" i="23"/>
  <c r="R6" i="23"/>
  <c r="P6" i="23"/>
  <c r="AG76" i="22"/>
  <c r="AF76" i="22"/>
  <c r="AC76" i="22"/>
  <c r="AB76" i="22"/>
  <c r="Y76" i="22"/>
  <c r="X76" i="22"/>
  <c r="U76" i="22"/>
  <c r="T76" i="22"/>
  <c r="S76" i="22"/>
  <c r="R76" i="22"/>
  <c r="Q76" i="22"/>
  <c r="P76" i="22"/>
  <c r="O76" i="22"/>
  <c r="N76" i="22"/>
  <c r="H76" i="22"/>
  <c r="G76" i="22"/>
  <c r="AH6" i="22"/>
  <c r="AF6" i="22"/>
  <c r="AB6" i="22"/>
  <c r="X6" i="22"/>
  <c r="T6" i="22"/>
  <c r="R6" i="22"/>
  <c r="P6" i="22"/>
  <c r="AH76" i="21"/>
  <c r="AG76" i="21"/>
  <c r="AD76" i="21"/>
  <c r="AC76" i="21"/>
  <c r="Z76" i="21"/>
  <c r="Y76" i="21"/>
  <c r="V76" i="21"/>
  <c r="U76" i="21"/>
  <c r="T76" i="21"/>
  <c r="S76" i="21"/>
  <c r="R76" i="21"/>
  <c r="Q76" i="21"/>
  <c r="P76" i="21"/>
  <c r="O76" i="21"/>
  <c r="I76" i="21"/>
  <c r="G76" i="21"/>
  <c r="AI6" i="21"/>
  <c r="AG6" i="21"/>
  <c r="AC6" i="21"/>
  <c r="Y6" i="21"/>
  <c r="U6" i="21"/>
  <c r="S6" i="21"/>
  <c r="Q6" i="21"/>
  <c r="AG82" i="9"/>
  <c r="AF82" i="9"/>
  <c r="AC82" i="9"/>
  <c r="AB82" i="9"/>
  <c r="X82" i="9"/>
  <c r="U82" i="9"/>
  <c r="T82" i="9"/>
  <c r="S82" i="9"/>
  <c r="R82" i="9"/>
  <c r="Q82" i="9"/>
  <c r="P82" i="9"/>
  <c r="O82" i="9"/>
  <c r="N82" i="9"/>
  <c r="H82" i="9"/>
  <c r="G82" i="9"/>
  <c r="AH6" i="9"/>
  <c r="AF6" i="9"/>
  <c r="AB6" i="9"/>
  <c r="X6" i="9"/>
  <c r="T6" i="9"/>
  <c r="R6" i="9"/>
  <c r="P6" i="9"/>
  <c r="AC57" i="20"/>
  <c r="AI57" i="20" s="1"/>
  <c r="AC52" i="20"/>
  <c r="AI52" i="20" s="1"/>
  <c r="AC49" i="20"/>
  <c r="AI49" i="20" s="1"/>
  <c r="AC25" i="20"/>
  <c r="X11" i="20"/>
  <c r="T11" i="20"/>
  <c r="AH11" i="20" s="1"/>
  <c r="X29" i="20"/>
  <c r="T18" i="20"/>
  <c r="T29" i="20"/>
  <c r="AH29" i="20" s="1"/>
  <c r="X30" i="20"/>
  <c r="T30" i="20"/>
  <c r="AH30" i="20" s="1"/>
  <c r="X31" i="20"/>
  <c r="T31" i="20"/>
  <c r="AH31" i="20" s="1"/>
  <c r="X21" i="20"/>
  <c r="T21" i="20"/>
  <c r="AH21" i="20" s="1"/>
  <c r="X50" i="20"/>
  <c r="T50" i="20"/>
  <c r="AH50" i="20" s="1"/>
  <c r="U42" i="20"/>
  <c r="AI42" i="20" s="1"/>
  <c r="T42" i="20"/>
  <c r="AH42" i="20" s="1"/>
  <c r="X58" i="20"/>
  <c r="T58" i="20"/>
  <c r="AH58" i="20" s="1"/>
  <c r="AI75" i="23" l="1"/>
  <c r="M75" i="23"/>
  <c r="AJ76" i="21"/>
  <c r="M82" i="9"/>
  <c r="AI82" i="9"/>
  <c r="AI76" i="22"/>
  <c r="M76" i="22"/>
  <c r="AH75" i="23"/>
  <c r="AH76" i="22"/>
  <c r="AI76" i="21"/>
  <c r="N76" i="21"/>
  <c r="AH82" i="9"/>
  <c r="X45" i="20"/>
  <c r="T45" i="20"/>
  <c r="AH45" i="20" s="1"/>
  <c r="X56" i="20"/>
  <c r="T56" i="20"/>
  <c r="AH56" i="20" s="1"/>
  <c r="X46" i="20"/>
  <c r="T46" i="20"/>
  <c r="AH46" i="20" s="1"/>
  <c r="X48" i="20"/>
  <c r="T48" i="20"/>
  <c r="AH48" i="20" s="1"/>
  <c r="X38" i="20"/>
  <c r="U38" i="20"/>
  <c r="AI38" i="20" s="1"/>
  <c r="T38" i="20"/>
  <c r="AH38" i="20" s="1"/>
  <c r="X49" i="20"/>
  <c r="T49" i="20"/>
  <c r="X44" i="20"/>
  <c r="U44" i="20"/>
  <c r="AI44" i="20" s="1"/>
  <c r="T44" i="20"/>
  <c r="AH44" i="20" s="1"/>
  <c r="X37" i="20"/>
  <c r="T37" i="20"/>
  <c r="AH37" i="20" s="1"/>
  <c r="X39" i="20"/>
  <c r="U39" i="20"/>
  <c r="AI39" i="20" s="1"/>
  <c r="T39" i="20"/>
  <c r="AH39" i="20" s="1"/>
  <c r="X57" i="20"/>
  <c r="T57" i="20"/>
  <c r="AH57" i="20" s="1"/>
  <c r="X36" i="20"/>
  <c r="T36" i="20"/>
  <c r="AH36" i="20" s="1"/>
  <c r="X18" i="20"/>
  <c r="AH18" i="20" s="1"/>
  <c r="AH49" i="20" l="1"/>
  <c r="X34" i="20"/>
  <c r="T34" i="20"/>
  <c r="AH34" i="20" s="1"/>
  <c r="X27" i="20"/>
  <c r="T27" i="20"/>
  <c r="AH27" i="20" s="1"/>
  <c r="X25" i="20"/>
  <c r="U25" i="20"/>
  <c r="AI25" i="20" s="1"/>
  <c r="T25" i="20"/>
  <c r="AH25" i="20" s="1"/>
  <c r="X51" i="20"/>
  <c r="U51" i="20"/>
  <c r="AI51" i="20" s="1"/>
  <c r="T51" i="20"/>
  <c r="AH51" i="20" s="1"/>
  <c r="T15" i="20"/>
  <c r="X26" i="20"/>
  <c r="T26" i="20"/>
  <c r="AH26" i="20" s="1"/>
  <c r="X28" i="20"/>
  <c r="T28" i="20"/>
  <c r="AH28" i="20" s="1"/>
  <c r="X17" i="20"/>
  <c r="T17" i="20"/>
  <c r="AH17" i="20" s="1"/>
  <c r="X32" i="20"/>
  <c r="T32" i="20"/>
  <c r="AH32" i="20" s="1"/>
  <c r="X53" i="20"/>
  <c r="T53" i="20"/>
  <c r="AH53" i="20" s="1"/>
  <c r="X52" i="20"/>
  <c r="T52" i="20"/>
  <c r="AH52" i="20" s="1"/>
  <c r="X33" i="20"/>
  <c r="T33" i="20"/>
  <c r="AH33" i="20" s="1"/>
  <c r="X24" i="20"/>
  <c r="T24" i="20"/>
  <c r="AH24" i="20" s="1"/>
  <c r="X22" i="20"/>
  <c r="T22" i="20"/>
  <c r="AH22" i="20" s="1"/>
  <c r="X41" i="20"/>
  <c r="T41" i="20"/>
  <c r="AH41" i="20" s="1"/>
  <c r="X47" i="20"/>
  <c r="T47" i="20"/>
  <c r="AH47" i="20" s="1"/>
  <c r="X20" i="20"/>
  <c r="T20" i="20"/>
  <c r="AH20" i="20" s="1"/>
  <c r="X54" i="20"/>
  <c r="T54" i="20"/>
  <c r="AH54" i="20" s="1"/>
  <c r="X23" i="20"/>
  <c r="T23" i="20"/>
  <c r="AH23" i="20" s="1"/>
  <c r="X43" i="20"/>
  <c r="T43" i="20"/>
  <c r="AH43" i="20" s="1"/>
  <c r="X19" i="20"/>
  <c r="T19" i="20"/>
  <c r="AH19" i="20" s="1"/>
  <c r="X35" i="20"/>
  <c r="T35" i="20"/>
  <c r="AH35" i="20" s="1"/>
  <c r="X16" i="20" l="1"/>
  <c r="T16" i="20"/>
  <c r="AH16" i="20" s="1"/>
  <c r="X15" i="20"/>
  <c r="AH15" i="20" s="1"/>
  <c r="X14" i="20"/>
  <c r="T14" i="20"/>
  <c r="AH14" i="20" s="1"/>
  <c r="X13" i="20"/>
  <c r="U13" i="20"/>
  <c r="AI13" i="20" s="1"/>
  <c r="T13" i="20"/>
  <c r="AH13" i="20" s="1"/>
  <c r="X12" i="20"/>
  <c r="T12" i="20"/>
  <c r="AH12" i="20" s="1"/>
  <c r="X10" i="20"/>
  <c r="T10" i="20"/>
  <c r="AH10" i="20" s="1"/>
  <c r="X9" i="20"/>
  <c r="X7" i="20"/>
  <c r="X84" i="20" s="1"/>
  <c r="X8" i="20"/>
  <c r="U9" i="20"/>
  <c r="AI9" i="20" s="1"/>
  <c r="T9" i="20"/>
  <c r="AH9" i="20" s="1"/>
  <c r="T8" i="20"/>
  <c r="AH8" i="20" s="1"/>
  <c r="T7" i="20"/>
  <c r="AH7" i="20" s="1"/>
  <c r="AG84" i="20"/>
  <c r="AF84" i="20"/>
  <c r="AH84" i="20" l="1"/>
  <c r="U84" i="20"/>
  <c r="T84" i="20"/>
  <c r="S84" i="20"/>
  <c r="R84" i="20"/>
  <c r="Q84" i="20"/>
  <c r="P84" i="20"/>
  <c r="O84" i="20"/>
  <c r="N84" i="20"/>
  <c r="I84" i="20"/>
  <c r="H84" i="20"/>
  <c r="G84" i="20"/>
  <c r="F84" i="20"/>
  <c r="E84" i="20"/>
  <c r="AH6" i="20"/>
  <c r="AB6" i="20"/>
  <c r="X6" i="20"/>
  <c r="T6" i="20"/>
  <c r="R6" i="20"/>
  <c r="P6" i="20"/>
  <c r="AC84" i="20" l="1"/>
  <c r="AB84" i="20"/>
  <c r="M84" i="20"/>
  <c r="AI84" i="20"/>
  <c r="G81" i="12" l="1"/>
  <c r="Q81" i="12" l="1"/>
  <c r="O81" i="12"/>
  <c r="AG81" i="12"/>
  <c r="AF81" i="12"/>
  <c r="AB81" i="12"/>
  <c r="Y81" i="12"/>
  <c r="X81" i="12"/>
  <c r="U81" i="12"/>
  <c r="T81" i="12"/>
  <c r="S81" i="12"/>
  <c r="R81" i="12"/>
  <c r="H81" i="12"/>
  <c r="AH6" i="12"/>
  <c r="AF6" i="12"/>
  <c r="AB6" i="12"/>
  <c r="X6" i="12"/>
  <c r="T6" i="12"/>
  <c r="R6" i="12"/>
  <c r="P6" i="12"/>
  <c r="AC81" i="12" l="1"/>
  <c r="N81" i="12"/>
  <c r="P81" i="12"/>
  <c r="AI81" i="12" l="1"/>
  <c r="AH81" i="12"/>
  <c r="M81" i="12"/>
</calcChain>
</file>

<file path=xl/sharedStrings.xml><?xml version="1.0" encoding="utf-8"?>
<sst xmlns="http://schemas.openxmlformats.org/spreadsheetml/2006/main" count="237" uniqueCount="47">
  <si>
    <t>Regular</t>
  </si>
  <si>
    <t>Overtime</t>
  </si>
  <si>
    <t>Bonus</t>
  </si>
  <si>
    <t>Sub-Total</t>
  </si>
  <si>
    <t>Life Insurance</t>
  </si>
  <si>
    <t>401k</t>
  </si>
  <si>
    <t>Totals</t>
  </si>
  <si>
    <t>Employee</t>
  </si>
  <si>
    <t>TOTALS</t>
  </si>
  <si>
    <t>PSC Reference</t>
  </si>
  <si>
    <t>Service Awards</t>
  </si>
  <si>
    <t>Dental Insurance</t>
  </si>
  <si>
    <t>Position Title - as of December 31, 2023</t>
  </si>
  <si>
    <t>Position Title - as of December 31, 2024</t>
  </si>
  <si>
    <t>Salary &amp; Benefit Data by Non Salaried Employees</t>
  </si>
  <si>
    <t>Q2 - 2025</t>
  </si>
  <si>
    <t>Position Title - as of June 30, 2025</t>
  </si>
  <si>
    <t>06/30/2025 Pay Rate</t>
  </si>
  <si>
    <t>Clark Energy Cooperative Inc.</t>
  </si>
  <si>
    <t>Clark</t>
  </si>
  <si>
    <t>PTO Payout</t>
  </si>
  <si>
    <t>LTD</t>
  </si>
  <si>
    <t>HRA</t>
  </si>
  <si>
    <t>12/31/2024 Pay Rate</t>
  </si>
  <si>
    <t xml:space="preserve">Clark </t>
  </si>
  <si>
    <t>12/31/2023 Pay Rate</t>
  </si>
  <si>
    <t>12/31/2022 Pay Rate</t>
  </si>
  <si>
    <t>Position Title - as of December 31, 2022</t>
  </si>
  <si>
    <t>12/31/2021 Pay Rate</t>
  </si>
  <si>
    <t>Position Title - as of December 31, 2021</t>
  </si>
  <si>
    <t>12/31/2020 Pay Rate</t>
  </si>
  <si>
    <t>Position Title - as of December 31, 2020</t>
  </si>
  <si>
    <t>Standby Pay</t>
  </si>
  <si>
    <t>Standy Pay</t>
  </si>
  <si>
    <t>PTO  Payout</t>
  </si>
  <si>
    <t xml:space="preserve">Spot Inflation Assitstance </t>
  </si>
  <si>
    <t xml:space="preserve">Standby Pay </t>
  </si>
  <si>
    <t>R&amp;S PLAN</t>
  </si>
  <si>
    <t>Incentive Pay</t>
  </si>
  <si>
    <t>401k Retirement</t>
  </si>
  <si>
    <t>R&amp;S Plan Retirement</t>
  </si>
  <si>
    <t>STD</t>
  </si>
  <si>
    <t>Cancer Insurance</t>
  </si>
  <si>
    <t>Vision Insurance</t>
  </si>
  <si>
    <t>Health Insurance</t>
  </si>
  <si>
    <t>CONFIDENTIAL - Case No 2025-00230</t>
  </si>
  <si>
    <t>Vehicle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</si>
</sst>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_);_(@_)"/>
    <numFmt numFmtId="168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0070C0"/>
      <name val="Arial Narrow"/>
      <family val="2"/>
    </font>
    <font>
      <sz val="12"/>
      <color rgb="FF282D2D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6"/>
      <color rgb="FFFF0000"/>
      <name val="Arial Narrow"/>
      <family val="2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166" fontId="5" fillId="2" borderId="1" xfId="0" applyNumberFormat="1" applyFont="1" applyFill="1" applyBorder="1" applyAlignment="1">
      <alignment vertical="top"/>
    </xf>
    <xf numFmtId="41" fontId="7" fillId="0" borderId="1" xfId="0" applyNumberFormat="1" applyFont="1" applyBorder="1" applyAlignment="1" applyProtection="1">
      <alignment vertical="top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vertical="top"/>
    </xf>
    <xf numFmtId="41" fontId="6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top"/>
    </xf>
    <xf numFmtId="165" fontId="6" fillId="0" borderId="1" xfId="1" applyNumberFormat="1" applyFont="1" applyFill="1" applyBorder="1" applyAlignment="1" applyProtection="1">
      <alignment vertical="top"/>
      <protection locked="0"/>
    </xf>
    <xf numFmtId="43" fontId="3" fillId="0" borderId="0" xfId="0" applyNumberFormat="1" applyFont="1"/>
    <xf numFmtId="43" fontId="6" fillId="0" borderId="1" xfId="1" applyFont="1" applyFill="1" applyBorder="1" applyAlignment="1" applyProtection="1">
      <alignment vertical="top"/>
      <protection locked="0"/>
    </xf>
    <xf numFmtId="43" fontId="3" fillId="0" borderId="0" xfId="0" applyNumberFormat="1" applyFont="1" applyAlignment="1">
      <alignment horizontal="left" vertical="top"/>
    </xf>
    <xf numFmtId="43" fontId="3" fillId="0" borderId="0" xfId="1" applyFont="1"/>
    <xf numFmtId="44" fontId="3" fillId="3" borderId="1" xfId="3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3" fillId="0" borderId="1" xfId="1" applyFont="1" applyBorder="1"/>
    <xf numFmtId="43" fontId="6" fillId="0" borderId="1" xfId="1" applyFont="1" applyBorder="1" applyProtection="1">
      <protection locked="0"/>
    </xf>
    <xf numFmtId="43" fontId="5" fillId="2" borderId="1" xfId="1" applyFont="1" applyFill="1" applyBorder="1" applyAlignment="1">
      <alignment vertical="top"/>
    </xf>
    <xf numFmtId="43" fontId="6" fillId="0" borderId="1" xfId="1" applyFont="1" applyFill="1" applyBorder="1" applyProtection="1">
      <protection locked="0"/>
    </xf>
    <xf numFmtId="43" fontId="5" fillId="0" borderId="0" xfId="0" applyNumberFormat="1" applyFont="1" applyAlignment="1">
      <alignment horizontal="left" vertical="top"/>
    </xf>
    <xf numFmtId="165" fontId="2" fillId="2" borderId="1" xfId="1" applyNumberFormat="1" applyFont="1" applyFill="1" applyBorder="1" applyAlignment="1">
      <alignment vertical="top"/>
    </xf>
    <xf numFmtId="41" fontId="3" fillId="0" borderId="0" xfId="0" applyNumberFormat="1" applyFont="1" applyAlignment="1">
      <alignment horizontal="left" vertical="top"/>
    </xf>
    <xf numFmtId="167" fontId="3" fillId="0" borderId="0" xfId="0" applyNumberFormat="1" applyFont="1"/>
    <xf numFmtId="168" fontId="3" fillId="0" borderId="0" xfId="0" applyNumberFormat="1" applyFont="1"/>
    <xf numFmtId="0" fontId="12" fillId="0" borderId="0" xfId="0" applyFont="1" applyAlignment="1">
      <alignment horizontal="left" vertical="top"/>
    </xf>
    <xf numFmtId="166" fontId="2" fillId="2" borderId="1" xfId="3" applyNumberFormat="1" applyFont="1" applyFill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4" fontId="0" fillId="0" borderId="0" xfId="0" applyNumberFormat="1"/>
    <xf numFmtId="0" fontId="3" fillId="0" borderId="1" xfId="0" applyFont="1" applyBorder="1"/>
    <xf numFmtId="41" fontId="6" fillId="0" borderId="3" xfId="0" applyNumberFormat="1" applyFont="1" applyBorder="1" applyAlignment="1" applyProtection="1">
      <alignment vertical="top"/>
      <protection locked="0"/>
    </xf>
    <xf numFmtId="41" fontId="6" fillId="0" borderId="4" xfId="0" applyNumberFormat="1" applyFont="1" applyBorder="1" applyAlignment="1" applyProtection="1">
      <alignment vertical="top"/>
      <protection locked="0"/>
    </xf>
    <xf numFmtId="41" fontId="13" fillId="0" borderId="1" xfId="4" applyNumberFormat="1" applyFill="1" applyBorder="1" applyAlignment="1" applyProtection="1">
      <alignment vertical="top"/>
      <protection locked="0"/>
    </xf>
    <xf numFmtId="0" fontId="11" fillId="0" borderId="0" xfId="0" applyFont="1" applyAlignment="1">
      <alignment horizontal="center" vertical="top" wrapText="1"/>
    </xf>
    <xf numFmtId="0" fontId="3" fillId="0" borderId="0" xfId="0" applyFont="1" applyFill="1"/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/>
  </cellXfs>
  <cellStyles count="5">
    <cellStyle name="Comma" xfId="1" builtinId="3"/>
    <cellStyle name="Currency" xfId="3" builtinId="4"/>
    <cellStyle name="Neutral" xfId="4" builtinId="28"/>
    <cellStyle name="Normal" xfId="0" builtinId="0"/>
    <cellStyle name="Normal 2" xfId="2" xr:uid="{21ED767A-62C8-48B0-9B17-EE3D11679F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4D08-7452-43F7-BCF3-29D5CDC85DCA}">
  <sheetPr>
    <pageSetUpPr fitToPage="1"/>
  </sheetPr>
  <dimension ref="A1:AP84"/>
  <sheetViews>
    <sheetView tabSelected="1" workbookViewId="0">
      <selection activeCell="C60" sqref="C60"/>
    </sheetView>
  </sheetViews>
  <sheetFormatPr defaultColWidth="9.15234375" defaultRowHeight="15.45" x14ac:dyDescent="0.4"/>
  <cols>
    <col min="1" max="1" width="16.84375" style="3" customWidth="1"/>
    <col min="2" max="2" width="10.84375" style="3" customWidth="1"/>
    <col min="3" max="3" width="39.69140625" style="3" customWidth="1"/>
    <col min="4" max="4" width="11.69140625" style="3" customWidth="1"/>
    <col min="5" max="5" width="16.3046875" style="3" customWidth="1"/>
    <col min="6" max="6" width="11.3046875" style="3" customWidth="1"/>
    <col min="7" max="7" width="14.84375" style="3" customWidth="1"/>
    <col min="8" max="8" width="9.3828125" style="3" customWidth="1"/>
    <col min="9" max="9" width="10.3046875" style="3" customWidth="1"/>
    <col min="10" max="10" width="9.69140625" style="3" customWidth="1"/>
    <col min="11" max="12" width="11.152343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1" style="3" customWidth="1"/>
    <col min="29" max="29" width="12.3046875" style="3" bestFit="1" customWidth="1"/>
    <col min="30" max="30" width="12.3046875" style="3" customWidth="1"/>
    <col min="31" max="31" width="11" style="3" customWidth="1"/>
    <col min="32" max="32" width="11.3828125" style="3" customWidth="1"/>
    <col min="33" max="33" width="12.30468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149999999999999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19"/>
      <c r="N1" s="39"/>
      <c r="O1" s="36"/>
      <c r="P1" s="23"/>
      <c r="Q1" s="23"/>
      <c r="R1" s="23"/>
      <c r="S1" s="2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45</v>
      </c>
      <c r="C2" s="2"/>
      <c r="D2" s="2"/>
      <c r="F2" s="4" t="s">
        <v>15</v>
      </c>
      <c r="G2" s="2"/>
      <c r="H2" s="2"/>
      <c r="I2" s="2"/>
      <c r="J2" s="2"/>
      <c r="K2" s="2"/>
      <c r="L2" s="2"/>
      <c r="M2" s="2"/>
      <c r="N2" s="2"/>
      <c r="O2" s="2"/>
      <c r="P2" s="21"/>
      <c r="Q2" s="23"/>
      <c r="R2" s="23"/>
      <c r="S2" s="23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3"/>
      <c r="P3" s="21"/>
      <c r="Q3" s="23"/>
      <c r="R3" s="23"/>
      <c r="S3" s="2"/>
      <c r="T3" s="23"/>
      <c r="U3" s="2"/>
      <c r="V3" s="2"/>
      <c r="W3" s="2"/>
      <c r="X3" s="2"/>
      <c r="Y3" s="2"/>
      <c r="Z3" s="2"/>
      <c r="AA3" s="2"/>
      <c r="AB3" s="2"/>
      <c r="AC3"/>
      <c r="AD3"/>
      <c r="AE3"/>
      <c r="AF3"/>
      <c r="AG3" s="2"/>
      <c r="AH3" s="2"/>
      <c r="AI3" s="2"/>
    </row>
    <row r="4" spans="1:35" x14ac:dyDescent="0.4">
      <c r="B4" s="2"/>
      <c r="C4" s="5"/>
      <c r="D4" s="5"/>
      <c r="E4" s="29"/>
      <c r="F4" s="29"/>
      <c r="G4" s="29"/>
      <c r="H4" s="29"/>
      <c r="I4" s="29"/>
      <c r="J4" s="51"/>
      <c r="K4" s="51"/>
      <c r="L4" s="47"/>
      <c r="M4" s="34"/>
      <c r="N4" s="51"/>
      <c r="O4" s="51"/>
      <c r="P4" s="51"/>
      <c r="Q4" s="51"/>
      <c r="R4" s="51"/>
      <c r="S4" s="51"/>
      <c r="T4" s="51"/>
      <c r="U4" s="51"/>
      <c r="V4" s="41"/>
      <c r="W4" s="41"/>
      <c r="X4" s="51"/>
      <c r="Y4" s="51"/>
      <c r="Z4" s="41"/>
      <c r="AA4" s="41"/>
      <c r="AB4" s="51"/>
      <c r="AC4" s="51"/>
      <c r="AD4" s="41"/>
      <c r="AE4" s="41"/>
      <c r="AF4" s="41"/>
      <c r="AG4" s="41"/>
      <c r="AH4" s="6"/>
      <c r="AI4" s="6"/>
    </row>
    <row r="5" spans="1:35" ht="30" customHeight="1" x14ac:dyDescent="0.4">
      <c r="B5" s="49" t="s">
        <v>9</v>
      </c>
      <c r="C5" s="49" t="s">
        <v>16</v>
      </c>
      <c r="D5" s="54" t="s">
        <v>17</v>
      </c>
      <c r="E5" s="49" t="s">
        <v>0</v>
      </c>
      <c r="F5" s="49" t="s">
        <v>1</v>
      </c>
      <c r="G5" s="49" t="s">
        <v>20</v>
      </c>
      <c r="H5" s="49" t="s">
        <v>32</v>
      </c>
      <c r="I5" s="49" t="s">
        <v>2</v>
      </c>
      <c r="J5" s="49" t="s">
        <v>10</v>
      </c>
      <c r="K5" s="49" t="s">
        <v>38</v>
      </c>
      <c r="L5" s="49" t="s">
        <v>46</v>
      </c>
      <c r="M5" s="49" t="s">
        <v>3</v>
      </c>
      <c r="N5" s="52" t="s">
        <v>44</v>
      </c>
      <c r="O5" s="53"/>
      <c r="P5" s="52" t="s">
        <v>11</v>
      </c>
      <c r="Q5" s="53"/>
      <c r="R5" s="52" t="s">
        <v>43</v>
      </c>
      <c r="S5" s="53"/>
      <c r="T5" s="52" t="s">
        <v>4</v>
      </c>
      <c r="U5" s="53"/>
      <c r="V5" s="55" t="s">
        <v>42</v>
      </c>
      <c r="W5" s="53"/>
      <c r="X5" s="52" t="s">
        <v>21</v>
      </c>
      <c r="Y5" s="53"/>
      <c r="Z5" s="52" t="s">
        <v>41</v>
      </c>
      <c r="AA5" s="53"/>
      <c r="AB5" s="52" t="s">
        <v>39</v>
      </c>
      <c r="AC5" s="53"/>
      <c r="AD5" s="52" t="s">
        <v>40</v>
      </c>
      <c r="AE5" s="53"/>
      <c r="AF5" s="52" t="s">
        <v>22</v>
      </c>
      <c r="AG5" s="53"/>
      <c r="AH5" s="52" t="s">
        <v>6</v>
      </c>
      <c r="AI5" s="53"/>
    </row>
    <row r="6" spans="1:35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7" t="s">
        <v>19</v>
      </c>
      <c r="O6" s="7" t="s">
        <v>7</v>
      </c>
      <c r="P6" s="7" t="str">
        <f>+$N$6</f>
        <v>Clark</v>
      </c>
      <c r="Q6" s="7" t="s">
        <v>7</v>
      </c>
      <c r="R6" s="7" t="str">
        <f>+$N$6</f>
        <v>Clark</v>
      </c>
      <c r="S6" s="7" t="s">
        <v>7</v>
      </c>
      <c r="T6" s="7" t="str">
        <f>+$N$6</f>
        <v>Clark</v>
      </c>
      <c r="U6" s="7" t="s">
        <v>7</v>
      </c>
      <c r="V6" s="7" t="str">
        <f>+$N$6</f>
        <v>Clark</v>
      </c>
      <c r="W6" s="7" t="s">
        <v>7</v>
      </c>
      <c r="X6" s="7" t="str">
        <f>+$N$6</f>
        <v>Clark</v>
      </c>
      <c r="Y6" s="7" t="s">
        <v>7</v>
      </c>
      <c r="Z6" s="7" t="str">
        <f>+$N$6</f>
        <v>Clark</v>
      </c>
      <c r="AA6" s="7" t="s">
        <v>7</v>
      </c>
      <c r="AB6" s="7" t="str">
        <f>+$N$6</f>
        <v>Clark</v>
      </c>
      <c r="AC6" s="7" t="s">
        <v>7</v>
      </c>
      <c r="AD6" s="7" t="str">
        <f>+$N$6</f>
        <v>Clark</v>
      </c>
      <c r="AE6" s="7" t="s">
        <v>7</v>
      </c>
      <c r="AF6" s="7" t="s">
        <v>19</v>
      </c>
      <c r="AG6" s="7" t="s">
        <v>7</v>
      </c>
      <c r="AH6" s="7" t="str">
        <f>+$N$6</f>
        <v>Clark</v>
      </c>
      <c r="AI6" s="7" t="s">
        <v>7</v>
      </c>
    </row>
    <row r="7" spans="1:35" x14ac:dyDescent="0.4">
      <c r="A7" s="48"/>
      <c r="B7" s="18"/>
      <c r="C7" s="8"/>
      <c r="D7" s="25">
        <v>37.75</v>
      </c>
      <c r="E7" s="30">
        <v>35669.599999999999</v>
      </c>
      <c r="F7" s="31">
        <v>16871.169999999998</v>
      </c>
      <c r="G7" s="22"/>
      <c r="H7" s="22">
        <v>1750</v>
      </c>
      <c r="I7" s="31"/>
      <c r="J7" s="16"/>
      <c r="K7" s="16"/>
      <c r="L7" s="16"/>
      <c r="M7" s="32">
        <f>SUM(E7:L7)</f>
        <v>54290.77</v>
      </c>
      <c r="N7" s="16">
        <v>8328.06</v>
      </c>
      <c r="O7" s="20">
        <v>3398.4</v>
      </c>
      <c r="P7" s="16">
        <v>519.96</v>
      </c>
      <c r="Q7" s="20">
        <v>162.96</v>
      </c>
      <c r="R7" s="16">
        <f>(5.81*6)</f>
        <v>34.86</v>
      </c>
      <c r="S7" s="16">
        <v>67.62</v>
      </c>
      <c r="T7" s="16">
        <f>(41.54*6)+(0.8*6)</f>
        <v>254.04000000000002</v>
      </c>
      <c r="U7" s="16">
        <f>(6.67*6)+(1.2*6)+(12)</f>
        <v>59.22</v>
      </c>
      <c r="V7" s="16"/>
      <c r="W7" s="16"/>
      <c r="X7" s="16">
        <f>(109.01*6)</f>
        <v>654.06000000000006</v>
      </c>
      <c r="Y7" s="16"/>
      <c r="Z7" s="16"/>
      <c r="AA7" s="16"/>
      <c r="AB7" s="16"/>
      <c r="AC7" s="16"/>
      <c r="AD7" s="16">
        <f>(1206.72+50.11)*6</f>
        <v>7540.98</v>
      </c>
      <c r="AE7" s="16"/>
      <c r="AF7" s="16">
        <v>600</v>
      </c>
      <c r="AG7" s="16"/>
      <c r="AH7" s="9">
        <f>+M7+N7+P7+R7+T7+X7+AB7+AD7+AF7+J7+K7+V7+Z7</f>
        <v>72222.73</v>
      </c>
      <c r="AI7" s="9">
        <f>+O7+Q7+S7+U7+Y7+AC7+AE7+AG7+W7+AA7</f>
        <v>3688.2</v>
      </c>
    </row>
    <row r="8" spans="1:35" x14ac:dyDescent="0.4">
      <c r="A8" s="48"/>
      <c r="B8" s="18"/>
      <c r="C8" s="8"/>
      <c r="D8" s="25">
        <v>44.09</v>
      </c>
      <c r="E8" s="30">
        <v>44085.599999999999</v>
      </c>
      <c r="F8" s="31">
        <v>5500.13</v>
      </c>
      <c r="G8" s="22"/>
      <c r="H8" s="22"/>
      <c r="I8" s="31"/>
      <c r="J8" s="16"/>
      <c r="K8" s="16"/>
      <c r="L8" s="16"/>
      <c r="M8" s="32">
        <f t="shared" ref="M8:M71" si="0">SUM(E8:L8)</f>
        <v>49585.729999999996</v>
      </c>
      <c r="N8" s="16">
        <v>2541.36</v>
      </c>
      <c r="O8" s="20">
        <v>282.36</v>
      </c>
      <c r="P8" s="16">
        <v>351</v>
      </c>
      <c r="Q8" s="20">
        <v>72</v>
      </c>
      <c r="R8" s="16">
        <f t="shared" ref="R8:R57" si="1">(5.81*6)</f>
        <v>34.86</v>
      </c>
      <c r="S8" s="16">
        <v>0</v>
      </c>
      <c r="T8" s="16">
        <f>(52.07*6)+(4.3*6)</f>
        <v>338.22</v>
      </c>
      <c r="U8" s="16">
        <f>(44.86*6)+(6.45*6)+(520.2)</f>
        <v>828.06</v>
      </c>
      <c r="V8" s="16"/>
      <c r="W8" s="16">
        <v>126.06</v>
      </c>
      <c r="X8" s="16">
        <f>(135.87*6)</f>
        <v>815.22</v>
      </c>
      <c r="Y8" s="16"/>
      <c r="Z8" s="16"/>
      <c r="AA8" s="16"/>
      <c r="AB8" s="16"/>
      <c r="AC8" s="16">
        <v>2479.29</v>
      </c>
      <c r="AD8" s="16"/>
      <c r="AE8" s="16"/>
      <c r="AF8" s="16">
        <v>600</v>
      </c>
      <c r="AG8" s="16"/>
      <c r="AH8" s="9">
        <f t="shared" ref="AH8:AH71" si="2">+M8+N8+P8+R8+T8+X8+AB8+AD8+AF8+J8+K8+V8+Z8</f>
        <v>54266.39</v>
      </c>
      <c r="AI8" s="9">
        <f t="shared" ref="AI8:AI71" si="3">+O8+Q8+S8+U8+Y8+AC8+AE8+AG8+W8+AA8</f>
        <v>3787.77</v>
      </c>
    </row>
    <row r="9" spans="1:35" x14ac:dyDescent="0.4">
      <c r="A9" s="48"/>
      <c r="B9" s="18"/>
      <c r="C9" s="8"/>
      <c r="D9" s="25">
        <v>26.43</v>
      </c>
      <c r="E9" s="30">
        <v>26052.03</v>
      </c>
      <c r="F9" s="31">
        <v>7571.38</v>
      </c>
      <c r="G9" s="22"/>
      <c r="H9" s="22"/>
      <c r="I9" s="31"/>
      <c r="J9" s="16"/>
      <c r="K9" s="16"/>
      <c r="L9" s="16"/>
      <c r="M9" s="32">
        <f t="shared" si="0"/>
        <v>33623.409999999996</v>
      </c>
      <c r="N9" s="16">
        <v>2541.36</v>
      </c>
      <c r="O9" s="20">
        <v>282.36</v>
      </c>
      <c r="P9" s="16">
        <v>117.08</v>
      </c>
      <c r="Q9" s="20">
        <v>24.04</v>
      </c>
      <c r="R9" s="16">
        <f t="shared" si="1"/>
        <v>34.86</v>
      </c>
      <c r="S9" s="16">
        <v>0</v>
      </c>
      <c r="T9" s="16">
        <f>(31.01*6)</f>
        <v>186.06</v>
      </c>
      <c r="U9" s="16">
        <f>(3.07*6)</f>
        <v>18.419999999999998</v>
      </c>
      <c r="V9" s="16"/>
      <c r="W9" s="16"/>
      <c r="X9" s="16">
        <f>(80.29*6)</f>
        <v>481.74</v>
      </c>
      <c r="Y9" s="16"/>
      <c r="Z9" s="16"/>
      <c r="AA9" s="16"/>
      <c r="AB9" s="16"/>
      <c r="AC9" s="16"/>
      <c r="AD9" s="16">
        <f>(888.81+36.91)*6</f>
        <v>5554.32</v>
      </c>
      <c r="AE9" s="16"/>
      <c r="AF9" s="16">
        <v>600</v>
      </c>
      <c r="AG9" s="16"/>
      <c r="AH9" s="9">
        <f t="shared" si="2"/>
        <v>43138.829999999994</v>
      </c>
      <c r="AI9" s="9">
        <f t="shared" si="3"/>
        <v>324.82000000000005</v>
      </c>
    </row>
    <row r="10" spans="1:35" x14ac:dyDescent="0.4">
      <c r="A10" s="48"/>
      <c r="B10" s="18"/>
      <c r="C10" s="8"/>
      <c r="D10" s="25">
        <v>51.01</v>
      </c>
      <c r="E10" s="30">
        <v>51012</v>
      </c>
      <c r="F10" s="33">
        <v>22808.27</v>
      </c>
      <c r="G10" s="22"/>
      <c r="H10" s="22">
        <v>1600</v>
      </c>
      <c r="I10" s="33"/>
      <c r="J10" s="16"/>
      <c r="K10" s="16"/>
      <c r="L10" s="16"/>
      <c r="M10" s="32">
        <f t="shared" si="0"/>
        <v>75420.27</v>
      </c>
      <c r="N10" s="16">
        <v>8328.06</v>
      </c>
      <c r="O10" s="20">
        <v>3398.4</v>
      </c>
      <c r="P10" s="16">
        <v>519.96</v>
      </c>
      <c r="Q10" s="20">
        <v>162.96</v>
      </c>
      <c r="R10" s="16">
        <f t="shared" si="1"/>
        <v>34.86</v>
      </c>
      <c r="S10" s="16">
        <v>67.62</v>
      </c>
      <c r="T10" s="16">
        <f>(60.26*6)+(2.3*6)</f>
        <v>375.36</v>
      </c>
      <c r="U10" s="16">
        <f>(27.81*6)+(6)</f>
        <v>172.85999999999999</v>
      </c>
      <c r="V10" s="16"/>
      <c r="W10" s="16"/>
      <c r="X10" s="16">
        <f>(157.22*6)</f>
        <v>943.31999999999994</v>
      </c>
      <c r="Y10" s="16"/>
      <c r="Z10" s="16"/>
      <c r="AA10" s="16"/>
      <c r="AB10" s="16"/>
      <c r="AC10" s="42">
        <v>3771.04</v>
      </c>
      <c r="AD10" s="42">
        <f>(2704.49+112.23)*6</f>
        <v>16900.32</v>
      </c>
      <c r="AE10" s="42"/>
      <c r="AF10" s="16">
        <v>600</v>
      </c>
      <c r="AG10" s="16"/>
      <c r="AH10" s="9">
        <f t="shared" si="2"/>
        <v>103122.15000000002</v>
      </c>
      <c r="AI10" s="9">
        <f t="shared" si="3"/>
        <v>7572.88</v>
      </c>
    </row>
    <row r="11" spans="1:35" x14ac:dyDescent="0.4">
      <c r="A11" s="48"/>
      <c r="B11" s="18"/>
      <c r="C11" s="8"/>
      <c r="D11" s="25">
        <v>35.97</v>
      </c>
      <c r="E11" s="30">
        <v>14757.6</v>
      </c>
      <c r="F11" s="33">
        <v>3548.16</v>
      </c>
      <c r="G11" s="22"/>
      <c r="H11" s="22"/>
      <c r="I11" s="31"/>
      <c r="J11" s="16"/>
      <c r="K11" s="16"/>
      <c r="L11" s="16"/>
      <c r="M11" s="32">
        <f t="shared" si="0"/>
        <v>18305.760000000002</v>
      </c>
      <c r="N11" s="16">
        <v>4164.03</v>
      </c>
      <c r="O11" s="20">
        <v>1699.2</v>
      </c>
      <c r="P11" s="16">
        <v>259.98</v>
      </c>
      <c r="Q11" s="20">
        <v>81.48</v>
      </c>
      <c r="R11" s="16">
        <f>(5.81*3)</f>
        <v>17.43</v>
      </c>
      <c r="S11" s="16">
        <v>33.81</v>
      </c>
      <c r="T11" s="16">
        <f>(40.37*2)+(0.8*2)</f>
        <v>82.339999999999989</v>
      </c>
      <c r="U11" s="16">
        <f>(1.2*2)+(4)</f>
        <v>6.4</v>
      </c>
      <c r="V11" s="16"/>
      <c r="W11" s="16"/>
      <c r="X11" s="16">
        <f>(105.77*2)</f>
        <v>211.54</v>
      </c>
      <c r="Y11" s="16"/>
      <c r="Z11" s="16"/>
      <c r="AA11" s="16"/>
      <c r="AB11" s="16"/>
      <c r="AC11" s="16"/>
      <c r="AD11" s="16"/>
      <c r="AE11" s="16"/>
      <c r="AF11" s="16">
        <v>600</v>
      </c>
      <c r="AG11" s="16"/>
      <c r="AH11" s="9">
        <f t="shared" si="2"/>
        <v>23641.08</v>
      </c>
      <c r="AI11" s="9">
        <f t="shared" si="3"/>
        <v>1820.89</v>
      </c>
    </row>
    <row r="12" spans="1:35" x14ac:dyDescent="0.4">
      <c r="A12" s="48"/>
      <c r="B12" s="18"/>
      <c r="C12" s="8"/>
      <c r="D12" s="25">
        <v>33.369999999999997</v>
      </c>
      <c r="E12" s="30">
        <v>32895.199999999997</v>
      </c>
      <c r="F12" s="33">
        <v>891.98</v>
      </c>
      <c r="G12" s="22"/>
      <c r="H12" s="22"/>
      <c r="I12" s="33"/>
      <c r="J12" s="16"/>
      <c r="K12" s="16"/>
      <c r="L12" s="16"/>
      <c r="M12" s="32">
        <f t="shared" si="0"/>
        <v>33787.18</v>
      </c>
      <c r="N12" s="16">
        <v>2541.36</v>
      </c>
      <c r="O12" s="20">
        <v>282.36</v>
      </c>
      <c r="P12" s="16">
        <v>217</v>
      </c>
      <c r="Q12" s="20">
        <v>0</v>
      </c>
      <c r="R12" s="16">
        <f t="shared" si="1"/>
        <v>34.86</v>
      </c>
      <c r="S12" s="16">
        <v>0</v>
      </c>
      <c r="T12" s="16">
        <f>(35.69*6)</f>
        <v>214.14</v>
      </c>
      <c r="U12" s="16">
        <f>(6.47*6)+(12)</f>
        <v>50.82</v>
      </c>
      <c r="V12" s="16"/>
      <c r="W12" s="16"/>
      <c r="X12" s="16">
        <f>(93.88*6)</f>
        <v>563.28</v>
      </c>
      <c r="Y12" s="16"/>
      <c r="Z12" s="16"/>
      <c r="AA12" s="16"/>
      <c r="AB12" s="16"/>
      <c r="AC12" s="16"/>
      <c r="AD12" s="16">
        <f>(1039.24+43.15)*6</f>
        <v>6494.34</v>
      </c>
      <c r="AE12" s="16"/>
      <c r="AF12" s="16">
        <v>600</v>
      </c>
      <c r="AG12" s="16"/>
      <c r="AH12" s="9">
        <f t="shared" si="2"/>
        <v>44452.160000000003</v>
      </c>
      <c r="AI12" s="9">
        <f t="shared" si="3"/>
        <v>333.18</v>
      </c>
    </row>
    <row r="13" spans="1:35" x14ac:dyDescent="0.4">
      <c r="A13" s="48"/>
      <c r="B13" s="18"/>
      <c r="C13" s="8"/>
      <c r="D13" s="25">
        <v>43.43</v>
      </c>
      <c r="E13" s="30">
        <v>43014.400000000001</v>
      </c>
      <c r="F13" s="33">
        <v>11508.42</v>
      </c>
      <c r="G13" s="22"/>
      <c r="H13" s="22">
        <v>1500</v>
      </c>
      <c r="I13" s="33"/>
      <c r="J13" s="16"/>
      <c r="K13" s="16"/>
      <c r="L13" s="16"/>
      <c r="M13" s="32">
        <f t="shared" si="0"/>
        <v>56022.82</v>
      </c>
      <c r="N13" s="16">
        <v>5482.92</v>
      </c>
      <c r="O13" s="20">
        <v>1866.24</v>
      </c>
      <c r="P13" s="16">
        <v>217.2</v>
      </c>
      <c r="Q13" s="20">
        <v>0</v>
      </c>
      <c r="R13" s="16">
        <f t="shared" si="1"/>
        <v>34.86</v>
      </c>
      <c r="S13" s="16">
        <v>0</v>
      </c>
      <c r="T13" s="16">
        <f>(50.9*6)+(0.6*6)</f>
        <v>309</v>
      </c>
      <c r="U13" s="16">
        <f>(0.9*6)+(6.09*6)</f>
        <v>41.94</v>
      </c>
      <c r="V13" s="16"/>
      <c r="W13" s="16"/>
      <c r="X13" s="16">
        <f>(132.57*6)</f>
        <v>795.42</v>
      </c>
      <c r="Y13" s="16"/>
      <c r="Z13" s="16"/>
      <c r="AA13" s="16"/>
      <c r="AB13" s="16"/>
      <c r="AC13" s="16">
        <v>6722.74</v>
      </c>
      <c r="AD13" s="16">
        <f>(1467.51+60.94)*6</f>
        <v>9170.7000000000007</v>
      </c>
      <c r="AE13" s="16"/>
      <c r="AF13" s="16">
        <v>600</v>
      </c>
      <c r="AG13" s="16"/>
      <c r="AH13" s="9">
        <f t="shared" si="2"/>
        <v>72632.92</v>
      </c>
      <c r="AI13" s="9">
        <f t="shared" si="3"/>
        <v>8630.92</v>
      </c>
    </row>
    <row r="14" spans="1:35" x14ac:dyDescent="0.4">
      <c r="A14" s="48"/>
      <c r="B14" s="18"/>
      <c r="C14" s="8"/>
      <c r="D14" s="25">
        <v>46.64</v>
      </c>
      <c r="E14" s="30">
        <v>35368.01</v>
      </c>
      <c r="F14" s="33">
        <v>8422.02</v>
      </c>
      <c r="G14" s="22"/>
      <c r="H14" s="22">
        <v>1000</v>
      </c>
      <c r="I14" s="31"/>
      <c r="J14" s="16"/>
      <c r="K14" s="16"/>
      <c r="L14" s="16"/>
      <c r="M14" s="32">
        <f t="shared" si="0"/>
        <v>44790.03</v>
      </c>
      <c r="N14" s="16">
        <v>5483</v>
      </c>
      <c r="O14" s="20">
        <v>1866.24</v>
      </c>
      <c r="P14" s="16">
        <v>361.2</v>
      </c>
      <c r="Q14" s="20">
        <v>77.64</v>
      </c>
      <c r="R14" s="16">
        <f t="shared" si="1"/>
        <v>34.86</v>
      </c>
      <c r="S14" s="16">
        <v>34.86</v>
      </c>
      <c r="T14" s="16">
        <f>(52.65*6)</f>
        <v>315.89999999999998</v>
      </c>
      <c r="U14" s="16">
        <f>(10.62*6)+(12)</f>
        <v>75.72</v>
      </c>
      <c r="V14" s="16"/>
      <c r="W14" s="16"/>
      <c r="X14" s="16">
        <f>(137.57*6)</f>
        <v>825.42</v>
      </c>
      <c r="Y14" s="16"/>
      <c r="Z14" s="16"/>
      <c r="AA14" s="16">
        <v>176.15</v>
      </c>
      <c r="AB14" s="16"/>
      <c r="AC14" s="16">
        <v>2239.5</v>
      </c>
      <c r="AD14" s="16"/>
      <c r="AE14" s="16"/>
      <c r="AF14" s="16">
        <v>600</v>
      </c>
      <c r="AG14" s="16"/>
      <c r="AH14" s="9">
        <f t="shared" si="2"/>
        <v>52410.409999999996</v>
      </c>
      <c r="AI14" s="9">
        <f t="shared" si="3"/>
        <v>4470.1099999999997</v>
      </c>
    </row>
    <row r="15" spans="1:35" x14ac:dyDescent="0.4">
      <c r="A15" s="48"/>
      <c r="B15" s="18"/>
      <c r="C15" s="8"/>
      <c r="D15" s="25">
        <v>38.979999999999997</v>
      </c>
      <c r="E15" s="30">
        <v>39166.400000000001</v>
      </c>
      <c r="F15" s="33">
        <v>564.9</v>
      </c>
      <c r="G15" s="22"/>
      <c r="H15" s="22"/>
      <c r="I15" s="31"/>
      <c r="J15" s="16"/>
      <c r="K15" s="16"/>
      <c r="L15" s="16"/>
      <c r="M15" s="32">
        <f t="shared" si="0"/>
        <v>39731.300000000003</v>
      </c>
      <c r="N15" s="16">
        <v>6061.68</v>
      </c>
      <c r="O15" s="20">
        <v>2178</v>
      </c>
      <c r="P15" s="16">
        <v>351</v>
      </c>
      <c r="Q15" s="20">
        <v>72</v>
      </c>
      <c r="R15" s="16">
        <f t="shared" si="1"/>
        <v>34.86</v>
      </c>
      <c r="S15" s="16">
        <v>31.38</v>
      </c>
      <c r="T15" s="16">
        <f>(46.22*6)+(4.3*6)</f>
        <v>303.12</v>
      </c>
      <c r="U15" s="16">
        <f>(17.2*6)+(169.2)</f>
        <v>272.39999999999998</v>
      </c>
      <c r="V15" s="16"/>
      <c r="W15" s="16"/>
      <c r="X15" s="16">
        <f>(120.71*6)</f>
        <v>724.26</v>
      </c>
      <c r="Y15" s="16"/>
      <c r="Z15" s="16"/>
      <c r="AA15" s="16"/>
      <c r="AB15" s="16"/>
      <c r="AC15" s="16">
        <v>15500.03</v>
      </c>
      <c r="AD15" s="16">
        <f>(2076.48+86.17)*6</f>
        <v>12975.900000000001</v>
      </c>
      <c r="AE15" s="16"/>
      <c r="AF15" s="16">
        <v>600</v>
      </c>
      <c r="AG15" s="16"/>
      <c r="AH15" s="9">
        <f t="shared" si="2"/>
        <v>60782.12000000001</v>
      </c>
      <c r="AI15" s="9">
        <f t="shared" si="3"/>
        <v>18053.810000000001</v>
      </c>
    </row>
    <row r="16" spans="1:35" x14ac:dyDescent="0.4">
      <c r="A16" s="48"/>
      <c r="B16" s="18"/>
      <c r="C16" s="8"/>
      <c r="D16" s="25">
        <v>43.18</v>
      </c>
      <c r="E16" s="30">
        <v>42764.800000000003</v>
      </c>
      <c r="F16" s="33">
        <v>19398.36</v>
      </c>
      <c r="G16" s="22"/>
      <c r="H16" s="22">
        <v>2500</v>
      </c>
      <c r="I16" s="31"/>
      <c r="J16" s="16"/>
      <c r="K16" s="16"/>
      <c r="L16" s="16"/>
      <c r="M16" s="32">
        <f t="shared" si="0"/>
        <v>64663.16</v>
      </c>
      <c r="N16" s="16">
        <v>8328.06</v>
      </c>
      <c r="O16" s="20">
        <v>3398</v>
      </c>
      <c r="P16" s="16">
        <v>519.96</v>
      </c>
      <c r="Q16" s="20">
        <v>162.96</v>
      </c>
      <c r="R16" s="16">
        <f t="shared" si="1"/>
        <v>34.86</v>
      </c>
      <c r="S16" s="16">
        <v>67.62</v>
      </c>
      <c r="T16" s="16">
        <f>(50.31*6)+(0.8*6)</f>
        <v>306.66000000000003</v>
      </c>
      <c r="U16" s="16">
        <f>(1.2*6)+(8.08*6)+(12)</f>
        <v>67.680000000000007</v>
      </c>
      <c r="V16" s="16"/>
      <c r="W16" s="16"/>
      <c r="X16" s="16">
        <f>(131.8*6)</f>
        <v>790.80000000000007</v>
      </c>
      <c r="Y16" s="16"/>
      <c r="Z16" s="16"/>
      <c r="AA16" s="16"/>
      <c r="AB16" s="16"/>
      <c r="AC16" s="16"/>
      <c r="AD16" s="16">
        <f>(1459+60.58)*6</f>
        <v>9117.48</v>
      </c>
      <c r="AE16" s="16"/>
      <c r="AF16" s="16">
        <v>600</v>
      </c>
      <c r="AG16" s="16"/>
      <c r="AH16" s="9">
        <f t="shared" si="2"/>
        <v>84360.98000000001</v>
      </c>
      <c r="AI16" s="9">
        <f t="shared" si="3"/>
        <v>3696.2599999999998</v>
      </c>
    </row>
    <row r="17" spans="1:35" x14ac:dyDescent="0.4">
      <c r="A17" s="48"/>
      <c r="B17" s="18"/>
      <c r="C17" s="8"/>
      <c r="D17" s="25">
        <v>43.36</v>
      </c>
      <c r="E17" s="30">
        <v>42744</v>
      </c>
      <c r="F17" s="30">
        <v>17200.37</v>
      </c>
      <c r="G17" s="22"/>
      <c r="H17" s="22"/>
      <c r="I17" s="31"/>
      <c r="J17" s="16"/>
      <c r="K17" s="16"/>
      <c r="L17" s="16"/>
      <c r="M17" s="32">
        <f t="shared" si="0"/>
        <v>59944.369999999995</v>
      </c>
      <c r="N17" s="16">
        <v>2541.36</v>
      </c>
      <c r="O17" s="20">
        <v>282.36</v>
      </c>
      <c r="P17" s="16">
        <v>217</v>
      </c>
      <c r="Q17" s="20">
        <v>0</v>
      </c>
      <c r="R17" s="16">
        <f t="shared" si="1"/>
        <v>34.86</v>
      </c>
      <c r="S17" s="16">
        <v>0</v>
      </c>
      <c r="T17" s="16">
        <f>(50.31*6)</f>
        <v>301.86</v>
      </c>
      <c r="U17" s="16">
        <v>0</v>
      </c>
      <c r="V17" s="16"/>
      <c r="W17" s="16"/>
      <c r="X17" s="16">
        <f>(131.74*6)</f>
        <v>790.44</v>
      </c>
      <c r="Y17" s="16"/>
      <c r="Z17" s="16"/>
      <c r="AA17" s="16">
        <v>188.58</v>
      </c>
      <c r="AB17" s="16"/>
      <c r="AC17" s="16">
        <v>5994.47</v>
      </c>
      <c r="AD17" s="16">
        <f>(1458.28+60.55)*6</f>
        <v>9112.98</v>
      </c>
      <c r="AE17" s="16"/>
      <c r="AF17" s="16">
        <v>600</v>
      </c>
      <c r="AG17" s="16"/>
      <c r="AH17" s="9">
        <f t="shared" si="2"/>
        <v>73542.87</v>
      </c>
      <c r="AI17" s="9">
        <f t="shared" si="3"/>
        <v>6465.41</v>
      </c>
    </row>
    <row r="18" spans="1:35" x14ac:dyDescent="0.4">
      <c r="A18" s="48"/>
      <c r="B18" s="18"/>
      <c r="C18" s="8"/>
      <c r="D18" s="25">
        <v>42.27</v>
      </c>
      <c r="E18" s="30">
        <v>42265.599999999999</v>
      </c>
      <c r="F18" s="33">
        <v>9022.08</v>
      </c>
      <c r="G18" s="22"/>
      <c r="H18" s="22"/>
      <c r="I18" s="31"/>
      <c r="J18" s="16"/>
      <c r="K18" s="16"/>
      <c r="L18" s="16"/>
      <c r="M18" s="32">
        <f t="shared" si="0"/>
        <v>51287.68</v>
      </c>
      <c r="N18" s="16">
        <v>2541.36</v>
      </c>
      <c r="O18" s="20">
        <v>282.36</v>
      </c>
      <c r="P18" s="16">
        <v>217</v>
      </c>
      <c r="Q18" s="20">
        <v>0</v>
      </c>
      <c r="R18" s="16">
        <f t="shared" si="1"/>
        <v>34.86</v>
      </c>
      <c r="S18" s="16">
        <v>0</v>
      </c>
      <c r="T18" s="16">
        <f>(49.73*6)</f>
        <v>298.38</v>
      </c>
      <c r="U18" s="16">
        <v>12</v>
      </c>
      <c r="V18" s="16"/>
      <c r="W18" s="16"/>
      <c r="X18" s="16">
        <f>(130.26*6)</f>
        <v>781.56</v>
      </c>
      <c r="Y18" s="16"/>
      <c r="Z18" s="16"/>
      <c r="AA18" s="16"/>
      <c r="AB18" s="16"/>
      <c r="AC18" s="16"/>
      <c r="AD18" s="16">
        <f>(2240.78+92.98)*6</f>
        <v>14002.560000000001</v>
      </c>
      <c r="AE18" s="16"/>
      <c r="AF18" s="16">
        <v>600</v>
      </c>
      <c r="AG18" s="16"/>
      <c r="AH18" s="9">
        <f t="shared" si="2"/>
        <v>69763.399999999994</v>
      </c>
      <c r="AI18" s="9">
        <f t="shared" si="3"/>
        <v>294.36</v>
      </c>
    </row>
    <row r="19" spans="1:35" x14ac:dyDescent="0.4">
      <c r="A19" s="48"/>
      <c r="B19" s="18"/>
      <c r="C19" s="8"/>
      <c r="D19" s="25">
        <v>41.65</v>
      </c>
      <c r="E19" s="30">
        <v>39944</v>
      </c>
      <c r="F19" s="33">
        <v>12086.86</v>
      </c>
      <c r="G19" s="22"/>
      <c r="H19" s="22">
        <v>1900</v>
      </c>
      <c r="I19" s="31"/>
      <c r="J19" s="16"/>
      <c r="K19" s="16"/>
      <c r="L19" s="16"/>
      <c r="M19" s="32">
        <f t="shared" si="0"/>
        <v>53930.86</v>
      </c>
      <c r="N19" s="16">
        <v>5482.92</v>
      </c>
      <c r="O19" s="20">
        <v>1866.24</v>
      </c>
      <c r="P19" s="16">
        <v>361</v>
      </c>
      <c r="Q19" s="20">
        <v>78</v>
      </c>
      <c r="R19" s="16">
        <f t="shared" si="1"/>
        <v>34.86</v>
      </c>
      <c r="S19" s="16">
        <v>34.86</v>
      </c>
      <c r="T19" s="16">
        <f>(46.22*6)+(0.8*6)</f>
        <v>282.12</v>
      </c>
      <c r="U19" s="16">
        <v>6</v>
      </c>
      <c r="V19" s="16"/>
      <c r="W19" s="16"/>
      <c r="X19" s="16">
        <f>(120.52*6)</f>
        <v>723.12</v>
      </c>
      <c r="Y19" s="16"/>
      <c r="Z19" s="16"/>
      <c r="AA19" s="16"/>
      <c r="AB19" s="16"/>
      <c r="AC19" s="16">
        <v>3235.86</v>
      </c>
      <c r="AD19" s="16">
        <f>(1334.1+55.4)*6</f>
        <v>8337</v>
      </c>
      <c r="AE19" s="16"/>
      <c r="AF19" s="16">
        <v>600</v>
      </c>
      <c r="AG19" s="16"/>
      <c r="AH19" s="9">
        <f t="shared" si="2"/>
        <v>69751.88</v>
      </c>
      <c r="AI19" s="9">
        <f t="shared" si="3"/>
        <v>5220.96</v>
      </c>
    </row>
    <row r="20" spans="1:35" x14ac:dyDescent="0.4">
      <c r="A20" s="48"/>
      <c r="B20" s="18"/>
      <c r="C20" s="8"/>
      <c r="D20" s="25">
        <v>23.59</v>
      </c>
      <c r="E20" s="30">
        <v>23254.400000000001</v>
      </c>
      <c r="F20" s="33">
        <v>402.48</v>
      </c>
      <c r="G20" s="22"/>
      <c r="H20" s="22"/>
      <c r="I20" s="31"/>
      <c r="J20" s="16"/>
      <c r="K20" s="16"/>
      <c r="L20" s="16"/>
      <c r="M20" s="32">
        <f t="shared" si="0"/>
        <v>23656.880000000001</v>
      </c>
      <c r="N20" s="16">
        <v>0</v>
      </c>
      <c r="O20" s="20">
        <v>0</v>
      </c>
      <c r="P20" s="16">
        <v>217</v>
      </c>
      <c r="Q20" s="20">
        <v>0</v>
      </c>
      <c r="R20" s="16">
        <f t="shared" si="1"/>
        <v>34.86</v>
      </c>
      <c r="S20" s="16">
        <v>0</v>
      </c>
      <c r="T20" s="16">
        <f>(27.5*6)+(1*6)</f>
        <v>171</v>
      </c>
      <c r="U20" s="44">
        <f>(5.55*6)+(12)</f>
        <v>45.3</v>
      </c>
      <c r="V20" s="16"/>
      <c r="W20" s="16"/>
      <c r="X20" s="45">
        <f>(71.67*6)</f>
        <v>430.02</v>
      </c>
      <c r="Y20" s="16"/>
      <c r="Z20" s="16"/>
      <c r="AA20" s="16"/>
      <c r="AB20" s="16"/>
      <c r="AC20" s="16">
        <v>709.67</v>
      </c>
      <c r="AD20" s="16">
        <f>(793.37+32.94)*6</f>
        <v>4957.8599999999997</v>
      </c>
      <c r="AE20" s="16"/>
      <c r="AF20" s="16"/>
      <c r="AG20" s="16"/>
      <c r="AH20" s="9">
        <f t="shared" si="2"/>
        <v>29467.620000000003</v>
      </c>
      <c r="AI20" s="9">
        <f t="shared" si="3"/>
        <v>754.96999999999991</v>
      </c>
    </row>
    <row r="21" spans="1:35" ht="15" customHeight="1" x14ac:dyDescent="0.4">
      <c r="A21" s="48"/>
      <c r="B21" s="18"/>
      <c r="C21" s="8"/>
      <c r="D21" s="25">
        <v>22.58</v>
      </c>
      <c r="E21" s="30">
        <v>22256</v>
      </c>
      <c r="F21" s="33">
        <v>1717.35</v>
      </c>
      <c r="G21" s="22"/>
      <c r="H21" s="22"/>
      <c r="I21" s="31"/>
      <c r="J21" s="16"/>
      <c r="K21" s="16"/>
      <c r="L21" s="16"/>
      <c r="M21" s="32">
        <f t="shared" si="0"/>
        <v>23973.35</v>
      </c>
      <c r="N21" s="16">
        <v>0</v>
      </c>
      <c r="O21" s="20">
        <v>0</v>
      </c>
      <c r="P21" s="16">
        <v>0</v>
      </c>
      <c r="Q21" s="20">
        <v>0</v>
      </c>
      <c r="R21" s="16">
        <f t="shared" si="1"/>
        <v>34.86</v>
      </c>
      <c r="S21" s="16">
        <v>0</v>
      </c>
      <c r="T21" s="16">
        <f>(26.33*6)</f>
        <v>157.97999999999999</v>
      </c>
      <c r="U21" s="44">
        <v>12</v>
      </c>
      <c r="V21" s="16"/>
      <c r="W21" s="16"/>
      <c r="X21" s="45">
        <f>(68.59*6)</f>
        <v>411.54</v>
      </c>
      <c r="Y21" s="16"/>
      <c r="Z21" s="16"/>
      <c r="AA21" s="16"/>
      <c r="AB21" s="16"/>
      <c r="AC21" s="16"/>
      <c r="AD21" s="16"/>
      <c r="AE21" s="16"/>
      <c r="AF21" s="16"/>
      <c r="AG21" s="16"/>
      <c r="AH21" s="9">
        <f t="shared" si="2"/>
        <v>24577.73</v>
      </c>
      <c r="AI21" s="9">
        <f t="shared" si="3"/>
        <v>12</v>
      </c>
    </row>
    <row r="22" spans="1:35" ht="14.25" customHeight="1" x14ac:dyDescent="0.4">
      <c r="A22" s="48"/>
      <c r="B22" s="18"/>
      <c r="C22" s="8"/>
      <c r="D22" s="25">
        <v>55.15</v>
      </c>
      <c r="E22" s="30">
        <v>53593.599999999999</v>
      </c>
      <c r="F22" s="33">
        <v>1775.16</v>
      </c>
      <c r="G22" s="22"/>
      <c r="H22" s="22">
        <v>100</v>
      </c>
      <c r="I22" s="31"/>
      <c r="J22" s="16"/>
      <c r="K22" s="16"/>
      <c r="L22" s="16"/>
      <c r="M22" s="32">
        <f t="shared" si="0"/>
        <v>55468.76</v>
      </c>
      <c r="N22" s="16">
        <v>6061.68</v>
      </c>
      <c r="O22" s="20">
        <v>2178</v>
      </c>
      <c r="P22" s="16">
        <v>351</v>
      </c>
      <c r="Q22" s="20">
        <v>72</v>
      </c>
      <c r="R22" s="16">
        <f t="shared" si="1"/>
        <v>34.86</v>
      </c>
      <c r="S22" s="16">
        <v>31.38</v>
      </c>
      <c r="T22" s="16">
        <f>(60.26*6)+(2.3*6)</f>
        <v>375.36</v>
      </c>
      <c r="U22" s="44">
        <v>0</v>
      </c>
      <c r="V22" s="16"/>
      <c r="W22" s="16">
        <v>126.06</v>
      </c>
      <c r="X22" s="45">
        <f>(158.05*6)</f>
        <v>948.30000000000007</v>
      </c>
      <c r="Y22" s="16"/>
      <c r="Z22" s="16"/>
      <c r="AA22" s="16"/>
      <c r="AB22" s="16"/>
      <c r="AC22" s="16">
        <v>2773.44</v>
      </c>
      <c r="AD22" s="16">
        <f>(2626.74+112.82)*6</f>
        <v>16437.36</v>
      </c>
      <c r="AE22" s="16"/>
      <c r="AF22" s="16">
        <v>600</v>
      </c>
      <c r="AG22" s="16"/>
      <c r="AH22" s="9">
        <f t="shared" si="2"/>
        <v>80277.320000000007</v>
      </c>
      <c r="AI22" s="9">
        <f t="shared" si="3"/>
        <v>5180.88</v>
      </c>
    </row>
    <row r="23" spans="1:35" x14ac:dyDescent="0.4">
      <c r="A23" s="48"/>
      <c r="B23" s="18"/>
      <c r="C23" s="8"/>
      <c r="D23" s="25">
        <v>45.53</v>
      </c>
      <c r="E23" s="30">
        <v>45531.199999999997</v>
      </c>
      <c r="F23" s="33">
        <v>12017.65</v>
      </c>
      <c r="G23" s="22"/>
      <c r="H23" s="22">
        <v>1550</v>
      </c>
      <c r="I23" s="31"/>
      <c r="J23" s="16"/>
      <c r="K23" s="16"/>
      <c r="L23" s="16"/>
      <c r="M23" s="32">
        <f t="shared" si="0"/>
        <v>59098.85</v>
      </c>
      <c r="N23" s="16">
        <v>2541.36</v>
      </c>
      <c r="O23" s="20">
        <v>282.36</v>
      </c>
      <c r="P23" s="16">
        <v>217</v>
      </c>
      <c r="Q23" s="20">
        <v>0</v>
      </c>
      <c r="R23" s="16">
        <f t="shared" si="1"/>
        <v>34.86</v>
      </c>
      <c r="S23" s="16">
        <v>0</v>
      </c>
      <c r="T23" s="16">
        <f>(51.48*6)</f>
        <v>308.88</v>
      </c>
      <c r="U23" s="44">
        <v>0</v>
      </c>
      <c r="V23" s="16"/>
      <c r="W23" s="16">
        <v>126.06</v>
      </c>
      <c r="X23" s="45">
        <f>(134.27*6)</f>
        <v>805.62000000000012</v>
      </c>
      <c r="Y23" s="16"/>
      <c r="Z23" s="16"/>
      <c r="AA23" s="16"/>
      <c r="AB23" s="16"/>
      <c r="AC23" s="16">
        <v>1181.9000000000001</v>
      </c>
      <c r="AD23" s="16">
        <f>(2309.7+95.84)*6</f>
        <v>14433.24</v>
      </c>
      <c r="AE23" s="16"/>
      <c r="AF23" s="16">
        <v>600</v>
      </c>
      <c r="AG23" s="16"/>
      <c r="AH23" s="9">
        <f t="shared" si="2"/>
        <v>78039.81</v>
      </c>
      <c r="AI23" s="9">
        <f t="shared" si="3"/>
        <v>1590.3200000000002</v>
      </c>
    </row>
    <row r="24" spans="1:35" x14ac:dyDescent="0.4">
      <c r="A24" s="48"/>
      <c r="B24" s="18"/>
      <c r="C24" s="8"/>
      <c r="D24" s="25">
        <v>32.229999999999997</v>
      </c>
      <c r="E24" s="30">
        <v>31429.599999999999</v>
      </c>
      <c r="F24" s="33">
        <v>4474.8900000000003</v>
      </c>
      <c r="G24" s="22"/>
      <c r="H24" s="22"/>
      <c r="I24" s="31"/>
      <c r="J24" s="16"/>
      <c r="K24" s="16"/>
      <c r="L24" s="16"/>
      <c r="M24" s="32">
        <f t="shared" si="0"/>
        <v>35904.49</v>
      </c>
      <c r="N24" s="16">
        <v>5482.92</v>
      </c>
      <c r="O24" s="20">
        <v>1866.24</v>
      </c>
      <c r="P24" s="16">
        <v>361</v>
      </c>
      <c r="Q24" s="20">
        <v>78</v>
      </c>
      <c r="R24" s="16">
        <f t="shared" si="1"/>
        <v>34.86</v>
      </c>
      <c r="S24" s="16">
        <v>34.86</v>
      </c>
      <c r="T24" s="16">
        <f>(35.69*6)</f>
        <v>214.14</v>
      </c>
      <c r="U24" s="44">
        <f>(6.47*6)+(12)</f>
        <v>50.82</v>
      </c>
      <c r="V24" s="16"/>
      <c r="W24" s="16"/>
      <c r="X24" s="45">
        <f>+(93.69*6)</f>
        <v>562.14</v>
      </c>
      <c r="Y24" s="16"/>
      <c r="Z24" s="16"/>
      <c r="AA24" s="16"/>
      <c r="AB24" s="16"/>
      <c r="AC24" s="16">
        <v>359.03</v>
      </c>
      <c r="AD24" s="16">
        <f>(1037.11+43.07)*6</f>
        <v>6481.079999999999</v>
      </c>
      <c r="AE24" s="16"/>
      <c r="AF24" s="16">
        <v>600</v>
      </c>
      <c r="AG24" s="16"/>
      <c r="AH24" s="9">
        <f t="shared" si="2"/>
        <v>49640.63</v>
      </c>
      <c r="AI24" s="9">
        <f t="shared" si="3"/>
        <v>2388.9499999999998</v>
      </c>
    </row>
    <row r="25" spans="1:35" x14ac:dyDescent="0.4">
      <c r="A25" s="48"/>
      <c r="B25" s="18"/>
      <c r="C25" s="8"/>
      <c r="D25" s="25">
        <v>45.98</v>
      </c>
      <c r="E25" s="30">
        <v>45978.400000000001</v>
      </c>
      <c r="F25" s="33">
        <v>1823.66</v>
      </c>
      <c r="G25" s="22"/>
      <c r="H25" s="22"/>
      <c r="I25" s="31"/>
      <c r="J25" s="16"/>
      <c r="K25" s="16"/>
      <c r="L25" s="16"/>
      <c r="M25" s="32">
        <f t="shared" si="0"/>
        <v>47802.060000000005</v>
      </c>
      <c r="N25" s="16">
        <v>6061.68</v>
      </c>
      <c r="O25" s="20">
        <v>2178</v>
      </c>
      <c r="P25" s="16">
        <v>351</v>
      </c>
      <c r="Q25" s="20">
        <v>72</v>
      </c>
      <c r="R25" s="16">
        <f t="shared" si="1"/>
        <v>34.86</v>
      </c>
      <c r="S25" s="16">
        <v>31.38</v>
      </c>
      <c r="T25" s="16">
        <f>(53.82*6)+(2.3*6)</f>
        <v>336.72</v>
      </c>
      <c r="U25" s="44">
        <f>(24.84*6)</f>
        <v>149.04</v>
      </c>
      <c r="V25" s="16"/>
      <c r="W25" s="16">
        <v>248.52</v>
      </c>
      <c r="X25" s="45">
        <f>(141.71*6)</f>
        <v>850.26</v>
      </c>
      <c r="Y25" s="16"/>
      <c r="Z25" s="16"/>
      <c r="AA25" s="16"/>
      <c r="AB25" s="16"/>
      <c r="AC25" s="16">
        <f>2868.15+3346.19</f>
        <v>6214.34</v>
      </c>
      <c r="AD25" s="16"/>
      <c r="AE25" s="16"/>
      <c r="AF25" s="16">
        <v>600</v>
      </c>
      <c r="AG25" s="16"/>
      <c r="AH25" s="9">
        <f t="shared" si="2"/>
        <v>56036.580000000009</v>
      </c>
      <c r="AI25" s="9">
        <f t="shared" si="3"/>
        <v>8893.2800000000007</v>
      </c>
    </row>
    <row r="26" spans="1:35" x14ac:dyDescent="0.4">
      <c r="A26" s="48"/>
      <c r="B26" s="18"/>
      <c r="C26" s="8"/>
      <c r="D26" s="25">
        <v>26.64</v>
      </c>
      <c r="E26" s="30">
        <v>26135.21</v>
      </c>
      <c r="F26" s="33">
        <v>207.33</v>
      </c>
      <c r="G26" s="22"/>
      <c r="H26" s="22"/>
      <c r="I26" s="31"/>
      <c r="J26" s="16"/>
      <c r="K26" s="16"/>
      <c r="L26" s="16"/>
      <c r="M26" s="32">
        <f t="shared" si="0"/>
        <v>26342.54</v>
      </c>
      <c r="N26" s="16">
        <v>2541.36</v>
      </c>
      <c r="O26" s="20">
        <v>282.36</v>
      </c>
      <c r="P26" s="16">
        <v>217</v>
      </c>
      <c r="Q26" s="20">
        <v>0</v>
      </c>
      <c r="R26" s="16">
        <f t="shared" si="1"/>
        <v>34.86</v>
      </c>
      <c r="S26" s="16">
        <v>0</v>
      </c>
      <c r="T26" s="16">
        <f>(31.01*6)</f>
        <v>186.06</v>
      </c>
      <c r="V26" s="43"/>
      <c r="W26" s="43"/>
      <c r="X26" s="45">
        <f>(80.55*6)</f>
        <v>483.29999999999995</v>
      </c>
      <c r="Y26" s="16"/>
      <c r="Z26" s="16"/>
      <c r="AA26" s="16"/>
      <c r="AB26" s="16"/>
      <c r="AC26" s="16"/>
      <c r="AD26" s="16">
        <f>(891.64+37.02)*6</f>
        <v>5571.96</v>
      </c>
      <c r="AE26" s="16"/>
      <c r="AF26" s="16">
        <v>600</v>
      </c>
      <c r="AG26" s="16"/>
      <c r="AH26" s="9">
        <f t="shared" si="2"/>
        <v>35977.08</v>
      </c>
      <c r="AI26" s="9">
        <f t="shared" si="3"/>
        <v>282.36</v>
      </c>
    </row>
    <row r="27" spans="1:35" ht="15" customHeight="1" x14ac:dyDescent="0.4">
      <c r="A27" s="48"/>
      <c r="B27" s="18"/>
      <c r="C27" s="8"/>
      <c r="D27" s="25">
        <v>46.81</v>
      </c>
      <c r="E27" s="30">
        <v>46363.199999999997</v>
      </c>
      <c r="F27" s="33">
        <v>16817.849999999999</v>
      </c>
      <c r="G27" s="22"/>
      <c r="H27" s="22">
        <v>1850</v>
      </c>
      <c r="I27" s="31"/>
      <c r="J27" s="16"/>
      <c r="K27" s="16"/>
      <c r="L27" s="16"/>
      <c r="M27" s="32">
        <f t="shared" si="0"/>
        <v>65031.049999999996</v>
      </c>
      <c r="N27" s="16">
        <v>2541.36</v>
      </c>
      <c r="O27" s="20">
        <v>282.36</v>
      </c>
      <c r="P27" s="16">
        <v>217</v>
      </c>
      <c r="Q27" s="20">
        <v>0</v>
      </c>
      <c r="R27" s="16">
        <f t="shared" si="1"/>
        <v>34.86</v>
      </c>
      <c r="S27" s="16">
        <v>0</v>
      </c>
      <c r="T27" s="16">
        <f>(54.41*6)</f>
        <v>326.45999999999998</v>
      </c>
      <c r="U27" s="44">
        <v>0</v>
      </c>
      <c r="V27" s="16"/>
      <c r="W27" s="16"/>
      <c r="X27" s="45">
        <f>(142.89*6)</f>
        <v>857.33999999999992</v>
      </c>
      <c r="Y27" s="16"/>
      <c r="Z27" s="16"/>
      <c r="AA27" s="16"/>
      <c r="AB27" s="16"/>
      <c r="AC27" s="16">
        <v>2601.25</v>
      </c>
      <c r="AD27" s="16">
        <f>(1581.75+65.68)*6</f>
        <v>9884.58</v>
      </c>
      <c r="AE27" s="16"/>
      <c r="AF27" s="16">
        <v>600</v>
      </c>
      <c r="AG27" s="16"/>
      <c r="AH27" s="9">
        <f t="shared" si="2"/>
        <v>79492.649999999994</v>
      </c>
      <c r="AI27" s="9">
        <f t="shared" si="3"/>
        <v>2883.61</v>
      </c>
    </row>
    <row r="28" spans="1:35" x14ac:dyDescent="0.4">
      <c r="A28" s="48"/>
      <c r="B28" s="18"/>
      <c r="C28" s="8"/>
      <c r="D28" s="25">
        <v>49.01</v>
      </c>
      <c r="E28" s="30">
        <v>47398.400000000001</v>
      </c>
      <c r="F28" s="33">
        <v>4332.63</v>
      </c>
      <c r="G28" s="22"/>
      <c r="H28" s="22">
        <v>400</v>
      </c>
      <c r="I28" s="31"/>
      <c r="J28" s="16"/>
      <c r="K28" s="16"/>
      <c r="L28" s="16"/>
      <c r="M28" s="32">
        <f t="shared" si="0"/>
        <v>52131.03</v>
      </c>
      <c r="N28" s="16">
        <v>8328.06</v>
      </c>
      <c r="O28" s="20">
        <v>3398.4</v>
      </c>
      <c r="P28" s="16">
        <v>520</v>
      </c>
      <c r="Q28" s="20">
        <v>163</v>
      </c>
      <c r="R28" s="16">
        <f t="shared" si="1"/>
        <v>34.86</v>
      </c>
      <c r="S28" s="16">
        <v>67.62</v>
      </c>
      <c r="T28" s="16">
        <f>(50.9*6)+(0.8*6)</f>
        <v>310.2</v>
      </c>
      <c r="U28" s="44">
        <f>(1.2*6)+(8.18*6)+(12)</f>
        <v>68.28</v>
      </c>
      <c r="V28" s="16"/>
      <c r="W28" s="16"/>
      <c r="X28" s="45">
        <f>(133.21*6)</f>
        <v>799.26</v>
      </c>
      <c r="Y28" s="16"/>
      <c r="Z28" s="16"/>
      <c r="AA28" s="16">
        <v>220.68</v>
      </c>
      <c r="AB28" s="16"/>
      <c r="AC28" s="16">
        <v>1042.6500000000001</v>
      </c>
      <c r="AD28" s="16">
        <f>(1474.61+61.23)*6</f>
        <v>9215.0399999999991</v>
      </c>
      <c r="AE28" s="16"/>
      <c r="AF28" s="16">
        <v>600</v>
      </c>
      <c r="AG28" s="16"/>
      <c r="AH28" s="9">
        <f t="shared" si="2"/>
        <v>71938.45</v>
      </c>
      <c r="AI28" s="9">
        <f t="shared" si="3"/>
        <v>4960.630000000001</v>
      </c>
    </row>
    <row r="29" spans="1:35" x14ac:dyDescent="0.4">
      <c r="A29" s="48"/>
      <c r="B29" s="18"/>
      <c r="C29" s="8"/>
      <c r="D29" s="25">
        <v>38</v>
      </c>
      <c r="E29" s="30">
        <v>15200</v>
      </c>
      <c r="F29" s="33">
        <v>5814</v>
      </c>
      <c r="G29" s="22"/>
      <c r="H29" s="22"/>
      <c r="I29" s="31"/>
      <c r="J29" s="16"/>
      <c r="K29" s="16"/>
      <c r="L29" s="16"/>
      <c r="M29" s="32">
        <f t="shared" si="0"/>
        <v>21014</v>
      </c>
      <c r="N29" s="16">
        <v>1270.68</v>
      </c>
      <c r="O29" s="20">
        <v>141.18</v>
      </c>
      <c r="P29" s="16">
        <v>217</v>
      </c>
      <c r="Q29" s="20">
        <v>0</v>
      </c>
      <c r="R29" s="16">
        <f>(5.81*3)</f>
        <v>17.43</v>
      </c>
      <c r="S29" s="16">
        <v>0</v>
      </c>
      <c r="T29" s="16">
        <f>(46.8*2)</f>
        <v>93.6</v>
      </c>
      <c r="U29" s="44">
        <v>0</v>
      </c>
      <c r="V29" s="16"/>
      <c r="W29" s="16"/>
      <c r="X29" s="3">
        <f>(121.8*2)</f>
        <v>243.6</v>
      </c>
      <c r="Y29" s="16"/>
      <c r="Z29" s="16"/>
      <c r="AA29" s="16"/>
      <c r="AB29" s="16"/>
      <c r="AC29" s="16"/>
      <c r="AD29" s="16"/>
      <c r="AE29" s="16"/>
      <c r="AF29" s="16"/>
      <c r="AG29" s="16"/>
      <c r="AH29" s="9">
        <f t="shared" si="2"/>
        <v>22856.309999999998</v>
      </c>
      <c r="AI29" s="9">
        <f t="shared" si="3"/>
        <v>141.18</v>
      </c>
    </row>
    <row r="30" spans="1:35" x14ac:dyDescent="0.4">
      <c r="A30" s="48"/>
      <c r="B30" s="18"/>
      <c r="C30" s="8"/>
      <c r="D30" s="25">
        <v>25.31</v>
      </c>
      <c r="E30" s="30">
        <v>10758</v>
      </c>
      <c r="F30" s="33">
        <v>2090.4899999999998</v>
      </c>
      <c r="G30" s="22"/>
      <c r="H30" s="22"/>
      <c r="I30" s="31"/>
      <c r="J30" s="16"/>
      <c r="K30" s="16"/>
      <c r="L30" s="16"/>
      <c r="M30" s="32">
        <f t="shared" si="0"/>
        <v>12848.49</v>
      </c>
      <c r="N30" s="16">
        <v>1270.68</v>
      </c>
      <c r="O30" s="20">
        <v>141.18</v>
      </c>
      <c r="P30" s="16">
        <v>217</v>
      </c>
      <c r="Q30" s="20">
        <v>0</v>
      </c>
      <c r="R30" s="16">
        <f t="shared" ref="R30:R31" si="4">(5.81*3)</f>
        <v>17.43</v>
      </c>
      <c r="S30" s="16">
        <v>0</v>
      </c>
      <c r="T30" s="16">
        <f>(29.84*2)</f>
        <v>59.68</v>
      </c>
      <c r="U30" s="44">
        <v>0</v>
      </c>
      <c r="V30" s="16"/>
      <c r="W30" s="16"/>
      <c r="X30" s="45">
        <f>(78.37*2)</f>
        <v>156.74</v>
      </c>
      <c r="Y30" s="16"/>
      <c r="Z30" s="16"/>
      <c r="AA30" s="16"/>
      <c r="AB30" s="16"/>
      <c r="AC30" s="16"/>
      <c r="AD30" s="16"/>
      <c r="AE30" s="16"/>
      <c r="AF30" s="16"/>
      <c r="AG30" s="16"/>
      <c r="AH30" s="9">
        <f t="shared" si="2"/>
        <v>14570.02</v>
      </c>
      <c r="AI30" s="9">
        <f t="shared" si="3"/>
        <v>141.18</v>
      </c>
    </row>
    <row r="31" spans="1:35" x14ac:dyDescent="0.4">
      <c r="A31" s="48"/>
      <c r="B31" s="18"/>
      <c r="C31" s="8"/>
      <c r="D31" s="25">
        <v>25.31</v>
      </c>
      <c r="E31" s="30">
        <v>10758</v>
      </c>
      <c r="F31" s="33">
        <v>2915.67</v>
      </c>
      <c r="G31" s="22"/>
      <c r="H31" s="22"/>
      <c r="I31" s="31"/>
      <c r="J31" s="16"/>
      <c r="K31" s="16"/>
      <c r="L31" s="16"/>
      <c r="M31" s="32">
        <f t="shared" si="0"/>
        <v>13673.67</v>
      </c>
      <c r="N31" s="16">
        <v>1270.68</v>
      </c>
      <c r="O31" s="20">
        <v>141.18</v>
      </c>
      <c r="P31" s="16">
        <v>217</v>
      </c>
      <c r="Q31" s="20">
        <v>0</v>
      </c>
      <c r="R31" s="16">
        <f t="shared" si="4"/>
        <v>17.43</v>
      </c>
      <c r="S31" s="16">
        <v>0</v>
      </c>
      <c r="T31" s="16">
        <f>(29.84*2)</f>
        <v>59.68</v>
      </c>
      <c r="U31" s="44">
        <v>0</v>
      </c>
      <c r="V31" s="16"/>
      <c r="W31" s="16"/>
      <c r="X31" s="45">
        <f>(78.37*2)</f>
        <v>156.74</v>
      </c>
      <c r="Y31" s="16"/>
      <c r="Z31" s="16"/>
      <c r="AA31" s="16"/>
      <c r="AB31" s="16"/>
      <c r="AC31" s="16"/>
      <c r="AD31" s="16"/>
      <c r="AE31" s="16"/>
      <c r="AF31" s="16"/>
      <c r="AG31" s="16"/>
      <c r="AH31" s="9">
        <f t="shared" si="2"/>
        <v>15395.2</v>
      </c>
      <c r="AI31" s="9">
        <f t="shared" si="3"/>
        <v>141.18</v>
      </c>
    </row>
    <row r="32" spans="1:35" x14ac:dyDescent="0.4">
      <c r="A32" s="48"/>
      <c r="B32" s="18"/>
      <c r="C32" s="8"/>
      <c r="D32" s="25">
        <v>26.06</v>
      </c>
      <c r="E32" s="30">
        <v>26436.799999999999</v>
      </c>
      <c r="F32" s="33">
        <v>495.69</v>
      </c>
      <c r="G32" s="22"/>
      <c r="H32" s="22"/>
      <c r="I32" s="31"/>
      <c r="J32" s="16"/>
      <c r="K32" s="16"/>
      <c r="L32" s="16"/>
      <c r="M32" s="32">
        <f t="shared" si="0"/>
        <v>26932.489999999998</v>
      </c>
      <c r="N32" s="16">
        <v>2541.36</v>
      </c>
      <c r="O32" s="20">
        <v>282.36</v>
      </c>
      <c r="P32" s="16">
        <v>217</v>
      </c>
      <c r="Q32" s="20">
        <v>0</v>
      </c>
      <c r="R32" s="16">
        <f t="shared" si="1"/>
        <v>34.86</v>
      </c>
      <c r="S32" s="16">
        <v>0</v>
      </c>
      <c r="T32" s="16">
        <f>(31.01*6)</f>
        <v>186.06</v>
      </c>
      <c r="U32" s="44">
        <v>0</v>
      </c>
      <c r="V32" s="16"/>
      <c r="W32" s="16">
        <v>126.06</v>
      </c>
      <c r="X32" s="45">
        <f>(81.48*6)</f>
        <v>488.88</v>
      </c>
      <c r="Y32" s="16"/>
      <c r="Z32" s="16"/>
      <c r="AA32" s="16">
        <v>217.8</v>
      </c>
      <c r="AB32" s="16"/>
      <c r="AC32" s="16"/>
      <c r="AD32" s="16">
        <f>(1401.6+58.16)*6</f>
        <v>8758.56</v>
      </c>
      <c r="AE32" s="16"/>
      <c r="AF32" s="16">
        <v>600</v>
      </c>
      <c r="AG32" s="16"/>
      <c r="AH32" s="9">
        <f t="shared" si="2"/>
        <v>39759.21</v>
      </c>
      <c r="AI32" s="9">
        <f t="shared" si="3"/>
        <v>626.22</v>
      </c>
    </row>
    <row r="33" spans="1:42" x14ac:dyDescent="0.4">
      <c r="A33" s="48"/>
      <c r="B33" s="18"/>
      <c r="C33" s="8"/>
      <c r="D33" s="25">
        <v>24.54</v>
      </c>
      <c r="E33" s="30">
        <v>24076</v>
      </c>
      <c r="F33" s="33">
        <v>1354.3</v>
      </c>
      <c r="G33" s="22"/>
      <c r="H33" s="22"/>
      <c r="I33" s="31"/>
      <c r="J33" s="16"/>
      <c r="K33" s="16"/>
      <c r="L33" s="16"/>
      <c r="M33" s="32">
        <f t="shared" si="0"/>
        <v>25430.3</v>
      </c>
      <c r="N33" s="16">
        <v>2541.36</v>
      </c>
      <c r="O33" s="20">
        <v>282.36</v>
      </c>
      <c r="P33" s="16">
        <v>217</v>
      </c>
      <c r="Q33" s="20">
        <v>0</v>
      </c>
      <c r="R33" s="16">
        <f t="shared" si="1"/>
        <v>34.86</v>
      </c>
      <c r="S33" s="16">
        <v>0</v>
      </c>
      <c r="T33" s="16">
        <f>(28.67*6)</f>
        <v>172.02</v>
      </c>
      <c r="U33" s="44"/>
      <c r="V33" s="16"/>
      <c r="W33" s="16"/>
      <c r="X33" s="45">
        <f>(74.2*6)</f>
        <v>445.20000000000005</v>
      </c>
      <c r="Y33" s="16"/>
      <c r="Z33" s="16"/>
      <c r="AA33" s="16"/>
      <c r="AB33" s="16"/>
      <c r="AC33" s="16"/>
      <c r="AD33" s="16">
        <f>(821.39+34.11)*6</f>
        <v>5133</v>
      </c>
      <c r="AE33" s="16"/>
      <c r="AF33" s="16">
        <v>600</v>
      </c>
      <c r="AG33" s="16"/>
      <c r="AH33" s="9">
        <f t="shared" si="2"/>
        <v>34573.740000000005</v>
      </c>
      <c r="AI33" s="9">
        <f t="shared" si="3"/>
        <v>282.36</v>
      </c>
    </row>
    <row r="34" spans="1:42" x14ac:dyDescent="0.4">
      <c r="A34" s="48"/>
      <c r="B34" s="18"/>
      <c r="C34" s="8"/>
      <c r="D34" s="25">
        <v>51.01</v>
      </c>
      <c r="E34" s="30">
        <v>50762.400000000001</v>
      </c>
      <c r="F34" s="33">
        <v>11494.77</v>
      </c>
      <c r="G34" s="22"/>
      <c r="H34" s="22">
        <v>1750</v>
      </c>
      <c r="I34" s="31"/>
      <c r="J34" s="16"/>
      <c r="K34" s="16"/>
      <c r="L34" s="16"/>
      <c r="M34" s="32">
        <f t="shared" si="0"/>
        <v>64007.17</v>
      </c>
      <c r="N34" s="16">
        <v>2541.36</v>
      </c>
      <c r="O34" s="20">
        <v>282.36</v>
      </c>
      <c r="P34" s="16">
        <v>217</v>
      </c>
      <c r="Q34" s="20">
        <v>0</v>
      </c>
      <c r="R34" s="16">
        <f t="shared" si="1"/>
        <v>34.86</v>
      </c>
      <c r="S34" s="16">
        <v>0</v>
      </c>
      <c r="T34" s="16">
        <f>(59.67*6)+(2.3*6)</f>
        <v>371.82</v>
      </c>
      <c r="U34" s="44">
        <f>(3.45*6)+(27.54*6)+(6)</f>
        <v>191.94</v>
      </c>
      <c r="V34" s="16"/>
      <c r="W34" s="16"/>
      <c r="X34" s="45">
        <f>(156.45*6)</f>
        <v>938.69999999999993</v>
      </c>
      <c r="Y34" s="16"/>
      <c r="Z34" s="16"/>
      <c r="AA34" s="16"/>
      <c r="AB34" s="16"/>
      <c r="AC34" s="16">
        <v>1920.22</v>
      </c>
      <c r="AD34" s="16">
        <f>(173185+71.91)*6</f>
        <v>1039541.46</v>
      </c>
      <c r="AE34" s="16"/>
      <c r="AF34" s="16">
        <v>600</v>
      </c>
      <c r="AG34" s="16"/>
      <c r="AH34" s="9">
        <f t="shared" si="2"/>
        <v>1108252.3699999999</v>
      </c>
      <c r="AI34" s="9">
        <f t="shared" si="3"/>
        <v>2394.52</v>
      </c>
    </row>
    <row r="35" spans="1:42" x14ac:dyDescent="0.4">
      <c r="A35" s="48"/>
      <c r="B35" s="18"/>
      <c r="C35" s="8"/>
      <c r="D35" s="25">
        <v>40.06</v>
      </c>
      <c r="E35" s="30">
        <v>39676</v>
      </c>
      <c r="F35" s="33">
        <v>1716.76</v>
      </c>
      <c r="G35" s="22"/>
      <c r="H35" s="22"/>
      <c r="I35" s="31"/>
      <c r="J35" s="16"/>
      <c r="K35" s="16"/>
      <c r="L35" s="16"/>
      <c r="M35" s="32">
        <f t="shared" si="0"/>
        <v>41392.76</v>
      </c>
      <c r="N35" s="16">
        <v>5482.92</v>
      </c>
      <c r="O35" s="20">
        <v>1866.24</v>
      </c>
      <c r="P35" s="16">
        <v>520</v>
      </c>
      <c r="Q35" s="20">
        <v>162.96</v>
      </c>
      <c r="R35" s="16">
        <f t="shared" si="1"/>
        <v>34.86</v>
      </c>
      <c r="S35" s="16">
        <v>67.62</v>
      </c>
      <c r="T35" s="16">
        <f>(46.8*6)+(1*6)</f>
        <v>286.79999999999995</v>
      </c>
      <c r="U35" s="44">
        <f>(1.5*6)+(9.44*6)+(6)</f>
        <v>71.64</v>
      </c>
      <c r="V35" s="16"/>
      <c r="W35" s="16"/>
      <c r="X35" s="45">
        <f>(122.28*6)</f>
        <v>733.68000000000006</v>
      </c>
      <c r="Y35" s="16"/>
      <c r="Z35" s="16"/>
      <c r="AA35" s="16"/>
      <c r="AB35" s="16"/>
      <c r="AC35" s="16">
        <v>2897.5</v>
      </c>
      <c r="AD35" s="16">
        <f>(1353.61+56.21)*6</f>
        <v>8458.92</v>
      </c>
      <c r="AE35" s="16"/>
      <c r="AF35" s="16">
        <v>600</v>
      </c>
      <c r="AG35" s="16"/>
      <c r="AH35" s="9">
        <f t="shared" si="2"/>
        <v>57509.94</v>
      </c>
      <c r="AI35" s="9">
        <f t="shared" si="3"/>
        <v>5065.96</v>
      </c>
    </row>
    <row r="36" spans="1:42" x14ac:dyDescent="0.4">
      <c r="A36" s="48"/>
      <c r="B36" s="18"/>
      <c r="C36" s="8"/>
      <c r="D36" s="25">
        <v>34.869999999999997</v>
      </c>
      <c r="E36" s="30">
        <v>34871.199999999997</v>
      </c>
      <c r="F36" s="33">
        <v>3872.73</v>
      </c>
      <c r="G36" s="22"/>
      <c r="H36" s="22"/>
      <c r="I36" s="31"/>
      <c r="J36" s="16"/>
      <c r="K36" s="16"/>
      <c r="L36" s="16"/>
      <c r="M36" s="32">
        <f t="shared" si="0"/>
        <v>38743.93</v>
      </c>
      <c r="N36" s="16">
        <v>6061.68</v>
      </c>
      <c r="O36" s="20">
        <v>2178</v>
      </c>
      <c r="P36" s="16">
        <v>351</v>
      </c>
      <c r="Q36" s="20">
        <v>72</v>
      </c>
      <c r="R36" s="16">
        <f t="shared" si="1"/>
        <v>34.86</v>
      </c>
      <c r="S36" s="16">
        <v>31.38</v>
      </c>
      <c r="T36" s="16">
        <f>(40.95*6)+(12.7*6)</f>
        <v>321.89999999999998</v>
      </c>
      <c r="U36" s="44">
        <v>1051.5</v>
      </c>
      <c r="V36" s="16"/>
      <c r="W36" s="16">
        <v>248.52</v>
      </c>
      <c r="X36" s="45">
        <f>(107.47*6)</f>
        <v>644.81999999999994</v>
      </c>
      <c r="Y36" s="16"/>
      <c r="Z36" s="16"/>
      <c r="AA36" s="16"/>
      <c r="AB36" s="16"/>
      <c r="AC36" s="16">
        <v>3874.4</v>
      </c>
      <c r="AD36" s="16">
        <f>(1848.74+76.72)*6</f>
        <v>11552.76</v>
      </c>
      <c r="AE36" s="16"/>
      <c r="AF36" s="16">
        <v>600</v>
      </c>
      <c r="AG36" s="16"/>
      <c r="AH36" s="9">
        <f t="shared" si="2"/>
        <v>58310.950000000004</v>
      </c>
      <c r="AI36" s="9">
        <f t="shared" si="3"/>
        <v>7455.8000000000011</v>
      </c>
    </row>
    <row r="37" spans="1:42" x14ac:dyDescent="0.4">
      <c r="A37" s="48"/>
      <c r="B37" s="18"/>
      <c r="C37" s="8"/>
      <c r="D37" s="25">
        <v>37.75</v>
      </c>
      <c r="E37" s="30">
        <v>35669.599999999999</v>
      </c>
      <c r="F37" s="33">
        <v>14858.87</v>
      </c>
      <c r="G37" s="22"/>
      <c r="H37" s="22">
        <v>1700</v>
      </c>
      <c r="I37" s="33"/>
      <c r="J37" s="16"/>
      <c r="K37" s="16"/>
      <c r="L37" s="16"/>
      <c r="M37" s="32">
        <f t="shared" si="0"/>
        <v>52228.47</v>
      </c>
      <c r="N37" s="16">
        <v>2541.36</v>
      </c>
      <c r="O37" s="20">
        <v>282.36</v>
      </c>
      <c r="P37" s="16">
        <v>217</v>
      </c>
      <c r="Q37" s="20">
        <v>0</v>
      </c>
      <c r="R37" s="16">
        <f t="shared" si="1"/>
        <v>34.86</v>
      </c>
      <c r="S37" s="16">
        <v>0</v>
      </c>
      <c r="T37" s="16">
        <f>(41.54*6)+(0.6*6)</f>
        <v>252.84</v>
      </c>
      <c r="U37" s="16">
        <f>(0.9*6)+(4.97*6)+(12)</f>
        <v>47.22</v>
      </c>
      <c r="V37" s="16"/>
      <c r="W37" s="16"/>
      <c r="X37" s="16">
        <f>(109.01*6)</f>
        <v>654.06000000000006</v>
      </c>
      <c r="Y37" s="16"/>
      <c r="Z37" s="16"/>
      <c r="AA37" s="16"/>
      <c r="AB37" s="16"/>
      <c r="AC37" s="16">
        <v>4177.49</v>
      </c>
      <c r="AD37" s="16">
        <f>(1206.72+50.11)*6</f>
        <v>7540.98</v>
      </c>
      <c r="AE37" s="16"/>
      <c r="AF37" s="16">
        <v>600</v>
      </c>
      <c r="AG37" s="16"/>
      <c r="AH37" s="9">
        <f t="shared" si="2"/>
        <v>64069.569999999992</v>
      </c>
      <c r="AI37" s="9">
        <f t="shared" si="3"/>
        <v>4507.07</v>
      </c>
      <c r="AM37" s="24"/>
      <c r="AN37" s="24"/>
      <c r="AO37" s="24"/>
      <c r="AP37" s="24"/>
    </row>
    <row r="38" spans="1:42" x14ac:dyDescent="0.4">
      <c r="A38" s="48"/>
      <c r="B38" s="18"/>
      <c r="C38" s="8"/>
      <c r="D38" s="25">
        <v>26.43</v>
      </c>
      <c r="E38" s="30">
        <v>26052.01</v>
      </c>
      <c r="F38" s="33">
        <v>7394.76</v>
      </c>
      <c r="G38" s="22"/>
      <c r="H38" s="22"/>
      <c r="I38" s="33"/>
      <c r="J38" s="16"/>
      <c r="K38" s="16"/>
      <c r="L38" s="16"/>
      <c r="M38" s="32">
        <f t="shared" si="0"/>
        <v>33446.769999999997</v>
      </c>
      <c r="N38" s="16">
        <v>2541.36</v>
      </c>
      <c r="O38" s="20">
        <v>282.36</v>
      </c>
      <c r="P38" s="16">
        <v>217</v>
      </c>
      <c r="Q38" s="20">
        <v>0</v>
      </c>
      <c r="R38" s="16">
        <f t="shared" si="1"/>
        <v>34.86</v>
      </c>
      <c r="S38" s="16">
        <v>0</v>
      </c>
      <c r="T38" s="16">
        <f>(31.01*6)</f>
        <v>186.06</v>
      </c>
      <c r="U38" s="16">
        <f>(3.07*6)</f>
        <v>18.419999999999998</v>
      </c>
      <c r="V38" s="16"/>
      <c r="W38" s="16"/>
      <c r="X38" s="16">
        <f>(80.29*6)</f>
        <v>481.74</v>
      </c>
      <c r="Y38" s="16"/>
      <c r="Z38" s="16"/>
      <c r="AA38" s="16"/>
      <c r="AB38" s="16"/>
      <c r="AC38" s="16"/>
      <c r="AD38" s="16">
        <f>(888.81+36.91)*6</f>
        <v>5554.32</v>
      </c>
      <c r="AE38" s="16"/>
      <c r="AF38" s="16">
        <v>600</v>
      </c>
      <c r="AG38" s="16"/>
      <c r="AH38" s="9">
        <f t="shared" si="2"/>
        <v>43062.109999999993</v>
      </c>
      <c r="AI38" s="9">
        <f t="shared" si="3"/>
        <v>300.78000000000003</v>
      </c>
      <c r="AM38" s="24"/>
      <c r="AN38" s="24"/>
      <c r="AO38" s="24"/>
      <c r="AP38" s="24"/>
    </row>
    <row r="39" spans="1:42" x14ac:dyDescent="0.4">
      <c r="A39" s="48"/>
      <c r="B39" s="18"/>
      <c r="C39" s="8"/>
      <c r="D39" s="25">
        <v>34.340000000000003</v>
      </c>
      <c r="E39" s="30">
        <v>34174.400000000001</v>
      </c>
      <c r="F39" s="33">
        <v>1577.3</v>
      </c>
      <c r="G39" s="22"/>
      <c r="H39" s="22"/>
      <c r="I39" s="33"/>
      <c r="J39" s="16"/>
      <c r="K39" s="16"/>
      <c r="L39" s="16"/>
      <c r="M39" s="32">
        <f t="shared" si="0"/>
        <v>35751.700000000004</v>
      </c>
      <c r="N39" s="16">
        <v>2541.36</v>
      </c>
      <c r="O39" s="20">
        <v>282.36</v>
      </c>
      <c r="P39" s="16">
        <v>217</v>
      </c>
      <c r="Q39" s="20">
        <v>0</v>
      </c>
      <c r="R39" s="16">
        <f t="shared" si="1"/>
        <v>34.86</v>
      </c>
      <c r="S39" s="16">
        <v>0</v>
      </c>
      <c r="T39" s="16">
        <f>(40.37*6)+(0.8*6)</f>
        <v>247.01999999999998</v>
      </c>
      <c r="U39" s="16">
        <f>(1.2*6)</f>
        <v>7.1999999999999993</v>
      </c>
      <c r="V39" s="16"/>
      <c r="W39" s="16"/>
      <c r="X39" s="16">
        <f>(105.33*6)</f>
        <v>631.98</v>
      </c>
      <c r="Y39" s="16"/>
      <c r="Z39" s="16"/>
      <c r="AA39" s="16"/>
      <c r="AB39" s="16"/>
      <c r="AC39" s="16">
        <v>1787.58</v>
      </c>
      <c r="AD39" s="16">
        <f>(1165.92+48.41)*6</f>
        <v>7285.9800000000014</v>
      </c>
      <c r="AE39" s="16"/>
      <c r="AF39" s="16">
        <v>600</v>
      </c>
      <c r="AG39" s="16"/>
      <c r="AH39" s="9">
        <f t="shared" si="2"/>
        <v>47309.900000000009</v>
      </c>
      <c r="AI39" s="9">
        <f t="shared" si="3"/>
        <v>2077.14</v>
      </c>
      <c r="AM39" s="24"/>
      <c r="AN39" s="24"/>
      <c r="AO39" s="24"/>
      <c r="AP39" s="24"/>
    </row>
    <row r="40" spans="1:42" x14ac:dyDescent="0.4">
      <c r="A40" s="48"/>
      <c r="B40" s="18"/>
      <c r="C40" s="8"/>
      <c r="D40" s="25">
        <v>15</v>
      </c>
      <c r="E40" s="30">
        <v>1200</v>
      </c>
      <c r="F40" s="33"/>
      <c r="G40" s="22"/>
      <c r="H40" s="22"/>
      <c r="I40" s="33"/>
      <c r="J40" s="16"/>
      <c r="K40" s="16"/>
      <c r="L40" s="16"/>
      <c r="M40" s="32">
        <f t="shared" si="0"/>
        <v>1200</v>
      </c>
      <c r="N40" s="16">
        <v>0</v>
      </c>
      <c r="O40" s="20">
        <v>0</v>
      </c>
      <c r="P40" s="16">
        <v>0</v>
      </c>
      <c r="Q40" s="20">
        <v>0</v>
      </c>
      <c r="R40" s="16"/>
      <c r="S40" s="16">
        <v>0</v>
      </c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9">
        <f t="shared" si="2"/>
        <v>1200</v>
      </c>
      <c r="AI40" s="9">
        <f t="shared" si="3"/>
        <v>0</v>
      </c>
      <c r="AM40" s="24"/>
      <c r="AN40" s="24"/>
      <c r="AO40" s="24"/>
      <c r="AP40" s="24"/>
    </row>
    <row r="41" spans="1:42" x14ac:dyDescent="0.4">
      <c r="A41" s="48"/>
      <c r="B41" s="18"/>
      <c r="C41" s="8"/>
      <c r="D41" s="25">
        <v>26.49</v>
      </c>
      <c r="E41" s="30">
        <v>26553.599999999999</v>
      </c>
      <c r="F41" s="33">
        <v>3262.86</v>
      </c>
      <c r="G41" s="22"/>
      <c r="H41" s="22"/>
      <c r="I41" s="33"/>
      <c r="J41" s="16"/>
      <c r="K41" s="16"/>
      <c r="L41" s="16"/>
      <c r="M41" s="32">
        <f t="shared" si="0"/>
        <v>29816.46</v>
      </c>
      <c r="N41" s="16">
        <v>8328.06</v>
      </c>
      <c r="O41" s="20">
        <v>3398.4</v>
      </c>
      <c r="P41" s="16">
        <v>520</v>
      </c>
      <c r="Q41" s="20">
        <v>163</v>
      </c>
      <c r="R41" s="16">
        <f t="shared" si="1"/>
        <v>34.86</v>
      </c>
      <c r="S41" s="16">
        <v>67.62</v>
      </c>
      <c r="T41" s="16">
        <f>(30.42*6)</f>
        <v>182.52</v>
      </c>
      <c r="U41" s="16">
        <v>12</v>
      </c>
      <c r="V41" s="16"/>
      <c r="W41" s="16"/>
      <c r="X41" s="16">
        <f>(79.62*6)</f>
        <v>477.72</v>
      </c>
      <c r="Y41" s="16"/>
      <c r="Z41" s="16"/>
      <c r="AA41" s="16"/>
      <c r="AB41" s="16"/>
      <c r="AC41" s="16">
        <v>267.25</v>
      </c>
      <c r="AD41" s="16">
        <f>(881.35+36.6)*6</f>
        <v>5507.7000000000007</v>
      </c>
      <c r="AE41" s="16"/>
      <c r="AF41" s="16">
        <v>600</v>
      </c>
      <c r="AG41" s="16"/>
      <c r="AH41" s="9">
        <f t="shared" si="2"/>
        <v>45467.319999999992</v>
      </c>
      <c r="AI41" s="9">
        <f t="shared" si="3"/>
        <v>3908.27</v>
      </c>
      <c r="AM41" s="24"/>
      <c r="AN41" s="24"/>
      <c r="AO41" s="24"/>
      <c r="AP41" s="24"/>
    </row>
    <row r="42" spans="1:42" x14ac:dyDescent="0.4">
      <c r="A42" s="48"/>
      <c r="B42" s="18"/>
      <c r="C42" s="8"/>
      <c r="D42" s="25">
        <v>23.25</v>
      </c>
      <c r="E42" s="30">
        <v>22754.75</v>
      </c>
      <c r="F42" s="33">
        <v>330.6</v>
      </c>
      <c r="G42" s="22"/>
      <c r="H42" s="22"/>
      <c r="I42" s="33"/>
      <c r="J42" s="16"/>
      <c r="K42" s="16"/>
      <c r="L42" s="16"/>
      <c r="M42" s="32">
        <f t="shared" si="0"/>
        <v>23085.35</v>
      </c>
      <c r="N42" s="16">
        <v>0</v>
      </c>
      <c r="O42" s="20">
        <v>0</v>
      </c>
      <c r="P42" s="16">
        <v>72</v>
      </c>
      <c r="Q42" s="20">
        <v>0</v>
      </c>
      <c r="R42" s="16">
        <f t="shared" si="1"/>
        <v>34.86</v>
      </c>
      <c r="S42" s="16">
        <v>0</v>
      </c>
      <c r="T42" s="16">
        <f>(26.33*6)</f>
        <v>157.97999999999999</v>
      </c>
      <c r="U42" s="16">
        <f>(68.59*6)</f>
        <v>411.54</v>
      </c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9">
        <f t="shared" si="2"/>
        <v>23350.19</v>
      </c>
      <c r="AI42" s="9">
        <f t="shared" si="3"/>
        <v>411.54</v>
      </c>
    </row>
    <row r="43" spans="1:42" x14ac:dyDescent="0.4">
      <c r="A43" s="48"/>
      <c r="B43" s="18"/>
      <c r="C43" s="8"/>
      <c r="D43" s="25">
        <v>28.75</v>
      </c>
      <c r="E43" s="30">
        <v>28475.21</v>
      </c>
      <c r="F43" s="33">
        <v>82.15</v>
      </c>
      <c r="G43" s="22"/>
      <c r="H43" s="22"/>
      <c r="I43" s="31"/>
      <c r="J43" s="16"/>
      <c r="K43" s="16"/>
      <c r="L43" s="16"/>
      <c r="M43" s="32">
        <f t="shared" si="0"/>
        <v>28557.360000000001</v>
      </c>
      <c r="N43" s="16">
        <v>5482.92</v>
      </c>
      <c r="O43" s="20">
        <v>1866.24</v>
      </c>
      <c r="P43" s="16">
        <v>361</v>
      </c>
      <c r="Q43" s="20">
        <v>78</v>
      </c>
      <c r="R43" s="16">
        <f t="shared" si="1"/>
        <v>34.86</v>
      </c>
      <c r="S43" s="16">
        <v>67.62</v>
      </c>
      <c r="T43" s="16">
        <f>(33.35*6)+(0.8*6)</f>
        <v>204.90000000000003</v>
      </c>
      <c r="U43" s="16">
        <f>(1.2*6)+(5.36*6)+(12)</f>
        <v>51.36</v>
      </c>
      <c r="V43" s="16"/>
      <c r="W43" s="16"/>
      <c r="X43" s="16">
        <f>(87.76*6)</f>
        <v>526.56000000000006</v>
      </c>
      <c r="Y43" s="16"/>
      <c r="Z43" s="16"/>
      <c r="AA43" s="16">
        <v>134.76</v>
      </c>
      <c r="AB43" s="16"/>
      <c r="AC43" s="16">
        <v>856.7</v>
      </c>
      <c r="AD43" s="16">
        <f>(971.47+40.34)*6</f>
        <v>6070.8600000000006</v>
      </c>
      <c r="AE43" s="16"/>
      <c r="AF43" s="16">
        <v>600</v>
      </c>
      <c r="AG43" s="16"/>
      <c r="AH43" s="9">
        <f t="shared" si="2"/>
        <v>41838.46</v>
      </c>
      <c r="AI43" s="9">
        <f t="shared" si="3"/>
        <v>3054.6800000000003</v>
      </c>
      <c r="AM43" s="38"/>
    </row>
    <row r="44" spans="1:42" x14ac:dyDescent="0.4">
      <c r="A44" s="48"/>
      <c r="B44" s="18"/>
      <c r="C44" s="8"/>
      <c r="D44" s="25">
        <v>43.42</v>
      </c>
      <c r="E44" s="30">
        <v>45156.800000000003</v>
      </c>
      <c r="F44" s="33">
        <v>7815.62</v>
      </c>
      <c r="G44" s="22"/>
      <c r="H44" s="22">
        <v>1150</v>
      </c>
      <c r="I44" s="31"/>
      <c r="J44" s="16"/>
      <c r="K44" s="16"/>
      <c r="L44" s="16"/>
      <c r="M44" s="32">
        <f t="shared" si="0"/>
        <v>54122.420000000006</v>
      </c>
      <c r="N44" s="16">
        <v>2541.36</v>
      </c>
      <c r="O44" s="20">
        <v>282.36</v>
      </c>
      <c r="P44" s="16">
        <v>217</v>
      </c>
      <c r="Q44" s="20">
        <v>0</v>
      </c>
      <c r="R44" s="16">
        <f t="shared" si="1"/>
        <v>34.86</v>
      </c>
      <c r="S44" s="16">
        <v>0</v>
      </c>
      <c r="T44" s="16">
        <f>(53.24*6)</f>
        <v>319.44</v>
      </c>
      <c r="U44" s="16">
        <f>(4.91*6)+(8.55*6)</f>
        <v>80.760000000000005</v>
      </c>
      <c r="V44" s="16"/>
      <c r="W44" s="16"/>
      <c r="X44" s="16">
        <f>(139.17*6)</f>
        <v>835.02</v>
      </c>
      <c r="Y44" s="16"/>
      <c r="Z44" s="16"/>
      <c r="AA44" s="16"/>
      <c r="AB44" s="16"/>
      <c r="AC44" s="16"/>
      <c r="AD44" s="16">
        <f>(2394.07+99.35)*6</f>
        <v>14960.52</v>
      </c>
      <c r="AE44" s="16"/>
      <c r="AF44" s="16">
        <v>600</v>
      </c>
      <c r="AG44" s="16"/>
      <c r="AH44" s="9">
        <f t="shared" si="2"/>
        <v>73630.62000000001</v>
      </c>
      <c r="AI44" s="9">
        <f t="shared" si="3"/>
        <v>363.12</v>
      </c>
    </row>
    <row r="45" spans="1:42" x14ac:dyDescent="0.4">
      <c r="A45" s="48"/>
      <c r="B45" s="18"/>
      <c r="C45" s="8"/>
      <c r="D45" s="25">
        <v>42.78</v>
      </c>
      <c r="E45" s="30">
        <v>42369.599999999999</v>
      </c>
      <c r="F45" s="33">
        <v>8952.64</v>
      </c>
      <c r="G45" s="22"/>
      <c r="H45" s="22">
        <v>1450</v>
      </c>
      <c r="I45" s="31"/>
      <c r="J45" s="16"/>
      <c r="K45" s="16"/>
      <c r="L45" s="16"/>
      <c r="M45" s="32">
        <f t="shared" si="0"/>
        <v>52772.24</v>
      </c>
      <c r="N45" s="16">
        <v>2541.36</v>
      </c>
      <c r="O45" s="20">
        <v>282.36</v>
      </c>
      <c r="P45" s="16">
        <v>217</v>
      </c>
      <c r="Q45" s="20">
        <v>0</v>
      </c>
      <c r="R45" s="16">
        <f t="shared" si="1"/>
        <v>34.86</v>
      </c>
      <c r="S45" s="16">
        <v>0</v>
      </c>
      <c r="T45" s="16">
        <f>(49.73*6)+(0.8*6)</f>
        <v>303.18</v>
      </c>
      <c r="U45" s="16">
        <f>(1.2*6)+(7.99*6)+(12)</f>
        <v>67.14</v>
      </c>
      <c r="V45" s="16"/>
      <c r="W45" s="16"/>
      <c r="X45" s="16">
        <f>(130.58*6)</f>
        <v>783.48</v>
      </c>
      <c r="Y45" s="16"/>
      <c r="Z45" s="16"/>
      <c r="AA45" s="16"/>
      <c r="AB45" s="16"/>
      <c r="AC45" s="16"/>
      <c r="AD45" s="16">
        <f>(1445.51+60.02)*6</f>
        <v>9033.18</v>
      </c>
      <c r="AE45" s="16"/>
      <c r="AF45" s="16">
        <v>600</v>
      </c>
      <c r="AG45" s="16"/>
      <c r="AH45" s="9">
        <f t="shared" si="2"/>
        <v>66285.3</v>
      </c>
      <c r="AI45" s="9">
        <f t="shared" si="3"/>
        <v>349.5</v>
      </c>
    </row>
    <row r="46" spans="1:42" x14ac:dyDescent="0.4">
      <c r="A46" s="48"/>
      <c r="B46" s="18"/>
      <c r="C46" s="8"/>
      <c r="D46" s="25">
        <v>43.65</v>
      </c>
      <c r="E46" s="30">
        <v>41402.400000000001</v>
      </c>
      <c r="F46" s="33">
        <v>20184.009999999998</v>
      </c>
      <c r="G46" s="22"/>
      <c r="H46" s="22">
        <v>2100</v>
      </c>
      <c r="I46" s="31"/>
      <c r="J46" s="16"/>
      <c r="K46" s="16"/>
      <c r="L46" s="16"/>
      <c r="M46" s="32">
        <f t="shared" si="0"/>
        <v>63686.41</v>
      </c>
      <c r="N46" s="16">
        <v>8328.06</v>
      </c>
      <c r="O46" s="20">
        <v>3398.4</v>
      </c>
      <c r="P46" s="16">
        <v>520</v>
      </c>
      <c r="Q46" s="20">
        <v>163</v>
      </c>
      <c r="R46" s="16">
        <f t="shared" si="1"/>
        <v>34.86</v>
      </c>
      <c r="S46" s="16">
        <v>67.62</v>
      </c>
      <c r="T46" s="16">
        <f>(46.22*6)+(1*6)</f>
        <v>283.32</v>
      </c>
      <c r="U46" s="16">
        <f>(1.5*6)+(9.32*6)+(6)</f>
        <v>70.92</v>
      </c>
      <c r="V46" s="16"/>
      <c r="W46" s="16"/>
      <c r="X46" s="16">
        <f>(120.52*6)</f>
        <v>723.12</v>
      </c>
      <c r="Y46" s="16"/>
      <c r="Z46" s="16"/>
      <c r="AA46" s="16"/>
      <c r="AB46" s="16"/>
      <c r="AC46" s="16">
        <v>1273.73</v>
      </c>
      <c r="AD46" s="16">
        <f>(1334.1+55.4)*6</f>
        <v>8337</v>
      </c>
      <c r="AE46" s="16"/>
      <c r="AF46" s="16">
        <v>600</v>
      </c>
      <c r="AG46" s="16"/>
      <c r="AH46" s="9">
        <f t="shared" si="2"/>
        <v>82512.77</v>
      </c>
      <c r="AI46" s="9">
        <f t="shared" si="3"/>
        <v>4973.67</v>
      </c>
    </row>
    <row r="47" spans="1:42" x14ac:dyDescent="0.4">
      <c r="A47" s="48"/>
      <c r="B47" s="18"/>
      <c r="C47" s="8"/>
      <c r="D47" s="25">
        <v>50.02</v>
      </c>
      <c r="E47" s="30">
        <v>49545.599999999999</v>
      </c>
      <c r="F47" s="33">
        <v>16864.560000000001</v>
      </c>
      <c r="G47" s="22"/>
      <c r="H47" s="22">
        <v>1600</v>
      </c>
      <c r="I47" s="31"/>
      <c r="J47" s="16"/>
      <c r="K47" s="16"/>
      <c r="L47" s="16"/>
      <c r="M47" s="32">
        <f t="shared" si="0"/>
        <v>68010.16</v>
      </c>
      <c r="N47" s="16">
        <v>5482.92</v>
      </c>
      <c r="O47" s="20">
        <v>1866.24</v>
      </c>
      <c r="P47" s="16">
        <v>361</v>
      </c>
      <c r="Q47" s="20">
        <v>78</v>
      </c>
      <c r="R47" s="16">
        <f t="shared" si="1"/>
        <v>34.86</v>
      </c>
      <c r="S47" s="16">
        <v>0</v>
      </c>
      <c r="T47" s="16">
        <f>(58.5*6)+(1*6)</f>
        <v>357</v>
      </c>
      <c r="U47" s="16">
        <f>(372)+(6)</f>
        <v>378</v>
      </c>
      <c r="V47" s="16"/>
      <c r="W47" s="16"/>
      <c r="X47" s="16">
        <f>(152.7*6)</f>
        <v>916.19999999999993</v>
      </c>
      <c r="Y47" s="16"/>
      <c r="Z47" s="16"/>
      <c r="AA47" s="16"/>
      <c r="AB47" s="16"/>
      <c r="AC47" s="16">
        <v>2720.4</v>
      </c>
      <c r="AD47" s="16">
        <f>(2626.74+109)*6</f>
        <v>16414.439999999999</v>
      </c>
      <c r="AE47" s="16"/>
      <c r="AF47" s="16">
        <v>600</v>
      </c>
      <c r="AG47" s="16"/>
      <c r="AH47" s="9">
        <f t="shared" si="2"/>
        <v>92176.58</v>
      </c>
      <c r="AI47" s="9">
        <f t="shared" si="3"/>
        <v>5042.6399999999994</v>
      </c>
    </row>
    <row r="48" spans="1:42" x14ac:dyDescent="0.4">
      <c r="A48" s="48"/>
      <c r="B48" s="18"/>
      <c r="C48" s="8"/>
      <c r="D48" s="25">
        <v>36.32</v>
      </c>
      <c r="E48" s="30">
        <v>36140.01</v>
      </c>
      <c r="F48" s="33">
        <v>703.69</v>
      </c>
      <c r="G48" s="22"/>
      <c r="H48" s="22"/>
      <c r="I48" s="31"/>
      <c r="J48" s="16"/>
      <c r="K48" s="16"/>
      <c r="L48" s="16"/>
      <c r="M48" s="32">
        <f t="shared" si="0"/>
        <v>36843.700000000004</v>
      </c>
      <c r="N48" s="16">
        <v>6061.68</v>
      </c>
      <c r="O48" s="20">
        <v>2178</v>
      </c>
      <c r="P48" s="16">
        <v>351</v>
      </c>
      <c r="Q48" s="20">
        <v>72</v>
      </c>
      <c r="R48" s="16">
        <f t="shared" si="1"/>
        <v>34.86</v>
      </c>
      <c r="S48" s="16">
        <v>31.38</v>
      </c>
      <c r="T48" s="16">
        <f>(39.78*6)+(1.5*6)</f>
        <v>247.68</v>
      </c>
      <c r="U48" s="16">
        <v>12</v>
      </c>
      <c r="V48" s="16"/>
      <c r="W48" s="16"/>
      <c r="X48" s="16">
        <f>(104.11*6)</f>
        <v>624.66</v>
      </c>
      <c r="Y48" s="16"/>
      <c r="Z48" s="16"/>
      <c r="AA48" s="16">
        <v>192.36</v>
      </c>
      <c r="AB48" s="16"/>
      <c r="AC48" s="16"/>
      <c r="AD48" s="16">
        <f>(1152.43+47.85)*6</f>
        <v>7201.68</v>
      </c>
      <c r="AE48" s="16"/>
      <c r="AF48" s="16">
        <v>600</v>
      </c>
      <c r="AG48" s="16"/>
      <c r="AH48" s="9">
        <f t="shared" si="2"/>
        <v>51965.260000000009</v>
      </c>
      <c r="AI48" s="9">
        <f t="shared" si="3"/>
        <v>2485.7400000000002</v>
      </c>
    </row>
    <row r="49" spans="1:35" x14ac:dyDescent="0.4">
      <c r="A49" s="48"/>
      <c r="B49" s="18"/>
      <c r="C49" s="8"/>
      <c r="D49" s="25">
        <v>27.02</v>
      </c>
      <c r="E49" s="30">
        <v>26634.41</v>
      </c>
      <c r="F49" s="33"/>
      <c r="G49" s="22"/>
      <c r="H49" s="22"/>
      <c r="I49" s="31"/>
      <c r="J49" s="16"/>
      <c r="K49" s="16"/>
      <c r="L49" s="16"/>
      <c r="M49" s="32">
        <f t="shared" si="0"/>
        <v>26634.41</v>
      </c>
      <c r="N49" s="16">
        <v>5482.92</v>
      </c>
      <c r="O49" s="20">
        <v>1866.24</v>
      </c>
      <c r="P49" s="16">
        <v>217</v>
      </c>
      <c r="Q49" s="20">
        <v>0</v>
      </c>
      <c r="R49" s="16">
        <f t="shared" si="1"/>
        <v>34.86</v>
      </c>
      <c r="S49" s="16">
        <v>0</v>
      </c>
      <c r="T49" s="16">
        <f>(31.59*6)+(0.6*6)</f>
        <v>193.14</v>
      </c>
      <c r="U49" s="16">
        <f>(0.9*6)+(3.78*6)+(12)</f>
        <v>40.08</v>
      </c>
      <c r="V49" s="16"/>
      <c r="W49" s="16"/>
      <c r="X49" s="16">
        <f>(82.09*6)</f>
        <v>492.54</v>
      </c>
      <c r="Y49" s="16"/>
      <c r="Z49" s="16"/>
      <c r="AA49" s="16"/>
      <c r="AB49" s="16"/>
      <c r="AC49" s="16">
        <f>798.98+798.98</f>
        <v>1597.96</v>
      </c>
      <c r="AD49" s="16">
        <f>(908.68+37.73)*6</f>
        <v>5678.46</v>
      </c>
      <c r="AE49" s="16"/>
      <c r="AF49" s="16">
        <v>600</v>
      </c>
      <c r="AG49" s="16"/>
      <c r="AH49" s="9">
        <f t="shared" si="2"/>
        <v>39333.33</v>
      </c>
      <c r="AI49" s="9">
        <f t="shared" si="3"/>
        <v>3504.2799999999997</v>
      </c>
    </row>
    <row r="50" spans="1:35" x14ac:dyDescent="0.4">
      <c r="A50" s="48"/>
      <c r="B50" s="18"/>
      <c r="C50" s="8"/>
      <c r="D50" s="25">
        <v>36.94</v>
      </c>
      <c r="E50" s="30">
        <v>36587.199999999997</v>
      </c>
      <c r="F50" s="33">
        <v>2744.06</v>
      </c>
      <c r="G50" s="22"/>
      <c r="H50" s="22"/>
      <c r="I50" s="31"/>
      <c r="J50" s="16"/>
      <c r="K50" s="16"/>
      <c r="L50" s="16"/>
      <c r="M50" s="32">
        <f t="shared" si="0"/>
        <v>39331.259999999995</v>
      </c>
      <c r="N50" s="16">
        <v>2541.36</v>
      </c>
      <c r="O50" s="20">
        <v>282.36</v>
      </c>
      <c r="P50" s="16">
        <v>217</v>
      </c>
      <c r="Q50" s="20">
        <v>0</v>
      </c>
      <c r="R50" s="16">
        <f t="shared" si="1"/>
        <v>34.86</v>
      </c>
      <c r="S50" s="16">
        <v>0</v>
      </c>
      <c r="T50" s="16">
        <f>(43.29*6)+(0.8*6)</f>
        <v>264.54000000000002</v>
      </c>
      <c r="U50" s="16">
        <v>0</v>
      </c>
      <c r="V50" s="16"/>
      <c r="W50" s="16"/>
      <c r="X50" s="16">
        <f>(112.76*6)</f>
        <v>676.56000000000006</v>
      </c>
      <c r="Y50" s="16"/>
      <c r="Z50" s="16"/>
      <c r="AA50" s="16"/>
      <c r="AB50" s="16">
        <v>1857.46</v>
      </c>
      <c r="AC50" s="16"/>
      <c r="AD50" s="16"/>
      <c r="AE50" s="16"/>
      <c r="AF50" s="16">
        <v>600</v>
      </c>
      <c r="AG50" s="16"/>
      <c r="AH50" s="9">
        <f t="shared" si="2"/>
        <v>45523.039999999994</v>
      </c>
      <c r="AI50" s="9">
        <f t="shared" si="3"/>
        <v>282.36</v>
      </c>
    </row>
    <row r="51" spans="1:35" x14ac:dyDescent="0.4">
      <c r="A51" s="48"/>
      <c r="B51" s="18"/>
      <c r="C51" s="8"/>
      <c r="D51" s="25">
        <v>50.08</v>
      </c>
      <c r="E51" s="30">
        <v>50076.03</v>
      </c>
      <c r="F51" s="33">
        <v>11556.01</v>
      </c>
      <c r="G51" s="22"/>
      <c r="H51" s="22">
        <v>800</v>
      </c>
      <c r="I51" s="31"/>
      <c r="J51" s="16"/>
      <c r="K51" s="16"/>
      <c r="L51" s="16"/>
      <c r="M51" s="32">
        <f t="shared" si="0"/>
        <v>62432.04</v>
      </c>
      <c r="N51" s="16">
        <v>6061.68</v>
      </c>
      <c r="O51" s="20">
        <v>2178</v>
      </c>
      <c r="P51" s="16">
        <v>351</v>
      </c>
      <c r="Q51" s="20">
        <v>72</v>
      </c>
      <c r="R51" s="16">
        <f t="shared" si="1"/>
        <v>34.86</v>
      </c>
      <c r="S51" s="16">
        <v>67.62</v>
      </c>
      <c r="T51" s="16">
        <f>(59.09*6)+(6.6*6)</f>
        <v>394.14</v>
      </c>
      <c r="U51" s="16">
        <f>(9.9*6)+(38.99*6)</f>
        <v>293.34000000000003</v>
      </c>
      <c r="V51" s="16"/>
      <c r="W51" s="16">
        <v>198.36</v>
      </c>
      <c r="X51" s="16">
        <f>(154.33*6)</f>
        <v>925.98</v>
      </c>
      <c r="Y51" s="16"/>
      <c r="Z51" s="16"/>
      <c r="AA51" s="16"/>
      <c r="AB51" s="16"/>
      <c r="AC51" s="16">
        <v>1248.6300000000001</v>
      </c>
      <c r="AD51" s="16">
        <f>(2654.86+110.17)*6</f>
        <v>16590.18</v>
      </c>
      <c r="AE51" s="16"/>
      <c r="AF51" s="16">
        <v>600</v>
      </c>
      <c r="AG51" s="16"/>
      <c r="AH51" s="9">
        <f t="shared" si="2"/>
        <v>87389.88</v>
      </c>
      <c r="AI51" s="9">
        <f t="shared" si="3"/>
        <v>4057.9500000000003</v>
      </c>
    </row>
    <row r="52" spans="1:35" x14ac:dyDescent="0.4">
      <c r="A52" s="48"/>
      <c r="B52" s="18"/>
      <c r="C52" s="8"/>
      <c r="D52" s="25">
        <v>35.72</v>
      </c>
      <c r="E52" s="30">
        <v>35048</v>
      </c>
      <c r="F52" s="33">
        <v>10110.030000000001</v>
      </c>
      <c r="G52" s="22"/>
      <c r="H52" s="22"/>
      <c r="I52" s="31"/>
      <c r="J52" s="16"/>
      <c r="K52" s="16"/>
      <c r="L52" s="16"/>
      <c r="M52" s="32">
        <f t="shared" si="0"/>
        <v>45158.03</v>
      </c>
      <c r="N52" s="16">
        <v>2541.36</v>
      </c>
      <c r="O52" s="20">
        <v>282.36</v>
      </c>
      <c r="P52" s="16">
        <v>361</v>
      </c>
      <c r="Q52" s="20">
        <v>78</v>
      </c>
      <c r="R52" s="16">
        <f t="shared" si="1"/>
        <v>34.86</v>
      </c>
      <c r="S52" s="16">
        <v>0</v>
      </c>
      <c r="T52" s="16">
        <f>(41.54*6)</f>
        <v>249.24</v>
      </c>
      <c r="U52" s="16">
        <v>0</v>
      </c>
      <c r="V52" s="16"/>
      <c r="W52" s="16"/>
      <c r="X52" s="16">
        <f>(108.02*6)</f>
        <v>648.12</v>
      </c>
      <c r="Y52" s="16"/>
      <c r="Z52" s="16"/>
      <c r="AA52" s="16"/>
      <c r="AB52" s="16"/>
      <c r="AC52" s="16">
        <f>2174.42+4348.84</f>
        <v>6523.26</v>
      </c>
      <c r="AD52" s="16">
        <f>(1195.72+49.65)*6</f>
        <v>7472.2200000000012</v>
      </c>
      <c r="AE52" s="16"/>
      <c r="AF52" s="16">
        <v>600</v>
      </c>
      <c r="AG52" s="16"/>
      <c r="AH52" s="9">
        <f t="shared" si="2"/>
        <v>57064.83</v>
      </c>
      <c r="AI52" s="9">
        <f t="shared" si="3"/>
        <v>6883.62</v>
      </c>
    </row>
    <row r="53" spans="1:35" x14ac:dyDescent="0.4">
      <c r="A53" s="48"/>
      <c r="B53" s="18"/>
      <c r="C53" s="8"/>
      <c r="D53" s="25">
        <v>25.25</v>
      </c>
      <c r="E53" s="30">
        <v>25230.58</v>
      </c>
      <c r="F53" s="33"/>
      <c r="G53" s="22"/>
      <c r="H53" s="22"/>
      <c r="I53" s="31"/>
      <c r="J53" s="16"/>
      <c r="K53" s="16"/>
      <c r="L53" s="16"/>
      <c r="M53" s="32">
        <f t="shared" si="0"/>
        <v>25230.58</v>
      </c>
      <c r="N53" s="16">
        <v>2541.36</v>
      </c>
      <c r="O53" s="20">
        <v>282.36</v>
      </c>
      <c r="P53" s="16">
        <v>217</v>
      </c>
      <c r="Q53" s="20">
        <v>0</v>
      </c>
      <c r="R53" s="16">
        <f t="shared" si="1"/>
        <v>34.86</v>
      </c>
      <c r="S53" s="16">
        <v>0</v>
      </c>
      <c r="T53" s="16">
        <f>(31.01*6)</f>
        <v>186.06</v>
      </c>
      <c r="U53" s="16">
        <v>12</v>
      </c>
      <c r="V53" s="16"/>
      <c r="W53" s="16"/>
      <c r="X53" s="16">
        <f>(80.93*6)</f>
        <v>485.58000000000004</v>
      </c>
      <c r="Y53" s="16"/>
      <c r="Z53" s="16"/>
      <c r="AA53" s="16"/>
      <c r="AB53" s="16"/>
      <c r="AC53" s="16"/>
      <c r="AD53" s="16">
        <f>(895.9+37.2)*6</f>
        <v>5598.6</v>
      </c>
      <c r="AE53" s="16"/>
      <c r="AF53" s="16">
        <v>600</v>
      </c>
      <c r="AG53" s="16"/>
      <c r="AH53" s="9">
        <f t="shared" si="2"/>
        <v>34894.040000000008</v>
      </c>
      <c r="AI53" s="9">
        <f t="shared" si="3"/>
        <v>294.36</v>
      </c>
    </row>
    <row r="54" spans="1:35" x14ac:dyDescent="0.4">
      <c r="A54" s="48"/>
      <c r="B54" s="18"/>
      <c r="C54" s="8"/>
      <c r="D54" s="25">
        <v>51.41</v>
      </c>
      <c r="E54" s="30">
        <v>51656.800000000003</v>
      </c>
      <c r="F54" s="33">
        <v>18812.52</v>
      </c>
      <c r="G54" s="22"/>
      <c r="H54" s="22">
        <v>1800</v>
      </c>
      <c r="I54" s="31"/>
      <c r="J54" s="16"/>
      <c r="K54" s="16"/>
      <c r="L54" s="16"/>
      <c r="M54" s="32">
        <f t="shared" si="0"/>
        <v>72269.320000000007</v>
      </c>
      <c r="N54" s="16">
        <v>2541.36</v>
      </c>
      <c r="O54" s="20">
        <v>282.36</v>
      </c>
      <c r="P54" s="16">
        <v>351</v>
      </c>
      <c r="Q54" s="20">
        <v>72</v>
      </c>
      <c r="R54" s="16">
        <f t="shared" si="1"/>
        <v>34.86</v>
      </c>
      <c r="S54" s="16">
        <v>31.38</v>
      </c>
      <c r="T54" s="16">
        <f>(60.84*6)+(2.3*6)</f>
        <v>378.84000000000003</v>
      </c>
      <c r="U54" s="16"/>
      <c r="V54" s="16"/>
      <c r="W54" s="16">
        <v>198.36</v>
      </c>
      <c r="X54" s="16">
        <f>(159.21*6)</f>
        <v>955.26</v>
      </c>
      <c r="Y54" s="16"/>
      <c r="Z54" s="16"/>
      <c r="AA54" s="16">
        <v>402.12</v>
      </c>
      <c r="AB54" s="16"/>
      <c r="AC54" s="16">
        <v>4336.1499999999996</v>
      </c>
      <c r="AD54" s="16">
        <f>(2738.68+113.65)*6</f>
        <v>17113.98</v>
      </c>
      <c r="AE54" s="16"/>
      <c r="AF54" s="16">
        <v>600</v>
      </c>
      <c r="AG54" s="16"/>
      <c r="AH54" s="9">
        <f t="shared" si="2"/>
        <v>94244.62</v>
      </c>
      <c r="AI54" s="9">
        <f t="shared" si="3"/>
        <v>5322.369999999999</v>
      </c>
    </row>
    <row r="55" spans="1:35" x14ac:dyDescent="0.4">
      <c r="A55" s="48"/>
      <c r="B55" s="18"/>
      <c r="C55" s="8"/>
      <c r="D55" s="25">
        <v>25</v>
      </c>
      <c r="E55" s="30">
        <v>12600</v>
      </c>
      <c r="F55" s="33"/>
      <c r="G55" s="22"/>
      <c r="H55" s="22"/>
      <c r="I55" s="31"/>
      <c r="J55" s="16"/>
      <c r="K55" s="16"/>
      <c r="L55" s="16"/>
      <c r="M55" s="32">
        <f t="shared" si="0"/>
        <v>12600</v>
      </c>
      <c r="N55" s="16">
        <v>0</v>
      </c>
      <c r="O55" s="20">
        <v>0</v>
      </c>
      <c r="P55" s="16">
        <v>0</v>
      </c>
      <c r="Q55" s="20">
        <v>0</v>
      </c>
      <c r="R55" s="16">
        <f t="shared" si="1"/>
        <v>34.86</v>
      </c>
      <c r="S55" s="16">
        <v>0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9">
        <f t="shared" si="2"/>
        <v>12634.86</v>
      </c>
      <c r="AI55" s="9">
        <f t="shared" si="3"/>
        <v>0</v>
      </c>
    </row>
    <row r="56" spans="1:35" x14ac:dyDescent="0.4">
      <c r="A56" s="48"/>
      <c r="B56" s="18"/>
      <c r="C56" s="8"/>
      <c r="D56" s="25">
        <v>30.8</v>
      </c>
      <c r="E56" s="30">
        <v>30648.82</v>
      </c>
      <c r="F56" s="33">
        <v>22.1</v>
      </c>
      <c r="G56" s="22"/>
      <c r="H56" s="22"/>
      <c r="I56" s="31"/>
      <c r="J56" s="16"/>
      <c r="K56" s="16"/>
      <c r="L56" s="16"/>
      <c r="M56" s="32">
        <f t="shared" si="0"/>
        <v>30670.92</v>
      </c>
      <c r="N56" s="16">
        <v>2541.36</v>
      </c>
      <c r="O56" s="20">
        <v>282.36</v>
      </c>
      <c r="P56" s="16">
        <v>351</v>
      </c>
      <c r="Q56" s="20">
        <v>72</v>
      </c>
      <c r="R56" s="16">
        <f t="shared" si="1"/>
        <v>34.86</v>
      </c>
      <c r="S56" s="16">
        <v>31.38</v>
      </c>
      <c r="T56" s="16">
        <f>(36.27*6)+(2.3*6)</f>
        <v>231.42000000000002</v>
      </c>
      <c r="U56" s="16">
        <f>(3.45*6)+(12)</f>
        <v>32.700000000000003</v>
      </c>
      <c r="V56" s="16"/>
      <c r="W56" s="16"/>
      <c r="X56" s="16">
        <f>(94.46*6)</f>
        <v>566.76</v>
      </c>
      <c r="Y56" s="16"/>
      <c r="Z56" s="16"/>
      <c r="AA56" s="16">
        <v>234</v>
      </c>
      <c r="AB56" s="16"/>
      <c r="AC56" s="16">
        <v>306.76</v>
      </c>
      <c r="AD56" s="16">
        <f>(1045.64+43.42)*6</f>
        <v>6534.3600000000006</v>
      </c>
      <c r="AE56" s="16"/>
      <c r="AF56" s="16">
        <v>600</v>
      </c>
      <c r="AG56" s="16"/>
      <c r="AH56" s="9">
        <f t="shared" si="2"/>
        <v>41530.68</v>
      </c>
      <c r="AI56" s="9">
        <f t="shared" si="3"/>
        <v>959.2</v>
      </c>
    </row>
    <row r="57" spans="1:35" x14ac:dyDescent="0.4">
      <c r="A57" s="48"/>
      <c r="B57" s="18"/>
      <c r="C57" s="8"/>
      <c r="D57" s="25">
        <v>39.299999999999997</v>
      </c>
      <c r="E57" s="30">
        <v>39873.599999999999</v>
      </c>
      <c r="F57" s="33">
        <v>28.76</v>
      </c>
      <c r="G57" s="22"/>
      <c r="H57" s="22"/>
      <c r="I57" s="31"/>
      <c r="J57" s="16"/>
      <c r="K57" s="16"/>
      <c r="L57" s="16"/>
      <c r="M57" s="32">
        <f t="shared" si="0"/>
        <v>39902.36</v>
      </c>
      <c r="N57" s="16">
        <v>8328.06</v>
      </c>
      <c r="O57" s="20">
        <v>3398.4</v>
      </c>
      <c r="P57" s="16">
        <v>520</v>
      </c>
      <c r="Q57" s="20">
        <v>163</v>
      </c>
      <c r="R57" s="16">
        <f t="shared" si="1"/>
        <v>34.86</v>
      </c>
      <c r="S57" s="16">
        <v>67.62</v>
      </c>
      <c r="T57" s="16">
        <f>(46.8*6)+(1*6)</f>
        <v>286.79999999999995</v>
      </c>
      <c r="U57" s="16">
        <f>(1.5*6)+(12)</f>
        <v>21</v>
      </c>
      <c r="V57" s="16"/>
      <c r="W57" s="16">
        <v>248.52</v>
      </c>
      <c r="X57" s="16">
        <f>(122.89*6)</f>
        <v>737.34</v>
      </c>
      <c r="Y57" s="16"/>
      <c r="Z57" s="16"/>
      <c r="AA57" s="16">
        <v>225.06</v>
      </c>
      <c r="AB57" s="16"/>
      <c r="AC57" s="16">
        <f>1596.12+798</f>
        <v>2394.12</v>
      </c>
      <c r="AD57" s="16">
        <f>(2113.96+87.72)*6</f>
        <v>13210.079999999998</v>
      </c>
      <c r="AE57" s="16"/>
      <c r="AF57" s="16">
        <v>600</v>
      </c>
      <c r="AG57" s="16"/>
      <c r="AH57" s="9">
        <f t="shared" si="2"/>
        <v>63619.5</v>
      </c>
      <c r="AI57" s="9">
        <f t="shared" si="3"/>
        <v>6517.72</v>
      </c>
    </row>
    <row r="58" spans="1:35" x14ac:dyDescent="0.4">
      <c r="A58" s="48"/>
      <c r="B58" s="18"/>
      <c r="C58" s="8"/>
      <c r="D58" s="25">
        <v>24.75</v>
      </c>
      <c r="E58" s="30">
        <v>23031.68</v>
      </c>
      <c r="F58" s="33">
        <v>42.78</v>
      </c>
      <c r="G58" s="22"/>
      <c r="H58" s="22"/>
      <c r="I58" s="31"/>
      <c r="J58" s="16"/>
      <c r="K58" s="16"/>
      <c r="L58" s="16"/>
      <c r="M58" s="32">
        <f t="shared" si="0"/>
        <v>23074.46</v>
      </c>
      <c r="N58" s="16">
        <v>847.12</v>
      </c>
      <c r="O58" s="20">
        <v>94.12</v>
      </c>
      <c r="P58" s="16">
        <v>72.400000000000006</v>
      </c>
      <c r="Q58" s="20">
        <v>0</v>
      </c>
      <c r="R58" s="16"/>
      <c r="S58" s="16">
        <v>0</v>
      </c>
      <c r="T58" s="16">
        <f>(28.08*6)</f>
        <v>168.48</v>
      </c>
      <c r="U58" s="16">
        <v>12</v>
      </c>
      <c r="V58" s="16"/>
      <c r="W58" s="16"/>
      <c r="X58" s="16">
        <f>(73.34*6)</f>
        <v>440.04</v>
      </c>
      <c r="Y58" s="16"/>
      <c r="Z58" s="16"/>
      <c r="AA58" s="16"/>
      <c r="AB58" s="16">
        <v>1160.1500000000001</v>
      </c>
      <c r="AC58" s="16"/>
      <c r="AD58" s="16"/>
      <c r="AE58" s="16"/>
      <c r="AF58" s="16"/>
      <c r="AG58" s="16"/>
      <c r="AH58" s="9">
        <f t="shared" si="2"/>
        <v>25762.65</v>
      </c>
      <c r="AI58" s="9">
        <f t="shared" si="3"/>
        <v>106.12</v>
      </c>
    </row>
    <row r="59" spans="1:35" x14ac:dyDescent="0.4">
      <c r="B59" s="18"/>
      <c r="C59" s="8"/>
      <c r="D59" s="25"/>
      <c r="E59" s="30"/>
      <c r="F59" s="33"/>
      <c r="G59" s="22"/>
      <c r="H59" s="22"/>
      <c r="I59" s="31"/>
      <c r="J59" s="16"/>
      <c r="K59" s="16"/>
      <c r="L59" s="16"/>
      <c r="M59" s="32">
        <f t="shared" si="0"/>
        <v>0</v>
      </c>
      <c r="N59" s="16"/>
      <c r="O59" s="20"/>
      <c r="P59" s="16"/>
      <c r="Q59" s="2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9">
        <f t="shared" si="2"/>
        <v>0</v>
      </c>
      <c r="AI59" s="9">
        <f t="shared" si="3"/>
        <v>0</v>
      </c>
    </row>
    <row r="60" spans="1:35" x14ac:dyDescent="0.4">
      <c r="B60" s="18"/>
      <c r="C60" s="8"/>
      <c r="D60" s="25"/>
      <c r="E60" s="30"/>
      <c r="F60" s="33"/>
      <c r="G60" s="22"/>
      <c r="H60" s="22"/>
      <c r="I60" s="31"/>
      <c r="J60" s="16"/>
      <c r="K60" s="16"/>
      <c r="L60" s="16"/>
      <c r="M60" s="32">
        <f t="shared" si="0"/>
        <v>0</v>
      </c>
      <c r="N60" s="16"/>
      <c r="O60" s="20"/>
      <c r="P60" s="16"/>
      <c r="Q60" s="20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9">
        <f t="shared" si="2"/>
        <v>0</v>
      </c>
      <c r="AI60" s="9">
        <f t="shared" si="3"/>
        <v>0</v>
      </c>
    </row>
    <row r="61" spans="1:35" x14ac:dyDescent="0.4">
      <c r="B61" s="18"/>
      <c r="C61" s="8"/>
      <c r="D61" s="25"/>
      <c r="E61" s="30"/>
      <c r="F61" s="33"/>
      <c r="G61" s="22"/>
      <c r="H61" s="22"/>
      <c r="I61" s="31"/>
      <c r="J61" s="16"/>
      <c r="K61" s="16"/>
      <c r="L61" s="16"/>
      <c r="M61" s="32">
        <f t="shared" si="0"/>
        <v>0</v>
      </c>
      <c r="N61" s="16"/>
      <c r="O61" s="20"/>
      <c r="P61" s="16"/>
      <c r="Q61" s="20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9">
        <f t="shared" si="2"/>
        <v>0</v>
      </c>
      <c r="AI61" s="9">
        <f t="shared" si="3"/>
        <v>0</v>
      </c>
    </row>
    <row r="62" spans="1:35" x14ac:dyDescent="0.4">
      <c r="B62" s="18"/>
      <c r="C62" s="8"/>
      <c r="D62" s="25"/>
      <c r="E62" s="30"/>
      <c r="F62" s="33"/>
      <c r="G62" s="22"/>
      <c r="H62" s="22"/>
      <c r="I62" s="31"/>
      <c r="J62" s="16"/>
      <c r="K62" s="16"/>
      <c r="L62" s="16"/>
      <c r="M62" s="32">
        <f t="shared" si="0"/>
        <v>0</v>
      </c>
      <c r="N62" s="16"/>
      <c r="O62" s="20"/>
      <c r="P62" s="16"/>
      <c r="Q62" s="20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9">
        <f t="shared" si="2"/>
        <v>0</v>
      </c>
      <c r="AI62" s="9">
        <f t="shared" si="3"/>
        <v>0</v>
      </c>
    </row>
    <row r="63" spans="1:35" x14ac:dyDescent="0.4">
      <c r="B63" s="18"/>
      <c r="C63" s="8"/>
      <c r="D63" s="25"/>
      <c r="E63" s="30"/>
      <c r="F63" s="33"/>
      <c r="G63" s="22"/>
      <c r="H63" s="22"/>
      <c r="I63" s="31"/>
      <c r="J63" s="16"/>
      <c r="K63" s="16"/>
      <c r="L63" s="16"/>
      <c r="M63" s="32">
        <f t="shared" si="0"/>
        <v>0</v>
      </c>
      <c r="N63" s="16"/>
      <c r="O63" s="20"/>
      <c r="P63" s="16"/>
      <c r="Q63" s="20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9">
        <f t="shared" si="2"/>
        <v>0</v>
      </c>
      <c r="AI63" s="9">
        <f t="shared" si="3"/>
        <v>0</v>
      </c>
    </row>
    <row r="64" spans="1:35" x14ac:dyDescent="0.4">
      <c r="B64" s="17"/>
      <c r="C64" s="8"/>
      <c r="D64" s="25"/>
      <c r="E64" s="30"/>
      <c r="F64" s="22"/>
      <c r="G64" s="22"/>
      <c r="H64" s="22"/>
      <c r="I64" s="31"/>
      <c r="J64" s="16"/>
      <c r="K64" s="16"/>
      <c r="L64" s="16"/>
      <c r="M64" s="32">
        <f t="shared" si="0"/>
        <v>0</v>
      </c>
      <c r="N64" s="22"/>
      <c r="O64" s="16"/>
      <c r="P64" s="22"/>
      <c r="Q64" s="22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9">
        <f t="shared" si="2"/>
        <v>0</v>
      </c>
      <c r="AI64" s="9">
        <f t="shared" si="3"/>
        <v>0</v>
      </c>
    </row>
    <row r="65" spans="2:39" x14ac:dyDescent="0.4">
      <c r="B65" s="17"/>
      <c r="C65" s="8"/>
      <c r="D65" s="25"/>
      <c r="E65" s="30"/>
      <c r="F65" s="22"/>
      <c r="G65" s="22"/>
      <c r="H65" s="22"/>
      <c r="I65" s="31"/>
      <c r="J65" s="16"/>
      <c r="K65" s="16"/>
      <c r="L65" s="16"/>
      <c r="M65" s="32">
        <f t="shared" si="0"/>
        <v>0</v>
      </c>
      <c r="N65" s="22"/>
      <c r="O65" s="16"/>
      <c r="P65" s="22"/>
      <c r="Q65" s="22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9">
        <f t="shared" si="2"/>
        <v>0</v>
      </c>
      <c r="AI65" s="9">
        <f t="shared" si="3"/>
        <v>0</v>
      </c>
    </row>
    <row r="66" spans="2:39" x14ac:dyDescent="0.4">
      <c r="B66" s="17"/>
      <c r="C66" s="8"/>
      <c r="D66" s="25"/>
      <c r="E66" s="30"/>
      <c r="F66" s="33"/>
      <c r="G66" s="22"/>
      <c r="H66" s="22"/>
      <c r="I66" s="31"/>
      <c r="J66" s="16"/>
      <c r="K66" s="16"/>
      <c r="L66" s="16"/>
      <c r="M66" s="32">
        <f t="shared" si="0"/>
        <v>0</v>
      </c>
      <c r="N66" s="16"/>
      <c r="O66" s="20"/>
      <c r="P66" s="16"/>
      <c r="Q66" s="20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9">
        <f t="shared" si="2"/>
        <v>0</v>
      </c>
      <c r="AI66" s="9">
        <f t="shared" si="3"/>
        <v>0</v>
      </c>
    </row>
    <row r="67" spans="2:39" x14ac:dyDescent="0.4">
      <c r="B67" s="17"/>
      <c r="C67" s="8"/>
      <c r="D67" s="25"/>
      <c r="E67" s="30"/>
      <c r="F67" s="33"/>
      <c r="G67" s="22"/>
      <c r="H67" s="22"/>
      <c r="I67" s="31"/>
      <c r="J67" s="16"/>
      <c r="K67" s="16"/>
      <c r="L67" s="16"/>
      <c r="M67" s="32">
        <f t="shared" si="0"/>
        <v>0</v>
      </c>
      <c r="N67" s="16"/>
      <c r="O67" s="20"/>
      <c r="P67" s="16"/>
      <c r="Q67" s="20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9">
        <f t="shared" si="2"/>
        <v>0</v>
      </c>
      <c r="AI67" s="9">
        <f t="shared" si="3"/>
        <v>0</v>
      </c>
    </row>
    <row r="68" spans="2:39" x14ac:dyDescent="0.4">
      <c r="B68" s="17"/>
      <c r="C68" s="8"/>
      <c r="D68" s="25"/>
      <c r="E68" s="30"/>
      <c r="F68" s="33"/>
      <c r="G68" s="22"/>
      <c r="H68" s="22"/>
      <c r="I68" s="31"/>
      <c r="J68" s="16"/>
      <c r="K68" s="16"/>
      <c r="L68" s="16"/>
      <c r="M68" s="32">
        <f t="shared" si="0"/>
        <v>0</v>
      </c>
      <c r="N68" s="16"/>
      <c r="O68" s="20"/>
      <c r="P68" s="16"/>
      <c r="Q68" s="20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9">
        <f t="shared" si="2"/>
        <v>0</v>
      </c>
      <c r="AI68" s="9">
        <f t="shared" si="3"/>
        <v>0</v>
      </c>
      <c r="AL68" s="37"/>
      <c r="AM68" s="21"/>
    </row>
    <row r="69" spans="2:39" x14ac:dyDescent="0.4">
      <c r="B69" s="17"/>
      <c r="C69" s="8"/>
      <c r="D69" s="26"/>
      <c r="E69" s="30"/>
      <c r="F69" s="33"/>
      <c r="G69" s="22"/>
      <c r="H69" s="22"/>
      <c r="I69" s="31"/>
      <c r="J69" s="16"/>
      <c r="K69" s="16"/>
      <c r="L69" s="16"/>
      <c r="M69" s="32">
        <f t="shared" si="0"/>
        <v>0</v>
      </c>
      <c r="N69" s="22"/>
      <c r="O69" s="16"/>
      <c r="P69" s="22"/>
      <c r="Q69" s="22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9">
        <f t="shared" si="2"/>
        <v>0</v>
      </c>
      <c r="AI69" s="9">
        <f t="shared" si="3"/>
        <v>0</v>
      </c>
    </row>
    <row r="70" spans="2:39" x14ac:dyDescent="0.4">
      <c r="B70" s="17"/>
      <c r="C70" s="8"/>
      <c r="D70" s="26"/>
      <c r="E70" s="30"/>
      <c r="F70" s="33"/>
      <c r="G70" s="22"/>
      <c r="H70" s="22"/>
      <c r="I70" s="31"/>
      <c r="J70" s="16"/>
      <c r="K70" s="16"/>
      <c r="L70" s="16"/>
      <c r="M70" s="32">
        <f t="shared" si="0"/>
        <v>0</v>
      </c>
      <c r="N70" s="22"/>
      <c r="O70" s="16"/>
      <c r="P70" s="22"/>
      <c r="Q70" s="22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9">
        <f t="shared" si="2"/>
        <v>0</v>
      </c>
      <c r="AI70" s="9">
        <f t="shared" si="3"/>
        <v>0</v>
      </c>
    </row>
    <row r="71" spans="2:39" x14ac:dyDescent="0.4">
      <c r="B71" s="17"/>
      <c r="C71" s="8"/>
      <c r="D71" s="26"/>
      <c r="E71" s="30"/>
      <c r="F71" s="33"/>
      <c r="G71" s="22"/>
      <c r="H71" s="22"/>
      <c r="I71" s="31"/>
      <c r="J71" s="16"/>
      <c r="K71" s="16"/>
      <c r="L71" s="16"/>
      <c r="M71" s="32">
        <f t="shared" si="0"/>
        <v>0</v>
      </c>
      <c r="N71" s="22"/>
      <c r="O71" s="16"/>
      <c r="P71" s="22"/>
      <c r="Q71" s="22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9">
        <f t="shared" si="2"/>
        <v>0</v>
      </c>
      <c r="AI71" s="9">
        <f t="shared" si="3"/>
        <v>0</v>
      </c>
    </row>
    <row r="72" spans="2:39" x14ac:dyDescent="0.4">
      <c r="B72" s="17"/>
      <c r="C72" s="8"/>
      <c r="D72" s="26"/>
      <c r="E72" s="30"/>
      <c r="F72" s="33"/>
      <c r="G72" s="22"/>
      <c r="H72" s="22"/>
      <c r="I72" s="31"/>
      <c r="J72" s="16"/>
      <c r="K72" s="16"/>
      <c r="L72" s="16"/>
      <c r="M72" s="32">
        <f t="shared" ref="M72:M83" si="5">SUM(E72:L72)</f>
        <v>0</v>
      </c>
      <c r="N72" s="22"/>
      <c r="O72" s="16"/>
      <c r="P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9">
        <f t="shared" ref="AH72:AH83" si="6">+M72+N72+P72+R72+T72+X72+AB72+AD72+AF72+J72+K72+V72+Z72</f>
        <v>0</v>
      </c>
      <c r="AI72" s="9">
        <f t="shared" ref="AI72:AI83" si="7">+O72+Q72+S72+U72+Y72+AC72+AE72+AG72+W72+AA72</f>
        <v>0</v>
      </c>
    </row>
    <row r="73" spans="2:39" x14ac:dyDescent="0.4">
      <c r="B73" s="17"/>
      <c r="C73" s="8"/>
      <c r="D73" s="26"/>
      <c r="E73" s="30"/>
      <c r="F73" s="33"/>
      <c r="G73" s="22"/>
      <c r="H73" s="22"/>
      <c r="I73" s="31"/>
      <c r="J73" s="16"/>
      <c r="K73" s="16"/>
      <c r="L73" s="16"/>
      <c r="M73" s="32">
        <f t="shared" si="5"/>
        <v>0</v>
      </c>
      <c r="N73" s="22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9">
        <f t="shared" si="6"/>
        <v>0</v>
      </c>
      <c r="AI73" s="9">
        <f t="shared" si="7"/>
        <v>0</v>
      </c>
    </row>
    <row r="74" spans="2:39" x14ac:dyDescent="0.4">
      <c r="B74" s="17"/>
      <c r="C74" s="8"/>
      <c r="D74" s="26"/>
      <c r="E74" s="30"/>
      <c r="F74" s="33"/>
      <c r="G74" s="22"/>
      <c r="H74" s="22"/>
      <c r="I74" s="31"/>
      <c r="J74" s="16"/>
      <c r="K74" s="16"/>
      <c r="L74" s="16"/>
      <c r="M74" s="32">
        <f t="shared" si="5"/>
        <v>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9">
        <f t="shared" si="6"/>
        <v>0</v>
      </c>
      <c r="AI74" s="9">
        <f t="shared" si="7"/>
        <v>0</v>
      </c>
    </row>
    <row r="75" spans="2:39" x14ac:dyDescent="0.4">
      <c r="B75" s="17"/>
      <c r="C75" s="8"/>
      <c r="D75" s="26"/>
      <c r="E75" s="30"/>
      <c r="F75" s="31"/>
      <c r="G75" s="22"/>
      <c r="H75" s="22"/>
      <c r="I75" s="31"/>
      <c r="J75" s="16"/>
      <c r="K75" s="16"/>
      <c r="L75" s="16"/>
      <c r="M75" s="32">
        <f t="shared" si="5"/>
        <v>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9">
        <f t="shared" si="6"/>
        <v>0</v>
      </c>
      <c r="AI75" s="9">
        <f t="shared" si="7"/>
        <v>0</v>
      </c>
    </row>
    <row r="76" spans="2:39" x14ac:dyDescent="0.4">
      <c r="B76" s="18"/>
      <c r="C76" s="8"/>
      <c r="D76" s="26"/>
      <c r="E76" s="30"/>
      <c r="F76" s="31"/>
      <c r="G76" s="22"/>
      <c r="H76" s="22"/>
      <c r="I76" s="31"/>
      <c r="J76" s="16"/>
      <c r="K76" s="16"/>
      <c r="L76" s="16"/>
      <c r="M76" s="32">
        <f t="shared" si="5"/>
        <v>0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9">
        <f t="shared" si="6"/>
        <v>0</v>
      </c>
      <c r="AI76" s="9">
        <f t="shared" si="7"/>
        <v>0</v>
      </c>
    </row>
    <row r="77" spans="2:39" x14ac:dyDescent="0.4">
      <c r="B77" s="18"/>
      <c r="C77" s="8"/>
      <c r="D77" s="26"/>
      <c r="E77" s="30"/>
      <c r="F77" s="31"/>
      <c r="G77" s="22"/>
      <c r="H77" s="22"/>
      <c r="I77" s="31"/>
      <c r="J77" s="16"/>
      <c r="K77" s="16"/>
      <c r="L77" s="16"/>
      <c r="M77" s="32">
        <f t="shared" si="5"/>
        <v>0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9">
        <f t="shared" si="6"/>
        <v>0</v>
      </c>
      <c r="AI77" s="9">
        <f t="shared" si="7"/>
        <v>0</v>
      </c>
    </row>
    <row r="78" spans="2:39" x14ac:dyDescent="0.4">
      <c r="B78" s="18"/>
      <c r="C78" s="8"/>
      <c r="D78" s="26"/>
      <c r="E78" s="24"/>
      <c r="F78" s="31"/>
      <c r="G78" s="22"/>
      <c r="H78" s="22"/>
      <c r="I78" s="31"/>
      <c r="J78" s="16"/>
      <c r="K78" s="16"/>
      <c r="L78" s="16"/>
      <c r="M78" s="32">
        <f t="shared" si="5"/>
        <v>0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9">
        <f t="shared" si="6"/>
        <v>0</v>
      </c>
      <c r="AI78" s="9">
        <f t="shared" si="7"/>
        <v>0</v>
      </c>
    </row>
    <row r="79" spans="2:39" x14ac:dyDescent="0.4">
      <c r="B79" s="18"/>
      <c r="C79" s="8"/>
      <c r="D79" s="26"/>
      <c r="E79" s="31"/>
      <c r="F79" s="31"/>
      <c r="G79" s="22"/>
      <c r="H79" s="22"/>
      <c r="I79" s="31"/>
      <c r="J79" s="16"/>
      <c r="K79" s="16"/>
      <c r="L79" s="16"/>
      <c r="M79" s="32">
        <f t="shared" si="5"/>
        <v>0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9">
        <f t="shared" si="6"/>
        <v>0</v>
      </c>
      <c r="AI79" s="9">
        <f t="shared" si="7"/>
        <v>0</v>
      </c>
    </row>
    <row r="80" spans="2:39" x14ac:dyDescent="0.4">
      <c r="B80" s="18"/>
      <c r="C80" s="8"/>
      <c r="D80" s="25"/>
      <c r="E80" s="30"/>
      <c r="F80" s="33"/>
      <c r="G80" s="22"/>
      <c r="H80" s="22"/>
      <c r="I80" s="33"/>
      <c r="J80" s="16"/>
      <c r="K80" s="16"/>
      <c r="L80" s="16"/>
      <c r="M80" s="32">
        <f t="shared" si="5"/>
        <v>0</v>
      </c>
      <c r="N80" s="16"/>
      <c r="O80" s="20"/>
      <c r="P80" s="16"/>
      <c r="Q80" s="20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9">
        <f t="shared" si="6"/>
        <v>0</v>
      </c>
      <c r="AI80" s="9">
        <f t="shared" si="7"/>
        <v>0</v>
      </c>
    </row>
    <row r="81" spans="2:35" x14ac:dyDescent="0.4">
      <c r="B81" s="18"/>
      <c r="C81" s="8"/>
      <c r="D81" s="26"/>
      <c r="E81" s="33"/>
      <c r="F81" s="33"/>
      <c r="G81" s="22"/>
      <c r="H81" s="22"/>
      <c r="I81" s="31"/>
      <c r="J81" s="16"/>
      <c r="K81" s="16"/>
      <c r="L81" s="16"/>
      <c r="M81" s="32">
        <f t="shared" si="5"/>
        <v>0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9">
        <f t="shared" si="6"/>
        <v>0</v>
      </c>
      <c r="AI81" s="9">
        <f t="shared" si="7"/>
        <v>0</v>
      </c>
    </row>
    <row r="82" spans="2:35" x14ac:dyDescent="0.4">
      <c r="B82" s="18"/>
      <c r="C82" s="8"/>
      <c r="D82" s="26"/>
      <c r="E82" s="33"/>
      <c r="F82" s="33"/>
      <c r="G82" s="22"/>
      <c r="H82" s="22"/>
      <c r="I82" s="31"/>
      <c r="J82" s="16"/>
      <c r="K82" s="16"/>
      <c r="L82" s="16"/>
      <c r="M82" s="32">
        <f t="shared" si="5"/>
        <v>0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9">
        <f t="shared" si="6"/>
        <v>0</v>
      </c>
      <c r="AI82" s="9">
        <f t="shared" si="7"/>
        <v>0</v>
      </c>
    </row>
    <row r="83" spans="2:35" x14ac:dyDescent="0.4">
      <c r="B83" s="11"/>
      <c r="C83" s="12"/>
      <c r="D83" s="27"/>
      <c r="E83" s="10"/>
      <c r="F83" s="10"/>
      <c r="G83" s="10"/>
      <c r="H83" s="10"/>
      <c r="I83" s="10"/>
      <c r="J83" s="10"/>
      <c r="K83" s="10"/>
      <c r="L83" s="10"/>
      <c r="M83" s="32">
        <f t="shared" si="5"/>
        <v>0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9">
        <f t="shared" si="6"/>
        <v>0</v>
      </c>
      <c r="AI83" s="9">
        <f t="shared" si="7"/>
        <v>0</v>
      </c>
    </row>
    <row r="84" spans="2:35" x14ac:dyDescent="0.4">
      <c r="B84" s="13" t="s">
        <v>8</v>
      </c>
      <c r="C84" s="14"/>
      <c r="D84" s="28"/>
      <c r="E84" s="40">
        <f t="shared" ref="E84:AI84" si="8">SUM(E7:E83)</f>
        <v>1765098.75</v>
      </c>
      <c r="F84" s="40">
        <f t="shared" si="8"/>
        <v>334060.83000000007</v>
      </c>
      <c r="G84" s="40">
        <f t="shared" si="8"/>
        <v>0</v>
      </c>
      <c r="H84" s="40">
        <f t="shared" si="8"/>
        <v>26500</v>
      </c>
      <c r="I84" s="40">
        <f t="shared" si="8"/>
        <v>0</v>
      </c>
      <c r="J84" s="15">
        <f>SUM(J7:J83)</f>
        <v>0</v>
      </c>
      <c r="K84" s="15">
        <f>SUM(K7:K83)</f>
        <v>0</v>
      </c>
      <c r="L84" s="15">
        <f>SUM(L7:L83)</f>
        <v>0</v>
      </c>
      <c r="M84" s="40">
        <f t="shared" si="8"/>
        <v>2125659.5799999996</v>
      </c>
      <c r="N84" s="15">
        <f t="shared" si="8"/>
        <v>200721.68999999989</v>
      </c>
      <c r="O84" s="15">
        <f t="shared" si="8"/>
        <v>59932.740000000013</v>
      </c>
      <c r="P84" s="15">
        <f t="shared" si="8"/>
        <v>14780.74</v>
      </c>
      <c r="Q84" s="15">
        <f t="shared" si="8"/>
        <v>2525</v>
      </c>
      <c r="R84" s="15">
        <f t="shared" si="8"/>
        <v>1673.2799999999984</v>
      </c>
      <c r="S84" s="35">
        <f t="shared" si="8"/>
        <v>1034.25</v>
      </c>
      <c r="T84" s="15">
        <f t="shared" si="8"/>
        <v>12600.160000000002</v>
      </c>
      <c r="U84" s="15">
        <f t="shared" si="8"/>
        <v>4819.72</v>
      </c>
      <c r="V84" s="15">
        <f t="shared" si="8"/>
        <v>0</v>
      </c>
      <c r="W84" s="15">
        <f t="shared" si="8"/>
        <v>1646.52</v>
      </c>
      <c r="X84" s="15">
        <f t="shared" si="8"/>
        <v>31639.040000000005</v>
      </c>
      <c r="Y84" s="15">
        <f t="shared" si="8"/>
        <v>0</v>
      </c>
      <c r="Z84" s="15">
        <f t="shared" si="8"/>
        <v>0</v>
      </c>
      <c r="AA84" s="15">
        <f t="shared" si="8"/>
        <v>1991.5099999999998</v>
      </c>
      <c r="AB84" s="15">
        <f t="shared" si="8"/>
        <v>3017.61</v>
      </c>
      <c r="AC84" s="15">
        <f t="shared" si="8"/>
        <v>91007.359999999986</v>
      </c>
      <c r="AD84" s="15">
        <f t="shared" si="8"/>
        <v>1399736.94</v>
      </c>
      <c r="AE84" s="15">
        <f t="shared" si="8"/>
        <v>0</v>
      </c>
      <c r="AF84" s="15">
        <f t="shared" si="8"/>
        <v>25800</v>
      </c>
      <c r="AG84" s="15">
        <f t="shared" si="8"/>
        <v>0</v>
      </c>
      <c r="AH84" s="15">
        <f t="shared" si="8"/>
        <v>3815629.0399999996</v>
      </c>
      <c r="AI84" s="15">
        <f t="shared" si="8"/>
        <v>162957.09999999998</v>
      </c>
    </row>
  </sheetData>
  <mergeCells count="30">
    <mergeCell ref="AH5:AI5"/>
    <mergeCell ref="X4:Y4"/>
    <mergeCell ref="X5:Y5"/>
    <mergeCell ref="AB4:AC4"/>
    <mergeCell ref="P5:Q5"/>
    <mergeCell ref="R5:S5"/>
    <mergeCell ref="AB5:AC5"/>
    <mergeCell ref="T5:U5"/>
    <mergeCell ref="T4:U4"/>
    <mergeCell ref="AF5:AG5"/>
    <mergeCell ref="AD5:AE5"/>
    <mergeCell ref="Z5:AA5"/>
    <mergeCell ref="V5:W5"/>
    <mergeCell ref="B5:B6"/>
    <mergeCell ref="C5:C6"/>
    <mergeCell ref="D5:D6"/>
    <mergeCell ref="E5:E6"/>
    <mergeCell ref="F5:F6"/>
    <mergeCell ref="G5:G6"/>
    <mergeCell ref="H5:H6"/>
    <mergeCell ref="N4:O4"/>
    <mergeCell ref="P4:Q4"/>
    <mergeCell ref="R4:S4"/>
    <mergeCell ref="I5:I6"/>
    <mergeCell ref="M5:M6"/>
    <mergeCell ref="N5:O5"/>
    <mergeCell ref="J5:J6"/>
    <mergeCell ref="K5:K6"/>
    <mergeCell ref="L5:L6"/>
    <mergeCell ref="J4:K4"/>
  </mergeCells>
  <pageMargins left="0" right="0" top="0.75" bottom="0.75" header="0.3" footer="0.3"/>
  <pageSetup scale="38" orientation="landscape" r:id="rId1"/>
  <ignoredErrors>
    <ignoredError sqref="X7:X59 R7:R10 R12:R74 AC25 AC49 AC52 AC57 AD7:AD69 T7:U59" unlockedFormula="1"/>
    <ignoredError sqref="M7:M83" formulaRange="1"/>
    <ignoredError sqref="R1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7EA5-11A6-4C43-9A74-92C208AD83F7}">
  <sheetPr>
    <pageSetUpPr fitToPage="1"/>
  </sheetPr>
  <dimension ref="A1:AP81"/>
  <sheetViews>
    <sheetView topLeftCell="A41" workbookViewId="0">
      <selection activeCell="C59" sqref="C59"/>
    </sheetView>
  </sheetViews>
  <sheetFormatPr defaultColWidth="9.15234375" defaultRowHeight="15.45" x14ac:dyDescent="0.4"/>
  <cols>
    <col min="1" max="1" width="14.3828125" style="3" customWidth="1"/>
    <col min="2" max="2" width="10.84375" style="3" customWidth="1"/>
    <col min="3" max="3" width="38.38281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5.3828125" style="3" customWidth="1"/>
    <col min="29" max="29" width="12.3046875" style="3" bestFit="1" customWidth="1"/>
    <col min="30" max="31" width="12.3046875" style="3" customWidth="1"/>
    <col min="32" max="32" width="9.69140625" style="3" customWidth="1"/>
    <col min="33" max="33" width="11.15234375" style="3" customWidth="1"/>
    <col min="34" max="34" width="11.3046875" style="3" customWidth="1"/>
    <col min="35" max="35" width="9.69140625" style="3" customWidth="1"/>
    <col min="36" max="38" width="9.15234375" style="3" customWidth="1"/>
    <col min="39" max="16384" width="9.15234375" style="3"/>
  </cols>
  <sheetData>
    <row r="1" spans="1:35" ht="20.149999999999999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19"/>
      <c r="N1" s="39"/>
      <c r="O1" s="36"/>
      <c r="P1" s="23"/>
      <c r="Q1" s="23"/>
      <c r="R1" s="23"/>
      <c r="S1" s="2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45</v>
      </c>
      <c r="C2" s="2"/>
      <c r="D2" s="2"/>
      <c r="F2" s="4">
        <v>2024</v>
      </c>
      <c r="G2" s="2"/>
      <c r="H2" s="2"/>
      <c r="I2" s="2"/>
      <c r="J2" s="2"/>
      <c r="K2" s="2"/>
      <c r="L2" s="2"/>
      <c r="M2" s="2"/>
      <c r="N2" s="2"/>
      <c r="O2" s="2"/>
      <c r="P2" s="21"/>
      <c r="Q2" s="23"/>
      <c r="R2" s="23"/>
      <c r="S2" s="23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3"/>
      <c r="P3" s="21"/>
      <c r="Q3" s="23"/>
      <c r="R3" s="23"/>
      <c r="S3" s="2"/>
      <c r="T3" s="2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2"/>
      <c r="C4" s="5"/>
      <c r="D4" s="5"/>
      <c r="E4" s="29"/>
      <c r="F4" s="29"/>
      <c r="G4" s="29"/>
      <c r="H4" s="29"/>
      <c r="I4" s="29"/>
      <c r="J4" s="29"/>
      <c r="K4" s="29"/>
      <c r="L4" s="29"/>
      <c r="M4" s="34"/>
      <c r="N4" s="51"/>
      <c r="O4" s="51"/>
      <c r="P4" s="51"/>
      <c r="Q4" s="51"/>
      <c r="R4" s="51"/>
      <c r="S4" s="51"/>
      <c r="T4" s="51"/>
      <c r="U4" s="51"/>
      <c r="V4" s="41"/>
      <c r="W4" s="41"/>
      <c r="X4" s="51"/>
      <c r="Y4" s="51"/>
      <c r="Z4" s="41"/>
      <c r="AA4" s="41"/>
      <c r="AB4" s="51"/>
      <c r="AC4" s="51"/>
      <c r="AD4" s="41"/>
      <c r="AE4" s="41"/>
      <c r="AF4" s="51"/>
      <c r="AG4" s="51"/>
      <c r="AH4" s="6"/>
      <c r="AI4" s="6"/>
    </row>
    <row r="5" spans="1:35" ht="30" customHeight="1" x14ac:dyDescent="0.4">
      <c r="B5" s="49" t="s">
        <v>9</v>
      </c>
      <c r="C5" s="49" t="s">
        <v>13</v>
      </c>
      <c r="D5" s="49" t="s">
        <v>23</v>
      </c>
      <c r="E5" s="49" t="s">
        <v>0</v>
      </c>
      <c r="F5" s="49" t="s">
        <v>1</v>
      </c>
      <c r="G5" s="49" t="s">
        <v>20</v>
      </c>
      <c r="H5" s="49" t="s">
        <v>32</v>
      </c>
      <c r="I5" s="49" t="s">
        <v>2</v>
      </c>
      <c r="J5" s="49" t="s">
        <v>10</v>
      </c>
      <c r="K5" s="49" t="s">
        <v>38</v>
      </c>
      <c r="L5" s="49" t="s">
        <v>46</v>
      </c>
      <c r="M5" s="49" t="s">
        <v>3</v>
      </c>
      <c r="N5" s="52" t="s">
        <v>44</v>
      </c>
      <c r="O5" s="53"/>
      <c r="P5" s="52" t="s">
        <v>11</v>
      </c>
      <c r="Q5" s="53"/>
      <c r="R5" s="52" t="s">
        <v>43</v>
      </c>
      <c r="S5" s="53"/>
      <c r="T5" s="52" t="s">
        <v>4</v>
      </c>
      <c r="U5" s="53"/>
      <c r="V5" s="55" t="s">
        <v>42</v>
      </c>
      <c r="W5" s="53"/>
      <c r="X5" s="52" t="s">
        <v>21</v>
      </c>
      <c r="Y5" s="53"/>
      <c r="Z5" s="52" t="s">
        <v>41</v>
      </c>
      <c r="AA5" s="53"/>
      <c r="AB5" s="52" t="s">
        <v>5</v>
      </c>
      <c r="AC5" s="53"/>
      <c r="AD5" s="52" t="s">
        <v>37</v>
      </c>
      <c r="AE5" s="53"/>
      <c r="AF5" s="52" t="s">
        <v>22</v>
      </c>
      <c r="AG5" s="53"/>
      <c r="AH5" s="52" t="s">
        <v>6</v>
      </c>
      <c r="AI5" s="53"/>
    </row>
    <row r="6" spans="1:35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7" t="s">
        <v>24</v>
      </c>
      <c r="O6" s="7" t="s">
        <v>7</v>
      </c>
      <c r="P6" s="7" t="str">
        <f>+$N$6</f>
        <v xml:space="preserve">Clark </v>
      </c>
      <c r="Q6" s="7" t="s">
        <v>7</v>
      </c>
      <c r="R6" s="7" t="str">
        <f>+$N$6</f>
        <v xml:space="preserve">Clark </v>
      </c>
      <c r="S6" s="7" t="s">
        <v>7</v>
      </c>
      <c r="T6" s="7" t="str">
        <f>+$N$6</f>
        <v xml:space="preserve">Clark </v>
      </c>
      <c r="U6" s="7" t="s">
        <v>7</v>
      </c>
      <c r="V6" s="7" t="str">
        <f>+$N$6</f>
        <v xml:space="preserve">Clark </v>
      </c>
      <c r="W6" s="7" t="s">
        <v>7</v>
      </c>
      <c r="X6" s="7" t="str">
        <f>+$N$6</f>
        <v xml:space="preserve">Clark </v>
      </c>
      <c r="Y6" s="7" t="s">
        <v>7</v>
      </c>
      <c r="Z6" s="7" t="str">
        <f>+$N$6</f>
        <v xml:space="preserve">Clark </v>
      </c>
      <c r="AA6" s="7" t="s">
        <v>7</v>
      </c>
      <c r="AB6" s="7" t="str">
        <f>+$N$6</f>
        <v xml:space="preserve">Clark </v>
      </c>
      <c r="AC6" s="7" t="s">
        <v>7</v>
      </c>
      <c r="AD6" s="7" t="str">
        <f>+$N$6</f>
        <v xml:space="preserve">Clark </v>
      </c>
      <c r="AE6" s="7" t="s">
        <v>7</v>
      </c>
      <c r="AF6" s="7" t="str">
        <f>+$N$6</f>
        <v xml:space="preserve">Clark </v>
      </c>
      <c r="AG6" s="7" t="s">
        <v>7</v>
      </c>
      <c r="AH6" s="7" t="str">
        <f>+$N$6</f>
        <v xml:space="preserve">Clark </v>
      </c>
      <c r="AI6" s="7" t="s">
        <v>7</v>
      </c>
    </row>
    <row r="7" spans="1:35" x14ac:dyDescent="0.4">
      <c r="A7" s="48"/>
      <c r="B7" s="18"/>
      <c r="C7" s="8"/>
      <c r="D7" s="25">
        <v>34.01</v>
      </c>
      <c r="E7" s="30">
        <v>67774.399999999994</v>
      </c>
      <c r="F7" s="31">
        <v>25949.98</v>
      </c>
      <c r="G7" s="22">
        <v>0</v>
      </c>
      <c r="H7" s="22">
        <v>2400</v>
      </c>
      <c r="I7" s="31">
        <v>378.99</v>
      </c>
      <c r="J7" s="31"/>
      <c r="K7" s="31"/>
      <c r="L7" s="31"/>
      <c r="M7" s="32">
        <f>SUM(E7:L7)</f>
        <v>96503.37</v>
      </c>
      <c r="N7" s="16">
        <v>14489.88</v>
      </c>
      <c r="O7" s="20">
        <v>5912.88</v>
      </c>
      <c r="P7" s="16">
        <f>(86.66*12)</f>
        <v>1039.92</v>
      </c>
      <c r="Q7" s="20">
        <v>325.92</v>
      </c>
      <c r="R7" s="16">
        <f>(5.81*12)</f>
        <v>69.72</v>
      </c>
      <c r="S7" s="16">
        <v>135.24</v>
      </c>
      <c r="T7" s="16">
        <f>(9.6)+(38.22*12)</f>
        <v>468.24</v>
      </c>
      <c r="U7" s="16">
        <f>(73.32)+(14.4)+(24)</f>
        <v>111.72</v>
      </c>
      <c r="V7" s="16"/>
      <c r="W7" s="16"/>
      <c r="X7" s="16">
        <f>(99.11*12)</f>
        <v>1189.32</v>
      </c>
      <c r="Y7" s="16"/>
      <c r="Z7" s="16"/>
      <c r="AA7" s="16"/>
      <c r="AB7" s="16"/>
      <c r="AC7" s="16">
        <f>(285.48)+(285.48)</f>
        <v>570.96</v>
      </c>
      <c r="AD7" s="16">
        <f>(1134.07+47.16)*10</f>
        <v>11812.3</v>
      </c>
      <c r="AE7" s="16"/>
      <c r="AF7" s="16">
        <v>500</v>
      </c>
      <c r="AG7" s="16"/>
      <c r="AH7" s="9">
        <f>+M7+N7+P7+R7+T7+X7+AB7+AD7+AF7+V7+Z7</f>
        <v>126072.75000000001</v>
      </c>
      <c r="AI7" s="9">
        <f>+O7+Q7+S7+U7+Y7+AC7+AE7+AG7+W7+AA7</f>
        <v>7056.72</v>
      </c>
    </row>
    <row r="8" spans="1:35" x14ac:dyDescent="0.4">
      <c r="A8" s="48"/>
      <c r="B8" s="18"/>
      <c r="C8" s="8"/>
      <c r="D8" s="25">
        <v>42.39</v>
      </c>
      <c r="E8" s="30">
        <v>86410.8</v>
      </c>
      <c r="F8" s="31">
        <v>11519.93</v>
      </c>
      <c r="G8" s="22"/>
      <c r="H8" s="22"/>
      <c r="I8" s="31">
        <v>378.99</v>
      </c>
      <c r="J8" s="31"/>
      <c r="K8" s="31"/>
      <c r="L8" s="31"/>
      <c r="M8" s="32">
        <f t="shared" ref="M8:M71" si="0">SUM(E8:L8)</f>
        <v>98309.720000000016</v>
      </c>
      <c r="N8" s="16">
        <v>4421.6400000000003</v>
      </c>
      <c r="O8" s="20">
        <v>491.28</v>
      </c>
      <c r="P8" s="16">
        <f>(58.54*12)</f>
        <v>702.48</v>
      </c>
      <c r="Q8" s="20">
        <v>144.24</v>
      </c>
      <c r="R8" s="16">
        <f t="shared" ref="R8:R38" si="1">(5.81*12)</f>
        <v>69.72</v>
      </c>
      <c r="S8" s="16"/>
      <c r="T8" s="16">
        <f>(51.6)+(49.98*12)</f>
        <v>651.36</v>
      </c>
      <c r="U8" s="16">
        <f>(514.08)+(77.4)+(1040.4)</f>
        <v>1631.88</v>
      </c>
      <c r="V8" s="16"/>
      <c r="W8" s="16">
        <v>252.12</v>
      </c>
      <c r="X8" s="16">
        <f>(130.65*12)</f>
        <v>1567.8000000000002</v>
      </c>
      <c r="Y8" s="16"/>
      <c r="Z8" s="16"/>
      <c r="AA8" s="16"/>
      <c r="AB8" s="16"/>
      <c r="AC8" s="16"/>
      <c r="AD8" s="16"/>
      <c r="AE8" s="16"/>
      <c r="AF8" s="16">
        <v>500</v>
      </c>
      <c r="AG8" s="16"/>
      <c r="AH8" s="9">
        <f t="shared" ref="AH8:AH71" si="2">+M8+N8+P8+R8+T8+X8+AB8+AD8+AF8+V8+Z8</f>
        <v>106222.72000000002</v>
      </c>
      <c r="AI8" s="9">
        <f t="shared" ref="AI8:AI71" si="3">+O8+Q8+S8+U8+Y8+AC8+AE8+AG8+W8+AA8</f>
        <v>2519.52</v>
      </c>
    </row>
    <row r="9" spans="1:35" x14ac:dyDescent="0.4">
      <c r="A9" s="48"/>
      <c r="B9" s="18"/>
      <c r="C9" s="8"/>
      <c r="D9" s="25">
        <v>25.05</v>
      </c>
      <c r="E9" s="30">
        <v>50570.41</v>
      </c>
      <c r="F9" s="31">
        <v>7327.67</v>
      </c>
      <c r="G9" s="22"/>
      <c r="H9" s="22"/>
      <c r="I9" s="31">
        <v>378.99</v>
      </c>
      <c r="J9" s="31"/>
      <c r="K9" s="31"/>
      <c r="L9" s="31"/>
      <c r="M9" s="32">
        <f t="shared" si="0"/>
        <v>58277.07</v>
      </c>
      <c r="N9" s="16">
        <v>4421.6400000000003</v>
      </c>
      <c r="O9" s="20">
        <v>491.28</v>
      </c>
      <c r="P9" s="16">
        <f>(36.2*12)</f>
        <v>434.40000000000003</v>
      </c>
      <c r="Q9" s="20">
        <v>0</v>
      </c>
      <c r="R9" s="16">
        <f t="shared" si="1"/>
        <v>69.72</v>
      </c>
      <c r="S9" s="16"/>
      <c r="T9" s="16">
        <f>(29.4*12)</f>
        <v>352.79999999999995</v>
      </c>
      <c r="U9" s="16">
        <v>34.799999999999997</v>
      </c>
      <c r="V9" s="16"/>
      <c r="W9" s="16"/>
      <c r="X9" s="16">
        <f>(75.74*12)</f>
        <v>908.87999999999988</v>
      </c>
      <c r="Y9" s="16"/>
      <c r="Z9" s="16"/>
      <c r="AA9" s="16"/>
      <c r="AB9" s="16"/>
      <c r="AC9" s="16">
        <v>4896.53</v>
      </c>
      <c r="AD9" s="16">
        <f>(866.68+36.04)*4</f>
        <v>3610.8799999999997</v>
      </c>
      <c r="AE9" s="16"/>
      <c r="AF9" s="16">
        <v>500</v>
      </c>
      <c r="AG9" s="16"/>
      <c r="AH9" s="9">
        <f t="shared" si="2"/>
        <v>68575.39</v>
      </c>
      <c r="AI9" s="9">
        <f t="shared" si="3"/>
        <v>5422.61</v>
      </c>
    </row>
    <row r="10" spans="1:35" x14ac:dyDescent="0.4">
      <c r="A10" s="48"/>
      <c r="B10" s="18"/>
      <c r="C10" s="8"/>
      <c r="D10" s="25">
        <v>49.05</v>
      </c>
      <c r="E10" s="30">
        <v>99259.199999999997</v>
      </c>
      <c r="F10" s="31">
        <v>35004.15</v>
      </c>
      <c r="G10" s="22"/>
      <c r="H10" s="22">
        <v>2600</v>
      </c>
      <c r="I10" s="33">
        <v>379</v>
      </c>
      <c r="J10" s="33"/>
      <c r="K10" s="33"/>
      <c r="L10" s="33"/>
      <c r="M10" s="32">
        <f t="shared" si="0"/>
        <v>137242.35</v>
      </c>
      <c r="N10" s="16">
        <v>14489.88</v>
      </c>
      <c r="O10" s="20">
        <v>5912.88</v>
      </c>
      <c r="P10" s="16">
        <f>(86.66*12)</f>
        <v>1039.92</v>
      </c>
      <c r="Q10" s="20">
        <v>325.92</v>
      </c>
      <c r="R10" s="16">
        <f t="shared" si="1"/>
        <v>69.72</v>
      </c>
      <c r="S10" s="16">
        <v>135.24</v>
      </c>
      <c r="T10" s="16">
        <f>(18)+(57.04*12)</f>
        <v>702.48</v>
      </c>
      <c r="U10" s="16">
        <f>(204.84)+(12)</f>
        <v>216.84</v>
      </c>
      <c r="V10" s="16"/>
      <c r="W10" s="16"/>
      <c r="X10" s="16">
        <f>(149.01*12)</f>
        <v>1788.12</v>
      </c>
      <c r="Y10" s="16"/>
      <c r="Z10" s="16"/>
      <c r="AA10" s="16"/>
      <c r="AB10" s="16"/>
      <c r="AC10" s="16">
        <v>6843.14</v>
      </c>
      <c r="AD10" s="16">
        <f>(2563.33+106.37)*12</f>
        <v>32036.399999999998</v>
      </c>
      <c r="AE10" s="16"/>
      <c r="AF10" s="16">
        <v>500</v>
      </c>
      <c r="AG10" s="16"/>
      <c r="AH10" s="9">
        <f t="shared" si="2"/>
        <v>187868.87000000002</v>
      </c>
      <c r="AI10" s="9">
        <f t="shared" si="3"/>
        <v>13434.02</v>
      </c>
    </row>
    <row r="11" spans="1:35" x14ac:dyDescent="0.4">
      <c r="A11" s="48"/>
      <c r="B11" s="18"/>
      <c r="C11" s="8"/>
      <c r="D11" s="25">
        <v>23.13</v>
      </c>
      <c r="E11" s="30">
        <v>28615.599999999999</v>
      </c>
      <c r="F11" s="31">
        <v>69.39</v>
      </c>
      <c r="G11" s="22">
        <v>860.67</v>
      </c>
      <c r="H11" s="22"/>
      <c r="I11" s="31"/>
      <c r="J11" s="31"/>
      <c r="K11" s="31"/>
      <c r="L11" s="31"/>
      <c r="M11" s="32">
        <f t="shared" si="0"/>
        <v>29545.659999999996</v>
      </c>
      <c r="N11" s="16">
        <v>2947.76</v>
      </c>
      <c r="O11" s="20">
        <v>327.52</v>
      </c>
      <c r="P11" s="16">
        <v>0</v>
      </c>
      <c r="Q11" s="20">
        <v>0</v>
      </c>
      <c r="R11" s="16">
        <v>0</v>
      </c>
      <c r="S11" s="16">
        <v>0</v>
      </c>
      <c r="T11" s="16">
        <f>(6.4)+(25.87*8)</f>
        <v>213.36</v>
      </c>
      <c r="U11" s="16">
        <f>(33.12)+(16)</f>
        <v>49.12</v>
      </c>
      <c r="V11" s="16"/>
      <c r="W11" s="16"/>
      <c r="X11" s="16">
        <f>(8*66.46)</f>
        <v>531.67999999999995</v>
      </c>
      <c r="Y11" s="16"/>
      <c r="Z11" s="16"/>
      <c r="AA11" s="16"/>
      <c r="AB11" s="16"/>
      <c r="AC11" s="16"/>
      <c r="AD11" s="16"/>
      <c r="AE11" s="16"/>
      <c r="AF11" s="16">
        <v>0</v>
      </c>
      <c r="AG11" s="16"/>
      <c r="AH11" s="9">
        <f t="shared" si="2"/>
        <v>33238.46</v>
      </c>
      <c r="AI11" s="9">
        <f t="shared" si="3"/>
        <v>376.64</v>
      </c>
    </row>
    <row r="12" spans="1:35" x14ac:dyDescent="0.4">
      <c r="A12" s="48"/>
      <c r="B12" s="18"/>
      <c r="C12" s="8"/>
      <c r="D12" s="25">
        <v>31.63</v>
      </c>
      <c r="E12" s="30">
        <v>59047.61</v>
      </c>
      <c r="F12" s="31">
        <v>1730.36</v>
      </c>
      <c r="G12" s="22"/>
      <c r="H12" s="22"/>
      <c r="I12" s="33">
        <v>379</v>
      </c>
      <c r="J12" s="33"/>
      <c r="K12" s="33"/>
      <c r="L12" s="33"/>
      <c r="M12" s="32">
        <f t="shared" si="0"/>
        <v>61156.97</v>
      </c>
      <c r="N12" s="16">
        <v>4421.6400000000003</v>
      </c>
      <c r="O12" s="20">
        <v>491.28</v>
      </c>
      <c r="P12" s="16">
        <f>(36.2*12)</f>
        <v>434.40000000000003</v>
      </c>
      <c r="Q12" s="20">
        <v>0</v>
      </c>
      <c r="R12" s="16">
        <f t="shared" si="1"/>
        <v>69.72</v>
      </c>
      <c r="S12" s="16"/>
      <c r="T12" s="16">
        <f>(32.93*12)</f>
        <v>395.15999999999997</v>
      </c>
      <c r="U12" s="16">
        <f>(63.12)+(24)</f>
        <v>87.12</v>
      </c>
      <c r="V12" s="16"/>
      <c r="W12" s="16"/>
      <c r="X12" s="16">
        <f>(85.2*12)</f>
        <v>1022.4000000000001</v>
      </c>
      <c r="Y12" s="16"/>
      <c r="Z12" s="16"/>
      <c r="AA12" s="16"/>
      <c r="AB12" s="16"/>
      <c r="AC12" s="16"/>
      <c r="AD12" s="16">
        <f>(974.88+40.54)*12</f>
        <v>12185.039999999999</v>
      </c>
      <c r="AE12" s="16"/>
      <c r="AF12" s="16">
        <v>500</v>
      </c>
      <c r="AG12" s="16"/>
      <c r="AH12" s="9">
        <f t="shared" si="2"/>
        <v>80185.329999999987</v>
      </c>
      <c r="AI12" s="9">
        <f t="shared" si="3"/>
        <v>578.4</v>
      </c>
    </row>
    <row r="13" spans="1:35" x14ac:dyDescent="0.4">
      <c r="A13" s="48"/>
      <c r="B13" s="18"/>
      <c r="C13" s="8"/>
      <c r="D13" s="25">
        <v>41.36</v>
      </c>
      <c r="E13" s="30">
        <v>83501.600000000006</v>
      </c>
      <c r="F13" s="31">
        <v>20053.84</v>
      </c>
      <c r="G13" s="22"/>
      <c r="H13" s="22">
        <v>3000</v>
      </c>
      <c r="I13" s="33">
        <v>379</v>
      </c>
      <c r="J13" s="33"/>
      <c r="K13" s="33"/>
      <c r="L13" s="33"/>
      <c r="M13" s="32">
        <f t="shared" si="0"/>
        <v>106934.44</v>
      </c>
      <c r="N13" s="16">
        <v>8260.0499999999993</v>
      </c>
      <c r="O13" s="20">
        <f>(163.76)+(2279.63)</f>
        <v>2443.3900000000003</v>
      </c>
      <c r="P13" s="16">
        <f>(36.2*12)</f>
        <v>434.40000000000003</v>
      </c>
      <c r="Q13" s="20">
        <v>0</v>
      </c>
      <c r="R13" s="16">
        <f t="shared" si="1"/>
        <v>69.72</v>
      </c>
      <c r="S13" s="16"/>
      <c r="T13" s="16">
        <f>(7.2)+(48.22*12)</f>
        <v>585.84</v>
      </c>
      <c r="U13" s="16">
        <f>(68.88)+(10.8)</f>
        <v>79.679999999999993</v>
      </c>
      <c r="V13" s="16"/>
      <c r="W13" s="16"/>
      <c r="X13" s="16">
        <f>(125.07*12)</f>
        <v>1500.84</v>
      </c>
      <c r="Y13" s="16"/>
      <c r="Z13" s="16"/>
      <c r="AA13" s="16"/>
      <c r="AB13" s="16"/>
      <c r="AC13" s="16">
        <v>12786.67</v>
      </c>
      <c r="AD13" s="16">
        <f>(1431.16+59.52)*12</f>
        <v>17888.16</v>
      </c>
      <c r="AE13" s="16"/>
      <c r="AF13" s="16">
        <v>500</v>
      </c>
      <c r="AG13" s="16"/>
      <c r="AH13" s="9">
        <f t="shared" si="2"/>
        <v>136173.44999999998</v>
      </c>
      <c r="AI13" s="9">
        <f t="shared" si="3"/>
        <v>15309.74</v>
      </c>
    </row>
    <row r="14" spans="1:35" ht="18" customHeight="1" x14ac:dyDescent="0.4">
      <c r="A14" s="48"/>
      <c r="B14" s="18"/>
      <c r="C14" s="8"/>
      <c r="D14" s="25">
        <v>44.21</v>
      </c>
      <c r="E14" s="30">
        <v>49322.89</v>
      </c>
      <c r="F14" s="31">
        <v>5272.04</v>
      </c>
      <c r="G14" s="22"/>
      <c r="H14" s="22">
        <v>750</v>
      </c>
      <c r="I14" s="31">
        <v>379</v>
      </c>
      <c r="J14" s="31"/>
      <c r="K14" s="31"/>
      <c r="L14" s="31"/>
      <c r="M14" s="32">
        <f t="shared" si="0"/>
        <v>55723.93</v>
      </c>
      <c r="N14" s="16">
        <v>14489.88</v>
      </c>
      <c r="O14" s="20">
        <v>5913</v>
      </c>
      <c r="P14" s="16">
        <f>(60.2*4)+(86.66*8)</f>
        <v>934.07999999999993</v>
      </c>
      <c r="Q14" s="20">
        <f>(117.03)+(45.29)+(149.38)+(13.58)</f>
        <v>325.27999999999997</v>
      </c>
      <c r="R14" s="16">
        <f t="shared" si="1"/>
        <v>69.72</v>
      </c>
      <c r="S14" s="16">
        <v>67.62</v>
      </c>
      <c r="T14" s="16">
        <f>(7)+(52.92*12)</f>
        <v>642.04</v>
      </c>
      <c r="U14" s="16">
        <f>(63.72)+(9)+(12)</f>
        <v>84.72</v>
      </c>
      <c r="V14" s="16"/>
      <c r="W14" s="16"/>
      <c r="X14" s="16">
        <f>(137.57*12)</f>
        <v>1650.84</v>
      </c>
      <c r="Y14" s="16"/>
      <c r="Z14" s="16"/>
      <c r="AA14" s="16">
        <v>246.61</v>
      </c>
      <c r="AB14" s="16"/>
      <c r="AC14" s="16">
        <v>2767.24</v>
      </c>
      <c r="AD14" s="16">
        <f>(1574.2+65.47)*12</f>
        <v>19676.04</v>
      </c>
      <c r="AE14" s="16"/>
      <c r="AF14" s="16">
        <v>500</v>
      </c>
      <c r="AG14" s="16"/>
      <c r="AH14" s="9">
        <f t="shared" si="2"/>
        <v>93686.53</v>
      </c>
      <c r="AI14" s="9">
        <f t="shared" si="3"/>
        <v>9404.4700000000012</v>
      </c>
    </row>
    <row r="15" spans="1:35" x14ac:dyDescent="0.4">
      <c r="A15" s="48"/>
      <c r="B15" s="18"/>
      <c r="C15" s="8"/>
      <c r="D15" s="25">
        <v>37.659999999999997</v>
      </c>
      <c r="E15" s="30">
        <v>76766.8</v>
      </c>
      <c r="F15" s="31">
        <v>2187.9</v>
      </c>
      <c r="G15" s="22"/>
      <c r="H15" s="22"/>
      <c r="I15" s="31">
        <v>379</v>
      </c>
      <c r="J15" s="31"/>
      <c r="K15" s="31"/>
      <c r="L15" s="31"/>
      <c r="M15" s="32">
        <f t="shared" si="0"/>
        <v>79333.7</v>
      </c>
      <c r="N15" s="16">
        <v>10546.8</v>
      </c>
      <c r="O15" s="20">
        <v>3789.36</v>
      </c>
      <c r="P15" s="16">
        <f>(58.54*12)</f>
        <v>702.48</v>
      </c>
      <c r="Q15" s="20">
        <v>144.24</v>
      </c>
      <c r="R15" s="16">
        <f t="shared" si="1"/>
        <v>69.72</v>
      </c>
      <c r="S15" s="16">
        <v>62.76</v>
      </c>
      <c r="T15" s="16">
        <f>(51.6)+(44.69*12)</f>
        <v>587.88</v>
      </c>
      <c r="U15" s="16">
        <f>(206.4)+(338.4)</f>
        <v>544.79999999999995</v>
      </c>
      <c r="V15" s="16"/>
      <c r="W15" s="16"/>
      <c r="X15" s="16">
        <f>(116.06*12)</f>
        <v>1392.72</v>
      </c>
      <c r="Y15" s="16"/>
      <c r="Z15" s="16"/>
      <c r="AA15" s="16"/>
      <c r="AB15" s="16"/>
      <c r="AC15" s="16">
        <v>30500</v>
      </c>
      <c r="AD15" s="16">
        <f>(1996.53+82.85)*12</f>
        <v>24952.560000000001</v>
      </c>
      <c r="AE15" s="16"/>
      <c r="AF15" s="16">
        <v>500</v>
      </c>
      <c r="AG15" s="16"/>
      <c r="AH15" s="9">
        <f t="shared" si="2"/>
        <v>118085.86</v>
      </c>
      <c r="AI15" s="9">
        <f t="shared" si="3"/>
        <v>35041.160000000003</v>
      </c>
    </row>
    <row r="16" spans="1:35" x14ac:dyDescent="0.4">
      <c r="A16" s="48"/>
      <c r="B16" s="18"/>
      <c r="C16" s="8"/>
      <c r="D16" s="25">
        <v>41.12</v>
      </c>
      <c r="E16" s="30">
        <v>80785.2</v>
      </c>
      <c r="F16" s="31">
        <v>42301.97</v>
      </c>
      <c r="G16" s="22"/>
      <c r="H16" s="22">
        <v>5300</v>
      </c>
      <c r="I16" s="31">
        <v>378.99</v>
      </c>
      <c r="J16" s="31"/>
      <c r="K16" s="31"/>
      <c r="L16" s="31"/>
      <c r="M16" s="32">
        <f t="shared" si="0"/>
        <v>128766.16</v>
      </c>
      <c r="N16" s="16">
        <v>14489.88</v>
      </c>
      <c r="O16" s="20">
        <v>5912.88</v>
      </c>
      <c r="P16" s="16">
        <f>(86.66*8)</f>
        <v>693.28</v>
      </c>
      <c r="Q16" s="20">
        <v>135.80000000000001</v>
      </c>
      <c r="R16" s="16">
        <f t="shared" si="1"/>
        <v>69.72</v>
      </c>
      <c r="S16" s="16">
        <v>22.54</v>
      </c>
      <c r="T16" s="16">
        <f>(9.6)+(47.04*12)</f>
        <v>574.08000000000004</v>
      </c>
      <c r="U16" s="16">
        <f>(90.24)+(14.4)+(24)</f>
        <v>128.63999999999999</v>
      </c>
      <c r="V16" s="16"/>
      <c r="W16" s="16"/>
      <c r="X16" s="16">
        <f>122.6*12</f>
        <v>1471.1999999999998</v>
      </c>
      <c r="Y16" s="16"/>
      <c r="Z16" s="16"/>
      <c r="AA16" s="16"/>
      <c r="AB16" s="16"/>
      <c r="AC16" s="16"/>
      <c r="AD16" s="16">
        <f>(58.34+1402.91)*12</f>
        <v>17535</v>
      </c>
      <c r="AE16" s="16"/>
      <c r="AF16" s="16">
        <v>500</v>
      </c>
      <c r="AG16" s="16"/>
      <c r="AH16" s="9">
        <f t="shared" si="2"/>
        <v>164099.32</v>
      </c>
      <c r="AI16" s="9">
        <f t="shared" si="3"/>
        <v>6199.8600000000006</v>
      </c>
    </row>
    <row r="17" spans="1:35" x14ac:dyDescent="0.4">
      <c r="A17" s="48"/>
      <c r="B17" s="18"/>
      <c r="C17" s="8"/>
      <c r="D17" s="25">
        <v>41.1</v>
      </c>
      <c r="E17" s="30">
        <v>82204.800000000003</v>
      </c>
      <c r="F17" s="31">
        <v>9976.7199999999993</v>
      </c>
      <c r="G17" s="22">
        <v>1644</v>
      </c>
      <c r="I17" s="31">
        <v>378.99</v>
      </c>
      <c r="J17" s="31"/>
      <c r="K17" s="31"/>
      <c r="L17" s="31"/>
      <c r="M17" s="32">
        <f t="shared" si="0"/>
        <v>94204.510000000009</v>
      </c>
      <c r="N17" s="16">
        <v>4421.6400000000003</v>
      </c>
      <c r="O17" s="20">
        <v>491.28</v>
      </c>
      <c r="P17" s="16">
        <f>(36.2*12)</f>
        <v>434.40000000000003</v>
      </c>
      <c r="Q17" s="20">
        <v>0</v>
      </c>
      <c r="R17" s="16">
        <f t="shared" si="1"/>
        <v>69.72</v>
      </c>
      <c r="S17" s="16"/>
      <c r="T17" s="16">
        <f>(48.22*12)</f>
        <v>578.64</v>
      </c>
      <c r="U17" s="16"/>
      <c r="V17" s="16"/>
      <c r="W17" s="16"/>
      <c r="X17" s="16">
        <f>(121.99*12)</f>
        <v>1463.8799999999999</v>
      </c>
      <c r="Y17" s="16"/>
      <c r="Z17" s="16"/>
      <c r="AA17" s="16">
        <v>377.16</v>
      </c>
      <c r="AB17" s="16"/>
      <c r="AC17" s="16">
        <v>9218.17</v>
      </c>
      <c r="AD17" s="16">
        <f>(1395.94+58.05)*12</f>
        <v>17447.88</v>
      </c>
      <c r="AE17" s="16"/>
      <c r="AF17" s="16">
        <v>500</v>
      </c>
      <c r="AG17" s="16"/>
      <c r="AH17" s="9">
        <f t="shared" si="2"/>
        <v>119120.67000000001</v>
      </c>
      <c r="AI17" s="9">
        <f t="shared" si="3"/>
        <v>10086.61</v>
      </c>
    </row>
    <row r="18" spans="1:35" x14ac:dyDescent="0.4">
      <c r="A18" s="48"/>
      <c r="B18" s="18"/>
      <c r="C18" s="8"/>
      <c r="D18" s="25">
        <v>40.64</v>
      </c>
      <c r="E18" s="30">
        <v>82436</v>
      </c>
      <c r="F18" s="31">
        <v>15660.08</v>
      </c>
      <c r="G18" s="22">
        <v>1625.6</v>
      </c>
      <c r="H18" s="22"/>
      <c r="I18" s="31">
        <v>378.99</v>
      </c>
      <c r="J18" s="31"/>
      <c r="K18" s="31"/>
      <c r="L18" s="31"/>
      <c r="M18" s="32">
        <f t="shared" si="0"/>
        <v>100100.67000000001</v>
      </c>
      <c r="N18" s="16">
        <v>4421.6400000000003</v>
      </c>
      <c r="O18" s="20">
        <v>491.28</v>
      </c>
      <c r="P18" s="16">
        <f>(36.2*12)</f>
        <v>434.40000000000003</v>
      </c>
      <c r="Q18" s="20">
        <v>0</v>
      </c>
      <c r="R18" s="16">
        <f t="shared" si="1"/>
        <v>69.72</v>
      </c>
      <c r="S18" s="16"/>
      <c r="T18" s="16">
        <f>(47.63*12)</f>
        <v>571.56000000000006</v>
      </c>
      <c r="U18" s="16">
        <v>24</v>
      </c>
      <c r="V18" s="16"/>
      <c r="W18" s="16"/>
      <c r="X18" s="16">
        <f>(124.04*12)</f>
        <v>1488.48</v>
      </c>
      <c r="Y18" s="16"/>
      <c r="Z18" s="16"/>
      <c r="AA18" s="16"/>
      <c r="AB18" s="16"/>
      <c r="AC18" s="16"/>
      <c r="AD18" s="16">
        <f>(2133.81+88.55)*12</f>
        <v>26668.32</v>
      </c>
      <c r="AE18" s="16"/>
      <c r="AF18" s="16">
        <v>500</v>
      </c>
      <c r="AG18" s="16"/>
      <c r="AH18" s="9">
        <f t="shared" si="2"/>
        <v>134254.79</v>
      </c>
      <c r="AI18" s="9">
        <f t="shared" si="3"/>
        <v>515.28</v>
      </c>
    </row>
    <row r="19" spans="1:35" x14ac:dyDescent="0.4">
      <c r="A19" s="48"/>
      <c r="B19" s="18"/>
      <c r="C19" s="8"/>
      <c r="D19" s="25">
        <v>37.6</v>
      </c>
      <c r="E19" s="30">
        <v>75551.199999999997</v>
      </c>
      <c r="F19" s="31">
        <v>19790.59</v>
      </c>
      <c r="G19" s="22"/>
      <c r="H19" s="22">
        <v>3750</v>
      </c>
      <c r="I19" s="31">
        <v>378.99</v>
      </c>
      <c r="J19" s="31"/>
      <c r="K19" s="31"/>
      <c r="L19" s="31"/>
      <c r="M19" s="32">
        <f t="shared" si="0"/>
        <v>99470.78</v>
      </c>
      <c r="N19" s="16">
        <v>9539.52</v>
      </c>
      <c r="O19" s="20">
        <v>3247.2</v>
      </c>
      <c r="P19" s="16">
        <f>(60.2*4)+(86.66*8)</f>
        <v>934.07999999999993</v>
      </c>
      <c r="Q19" s="20">
        <f>(237.97)+(45.29)</f>
        <v>283.26</v>
      </c>
      <c r="R19" s="16">
        <f t="shared" si="1"/>
        <v>69.72</v>
      </c>
      <c r="S19" s="16">
        <v>69.72</v>
      </c>
      <c r="T19" s="16">
        <f>(9.6)+(43.51*12)</f>
        <v>531.72</v>
      </c>
      <c r="U19" s="16">
        <v>12</v>
      </c>
      <c r="V19" s="16"/>
      <c r="W19" s="16"/>
      <c r="X19" s="16">
        <f>(112.63*12)</f>
        <v>1351.56</v>
      </c>
      <c r="Y19" s="16"/>
      <c r="Z19" s="16"/>
      <c r="AA19" s="16"/>
      <c r="AB19" s="16"/>
      <c r="AC19" s="16">
        <v>5945.52</v>
      </c>
      <c r="AD19" s="16">
        <f>(1288.84+53.6)*12</f>
        <v>16109.279999999999</v>
      </c>
      <c r="AE19" s="16"/>
      <c r="AF19" s="16">
        <v>500</v>
      </c>
      <c r="AG19" s="16"/>
      <c r="AH19" s="9">
        <f t="shared" si="2"/>
        <v>128506.66</v>
      </c>
      <c r="AI19" s="9">
        <f t="shared" si="3"/>
        <v>9557.7000000000007</v>
      </c>
    </row>
    <row r="20" spans="1:35" x14ac:dyDescent="0.4">
      <c r="A20" s="48"/>
      <c r="B20" s="18"/>
      <c r="C20" s="8"/>
      <c r="D20" s="25">
        <v>22.36</v>
      </c>
      <c r="E20" s="30">
        <v>45580</v>
      </c>
      <c r="F20" s="31">
        <v>368.94</v>
      </c>
      <c r="G20" s="22"/>
      <c r="H20" s="22"/>
      <c r="I20" s="31">
        <v>379</v>
      </c>
      <c r="J20" s="31"/>
      <c r="K20" s="31"/>
      <c r="L20" s="31"/>
      <c r="M20" s="32">
        <f t="shared" si="0"/>
        <v>46327.94</v>
      </c>
      <c r="N20" s="16">
        <v>4421.6400000000003</v>
      </c>
      <c r="O20" s="20">
        <v>491.28</v>
      </c>
      <c r="P20" s="16">
        <f>(36.2*12)</f>
        <v>434.40000000000003</v>
      </c>
      <c r="Q20" s="20">
        <v>0</v>
      </c>
      <c r="R20" s="16">
        <f t="shared" si="1"/>
        <v>69.72</v>
      </c>
      <c r="S20" s="16"/>
      <c r="T20" s="16">
        <f>(12)+(32.93*12)</f>
        <v>407.15999999999997</v>
      </c>
      <c r="U20" s="16">
        <f>(79.32)+(24)</f>
        <v>103.32</v>
      </c>
      <c r="V20" s="16"/>
      <c r="W20" s="16"/>
      <c r="X20" s="16">
        <f>(85.26*12)</f>
        <v>1023.1200000000001</v>
      </c>
      <c r="Y20" s="16"/>
      <c r="Z20" s="16"/>
      <c r="AA20" s="16"/>
      <c r="AB20" s="16"/>
      <c r="AC20" s="16">
        <v>494.01</v>
      </c>
      <c r="AD20" s="16">
        <f>(975.62+40.57)*12</f>
        <v>12194.28</v>
      </c>
      <c r="AE20" s="16"/>
      <c r="AF20" s="16">
        <v>500</v>
      </c>
      <c r="AG20" s="16"/>
      <c r="AH20" s="9">
        <f t="shared" si="2"/>
        <v>65378.260000000009</v>
      </c>
      <c r="AI20" s="9">
        <f t="shared" si="3"/>
        <v>1088.6099999999999</v>
      </c>
    </row>
    <row r="21" spans="1:35" x14ac:dyDescent="0.4">
      <c r="A21" s="48"/>
      <c r="B21" s="18"/>
      <c r="C21" s="8"/>
      <c r="D21" s="25">
        <v>21.4</v>
      </c>
      <c r="E21" s="30">
        <v>15408</v>
      </c>
      <c r="F21" s="31">
        <v>1967.73</v>
      </c>
      <c r="G21" s="22"/>
      <c r="H21" s="22"/>
      <c r="I21" s="31">
        <v>379</v>
      </c>
      <c r="J21" s="31"/>
      <c r="K21" s="31"/>
      <c r="L21" s="31"/>
      <c r="M21" s="32">
        <f t="shared" si="0"/>
        <v>17754.73</v>
      </c>
      <c r="N21" s="16">
        <v>0</v>
      </c>
      <c r="O21" s="20">
        <v>0</v>
      </c>
      <c r="P21" s="16">
        <v>0</v>
      </c>
      <c r="Q21" s="20">
        <v>0</v>
      </c>
      <c r="R21" s="16"/>
      <c r="S21" s="16"/>
      <c r="T21" s="16">
        <f>(26.46*4)</f>
        <v>105.84</v>
      </c>
      <c r="U21" s="16">
        <v>8</v>
      </c>
      <c r="V21" s="16"/>
      <c r="W21" s="16"/>
      <c r="X21" s="16">
        <f>(68.59*4)</f>
        <v>274.36</v>
      </c>
      <c r="Y21" s="16"/>
      <c r="Z21" s="16"/>
      <c r="AA21" s="16"/>
      <c r="AB21" s="16"/>
      <c r="AC21" s="16"/>
      <c r="AD21" s="16"/>
      <c r="AE21" s="16"/>
      <c r="AF21" s="16">
        <v>0</v>
      </c>
      <c r="AG21" s="16"/>
      <c r="AH21" s="9">
        <f t="shared" si="2"/>
        <v>18134.93</v>
      </c>
      <c r="AI21" s="9">
        <f t="shared" si="3"/>
        <v>8</v>
      </c>
    </row>
    <row r="22" spans="1:35" x14ac:dyDescent="0.4">
      <c r="A22" s="48"/>
      <c r="B22" s="18"/>
      <c r="C22" s="8"/>
      <c r="D22" s="25">
        <v>49.31</v>
      </c>
      <c r="E22" s="30">
        <v>100512.81</v>
      </c>
      <c r="F22" s="31">
        <v>14855.19</v>
      </c>
      <c r="G22" s="22"/>
      <c r="H22" s="22">
        <v>2150</v>
      </c>
      <c r="I22" s="31">
        <v>379</v>
      </c>
      <c r="J22" s="31"/>
      <c r="K22" s="31"/>
      <c r="L22" s="31"/>
      <c r="M22" s="32">
        <f t="shared" si="0"/>
        <v>117897</v>
      </c>
      <c r="N22" s="16">
        <v>10546.8</v>
      </c>
      <c r="O22" s="20">
        <v>3789.36</v>
      </c>
      <c r="P22" s="16">
        <f>(58.54*12)</f>
        <v>702.48</v>
      </c>
      <c r="Q22" s="20">
        <v>144.24</v>
      </c>
      <c r="R22" s="16">
        <f t="shared" si="1"/>
        <v>69.72</v>
      </c>
      <c r="S22" s="16">
        <v>62.76</v>
      </c>
      <c r="T22" s="16">
        <f>(27.6)+(58.21*12)</f>
        <v>726.12</v>
      </c>
      <c r="U22" s="16"/>
      <c r="V22" s="16"/>
      <c r="W22" s="16">
        <v>252.12</v>
      </c>
      <c r="X22" s="16">
        <f>(151.96*12)</f>
        <v>1823.52</v>
      </c>
      <c r="Y22" s="16"/>
      <c r="Z22" s="16"/>
      <c r="AA22" s="16"/>
      <c r="AB22" s="16"/>
      <c r="AC22" s="16">
        <v>5875.91</v>
      </c>
      <c r="AD22" s="16">
        <f>(2614.07+108.47)*12</f>
        <v>32670.48</v>
      </c>
      <c r="AE22" s="16"/>
      <c r="AF22" s="16">
        <v>500</v>
      </c>
      <c r="AG22" s="16"/>
      <c r="AH22" s="9">
        <f t="shared" si="2"/>
        <v>164936.12</v>
      </c>
      <c r="AI22" s="9">
        <f t="shared" si="3"/>
        <v>10124.390000000001</v>
      </c>
    </row>
    <row r="23" spans="1:35" x14ac:dyDescent="0.4">
      <c r="A23" s="48"/>
      <c r="B23" s="18"/>
      <c r="C23" s="8"/>
      <c r="D23" s="25">
        <v>43.78</v>
      </c>
      <c r="E23" s="30">
        <v>86109.48</v>
      </c>
      <c r="F23" s="31">
        <v>15094.6</v>
      </c>
      <c r="G23" s="22"/>
      <c r="H23" s="22">
        <v>2700</v>
      </c>
      <c r="I23" s="31">
        <v>379</v>
      </c>
      <c r="J23" s="31"/>
      <c r="K23" s="31"/>
      <c r="L23" s="31"/>
      <c r="M23" s="32">
        <f t="shared" si="0"/>
        <v>104283.08</v>
      </c>
      <c r="N23" s="16">
        <v>4421.6400000000003</v>
      </c>
      <c r="O23" s="20">
        <v>491.28</v>
      </c>
      <c r="P23" s="16">
        <f>(36.2*12)</f>
        <v>434.40000000000003</v>
      </c>
      <c r="Q23" s="20">
        <v>0</v>
      </c>
      <c r="R23" s="16">
        <f t="shared" si="1"/>
        <v>69.72</v>
      </c>
      <c r="S23" s="16"/>
      <c r="T23" s="16">
        <f>(51.74*12)</f>
        <v>620.88</v>
      </c>
      <c r="U23" s="16">
        <v>532.20000000000005</v>
      </c>
      <c r="V23" s="16"/>
      <c r="W23" s="16">
        <v>252.12</v>
      </c>
      <c r="X23" s="16">
        <f>(134.27*12)</f>
        <v>1611.2400000000002</v>
      </c>
      <c r="Y23" s="16"/>
      <c r="Z23" s="16"/>
      <c r="AA23" s="16"/>
      <c r="AB23" s="16"/>
      <c r="AC23" s="16">
        <v>2078.1</v>
      </c>
      <c r="AD23" s="16">
        <f>(2309.7+95.84)*12</f>
        <v>28866.48</v>
      </c>
      <c r="AE23" s="16"/>
      <c r="AF23" s="16">
        <v>500</v>
      </c>
      <c r="AG23" s="16"/>
      <c r="AH23" s="9">
        <f t="shared" si="2"/>
        <v>140807.44</v>
      </c>
      <c r="AI23" s="9">
        <f t="shared" si="3"/>
        <v>3353.7</v>
      </c>
    </row>
    <row r="24" spans="1:35" x14ac:dyDescent="0.4">
      <c r="A24" s="48"/>
      <c r="B24" s="18"/>
      <c r="C24" s="8"/>
      <c r="D24" s="25">
        <v>29.23</v>
      </c>
      <c r="E24" s="30">
        <v>58639.62</v>
      </c>
      <c r="F24" s="31">
        <v>8837.17</v>
      </c>
      <c r="G24" s="22"/>
      <c r="H24" s="22"/>
      <c r="I24" s="31">
        <v>379</v>
      </c>
      <c r="J24" s="31"/>
      <c r="K24" s="31"/>
      <c r="L24" s="31"/>
      <c r="M24" s="32">
        <f t="shared" si="0"/>
        <v>67855.790000000008</v>
      </c>
      <c r="N24" s="16">
        <v>11602.17</v>
      </c>
      <c r="O24" s="20">
        <f>(2463.7)+(1894.2)</f>
        <v>4357.8999999999996</v>
      </c>
      <c r="P24" s="16">
        <f>(60.2*7)+(86.66*5)</f>
        <v>854.7</v>
      </c>
      <c r="Q24" s="20">
        <f>(135.8)+(90.58)</f>
        <v>226.38</v>
      </c>
      <c r="R24" s="16">
        <f t="shared" si="1"/>
        <v>69.72</v>
      </c>
      <c r="S24" s="16">
        <v>97.02</v>
      </c>
      <c r="T24" s="16">
        <f>(29.4*12)</f>
        <v>352.79999999999995</v>
      </c>
      <c r="U24" s="16">
        <f>(56.4)+(24)</f>
        <v>80.400000000000006</v>
      </c>
      <c r="V24" s="16"/>
      <c r="W24" s="16"/>
      <c r="X24" s="16">
        <f>(76.93*12)</f>
        <v>923.16000000000008</v>
      </c>
      <c r="Y24" s="16"/>
      <c r="Z24" s="16"/>
      <c r="AA24" s="16"/>
      <c r="AB24" s="16"/>
      <c r="AC24" s="16">
        <v>674.77</v>
      </c>
      <c r="AD24" s="16">
        <f>(880.26+36.61)*12</f>
        <v>11002.44</v>
      </c>
      <c r="AE24" s="16"/>
      <c r="AF24" s="16">
        <v>500</v>
      </c>
      <c r="AG24" s="16"/>
      <c r="AH24" s="9">
        <f t="shared" si="2"/>
        <v>93160.780000000013</v>
      </c>
      <c r="AI24" s="9">
        <f t="shared" si="3"/>
        <v>5436.4699999999993</v>
      </c>
    </row>
    <row r="25" spans="1:35" x14ac:dyDescent="0.4">
      <c r="A25" s="48"/>
      <c r="B25" s="18"/>
      <c r="C25" s="8"/>
      <c r="D25" s="25">
        <v>44.21</v>
      </c>
      <c r="E25" s="30">
        <v>89904.8</v>
      </c>
      <c r="F25" s="31">
        <v>7931.51</v>
      </c>
      <c r="G25" s="22"/>
      <c r="H25" s="22"/>
      <c r="I25" s="31">
        <v>379</v>
      </c>
      <c r="J25" s="31"/>
      <c r="K25" s="31"/>
      <c r="L25" s="31"/>
      <c r="M25" s="32">
        <f t="shared" si="0"/>
        <v>98215.31</v>
      </c>
      <c r="N25" s="16">
        <v>10875.39</v>
      </c>
      <c r="O25" s="20">
        <f>(492.74)+(3473.58)</f>
        <v>3966.3199999999997</v>
      </c>
      <c r="P25" s="16">
        <f>(58.54*11)+(86.66)</f>
        <v>730.59999999999991</v>
      </c>
      <c r="Q25" s="20">
        <f>(132.22)+(27.16)</f>
        <v>159.38</v>
      </c>
      <c r="R25" s="16">
        <f t="shared" si="1"/>
        <v>69.72</v>
      </c>
      <c r="S25" s="16">
        <v>68.8</v>
      </c>
      <c r="T25" s="16">
        <f>(27.6)+(52.33*12)</f>
        <v>655.56000000000006</v>
      </c>
      <c r="U25" s="16">
        <f>(282.36)+(8)</f>
        <v>290.36</v>
      </c>
      <c r="V25" s="16"/>
      <c r="W25" s="16">
        <v>497.04</v>
      </c>
      <c r="X25" s="16">
        <f>(135.62*12)</f>
        <v>1627.44</v>
      </c>
      <c r="Y25" s="16"/>
      <c r="Z25" s="16"/>
      <c r="AA25" s="16"/>
      <c r="AB25" s="16"/>
      <c r="AC25" s="16">
        <f>(6140.98)+(7279.52)</f>
        <v>13420.5</v>
      </c>
      <c r="AD25" s="16"/>
      <c r="AE25" s="16"/>
      <c r="AF25" s="16">
        <v>500</v>
      </c>
      <c r="AG25" s="16"/>
      <c r="AH25" s="9">
        <f t="shared" si="2"/>
        <v>112674.02</v>
      </c>
      <c r="AI25" s="9">
        <f t="shared" si="3"/>
        <v>18402.400000000001</v>
      </c>
    </row>
    <row r="26" spans="1:35" x14ac:dyDescent="0.4">
      <c r="A26" s="48"/>
      <c r="B26" s="18"/>
      <c r="C26" s="8"/>
      <c r="D26" s="25">
        <v>25.13</v>
      </c>
      <c r="E26" s="30">
        <v>50013.63</v>
      </c>
      <c r="F26" s="31">
        <v>203.06</v>
      </c>
      <c r="G26" s="22"/>
      <c r="H26" s="22"/>
      <c r="I26" s="31">
        <v>378.99</v>
      </c>
      <c r="J26" s="31"/>
      <c r="K26" s="31"/>
      <c r="L26" s="31"/>
      <c r="M26" s="32">
        <f t="shared" si="0"/>
        <v>50595.679999999993</v>
      </c>
      <c r="N26" s="16">
        <v>4421.6400000000003</v>
      </c>
      <c r="O26" s="20">
        <v>491.28</v>
      </c>
      <c r="P26" s="16">
        <f>(36.2*12)</f>
        <v>434.40000000000003</v>
      </c>
      <c r="Q26" s="20">
        <v>0</v>
      </c>
      <c r="R26" s="16">
        <f t="shared" si="1"/>
        <v>69.72</v>
      </c>
      <c r="S26" s="16"/>
      <c r="T26" s="16">
        <f>(26.46*12)</f>
        <v>317.52</v>
      </c>
      <c r="U26" s="16">
        <v>50.76</v>
      </c>
      <c r="V26" s="16"/>
      <c r="W26" s="16"/>
      <c r="X26" s="16">
        <f>(68.91*12)</f>
        <v>826.92</v>
      </c>
      <c r="Y26" s="16"/>
      <c r="Z26" s="16"/>
      <c r="AA26" s="16"/>
      <c r="AB26" s="16"/>
      <c r="AC26" s="16"/>
      <c r="AD26" s="16">
        <f>(788.56+32.79)*8</f>
        <v>6570.7999999999993</v>
      </c>
      <c r="AE26" s="16"/>
      <c r="AF26" s="16">
        <v>500</v>
      </c>
      <c r="AG26" s="16"/>
      <c r="AH26" s="9">
        <f t="shared" si="2"/>
        <v>63736.679999999993</v>
      </c>
      <c r="AI26" s="9">
        <f t="shared" si="3"/>
        <v>542.04</v>
      </c>
    </row>
    <row r="27" spans="1:35" x14ac:dyDescent="0.4">
      <c r="A27" s="48"/>
      <c r="B27" s="18"/>
      <c r="C27" s="8"/>
      <c r="D27" s="25">
        <v>44.58</v>
      </c>
      <c r="E27" s="30">
        <v>90004.800000000003</v>
      </c>
      <c r="F27" s="31">
        <v>27511.88</v>
      </c>
      <c r="G27" s="22"/>
      <c r="H27" s="22">
        <v>3700</v>
      </c>
      <c r="I27" s="31">
        <v>379</v>
      </c>
      <c r="J27" s="31"/>
      <c r="K27" s="31"/>
      <c r="L27" s="31"/>
      <c r="M27" s="32">
        <f t="shared" si="0"/>
        <v>121595.68000000001</v>
      </c>
      <c r="N27" s="16">
        <v>4421.6400000000003</v>
      </c>
      <c r="O27" s="20">
        <v>491.28</v>
      </c>
      <c r="P27" s="16">
        <f>(36.2*12)</f>
        <v>434.40000000000003</v>
      </c>
      <c r="Q27" s="20">
        <v>0</v>
      </c>
      <c r="R27" s="16">
        <f t="shared" si="1"/>
        <v>69.72</v>
      </c>
      <c r="S27" s="16"/>
      <c r="T27" s="16">
        <f>(51.74*12)</f>
        <v>620.88</v>
      </c>
      <c r="U27" s="16"/>
      <c r="V27" s="16"/>
      <c r="W27" s="16"/>
      <c r="X27" s="16">
        <f>(134.81*12)</f>
        <v>1617.72</v>
      </c>
      <c r="Y27" s="16"/>
      <c r="Z27" s="16"/>
      <c r="AA27" s="16"/>
      <c r="AB27" s="16"/>
      <c r="AC27" s="16">
        <v>4848.67</v>
      </c>
      <c r="AD27" s="16">
        <f>(1542.65+64.16)*12</f>
        <v>19281.72</v>
      </c>
      <c r="AE27" s="16"/>
      <c r="AF27" s="16">
        <v>500</v>
      </c>
      <c r="AG27" s="16"/>
      <c r="AH27" s="9">
        <f t="shared" si="2"/>
        <v>148541.76000000001</v>
      </c>
      <c r="AI27" s="9">
        <f t="shared" si="3"/>
        <v>5339.95</v>
      </c>
    </row>
    <row r="28" spans="1:35" x14ac:dyDescent="0.4">
      <c r="A28" s="48"/>
      <c r="B28" s="18"/>
      <c r="C28" s="8"/>
      <c r="D28" s="25">
        <v>41.56</v>
      </c>
      <c r="E28" s="30">
        <v>83701.600000000006</v>
      </c>
      <c r="F28" s="33">
        <v>20176.990000000002</v>
      </c>
      <c r="G28" s="22"/>
      <c r="H28" s="22">
        <v>2900</v>
      </c>
      <c r="I28" s="31">
        <v>378.99</v>
      </c>
      <c r="J28" s="31"/>
      <c r="K28" s="31"/>
      <c r="L28" s="31"/>
      <c r="M28" s="32">
        <f t="shared" si="0"/>
        <v>107157.58000000002</v>
      </c>
      <c r="N28" s="16">
        <v>14489.88</v>
      </c>
      <c r="O28" s="20">
        <v>5912.88</v>
      </c>
      <c r="P28" s="16">
        <f>(86.66*12)</f>
        <v>1039.92</v>
      </c>
      <c r="Q28" s="20">
        <v>325.92</v>
      </c>
      <c r="R28" s="16">
        <f t="shared" si="1"/>
        <v>69.72</v>
      </c>
      <c r="S28" s="16">
        <v>135.24</v>
      </c>
      <c r="T28" s="16">
        <f>(9.6)+(48.22*12)</f>
        <v>588.24</v>
      </c>
      <c r="U28" s="16">
        <f>(92.52)+(14.4)+(24)</f>
        <v>130.92000000000002</v>
      </c>
      <c r="V28" s="16"/>
      <c r="W28" s="16"/>
      <c r="X28" s="16">
        <f>(125.07*12)</f>
        <v>1500.84</v>
      </c>
      <c r="Y28" s="16"/>
      <c r="Z28" s="16"/>
      <c r="AA28" s="16">
        <v>441.36</v>
      </c>
      <c r="AB28" s="16"/>
      <c r="AC28" s="16">
        <v>2135.56</v>
      </c>
      <c r="AD28" s="16">
        <f>(1431.16+59.52)*12</f>
        <v>17888.16</v>
      </c>
      <c r="AE28" s="16"/>
      <c r="AF28" s="16">
        <v>500</v>
      </c>
      <c r="AG28" s="16"/>
      <c r="AH28" s="9">
        <f t="shared" si="2"/>
        <v>143234.34000000003</v>
      </c>
      <c r="AI28" s="9">
        <f t="shared" si="3"/>
        <v>9081.880000000001</v>
      </c>
    </row>
    <row r="29" spans="1:35" x14ac:dyDescent="0.4">
      <c r="A29" s="48"/>
      <c r="B29" s="18"/>
      <c r="C29" s="8"/>
      <c r="D29" s="25">
        <v>43.85</v>
      </c>
      <c r="E29" s="30">
        <v>29379.52</v>
      </c>
      <c r="F29" s="33">
        <v>10787.12</v>
      </c>
      <c r="G29" s="22">
        <f>(14861.2)+(6669.59)</f>
        <v>21530.79</v>
      </c>
      <c r="H29" s="22">
        <v>1500</v>
      </c>
      <c r="I29" s="31"/>
      <c r="J29" s="31"/>
      <c r="K29" s="31"/>
      <c r="L29" s="31"/>
      <c r="M29" s="32">
        <f t="shared" si="0"/>
        <v>63197.43</v>
      </c>
      <c r="N29" s="16">
        <v>3515.6</v>
      </c>
      <c r="O29" s="20">
        <v>1263.1199999999999</v>
      </c>
      <c r="P29" s="16">
        <f>(58.54*7)</f>
        <v>409.78</v>
      </c>
      <c r="Q29" s="20">
        <f>(12.02*7)</f>
        <v>84.14</v>
      </c>
      <c r="R29" s="16">
        <f t="shared" si="1"/>
        <v>69.72</v>
      </c>
      <c r="S29" s="16">
        <v>20.92</v>
      </c>
      <c r="T29" s="16">
        <f>(17.2)+(54.1*4)</f>
        <v>233.6</v>
      </c>
      <c r="U29" s="16">
        <f>(185.48)+(117)+(357.6)</f>
        <v>660.08</v>
      </c>
      <c r="V29" s="16"/>
      <c r="W29" s="16">
        <v>165.3</v>
      </c>
      <c r="X29" s="16">
        <f>(140.55*4)</f>
        <v>562.20000000000005</v>
      </c>
      <c r="Y29" s="16"/>
      <c r="Z29" s="16"/>
      <c r="AA29" s="16"/>
      <c r="AB29" s="16"/>
      <c r="AC29" s="16"/>
      <c r="AD29" s="16">
        <f>(2417.77+100.33)*4</f>
        <v>10072.4</v>
      </c>
      <c r="AE29" s="16"/>
      <c r="AF29" s="16">
        <v>500</v>
      </c>
      <c r="AG29" s="16"/>
      <c r="AH29" s="9">
        <f t="shared" si="2"/>
        <v>78560.73</v>
      </c>
      <c r="AI29" s="9">
        <f t="shared" si="3"/>
        <v>2193.5600000000004</v>
      </c>
    </row>
    <row r="30" spans="1:35" x14ac:dyDescent="0.4">
      <c r="A30" s="48"/>
      <c r="B30" s="18"/>
      <c r="C30" s="8"/>
      <c r="D30" s="25">
        <v>21.96</v>
      </c>
      <c r="E30" s="30">
        <v>17568</v>
      </c>
      <c r="F30" s="33">
        <v>164.7</v>
      </c>
      <c r="G30" s="22">
        <v>2731.38</v>
      </c>
      <c r="H30" s="22">
        <v>0</v>
      </c>
      <c r="I30" s="31"/>
      <c r="J30" s="31"/>
      <c r="K30" s="31"/>
      <c r="L30" s="31"/>
      <c r="M30" s="32">
        <f t="shared" si="0"/>
        <v>20464.080000000002</v>
      </c>
      <c r="N30" s="16">
        <v>1842.35</v>
      </c>
      <c r="O30" s="20">
        <v>204.7</v>
      </c>
      <c r="P30" s="16">
        <v>0</v>
      </c>
      <c r="Q30" s="20">
        <v>0</v>
      </c>
      <c r="R30" s="16"/>
      <c r="S30" s="16"/>
      <c r="T30" s="16">
        <f>(27.05*5)</f>
        <v>135.25</v>
      </c>
      <c r="U30" s="16"/>
      <c r="V30" s="16"/>
      <c r="W30" s="16"/>
      <c r="X30" s="16">
        <f>(70.39*5)</f>
        <v>351.95</v>
      </c>
      <c r="Y30" s="16"/>
      <c r="Z30" s="16"/>
      <c r="AA30" s="16"/>
      <c r="AB30" s="16"/>
      <c r="AC30" s="16"/>
      <c r="AD30" s="16">
        <f>(805.44+33.5)*4</f>
        <v>3355.76</v>
      </c>
      <c r="AE30" s="16"/>
      <c r="AF30" s="16">
        <v>500</v>
      </c>
      <c r="AG30" s="16"/>
      <c r="AH30" s="9">
        <f t="shared" si="2"/>
        <v>26649.39</v>
      </c>
      <c r="AI30" s="9">
        <f t="shared" si="3"/>
        <v>204.7</v>
      </c>
    </row>
    <row r="31" spans="1:35" x14ac:dyDescent="0.4">
      <c r="A31" s="48"/>
      <c r="B31" s="18"/>
      <c r="C31" s="8"/>
      <c r="D31" s="25">
        <v>25.42</v>
      </c>
      <c r="E31" s="30">
        <v>51944.800000000003</v>
      </c>
      <c r="F31" s="33">
        <v>2097.15</v>
      </c>
      <c r="G31" s="22">
        <v>1016.8</v>
      </c>
      <c r="H31" s="22"/>
      <c r="I31" s="31">
        <v>379</v>
      </c>
      <c r="J31" s="31"/>
      <c r="K31" s="31"/>
      <c r="L31" s="31"/>
      <c r="M31" s="32">
        <f t="shared" si="0"/>
        <v>55437.750000000007</v>
      </c>
      <c r="N31" s="16">
        <v>4421.6400000000003</v>
      </c>
      <c r="O31" s="20">
        <v>491.28</v>
      </c>
      <c r="P31" s="16">
        <f>(36.2*12)</f>
        <v>434.40000000000003</v>
      </c>
      <c r="Q31" s="20">
        <v>0</v>
      </c>
      <c r="R31" s="16">
        <f t="shared" si="1"/>
        <v>69.72</v>
      </c>
      <c r="S31" s="16"/>
      <c r="T31" s="16">
        <f>(30.58*12)</f>
        <v>366.96</v>
      </c>
      <c r="U31" s="16"/>
      <c r="V31" s="16"/>
      <c r="W31" s="16">
        <v>252.12</v>
      </c>
      <c r="X31" s="16">
        <f>(78.72*12)</f>
        <v>944.64</v>
      </c>
      <c r="Y31" s="16"/>
      <c r="Z31" s="16"/>
      <c r="AA31" s="16">
        <v>435.6</v>
      </c>
      <c r="AB31" s="16"/>
      <c r="AC31" s="16"/>
      <c r="AD31" s="16">
        <f>(1354.18+56.19)*12</f>
        <v>16924.440000000002</v>
      </c>
      <c r="AE31" s="16"/>
      <c r="AF31" s="16">
        <v>500</v>
      </c>
      <c r="AG31" s="16"/>
      <c r="AH31" s="9">
        <f t="shared" si="2"/>
        <v>79099.550000000017</v>
      </c>
      <c r="AI31" s="9">
        <f t="shared" si="3"/>
        <v>1179</v>
      </c>
    </row>
    <row r="32" spans="1:35" x14ac:dyDescent="0.4">
      <c r="A32" s="48"/>
      <c r="B32" s="18"/>
      <c r="C32" s="8"/>
      <c r="D32" s="25">
        <v>23.15</v>
      </c>
      <c r="E32" s="30">
        <v>46233.2</v>
      </c>
      <c r="F32" s="33">
        <v>4219.3100000000004</v>
      </c>
      <c r="G32" s="22"/>
      <c r="H32" s="22"/>
      <c r="I32" s="31">
        <v>378.99</v>
      </c>
      <c r="J32" s="31"/>
      <c r="K32" s="31"/>
      <c r="L32" s="31"/>
      <c r="M32" s="32">
        <f t="shared" si="0"/>
        <v>50831.499999999993</v>
      </c>
      <c r="N32" s="16">
        <v>4421.6400000000003</v>
      </c>
      <c r="O32" s="20">
        <v>491.28</v>
      </c>
      <c r="P32" s="16">
        <f>(36.2*12)</f>
        <v>434.40000000000003</v>
      </c>
      <c r="Q32" s="20">
        <v>0</v>
      </c>
      <c r="R32" s="16">
        <f t="shared" si="1"/>
        <v>69.72</v>
      </c>
      <c r="S32" s="16"/>
      <c r="T32" s="16">
        <f>(25.87*12)</f>
        <v>310.44</v>
      </c>
      <c r="U32" s="16"/>
      <c r="V32" s="16"/>
      <c r="W32" s="16"/>
      <c r="X32" s="16">
        <f>(67.31*12)</f>
        <v>807.72</v>
      </c>
      <c r="Y32" s="16"/>
      <c r="Z32" s="16"/>
      <c r="AA32" s="16"/>
      <c r="AB32" s="16"/>
      <c r="AC32" s="16"/>
      <c r="AD32" s="16">
        <f>(770.22+32.03)*6</f>
        <v>4813.5</v>
      </c>
      <c r="AE32" s="16"/>
      <c r="AF32" s="16">
        <v>500</v>
      </c>
      <c r="AG32" s="16"/>
      <c r="AH32" s="9">
        <f t="shared" si="2"/>
        <v>62188.92</v>
      </c>
      <c r="AI32" s="9">
        <f t="shared" si="3"/>
        <v>491.28</v>
      </c>
    </row>
    <row r="33" spans="1:42" x14ac:dyDescent="0.4">
      <c r="A33" s="48"/>
      <c r="B33" s="18"/>
      <c r="C33" s="8"/>
      <c r="D33" s="25">
        <v>48.81</v>
      </c>
      <c r="E33" s="30">
        <v>98079.61</v>
      </c>
      <c r="F33" s="33">
        <v>22857.759999999998</v>
      </c>
      <c r="G33" s="22"/>
      <c r="H33" s="22">
        <v>3500</v>
      </c>
      <c r="I33" s="31">
        <v>379</v>
      </c>
      <c r="J33" s="31"/>
      <c r="K33" s="31"/>
      <c r="L33" s="31"/>
      <c r="M33" s="32">
        <f t="shared" si="0"/>
        <v>124816.37</v>
      </c>
      <c r="N33" s="16">
        <v>4421.6400000000003</v>
      </c>
      <c r="O33" s="20">
        <v>491.28</v>
      </c>
      <c r="P33" s="16">
        <f>(36.2*12)</f>
        <v>434.40000000000003</v>
      </c>
      <c r="Q33" s="20">
        <v>0</v>
      </c>
      <c r="R33" s="16">
        <f t="shared" si="1"/>
        <v>69.72</v>
      </c>
      <c r="S33" s="16"/>
      <c r="T33" s="16">
        <f>(27.6)+(55.86*12)</f>
        <v>697.92</v>
      </c>
      <c r="U33" s="16">
        <f>(307.8)+(41.4)+(12)</f>
        <v>361.2</v>
      </c>
      <c r="V33" s="16"/>
      <c r="W33" s="16"/>
      <c r="X33" s="16">
        <f>(146.23*12)</f>
        <v>1754.7599999999998</v>
      </c>
      <c r="Y33" s="16"/>
      <c r="Z33" s="16"/>
      <c r="AA33" s="16"/>
      <c r="AB33" s="16"/>
      <c r="AC33" s="16">
        <v>3733.12</v>
      </c>
      <c r="AD33" s="16">
        <f>(1673.23+69.59)*12</f>
        <v>20913.84</v>
      </c>
      <c r="AE33" s="16"/>
      <c r="AF33" s="16">
        <v>500</v>
      </c>
      <c r="AG33" s="16"/>
      <c r="AH33" s="9">
        <f t="shared" si="2"/>
        <v>153608.65</v>
      </c>
      <c r="AI33" s="9">
        <f t="shared" si="3"/>
        <v>4585.6000000000004</v>
      </c>
    </row>
    <row r="34" spans="1:42" x14ac:dyDescent="0.4">
      <c r="A34" s="48"/>
      <c r="B34" s="18"/>
      <c r="C34" s="8"/>
      <c r="D34" s="25">
        <v>38.15</v>
      </c>
      <c r="E34" s="30">
        <v>76295.600000000006</v>
      </c>
      <c r="F34" s="33">
        <v>5023.5</v>
      </c>
      <c r="G34" s="22"/>
      <c r="H34" s="22"/>
      <c r="I34" s="31">
        <v>378.99</v>
      </c>
      <c r="J34" s="31"/>
      <c r="K34" s="31"/>
      <c r="L34" s="31"/>
      <c r="M34" s="32">
        <f t="shared" si="0"/>
        <v>81698.090000000011</v>
      </c>
      <c r="N34" s="16">
        <v>9539.52</v>
      </c>
      <c r="O34" s="20">
        <v>3247.2</v>
      </c>
      <c r="P34" s="16">
        <f>(86.66*12)</f>
        <v>1039.92</v>
      </c>
      <c r="Q34" s="20">
        <v>325.92</v>
      </c>
      <c r="R34" s="16">
        <f t="shared" si="1"/>
        <v>69.72</v>
      </c>
      <c r="S34" s="16">
        <v>135.24</v>
      </c>
      <c r="T34" s="16">
        <f>(12)+(43.51*12)</f>
        <v>534.12</v>
      </c>
      <c r="U34" s="16">
        <f>(104.76)+(18)+(12)</f>
        <v>134.76</v>
      </c>
      <c r="V34" s="16"/>
      <c r="W34" s="16"/>
      <c r="X34" s="16">
        <f>(113.21*12)</f>
        <v>1358.52</v>
      </c>
      <c r="Y34" s="16"/>
      <c r="Z34" s="16"/>
      <c r="AA34" s="16"/>
      <c r="AB34" s="16"/>
      <c r="AC34" s="16">
        <v>5128.0200000000004</v>
      </c>
      <c r="AD34" s="16">
        <f>(1295.45+53.88)*12</f>
        <v>16191.960000000003</v>
      </c>
      <c r="AE34" s="16"/>
      <c r="AF34" s="16">
        <v>500</v>
      </c>
      <c r="AG34" s="16"/>
      <c r="AH34" s="9">
        <f t="shared" si="2"/>
        <v>110931.85000000002</v>
      </c>
      <c r="AI34" s="9">
        <f t="shared" si="3"/>
        <v>8971.14</v>
      </c>
    </row>
    <row r="35" spans="1:42" x14ac:dyDescent="0.4">
      <c r="A35" s="48"/>
      <c r="B35" s="18"/>
      <c r="C35" s="8"/>
      <c r="D35" s="25">
        <v>33.53</v>
      </c>
      <c r="E35" s="30">
        <v>68014.41</v>
      </c>
      <c r="F35" s="33">
        <v>7432.73</v>
      </c>
      <c r="G35" s="22"/>
      <c r="H35" s="22"/>
      <c r="I35" s="31">
        <v>379</v>
      </c>
      <c r="J35" s="31"/>
      <c r="K35" s="31"/>
      <c r="L35" s="31"/>
      <c r="M35" s="32">
        <f t="shared" si="0"/>
        <v>75826.14</v>
      </c>
      <c r="N35" s="16">
        <v>10546.8</v>
      </c>
      <c r="O35" s="20">
        <v>3789.36</v>
      </c>
      <c r="P35" s="16">
        <f>(58.54*12)</f>
        <v>702.48</v>
      </c>
      <c r="Q35" s="20">
        <v>144.24</v>
      </c>
      <c r="R35" s="16">
        <f t="shared" si="1"/>
        <v>69.72</v>
      </c>
      <c r="S35" s="16">
        <v>62.76</v>
      </c>
      <c r="T35" s="16">
        <f>(152.4)+(35.87*12)</f>
        <v>582.83999999999992</v>
      </c>
      <c r="U35" s="16">
        <v>2103</v>
      </c>
      <c r="V35" s="16"/>
      <c r="W35" s="16">
        <v>497.04</v>
      </c>
      <c r="X35" s="16">
        <f>(92.73*12)</f>
        <v>1112.76</v>
      </c>
      <c r="Y35" s="16"/>
      <c r="Z35" s="16"/>
      <c r="AA35" s="16"/>
      <c r="AB35" s="16"/>
      <c r="AC35" s="16">
        <v>7544.73</v>
      </c>
      <c r="AD35" s="16">
        <f>(1595.11+66.19)*12</f>
        <v>19935.599999999999</v>
      </c>
      <c r="AE35" s="16"/>
      <c r="AF35" s="16">
        <v>500</v>
      </c>
      <c r="AG35" s="16"/>
      <c r="AH35" s="9">
        <f t="shared" si="2"/>
        <v>109276.34</v>
      </c>
      <c r="AI35" s="9">
        <f t="shared" si="3"/>
        <v>14141.130000000001</v>
      </c>
    </row>
    <row r="36" spans="1:42" x14ac:dyDescent="0.4">
      <c r="A36" s="48"/>
      <c r="B36" s="18"/>
      <c r="C36" s="8"/>
      <c r="D36" s="25">
        <v>34.01</v>
      </c>
      <c r="E36" s="30">
        <v>66414</v>
      </c>
      <c r="F36" s="33">
        <v>29450.11</v>
      </c>
      <c r="G36" s="22"/>
      <c r="H36" s="22">
        <v>2650</v>
      </c>
      <c r="I36" s="33">
        <v>378.99</v>
      </c>
      <c r="J36" s="33"/>
      <c r="K36" s="33"/>
      <c r="L36" s="33"/>
      <c r="M36" s="32">
        <f t="shared" si="0"/>
        <v>98893.1</v>
      </c>
      <c r="N36" s="16">
        <v>6099.68</v>
      </c>
      <c r="O36" s="20">
        <f>(388.93)+(1231.85)</f>
        <v>1620.78</v>
      </c>
      <c r="P36" s="16">
        <f>(36.2*3)</f>
        <v>108.60000000000001</v>
      </c>
      <c r="Q36" s="20">
        <f>(13.58*5)</f>
        <v>67.900000000000006</v>
      </c>
      <c r="R36" s="16">
        <f t="shared" si="1"/>
        <v>69.72</v>
      </c>
      <c r="S36" s="16">
        <v>22.54</v>
      </c>
      <c r="T36" s="16">
        <f>(7.2)+(38.22*12)</f>
        <v>465.84</v>
      </c>
      <c r="U36" s="16">
        <f>(54.6)+(10.8)+(24)</f>
        <v>89.4</v>
      </c>
      <c r="V36" s="16"/>
      <c r="W36" s="16"/>
      <c r="X36" s="16">
        <f>(99.11*12)</f>
        <v>1189.32</v>
      </c>
      <c r="Y36" s="16"/>
      <c r="Z36" s="16"/>
      <c r="AA36" s="16"/>
      <c r="AB36" s="16"/>
      <c r="AC36" s="16">
        <v>430.77</v>
      </c>
      <c r="AD36" s="16">
        <f>(1134.07+47.16)*10</f>
        <v>11812.3</v>
      </c>
      <c r="AE36" s="16"/>
      <c r="AF36" s="16">
        <v>500</v>
      </c>
      <c r="AG36" s="16"/>
      <c r="AH36" s="9">
        <f t="shared" si="2"/>
        <v>119138.56000000001</v>
      </c>
      <c r="AI36" s="9">
        <f t="shared" si="3"/>
        <v>2231.3900000000003</v>
      </c>
    </row>
    <row r="37" spans="1:42" x14ac:dyDescent="0.4">
      <c r="A37" s="48"/>
      <c r="B37" s="18"/>
      <c r="C37" s="8"/>
      <c r="D37" s="25">
        <v>25.05</v>
      </c>
      <c r="E37" s="30">
        <v>49568.41</v>
      </c>
      <c r="F37" s="33">
        <v>14787.29</v>
      </c>
      <c r="G37" s="22"/>
      <c r="H37" s="22"/>
      <c r="I37" s="33">
        <v>378.99</v>
      </c>
      <c r="J37" s="33"/>
      <c r="K37" s="33"/>
      <c r="L37" s="33"/>
      <c r="M37" s="32">
        <f t="shared" si="0"/>
        <v>64734.69</v>
      </c>
      <c r="N37" s="16">
        <v>4421.6400000000003</v>
      </c>
      <c r="O37" s="20">
        <v>491.28</v>
      </c>
      <c r="P37" s="16">
        <f>(36.2*12)</f>
        <v>434.40000000000003</v>
      </c>
      <c r="Q37" s="20">
        <v>0</v>
      </c>
      <c r="R37" s="16">
        <f t="shared" si="1"/>
        <v>69.72</v>
      </c>
      <c r="S37" s="16"/>
      <c r="T37" s="16">
        <f>(29.4*12)</f>
        <v>352.79999999999995</v>
      </c>
      <c r="U37" s="16">
        <v>34.799999999999997</v>
      </c>
      <c r="V37" s="16"/>
      <c r="W37" s="16"/>
      <c r="X37" s="16">
        <f>(75.74*12)</f>
        <v>908.87999999999988</v>
      </c>
      <c r="Y37" s="16"/>
      <c r="Z37" s="16"/>
      <c r="AA37" s="16"/>
      <c r="AB37" s="16"/>
      <c r="AC37" s="16">
        <f>(187.87)+(187.87)</f>
        <v>375.74</v>
      </c>
      <c r="AD37" s="16">
        <f>(866.68+36.04)*4</f>
        <v>3610.8799999999997</v>
      </c>
      <c r="AE37" s="16"/>
      <c r="AF37" s="16">
        <v>500</v>
      </c>
      <c r="AG37" s="16"/>
      <c r="AH37" s="9">
        <f t="shared" si="2"/>
        <v>75033.010000000009</v>
      </c>
      <c r="AI37" s="9">
        <f t="shared" si="3"/>
        <v>901.81999999999994</v>
      </c>
      <c r="AM37" s="24"/>
      <c r="AN37" s="24"/>
      <c r="AO37" s="24"/>
      <c r="AP37" s="24"/>
    </row>
    <row r="38" spans="1:42" x14ac:dyDescent="0.4">
      <c r="A38" s="48"/>
      <c r="B38" s="18"/>
      <c r="C38" s="8"/>
      <c r="D38" s="25">
        <v>32.86</v>
      </c>
      <c r="E38" s="30">
        <v>65921.45</v>
      </c>
      <c r="F38" s="33">
        <v>5145.9399999999996</v>
      </c>
      <c r="G38" s="22"/>
      <c r="H38" s="22"/>
      <c r="I38" s="33">
        <v>379</v>
      </c>
      <c r="J38" s="33"/>
      <c r="K38" s="33"/>
      <c r="L38" s="33"/>
      <c r="M38" s="32">
        <f t="shared" si="0"/>
        <v>71446.39</v>
      </c>
      <c r="N38" s="16">
        <v>4421.6400000000003</v>
      </c>
      <c r="O38" s="20">
        <v>491.28</v>
      </c>
      <c r="P38" s="16">
        <f>(36.2*12)</f>
        <v>434.40000000000003</v>
      </c>
      <c r="Q38" s="20">
        <v>0</v>
      </c>
      <c r="R38" s="16">
        <f t="shared" si="1"/>
        <v>69.72</v>
      </c>
      <c r="S38" s="16"/>
      <c r="T38" s="16">
        <f>(9.6)+(38.22*12)</f>
        <v>468.24</v>
      </c>
      <c r="U38" s="16">
        <v>14.4</v>
      </c>
      <c r="V38" s="16"/>
      <c r="W38" s="16"/>
      <c r="X38" s="16">
        <f>(98.88*12)</f>
        <v>1186.56</v>
      </c>
      <c r="Y38" s="16"/>
      <c r="Z38" s="16"/>
      <c r="AA38" s="16"/>
      <c r="AB38" s="16"/>
      <c r="AC38" s="16">
        <v>3550.77</v>
      </c>
      <c r="AD38" s="16">
        <f>(1131.5+47.06)*12</f>
        <v>14142.72</v>
      </c>
      <c r="AE38" s="16"/>
      <c r="AF38" s="16">
        <v>500</v>
      </c>
      <c r="AG38" s="16"/>
      <c r="AH38" s="9">
        <f t="shared" si="2"/>
        <v>92669.67</v>
      </c>
      <c r="AI38" s="9">
        <f t="shared" si="3"/>
        <v>4056.45</v>
      </c>
      <c r="AM38" s="24"/>
      <c r="AN38" s="24"/>
      <c r="AO38" s="24"/>
      <c r="AP38" s="24"/>
    </row>
    <row r="39" spans="1:42" x14ac:dyDescent="0.4">
      <c r="A39" s="48"/>
      <c r="B39" s="18"/>
      <c r="C39" s="8"/>
      <c r="D39" s="25">
        <v>24.45</v>
      </c>
      <c r="E39" s="30">
        <v>1956</v>
      </c>
      <c r="F39" s="33"/>
      <c r="G39" s="22">
        <v>5606.14</v>
      </c>
      <c r="H39" s="22"/>
      <c r="I39" s="33"/>
      <c r="J39" s="33"/>
      <c r="K39" s="33"/>
      <c r="L39" s="33"/>
      <c r="M39" s="32">
        <f t="shared" si="0"/>
        <v>7562.14</v>
      </c>
      <c r="N39" s="16"/>
      <c r="O39" s="20">
        <v>20.47</v>
      </c>
      <c r="P39" s="16">
        <v>0</v>
      </c>
      <c r="Q39" s="20">
        <v>0</v>
      </c>
      <c r="R39" s="16"/>
      <c r="S39" s="16"/>
      <c r="T39" s="16">
        <f>(29.99)</f>
        <v>29.99</v>
      </c>
      <c r="U39" s="16"/>
      <c r="V39" s="16"/>
      <c r="W39" s="16">
        <v>16.53</v>
      </c>
      <c r="X39" s="16">
        <f>(78.37)</f>
        <v>78.37</v>
      </c>
      <c r="Y39" s="16"/>
      <c r="Z39" s="16"/>
      <c r="AA39" s="16"/>
      <c r="AB39" s="16"/>
      <c r="AC39" s="16"/>
      <c r="AD39" s="16">
        <f>(1348.11+55.94)</f>
        <v>1404.05</v>
      </c>
      <c r="AE39" s="16"/>
      <c r="AF39" s="16">
        <v>0</v>
      </c>
      <c r="AG39" s="16"/>
      <c r="AH39" s="9">
        <f t="shared" si="2"/>
        <v>9074.5499999999993</v>
      </c>
      <c r="AI39" s="9">
        <f t="shared" si="3"/>
        <v>37</v>
      </c>
      <c r="AM39" s="24"/>
      <c r="AN39" s="24"/>
      <c r="AO39" s="24"/>
      <c r="AP39" s="24"/>
    </row>
    <row r="40" spans="1:42" x14ac:dyDescent="0.4">
      <c r="A40" s="48"/>
      <c r="B40" s="18"/>
      <c r="C40" s="8"/>
      <c r="D40" s="25">
        <v>25.84</v>
      </c>
      <c r="E40" s="30">
        <v>50760</v>
      </c>
      <c r="F40" s="33">
        <v>5110.1099999999997</v>
      </c>
      <c r="G40" s="22"/>
      <c r="H40" s="22"/>
      <c r="I40" s="33">
        <v>378.99</v>
      </c>
      <c r="J40" s="33"/>
      <c r="K40" s="33"/>
      <c r="L40" s="33"/>
      <c r="M40" s="32">
        <f t="shared" si="0"/>
        <v>56249.1</v>
      </c>
      <c r="N40" s="16">
        <v>14077.35</v>
      </c>
      <c r="O40" s="20">
        <f>(5284.84)+(405.9)</f>
        <v>5690.74</v>
      </c>
      <c r="P40" s="16">
        <f>(60.2)+(86.66*11)</f>
        <v>1013.46</v>
      </c>
      <c r="Q40" s="20">
        <f>(292.29)+(19.41)</f>
        <v>311.70000000000005</v>
      </c>
      <c r="R40" s="16">
        <v>69.72</v>
      </c>
      <c r="S40" s="16">
        <v>129.78</v>
      </c>
      <c r="T40" s="16">
        <f>(29.4*12)</f>
        <v>352.79999999999995</v>
      </c>
      <c r="U40" s="16">
        <v>24</v>
      </c>
      <c r="V40" s="16"/>
      <c r="W40" s="16"/>
      <c r="X40" s="16">
        <f>(75.82*12)</f>
        <v>909.83999999999992</v>
      </c>
      <c r="Y40" s="16"/>
      <c r="Z40" s="16"/>
      <c r="AA40" s="16"/>
      <c r="AB40" s="16"/>
      <c r="AC40" s="16"/>
      <c r="AD40" s="16">
        <f>(867.56+36.08)*2</f>
        <v>1807.28</v>
      </c>
      <c r="AE40" s="16"/>
      <c r="AF40" s="16">
        <v>500</v>
      </c>
      <c r="AG40" s="16"/>
      <c r="AH40" s="9">
        <f t="shared" si="2"/>
        <v>74979.55</v>
      </c>
      <c r="AI40" s="9">
        <f t="shared" si="3"/>
        <v>6156.2199999999993</v>
      </c>
      <c r="AM40" s="24"/>
      <c r="AN40" s="24"/>
      <c r="AO40" s="24"/>
      <c r="AP40" s="24"/>
    </row>
    <row r="41" spans="1:42" x14ac:dyDescent="0.4">
      <c r="A41" s="48"/>
      <c r="B41" s="18"/>
      <c r="C41" s="8"/>
      <c r="D41" s="25">
        <v>22.04</v>
      </c>
      <c r="E41" s="30">
        <v>24849.599999999999</v>
      </c>
      <c r="F41" s="33">
        <v>738.3</v>
      </c>
      <c r="G41" s="22"/>
      <c r="H41" s="22"/>
      <c r="I41" s="33">
        <v>378.99</v>
      </c>
      <c r="J41" s="33"/>
      <c r="K41" s="33"/>
      <c r="L41" s="33"/>
      <c r="M41" s="32">
        <f t="shared" si="0"/>
        <v>25966.89</v>
      </c>
      <c r="N41" s="16"/>
      <c r="O41" s="20"/>
      <c r="P41" s="16">
        <f>(36.2*12)</f>
        <v>434.40000000000003</v>
      </c>
      <c r="Q41" s="20"/>
      <c r="R41" s="16">
        <f t="shared" ref="R41:R56" si="4">(5.81*12)</f>
        <v>69.72</v>
      </c>
      <c r="S41" s="16"/>
      <c r="T41" s="16">
        <f>(26.46*6)</f>
        <v>158.76</v>
      </c>
      <c r="U41" s="16"/>
      <c r="V41" s="16"/>
      <c r="W41" s="16"/>
      <c r="X41" s="16">
        <f>(68.59*6)</f>
        <v>411.54</v>
      </c>
      <c r="Y41" s="16"/>
      <c r="Z41" s="16"/>
      <c r="AA41" s="16"/>
      <c r="AB41" s="16"/>
      <c r="AC41" s="16"/>
      <c r="AD41" s="16"/>
      <c r="AE41" s="16"/>
      <c r="AF41" s="16">
        <v>0</v>
      </c>
      <c r="AG41" s="16"/>
      <c r="AH41" s="9">
        <f t="shared" si="2"/>
        <v>27041.31</v>
      </c>
      <c r="AI41" s="9">
        <f t="shared" si="3"/>
        <v>0</v>
      </c>
      <c r="AM41" s="24"/>
      <c r="AN41" s="24"/>
      <c r="AO41" s="24"/>
      <c r="AP41" s="24"/>
    </row>
    <row r="42" spans="1:42" x14ac:dyDescent="0.4">
      <c r="A42" s="48"/>
      <c r="B42" s="18"/>
      <c r="C42" s="8"/>
      <c r="D42" s="25">
        <v>27.38</v>
      </c>
      <c r="E42" s="30">
        <v>55546.400000000001</v>
      </c>
      <c r="F42" s="33">
        <v>443</v>
      </c>
      <c r="G42" s="22"/>
      <c r="H42" s="22"/>
      <c r="I42" s="31">
        <v>378.99</v>
      </c>
      <c r="J42" s="31"/>
      <c r="K42" s="31"/>
      <c r="L42" s="31"/>
      <c r="M42" s="32">
        <f t="shared" si="0"/>
        <v>56368.39</v>
      </c>
      <c r="N42" s="16">
        <v>9539.52</v>
      </c>
      <c r="O42" s="20">
        <v>3247.2</v>
      </c>
      <c r="P42" s="16">
        <f>(60.2*12)</f>
        <v>722.40000000000009</v>
      </c>
      <c r="Q42" s="20">
        <v>155.28</v>
      </c>
      <c r="R42" s="16">
        <f t="shared" si="4"/>
        <v>69.72</v>
      </c>
      <c r="S42" s="16">
        <v>135.24</v>
      </c>
      <c r="T42" s="16">
        <f>(9.6)+(31.16*12)</f>
        <v>383.52000000000004</v>
      </c>
      <c r="U42" s="16">
        <f>(59.76)+(14.4)+(24)</f>
        <v>98.16</v>
      </c>
      <c r="V42" s="16"/>
      <c r="W42" s="16"/>
      <c r="X42" s="16">
        <f>(81.54*12)</f>
        <v>978.48</v>
      </c>
      <c r="Y42" s="16"/>
      <c r="Z42" s="16"/>
      <c r="AA42" s="16">
        <v>269.52</v>
      </c>
      <c r="AB42" s="16"/>
      <c r="AC42" s="16">
        <v>1679.63</v>
      </c>
      <c r="AD42" s="16">
        <f>(933.07+38.8)*12</f>
        <v>11662.44</v>
      </c>
      <c r="AE42" s="16"/>
      <c r="AF42" s="16">
        <v>500</v>
      </c>
      <c r="AG42" s="16"/>
      <c r="AH42" s="9">
        <f t="shared" si="2"/>
        <v>80224.47</v>
      </c>
      <c r="AI42" s="9">
        <f t="shared" si="3"/>
        <v>5585.0300000000007</v>
      </c>
    </row>
    <row r="43" spans="1:42" x14ac:dyDescent="0.4">
      <c r="A43" s="48"/>
      <c r="B43" s="18"/>
      <c r="C43" s="8"/>
      <c r="D43" s="25">
        <v>43.42</v>
      </c>
      <c r="E43" s="30">
        <v>89395.62</v>
      </c>
      <c r="F43" s="33">
        <v>22623.47</v>
      </c>
      <c r="G43" s="22"/>
      <c r="H43" s="22">
        <v>2450</v>
      </c>
      <c r="I43" s="31">
        <v>378.99</v>
      </c>
      <c r="J43" s="31"/>
      <c r="K43" s="31"/>
      <c r="L43" s="31"/>
      <c r="M43" s="32">
        <f t="shared" si="0"/>
        <v>114848.08</v>
      </c>
      <c r="N43" s="16">
        <v>4421.6400000000003</v>
      </c>
      <c r="O43" s="20">
        <v>491.28</v>
      </c>
      <c r="P43" s="16">
        <f>(36.2*12)</f>
        <v>434.40000000000003</v>
      </c>
      <c r="Q43" s="20"/>
      <c r="R43" s="16">
        <f t="shared" si="4"/>
        <v>69.72</v>
      </c>
      <c r="S43" s="16"/>
      <c r="T43" s="16">
        <f>(52.33*12)</f>
        <v>627.96</v>
      </c>
      <c r="U43" s="16">
        <v>158.16</v>
      </c>
      <c r="V43" s="16"/>
      <c r="W43" s="16"/>
      <c r="X43" s="16">
        <f>(136.45*12)</f>
        <v>1637.3999999999999</v>
      </c>
      <c r="Y43" s="16"/>
      <c r="Z43" s="16"/>
      <c r="AA43" s="16"/>
      <c r="AB43" s="16"/>
      <c r="AC43" s="16"/>
      <c r="AD43" s="16">
        <f>(2347.21+97.4)*12</f>
        <v>29335.32</v>
      </c>
      <c r="AE43" s="16"/>
      <c r="AF43" s="16">
        <v>500</v>
      </c>
      <c r="AG43" s="16"/>
      <c r="AH43" s="9">
        <f t="shared" si="2"/>
        <v>151874.51999999999</v>
      </c>
      <c r="AI43" s="9">
        <f t="shared" si="3"/>
        <v>649.43999999999994</v>
      </c>
      <c r="AM43" s="38"/>
    </row>
    <row r="44" spans="1:42" x14ac:dyDescent="0.4">
      <c r="A44" s="48"/>
      <c r="B44" s="18"/>
      <c r="C44" s="8"/>
      <c r="D44" s="25">
        <v>40.74</v>
      </c>
      <c r="E44" s="30">
        <v>82050</v>
      </c>
      <c r="F44" s="33">
        <v>19595.560000000001</v>
      </c>
      <c r="G44" s="22"/>
      <c r="H44" s="22">
        <v>3400</v>
      </c>
      <c r="I44" s="31">
        <v>379</v>
      </c>
      <c r="J44" s="31"/>
      <c r="K44" s="31"/>
      <c r="L44" s="31"/>
      <c r="M44" s="32">
        <f t="shared" si="0"/>
        <v>105424.56</v>
      </c>
      <c r="N44" s="16">
        <v>4421.6400000000003</v>
      </c>
      <c r="O44" s="20">
        <v>491.28</v>
      </c>
      <c r="P44" s="16">
        <f>(36.2*12)</f>
        <v>434.40000000000003</v>
      </c>
      <c r="Q44" s="20"/>
      <c r="R44" s="16">
        <f t="shared" si="4"/>
        <v>69.72</v>
      </c>
      <c r="S44" s="16"/>
      <c r="T44" s="16">
        <f>(9.6)+(47.04*12)</f>
        <v>574.08000000000004</v>
      </c>
      <c r="U44" s="16">
        <f>(90.24)+(14.4)+(24)</f>
        <v>128.63999999999999</v>
      </c>
      <c r="V44" s="16"/>
      <c r="W44" s="16"/>
      <c r="X44" s="16">
        <f>(122.6*12)</f>
        <v>1471.1999999999998</v>
      </c>
      <c r="Y44" s="16"/>
      <c r="Z44" s="16"/>
      <c r="AA44" s="16"/>
      <c r="AB44" s="16"/>
      <c r="AC44" s="16"/>
      <c r="AD44" s="16">
        <f>(1402.91+58.34)*4</f>
        <v>5845</v>
      </c>
      <c r="AE44" s="16"/>
      <c r="AF44" s="16">
        <v>500</v>
      </c>
      <c r="AG44" s="16"/>
      <c r="AH44" s="9">
        <f t="shared" si="2"/>
        <v>118740.59999999999</v>
      </c>
      <c r="AI44" s="9">
        <f t="shared" si="3"/>
        <v>619.91999999999996</v>
      </c>
    </row>
    <row r="45" spans="1:42" ht="15" customHeight="1" x14ac:dyDescent="0.4">
      <c r="A45" s="48"/>
      <c r="B45" s="18"/>
      <c r="C45" s="8"/>
      <c r="D45" s="25">
        <v>37.6</v>
      </c>
      <c r="E45" s="30">
        <v>74047.199999999997</v>
      </c>
      <c r="F45" s="33">
        <v>29893.55</v>
      </c>
      <c r="G45" s="22"/>
      <c r="H45" s="22">
        <v>4000</v>
      </c>
      <c r="I45" s="31">
        <v>379</v>
      </c>
      <c r="J45" s="31"/>
      <c r="K45" s="31"/>
      <c r="L45" s="31"/>
      <c r="M45" s="32">
        <f t="shared" si="0"/>
        <v>108319.75</v>
      </c>
      <c r="N45" s="16">
        <v>14489.88</v>
      </c>
      <c r="O45" s="20">
        <v>5912.88</v>
      </c>
      <c r="P45" s="16">
        <f>(86.66*12)</f>
        <v>1039.92</v>
      </c>
      <c r="Q45" s="20">
        <v>325.92</v>
      </c>
      <c r="R45" s="16">
        <f t="shared" si="4"/>
        <v>69.72</v>
      </c>
      <c r="S45" s="16">
        <v>140.69999999999999</v>
      </c>
      <c r="T45" s="16">
        <f>(12)+(43.51*12)</f>
        <v>534.12</v>
      </c>
      <c r="U45" s="16">
        <f>(104.76)+(18)+(12)</f>
        <v>134.76</v>
      </c>
      <c r="V45" s="16"/>
      <c r="W45" s="16"/>
      <c r="X45" s="16">
        <f>(112.63*12)</f>
        <v>1351.56</v>
      </c>
      <c r="Y45" s="16"/>
      <c r="Z45" s="16"/>
      <c r="AA45" s="16"/>
      <c r="AB45" s="16"/>
      <c r="AC45" s="16">
        <v>2158.83</v>
      </c>
      <c r="AD45" s="16">
        <f>(1288.84+53.6)*12</f>
        <v>16109.279999999999</v>
      </c>
      <c r="AE45" s="16"/>
      <c r="AF45" s="16">
        <v>500</v>
      </c>
      <c r="AG45" s="16"/>
      <c r="AH45" s="9">
        <f t="shared" si="2"/>
        <v>142414.22999999998</v>
      </c>
      <c r="AI45" s="9">
        <f t="shared" si="3"/>
        <v>8673.09</v>
      </c>
    </row>
    <row r="46" spans="1:42" x14ac:dyDescent="0.4">
      <c r="A46" s="48"/>
      <c r="B46" s="18"/>
      <c r="C46" s="8"/>
      <c r="D46" s="25">
        <v>47.64</v>
      </c>
      <c r="E46" s="30">
        <v>95948.4</v>
      </c>
      <c r="F46" s="33">
        <v>28258.19</v>
      </c>
      <c r="G46" s="22"/>
      <c r="H46" s="22">
        <v>3000</v>
      </c>
      <c r="I46" s="31">
        <v>379</v>
      </c>
      <c r="J46" s="31"/>
      <c r="K46" s="31"/>
      <c r="L46" s="31"/>
      <c r="M46" s="32">
        <f t="shared" si="0"/>
        <v>127585.59</v>
      </c>
      <c r="N46" s="16">
        <v>9539.52</v>
      </c>
      <c r="O46" s="20">
        <v>3247.2</v>
      </c>
      <c r="P46" s="16">
        <f>(60.2*12)</f>
        <v>722.40000000000009</v>
      </c>
      <c r="Q46" s="20">
        <v>155.28</v>
      </c>
      <c r="R46" s="16">
        <f t="shared" si="4"/>
        <v>69.72</v>
      </c>
      <c r="S46" s="16"/>
      <c r="T46" s="16">
        <f>(10.8)+(55.27*12)</f>
        <v>674.04</v>
      </c>
      <c r="U46" s="16">
        <f>(744)+(12)</f>
        <v>756</v>
      </c>
      <c r="V46" s="16"/>
      <c r="W46" s="16"/>
      <c r="X46" s="16">
        <f>(143.37*12)</f>
        <v>1720.44</v>
      </c>
      <c r="Y46" s="16"/>
      <c r="Z46" s="16"/>
      <c r="AA46" s="16"/>
      <c r="AB46" s="16"/>
      <c r="AC46" s="16">
        <v>5088.2700000000004</v>
      </c>
      <c r="AD46" s="16">
        <f>(2466.28+102.34)</f>
        <v>2568.6200000000003</v>
      </c>
      <c r="AE46" s="16"/>
      <c r="AF46" s="16">
        <v>500</v>
      </c>
      <c r="AG46" s="16"/>
      <c r="AH46" s="9">
        <f t="shared" si="2"/>
        <v>143380.32999999999</v>
      </c>
      <c r="AI46" s="9">
        <f t="shared" si="3"/>
        <v>9246.75</v>
      </c>
    </row>
    <row r="47" spans="1:42" x14ac:dyDescent="0.4">
      <c r="A47" s="48"/>
      <c r="B47" s="18"/>
      <c r="C47" s="8"/>
      <c r="D47" s="25">
        <v>34.75</v>
      </c>
      <c r="E47" s="30">
        <v>65752.800000000003</v>
      </c>
      <c r="F47" s="33">
        <v>481.68</v>
      </c>
      <c r="G47" s="22"/>
      <c r="H47" s="22"/>
      <c r="I47" s="31">
        <v>378.99</v>
      </c>
      <c r="J47" s="31"/>
      <c r="K47" s="31"/>
      <c r="L47" s="31"/>
      <c r="M47" s="32">
        <f t="shared" si="0"/>
        <v>66613.47</v>
      </c>
      <c r="N47" s="16">
        <v>11203.98</v>
      </c>
      <c r="O47" s="20">
        <f>(3157.8)+(985.48)</f>
        <v>4143.2800000000007</v>
      </c>
      <c r="P47" s="16">
        <f>(2*86.66)+(58.54*10)</f>
        <v>758.72</v>
      </c>
      <c r="Q47" s="20">
        <f>(54.32)+(120.2)</f>
        <v>174.52</v>
      </c>
      <c r="R47" s="16">
        <f t="shared" si="4"/>
        <v>69.72</v>
      </c>
      <c r="S47" s="16">
        <v>74.84</v>
      </c>
      <c r="T47" s="16">
        <f>(18)+(37.63*12)</f>
        <v>469.56000000000006</v>
      </c>
      <c r="U47" s="16">
        <v>24</v>
      </c>
      <c r="V47" s="16"/>
      <c r="W47" s="16"/>
      <c r="X47" s="16">
        <f>(98.21*12)</f>
        <v>1178.52</v>
      </c>
      <c r="Y47" s="16"/>
      <c r="Z47" s="16"/>
      <c r="AA47" s="16">
        <v>384.72</v>
      </c>
      <c r="AB47" s="16"/>
      <c r="AC47" s="16"/>
      <c r="AD47" s="16">
        <f>(1123.79+46.74)*12</f>
        <v>14046.36</v>
      </c>
      <c r="AE47" s="16"/>
      <c r="AF47" s="16">
        <v>500</v>
      </c>
      <c r="AG47" s="16"/>
      <c r="AH47" s="9">
        <f t="shared" si="2"/>
        <v>94840.33</v>
      </c>
      <c r="AI47" s="9">
        <f t="shared" si="3"/>
        <v>4801.3600000000015</v>
      </c>
    </row>
    <row r="48" spans="1:42" x14ac:dyDescent="0.4">
      <c r="A48" s="48"/>
      <c r="B48" s="18"/>
      <c r="C48" s="8"/>
      <c r="D48" s="25">
        <v>25.61</v>
      </c>
      <c r="E48" s="30">
        <v>36592.93</v>
      </c>
      <c r="F48" s="33"/>
      <c r="G48" s="22"/>
      <c r="H48" s="22"/>
      <c r="I48" s="31">
        <v>379</v>
      </c>
      <c r="J48" s="31"/>
      <c r="K48" s="31"/>
      <c r="L48" s="31"/>
      <c r="M48" s="32">
        <f t="shared" si="0"/>
        <v>36971.93</v>
      </c>
      <c r="N48" s="16">
        <v>6554.09</v>
      </c>
      <c r="O48" s="20">
        <f>(286.58)+(541.2)</f>
        <v>827.78</v>
      </c>
      <c r="P48" s="16">
        <f>(36.2*12)</f>
        <v>434.40000000000003</v>
      </c>
      <c r="Q48" s="20">
        <v>0</v>
      </c>
      <c r="R48" s="16">
        <f t="shared" si="4"/>
        <v>69.72</v>
      </c>
      <c r="S48" s="16"/>
      <c r="T48" s="16">
        <f>(6)+(29.99*12)</f>
        <v>365.88</v>
      </c>
      <c r="U48" s="16">
        <f>(26.64)+(6.75)</f>
        <v>33.39</v>
      </c>
      <c r="V48" s="16"/>
      <c r="W48" s="16"/>
      <c r="X48" s="16">
        <f>(77.44*12)</f>
        <v>929.28</v>
      </c>
      <c r="Y48" s="16"/>
      <c r="Z48" s="16"/>
      <c r="AA48" s="16"/>
      <c r="AB48" s="16"/>
      <c r="AC48" s="16">
        <f>(1028.57)+(1028.57)</f>
        <v>2057.14</v>
      </c>
      <c r="AD48" s="16">
        <f>(886.13+36.85)*12</f>
        <v>11075.76</v>
      </c>
      <c r="AE48" s="16"/>
      <c r="AF48" s="16">
        <v>500</v>
      </c>
      <c r="AG48" s="16"/>
      <c r="AH48" s="9">
        <f t="shared" si="2"/>
        <v>56901.060000000005</v>
      </c>
      <c r="AI48" s="9">
        <f t="shared" si="3"/>
        <v>2918.31</v>
      </c>
    </row>
    <row r="49" spans="1:35" x14ac:dyDescent="0.4">
      <c r="A49" s="48"/>
      <c r="B49" s="18"/>
      <c r="C49" s="8"/>
      <c r="D49" s="25">
        <v>35.18</v>
      </c>
      <c r="E49" s="30">
        <v>67340</v>
      </c>
      <c r="F49" s="33">
        <v>5234.1400000000003</v>
      </c>
      <c r="G49" s="22"/>
      <c r="H49" s="22"/>
      <c r="I49" s="31">
        <v>378.99</v>
      </c>
      <c r="J49" s="31"/>
      <c r="K49" s="31"/>
      <c r="L49" s="31"/>
      <c r="M49" s="32">
        <f t="shared" si="0"/>
        <v>72953.13</v>
      </c>
      <c r="N49" s="16">
        <v>4421.6400000000003</v>
      </c>
      <c r="O49" s="20">
        <v>470.81</v>
      </c>
      <c r="P49" s="16">
        <f>(36.2*1)</f>
        <v>36.200000000000003</v>
      </c>
      <c r="Q49" s="20">
        <v>0</v>
      </c>
      <c r="R49" s="16">
        <f>(5.81*11)</f>
        <v>63.91</v>
      </c>
      <c r="S49" s="16"/>
      <c r="T49" s="16">
        <f>(6.6)+(41.16*11)</f>
        <v>459.36</v>
      </c>
      <c r="U49" s="16"/>
      <c r="V49" s="16"/>
      <c r="W49" s="16"/>
      <c r="X49" s="16">
        <f>(11*107.38)</f>
        <v>1181.1799999999998</v>
      </c>
      <c r="Y49" s="16"/>
      <c r="Z49" s="16"/>
      <c r="AA49" s="16"/>
      <c r="AB49" s="16"/>
      <c r="AC49" s="16"/>
      <c r="AD49" s="16"/>
      <c r="AE49" s="16"/>
      <c r="AF49" s="16">
        <v>500</v>
      </c>
      <c r="AG49" s="16"/>
      <c r="AH49" s="9">
        <f t="shared" si="2"/>
        <v>79615.42</v>
      </c>
      <c r="AI49" s="9">
        <f t="shared" si="3"/>
        <v>470.81</v>
      </c>
    </row>
    <row r="50" spans="1:35" ht="16.5" customHeight="1" x14ac:dyDescent="0.4">
      <c r="A50" s="48"/>
      <c r="B50" s="18"/>
      <c r="C50" s="8"/>
      <c r="D50" s="25">
        <v>48.15</v>
      </c>
      <c r="E50" s="30">
        <v>97203.62</v>
      </c>
      <c r="F50" s="33">
        <v>18043.86</v>
      </c>
      <c r="G50" s="22"/>
      <c r="H50" s="22">
        <v>1950</v>
      </c>
      <c r="I50" s="31">
        <v>379</v>
      </c>
      <c r="J50" s="31"/>
      <c r="K50" s="31"/>
      <c r="L50" s="31"/>
      <c r="M50" s="32">
        <f t="shared" si="0"/>
        <v>117576.48</v>
      </c>
      <c r="N50" s="16">
        <v>10546.8</v>
      </c>
      <c r="O50" s="20">
        <v>3789.36</v>
      </c>
      <c r="P50" s="16">
        <f>(58.54*11)</f>
        <v>643.93999999999994</v>
      </c>
      <c r="Q50" s="20">
        <v>144.24</v>
      </c>
      <c r="R50" s="16">
        <f t="shared" si="4"/>
        <v>69.72</v>
      </c>
      <c r="S50" s="16">
        <v>135.24</v>
      </c>
      <c r="T50" s="16">
        <f>(79.2)+(55.86*12)</f>
        <v>749.52</v>
      </c>
      <c r="U50" s="16">
        <f>(440.04)+(118.8)+(12)</f>
        <v>570.84</v>
      </c>
      <c r="V50" s="16"/>
      <c r="W50" s="16">
        <v>396.72</v>
      </c>
      <c r="X50" s="16">
        <f>(145.58*12)</f>
        <v>1746.96</v>
      </c>
      <c r="Y50" s="16"/>
      <c r="Z50" s="16"/>
      <c r="AA50" s="16"/>
      <c r="AB50" s="16"/>
      <c r="AC50" s="16">
        <v>2343.94</v>
      </c>
      <c r="AD50" s="16">
        <f>(2504.35+103.92)*12</f>
        <v>31299.239999999998</v>
      </c>
      <c r="AE50" s="16"/>
      <c r="AF50" s="16">
        <v>500</v>
      </c>
      <c r="AG50" s="16"/>
      <c r="AH50" s="9">
        <f t="shared" si="2"/>
        <v>163132.66</v>
      </c>
      <c r="AI50" s="9">
        <f t="shared" si="3"/>
        <v>7380.3400000000011</v>
      </c>
    </row>
    <row r="51" spans="1:35" x14ac:dyDescent="0.4">
      <c r="A51" s="48"/>
      <c r="B51" s="18"/>
      <c r="C51" s="8"/>
      <c r="D51" s="25">
        <v>33.700000000000003</v>
      </c>
      <c r="E51" s="30">
        <v>67871.199999999997</v>
      </c>
      <c r="F51" s="33">
        <v>15795.85</v>
      </c>
      <c r="G51" s="22"/>
      <c r="H51" s="22"/>
      <c r="I51" s="31">
        <v>378.99</v>
      </c>
      <c r="J51" s="31"/>
      <c r="K51" s="31"/>
      <c r="L51" s="31"/>
      <c r="M51" s="32">
        <f t="shared" si="0"/>
        <v>84046.040000000008</v>
      </c>
      <c r="N51" s="16">
        <v>7833.56</v>
      </c>
      <c r="O51" s="20">
        <f>(143.29)+(2300.1)</f>
        <v>2443.39</v>
      </c>
      <c r="P51" s="16">
        <f>(60.2*12)</f>
        <v>722.40000000000009</v>
      </c>
      <c r="Q51" s="20">
        <v>155.28</v>
      </c>
      <c r="R51" s="16">
        <f t="shared" si="4"/>
        <v>69.72</v>
      </c>
      <c r="S51" s="16">
        <v>46.48</v>
      </c>
      <c r="T51" s="16">
        <f>(38.81*12)</f>
        <v>465.72</v>
      </c>
      <c r="U51" s="16"/>
      <c r="V51" s="16"/>
      <c r="W51" s="16"/>
      <c r="X51" s="16">
        <f>(101.41*12)</f>
        <v>1216.92</v>
      </c>
      <c r="Y51" s="16"/>
      <c r="Z51" s="16"/>
      <c r="AA51" s="16"/>
      <c r="AB51" s="16"/>
      <c r="AC51" s="16">
        <f>(2515.78)+(5031.54)</f>
        <v>7547.32</v>
      </c>
      <c r="AD51" s="16">
        <f>(1160.47+48.26)*12</f>
        <v>14504.76</v>
      </c>
      <c r="AE51" s="16"/>
      <c r="AF51" s="16">
        <v>500</v>
      </c>
      <c r="AG51" s="16"/>
      <c r="AH51" s="9">
        <f t="shared" si="2"/>
        <v>109359.12</v>
      </c>
      <c r="AI51" s="9">
        <f t="shared" si="3"/>
        <v>10192.469999999999</v>
      </c>
    </row>
    <row r="52" spans="1:35" x14ac:dyDescent="0.4">
      <c r="A52" s="48"/>
      <c r="B52" s="18"/>
      <c r="C52" s="8"/>
      <c r="D52" s="25">
        <v>25.25</v>
      </c>
      <c r="E52" s="30">
        <v>50278.55</v>
      </c>
      <c r="F52" s="33"/>
      <c r="G52" s="22"/>
      <c r="H52" s="22"/>
      <c r="I52" s="31">
        <v>378.99</v>
      </c>
      <c r="J52" s="31"/>
      <c r="K52" s="31"/>
      <c r="L52" s="31"/>
      <c r="M52" s="32">
        <f t="shared" si="0"/>
        <v>50657.54</v>
      </c>
      <c r="N52" s="16">
        <v>3684.7</v>
      </c>
      <c r="O52" s="20">
        <v>450.34</v>
      </c>
      <c r="P52" s="16">
        <f>(36.2*12)</f>
        <v>434.40000000000003</v>
      </c>
      <c r="Q52" s="20">
        <v>0</v>
      </c>
      <c r="R52" s="16">
        <f t="shared" si="4"/>
        <v>69.72</v>
      </c>
      <c r="S52" s="16"/>
      <c r="T52" s="16">
        <f>(29.4*12)</f>
        <v>352.79999999999995</v>
      </c>
      <c r="U52" s="16">
        <v>24</v>
      </c>
      <c r="V52" s="16"/>
      <c r="W52" s="16"/>
      <c r="X52" s="16">
        <f>(76*12)</f>
        <v>912</v>
      </c>
      <c r="Y52" s="16"/>
      <c r="Z52" s="16"/>
      <c r="AA52" s="16"/>
      <c r="AB52" s="16"/>
      <c r="AC52" s="16"/>
      <c r="AD52" s="16">
        <f>(869.62+36.17)*12</f>
        <v>10869.48</v>
      </c>
      <c r="AE52" s="16"/>
      <c r="AF52" s="16">
        <v>500</v>
      </c>
      <c r="AG52" s="16"/>
      <c r="AH52" s="9">
        <f t="shared" si="2"/>
        <v>67480.639999999999</v>
      </c>
      <c r="AI52" s="9">
        <f t="shared" si="3"/>
        <v>474.34</v>
      </c>
    </row>
    <row r="53" spans="1:35" x14ac:dyDescent="0.4">
      <c r="A53" s="48"/>
      <c r="B53" s="18"/>
      <c r="C53" s="8"/>
      <c r="D53" s="25">
        <v>49.67</v>
      </c>
      <c r="E53" s="30">
        <v>101250.82</v>
      </c>
      <c r="F53" s="33">
        <v>22886.01</v>
      </c>
      <c r="G53" s="22">
        <f>(7947.2)+(1986.8)</f>
        <v>9934</v>
      </c>
      <c r="H53" s="22">
        <v>2900</v>
      </c>
      <c r="I53" s="31">
        <v>379</v>
      </c>
      <c r="J53" s="31"/>
      <c r="K53" s="31"/>
      <c r="L53" s="31"/>
      <c r="M53" s="32">
        <f t="shared" si="0"/>
        <v>137349.83000000002</v>
      </c>
      <c r="N53" s="16">
        <v>4421.6400000000003</v>
      </c>
      <c r="O53" s="20">
        <v>491.28</v>
      </c>
      <c r="P53" s="16">
        <f>(58.54*12)</f>
        <v>702.48</v>
      </c>
      <c r="Q53" s="20">
        <v>144.24</v>
      </c>
      <c r="R53" s="16">
        <f t="shared" si="4"/>
        <v>69.72</v>
      </c>
      <c r="S53" s="16">
        <v>62.76</v>
      </c>
      <c r="T53" s="16">
        <f>(27.6)+(58.8*12)</f>
        <v>733.19999999999993</v>
      </c>
      <c r="U53" s="16"/>
      <c r="V53" s="16"/>
      <c r="W53" s="16">
        <v>396.72</v>
      </c>
      <c r="X53" s="16">
        <f>(153.08*12)</f>
        <v>1836.96</v>
      </c>
      <c r="Y53" s="16"/>
      <c r="Z53" s="16"/>
      <c r="AA53" s="16">
        <v>804.24</v>
      </c>
      <c r="AB53" s="16"/>
      <c r="AC53" s="16">
        <v>7622.21</v>
      </c>
      <c r="AD53" s="16">
        <f>(2633.36+109.28)*12</f>
        <v>32911.680000000008</v>
      </c>
      <c r="AE53" s="16"/>
      <c r="AF53" s="16">
        <v>500</v>
      </c>
      <c r="AG53" s="16"/>
      <c r="AH53" s="9">
        <f t="shared" si="2"/>
        <v>178525.51000000007</v>
      </c>
      <c r="AI53" s="9">
        <f t="shared" si="3"/>
        <v>9521.4499999999989</v>
      </c>
    </row>
    <row r="54" spans="1:35" x14ac:dyDescent="0.4">
      <c r="A54" s="48"/>
      <c r="B54" s="18"/>
      <c r="C54" s="8"/>
      <c r="D54" s="25">
        <v>25</v>
      </c>
      <c r="E54" s="30">
        <v>20160</v>
      </c>
      <c r="F54" s="33"/>
      <c r="G54" s="22"/>
      <c r="H54" s="22"/>
      <c r="I54" s="31">
        <v>189.5</v>
      </c>
      <c r="J54" s="31"/>
      <c r="K54" s="31"/>
      <c r="L54" s="31"/>
      <c r="M54" s="32">
        <f t="shared" si="0"/>
        <v>20349.5</v>
      </c>
      <c r="N54" s="16"/>
      <c r="O54" s="20"/>
      <c r="P54" s="16">
        <v>0</v>
      </c>
      <c r="Q54" s="20">
        <v>0</v>
      </c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>
        <v>0</v>
      </c>
      <c r="AG54" s="16"/>
      <c r="AH54" s="9">
        <f t="shared" si="2"/>
        <v>20349.5</v>
      </c>
      <c r="AI54" s="9">
        <f t="shared" si="3"/>
        <v>0</v>
      </c>
    </row>
    <row r="55" spans="1:35" x14ac:dyDescent="0.4">
      <c r="A55" s="48"/>
      <c r="B55" s="18"/>
      <c r="C55" s="8"/>
      <c r="D55" s="25">
        <v>29.47</v>
      </c>
      <c r="E55" s="30">
        <v>60671.22</v>
      </c>
      <c r="F55" s="33"/>
      <c r="G55" s="22"/>
      <c r="H55" s="22"/>
      <c r="I55" s="31">
        <v>378.99</v>
      </c>
      <c r="J55" s="31"/>
      <c r="K55" s="31"/>
      <c r="L55" s="31"/>
      <c r="M55" s="32">
        <f t="shared" si="0"/>
        <v>61050.21</v>
      </c>
      <c r="N55" s="16">
        <v>4421.6400000000003</v>
      </c>
      <c r="O55" s="20">
        <v>491.28</v>
      </c>
      <c r="P55" s="16">
        <f>(36.2*12)</f>
        <v>434.40000000000003</v>
      </c>
      <c r="Q55" s="20">
        <v>0</v>
      </c>
      <c r="R55" s="16">
        <f t="shared" si="4"/>
        <v>69.72</v>
      </c>
      <c r="S55" s="16"/>
      <c r="T55" s="16">
        <f>(27.6)+(35.87*12)</f>
        <v>458.03999999999996</v>
      </c>
      <c r="U55" s="16">
        <f>(41.4)+(24)</f>
        <v>65.400000000000006</v>
      </c>
      <c r="V55" s="16"/>
      <c r="W55" s="16"/>
      <c r="X55" s="16">
        <f>(92.6*12)</f>
        <v>1111.1999999999998</v>
      </c>
      <c r="Y55" s="16"/>
      <c r="Z55" s="16"/>
      <c r="AA55" s="16">
        <v>468</v>
      </c>
      <c r="AB55" s="16"/>
      <c r="AC55" s="16">
        <v>606.73</v>
      </c>
      <c r="AD55" s="16">
        <f>(1059.6+44.07)*12</f>
        <v>13244.039999999997</v>
      </c>
      <c r="AE55" s="16"/>
      <c r="AF55" s="16">
        <v>500</v>
      </c>
      <c r="AG55" s="16"/>
      <c r="AH55" s="9">
        <f t="shared" si="2"/>
        <v>81289.249999999985</v>
      </c>
      <c r="AI55" s="9">
        <f t="shared" si="3"/>
        <v>1631.4099999999999</v>
      </c>
    </row>
    <row r="56" spans="1:35" x14ac:dyDescent="0.4">
      <c r="A56" s="48"/>
      <c r="B56" s="18"/>
      <c r="C56" s="8"/>
      <c r="D56" s="25">
        <v>38.840000000000003</v>
      </c>
      <c r="E56" s="30">
        <v>85000.81</v>
      </c>
      <c r="F56" s="33">
        <v>885.04</v>
      </c>
      <c r="G56" s="22">
        <v>5398.66</v>
      </c>
      <c r="I56" s="22">
        <v>379</v>
      </c>
      <c r="J56" s="22"/>
      <c r="K56" s="22"/>
      <c r="L56" s="22"/>
      <c r="M56" s="32">
        <f t="shared" si="0"/>
        <v>91663.51</v>
      </c>
      <c r="N56" s="16">
        <v>14489.88</v>
      </c>
      <c r="O56" s="20">
        <v>5912.88</v>
      </c>
      <c r="P56" s="16">
        <f>(86.66*12)</f>
        <v>1039.92</v>
      </c>
      <c r="Q56" s="20">
        <v>325.92</v>
      </c>
      <c r="R56" s="16">
        <f t="shared" si="4"/>
        <v>69.72</v>
      </c>
      <c r="S56" s="16">
        <v>135.24</v>
      </c>
      <c r="T56" s="16">
        <f>(12)+(53.51*12)</f>
        <v>654.12</v>
      </c>
      <c r="U56" s="16">
        <f>(18)+(24)</f>
        <v>42</v>
      </c>
      <c r="V56" s="16"/>
      <c r="W56" s="16">
        <v>497.04</v>
      </c>
      <c r="X56" s="16">
        <f>(139.94*12)</f>
        <v>1679.28</v>
      </c>
      <c r="Y56" s="16"/>
      <c r="Z56" s="16"/>
      <c r="AA56" s="16">
        <v>450.12</v>
      </c>
      <c r="AB56" s="16"/>
      <c r="AC56" s="16">
        <f>(3435.44)+(1717.7)</f>
        <v>5153.1400000000003</v>
      </c>
      <c r="AD56" s="16">
        <f>(2407.3+99.89)*12</f>
        <v>30086.28</v>
      </c>
      <c r="AE56" s="16"/>
      <c r="AF56" s="16">
        <v>500</v>
      </c>
      <c r="AG56" s="16"/>
      <c r="AH56" s="9">
        <f t="shared" si="2"/>
        <v>140182.71</v>
      </c>
      <c r="AI56" s="9">
        <f t="shared" si="3"/>
        <v>12516.340000000002</v>
      </c>
    </row>
    <row r="57" spans="1:35" x14ac:dyDescent="0.4">
      <c r="A57" s="48"/>
      <c r="B57" s="18"/>
      <c r="C57" s="8"/>
      <c r="D57" s="25">
        <v>22.88</v>
      </c>
      <c r="E57" s="30">
        <v>44123.199999999997</v>
      </c>
      <c r="F57" s="33">
        <v>34.32</v>
      </c>
      <c r="G57" s="22"/>
      <c r="H57" s="22"/>
      <c r="I57" s="31">
        <v>379</v>
      </c>
      <c r="J57" s="31"/>
      <c r="K57" s="31"/>
      <c r="L57" s="31"/>
      <c r="M57" s="32">
        <f t="shared" si="0"/>
        <v>44536.52</v>
      </c>
      <c r="N57" s="16">
        <v>0</v>
      </c>
      <c r="O57" s="20">
        <v>0</v>
      </c>
      <c r="P57" s="16">
        <v>0</v>
      </c>
      <c r="Q57" s="20">
        <v>0</v>
      </c>
      <c r="R57" s="16">
        <v>0</v>
      </c>
      <c r="S57" s="16">
        <v>0</v>
      </c>
      <c r="T57" s="16">
        <f>(27.05*11)</f>
        <v>297.55</v>
      </c>
      <c r="U57" s="16">
        <v>24</v>
      </c>
      <c r="V57" s="16"/>
      <c r="W57" s="16"/>
      <c r="X57" s="16">
        <f>(68.59*11)</f>
        <v>754.49</v>
      </c>
      <c r="Y57" s="16"/>
      <c r="Z57" s="16"/>
      <c r="AA57" s="16"/>
      <c r="AB57" s="16"/>
      <c r="AC57" s="16"/>
      <c r="AD57" s="16"/>
      <c r="AE57" s="16"/>
      <c r="AF57" s="16">
        <v>0</v>
      </c>
      <c r="AG57" s="16"/>
      <c r="AH57" s="9">
        <f t="shared" si="2"/>
        <v>45588.56</v>
      </c>
      <c r="AI57" s="9">
        <f t="shared" si="3"/>
        <v>24</v>
      </c>
    </row>
    <row r="58" spans="1:35" x14ac:dyDescent="0.4">
      <c r="B58" s="18"/>
      <c r="C58" s="8"/>
      <c r="D58" s="25"/>
      <c r="E58" s="30"/>
      <c r="F58" s="33"/>
      <c r="G58" s="22"/>
      <c r="H58" s="22"/>
      <c r="I58" s="31"/>
      <c r="J58" s="31"/>
      <c r="K58" s="31"/>
      <c r="L58" s="31"/>
      <c r="M58" s="32">
        <f t="shared" si="0"/>
        <v>0</v>
      </c>
      <c r="N58" s="16"/>
      <c r="O58" s="20"/>
      <c r="P58" s="16"/>
      <c r="Q58" s="20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9">
        <f t="shared" si="2"/>
        <v>0</v>
      </c>
      <c r="AI58" s="9">
        <f t="shared" si="3"/>
        <v>0</v>
      </c>
    </row>
    <row r="59" spans="1:35" x14ac:dyDescent="0.4">
      <c r="B59" s="18"/>
      <c r="C59" s="8"/>
      <c r="D59" s="25"/>
      <c r="E59" s="30"/>
      <c r="F59" s="33"/>
      <c r="G59" s="22"/>
      <c r="H59" s="22"/>
      <c r="I59" s="31"/>
      <c r="J59" s="31"/>
      <c r="K59" s="31"/>
      <c r="L59" s="31"/>
      <c r="M59" s="32">
        <f t="shared" si="0"/>
        <v>0</v>
      </c>
      <c r="N59" s="16"/>
      <c r="O59" s="20"/>
      <c r="P59" s="16"/>
      <c r="Q59" s="2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9">
        <f t="shared" si="2"/>
        <v>0</v>
      </c>
      <c r="AI59" s="9">
        <f t="shared" si="3"/>
        <v>0</v>
      </c>
    </row>
    <row r="60" spans="1:35" x14ac:dyDescent="0.4">
      <c r="B60" s="18"/>
      <c r="C60" s="8"/>
      <c r="D60" s="25"/>
      <c r="E60" s="30"/>
      <c r="F60" s="33"/>
      <c r="G60" s="22"/>
      <c r="H60" s="22"/>
      <c r="I60" s="31"/>
      <c r="J60" s="31"/>
      <c r="K60" s="31"/>
      <c r="L60" s="31"/>
      <c r="M60" s="32">
        <f t="shared" si="0"/>
        <v>0</v>
      </c>
      <c r="N60" s="16"/>
      <c r="O60" s="20"/>
      <c r="P60" s="16"/>
      <c r="Q60" s="20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9">
        <f t="shared" si="2"/>
        <v>0</v>
      </c>
      <c r="AI60" s="9">
        <f t="shared" si="3"/>
        <v>0</v>
      </c>
    </row>
    <row r="61" spans="1:35" x14ac:dyDescent="0.4">
      <c r="B61" s="17"/>
      <c r="C61" s="8"/>
      <c r="D61" s="25"/>
      <c r="E61" s="30"/>
      <c r="F61" s="22"/>
      <c r="G61" s="22"/>
      <c r="H61" s="22"/>
      <c r="I61" s="31"/>
      <c r="J61" s="31"/>
      <c r="K61" s="31"/>
      <c r="L61" s="31"/>
      <c r="M61" s="32">
        <f t="shared" si="0"/>
        <v>0</v>
      </c>
      <c r="N61" s="22"/>
      <c r="O61" s="16"/>
      <c r="P61" s="22"/>
      <c r="Q61" s="22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9">
        <f t="shared" si="2"/>
        <v>0</v>
      </c>
      <c r="AI61" s="9">
        <f t="shared" si="3"/>
        <v>0</v>
      </c>
    </row>
    <row r="62" spans="1:35" x14ac:dyDescent="0.4">
      <c r="B62" s="17"/>
      <c r="C62" s="8"/>
      <c r="D62" s="25"/>
      <c r="E62" s="30"/>
      <c r="F62" s="22"/>
      <c r="G62" s="22"/>
      <c r="H62" s="22"/>
      <c r="I62" s="31"/>
      <c r="J62" s="31"/>
      <c r="K62" s="31"/>
      <c r="L62" s="31"/>
      <c r="M62" s="32">
        <f t="shared" si="0"/>
        <v>0</v>
      </c>
      <c r="N62" s="22"/>
      <c r="O62" s="16"/>
      <c r="P62" s="22"/>
      <c r="Q62" s="22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9">
        <f t="shared" si="2"/>
        <v>0</v>
      </c>
      <c r="AI62" s="9">
        <f t="shared" si="3"/>
        <v>0</v>
      </c>
    </row>
    <row r="63" spans="1:35" x14ac:dyDescent="0.4">
      <c r="B63" s="17"/>
      <c r="C63" s="8"/>
      <c r="D63" s="25"/>
      <c r="E63" s="30"/>
      <c r="F63" s="31"/>
      <c r="G63" s="22"/>
      <c r="H63" s="22"/>
      <c r="I63" s="31"/>
      <c r="J63" s="31"/>
      <c r="K63" s="31"/>
      <c r="L63" s="31"/>
      <c r="M63" s="32">
        <f t="shared" si="0"/>
        <v>0</v>
      </c>
      <c r="N63" s="16"/>
      <c r="O63" s="20"/>
      <c r="P63" s="16"/>
      <c r="Q63" s="20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9">
        <f t="shared" si="2"/>
        <v>0</v>
      </c>
      <c r="AI63" s="9">
        <f t="shared" si="3"/>
        <v>0</v>
      </c>
    </row>
    <row r="64" spans="1:35" x14ac:dyDescent="0.4">
      <c r="B64" s="17"/>
      <c r="C64" s="8"/>
      <c r="D64" s="25"/>
      <c r="E64" s="30"/>
      <c r="F64" s="31"/>
      <c r="G64" s="22"/>
      <c r="H64" s="22"/>
      <c r="I64" s="31"/>
      <c r="J64" s="31"/>
      <c r="K64" s="31"/>
      <c r="L64" s="31"/>
      <c r="M64" s="32">
        <f t="shared" si="0"/>
        <v>0</v>
      </c>
      <c r="N64" s="16"/>
      <c r="O64" s="20"/>
      <c r="P64" s="16"/>
      <c r="Q64" s="20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9">
        <f t="shared" si="2"/>
        <v>0</v>
      </c>
      <c r="AI64" s="9">
        <f t="shared" si="3"/>
        <v>0</v>
      </c>
    </row>
    <row r="65" spans="2:39" x14ac:dyDescent="0.4">
      <c r="B65" s="17"/>
      <c r="C65" s="8"/>
      <c r="D65" s="25"/>
      <c r="E65" s="30"/>
      <c r="F65" s="31"/>
      <c r="G65" s="22"/>
      <c r="H65" s="22"/>
      <c r="I65" s="31"/>
      <c r="J65" s="31"/>
      <c r="K65" s="31"/>
      <c r="L65" s="31"/>
      <c r="M65" s="32">
        <f t="shared" si="0"/>
        <v>0</v>
      </c>
      <c r="N65" s="16"/>
      <c r="O65" s="20"/>
      <c r="P65" s="16"/>
      <c r="Q65" s="20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9">
        <f t="shared" si="2"/>
        <v>0</v>
      </c>
      <c r="AI65" s="9">
        <f t="shared" si="3"/>
        <v>0</v>
      </c>
    </row>
    <row r="66" spans="2:39" x14ac:dyDescent="0.4">
      <c r="B66" s="17"/>
      <c r="C66" s="8"/>
      <c r="D66" s="26"/>
      <c r="E66" s="30"/>
      <c r="F66" s="31"/>
      <c r="G66" s="22"/>
      <c r="H66" s="22"/>
      <c r="I66" s="31"/>
      <c r="J66" s="31"/>
      <c r="K66" s="31"/>
      <c r="L66" s="31"/>
      <c r="M66" s="32">
        <f t="shared" si="0"/>
        <v>0</v>
      </c>
      <c r="N66" s="22"/>
      <c r="O66" s="16"/>
      <c r="P66" s="22"/>
      <c r="Q66" s="22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9">
        <f t="shared" si="2"/>
        <v>0</v>
      </c>
      <c r="AI66" s="9">
        <f t="shared" si="3"/>
        <v>0</v>
      </c>
      <c r="AL66" s="37"/>
      <c r="AM66" s="21"/>
    </row>
    <row r="67" spans="2:39" x14ac:dyDescent="0.4">
      <c r="B67" s="17"/>
      <c r="C67" s="8"/>
      <c r="D67" s="26"/>
      <c r="E67" s="30"/>
      <c r="F67" s="31"/>
      <c r="G67" s="22"/>
      <c r="H67" s="22"/>
      <c r="I67" s="31"/>
      <c r="J67" s="31"/>
      <c r="K67" s="31"/>
      <c r="L67" s="31"/>
      <c r="M67" s="32">
        <f t="shared" si="0"/>
        <v>0</v>
      </c>
      <c r="N67" s="22"/>
      <c r="O67" s="16"/>
      <c r="P67" s="22"/>
      <c r="Q67" s="22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9">
        <f t="shared" si="2"/>
        <v>0</v>
      </c>
      <c r="AI67" s="9">
        <f t="shared" si="3"/>
        <v>0</v>
      </c>
    </row>
    <row r="68" spans="2:39" x14ac:dyDescent="0.4">
      <c r="B68" s="17"/>
      <c r="C68" s="8"/>
      <c r="D68" s="26"/>
      <c r="E68" s="30"/>
      <c r="F68" s="31"/>
      <c r="G68" s="22"/>
      <c r="H68" s="22"/>
      <c r="I68" s="31"/>
      <c r="J68" s="31"/>
      <c r="K68" s="31"/>
      <c r="L68" s="31"/>
      <c r="M68" s="32">
        <f t="shared" si="0"/>
        <v>0</v>
      </c>
      <c r="N68" s="22"/>
      <c r="O68" s="16"/>
      <c r="P68" s="22"/>
      <c r="Q68" s="22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9">
        <f t="shared" si="2"/>
        <v>0</v>
      </c>
      <c r="AI68" s="9">
        <f t="shared" si="3"/>
        <v>0</v>
      </c>
    </row>
    <row r="69" spans="2:39" x14ac:dyDescent="0.4">
      <c r="B69" s="17"/>
      <c r="C69" s="8"/>
      <c r="D69" s="26"/>
      <c r="E69" s="30"/>
      <c r="F69" s="31"/>
      <c r="G69" s="22"/>
      <c r="H69" s="22"/>
      <c r="I69" s="31"/>
      <c r="J69" s="31"/>
      <c r="K69" s="31"/>
      <c r="L69" s="31"/>
      <c r="M69" s="32">
        <f t="shared" si="0"/>
        <v>0</v>
      </c>
      <c r="N69" s="22"/>
      <c r="O69" s="16"/>
      <c r="P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9">
        <f t="shared" si="2"/>
        <v>0</v>
      </c>
      <c r="AI69" s="9">
        <f t="shared" si="3"/>
        <v>0</v>
      </c>
    </row>
    <row r="70" spans="2:39" x14ac:dyDescent="0.4">
      <c r="B70" s="17"/>
      <c r="C70" s="8"/>
      <c r="D70" s="26"/>
      <c r="E70" s="30"/>
      <c r="F70" s="31"/>
      <c r="G70" s="22"/>
      <c r="H70" s="22"/>
      <c r="I70" s="31"/>
      <c r="J70" s="31"/>
      <c r="K70" s="31"/>
      <c r="L70" s="31"/>
      <c r="M70" s="32">
        <f t="shared" si="0"/>
        <v>0</v>
      </c>
      <c r="N70" s="22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9">
        <f t="shared" si="2"/>
        <v>0</v>
      </c>
      <c r="AI70" s="9">
        <f t="shared" si="3"/>
        <v>0</v>
      </c>
    </row>
    <row r="71" spans="2:39" x14ac:dyDescent="0.4">
      <c r="B71" s="17"/>
      <c r="C71" s="8"/>
      <c r="D71" s="26"/>
      <c r="E71" s="30"/>
      <c r="F71" s="33"/>
      <c r="G71" s="22"/>
      <c r="H71" s="22"/>
      <c r="I71" s="31"/>
      <c r="J71" s="31"/>
      <c r="K71" s="31"/>
      <c r="L71" s="31"/>
      <c r="M71" s="32">
        <f t="shared" si="0"/>
        <v>0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9">
        <f t="shared" si="2"/>
        <v>0</v>
      </c>
      <c r="AI71" s="9">
        <f t="shared" si="3"/>
        <v>0</v>
      </c>
    </row>
    <row r="72" spans="2:39" x14ac:dyDescent="0.4">
      <c r="B72" s="17"/>
      <c r="C72" s="8"/>
      <c r="D72" s="26"/>
      <c r="E72" s="30"/>
      <c r="F72" s="31"/>
      <c r="G72" s="22"/>
      <c r="H72" s="22"/>
      <c r="I72" s="31"/>
      <c r="J72" s="31"/>
      <c r="K72" s="31"/>
      <c r="L72" s="31"/>
      <c r="M72" s="32">
        <f t="shared" ref="M72:M80" si="5">SUM(E72:L72)</f>
        <v>0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9">
        <f t="shared" ref="AH72:AH80" si="6">+M72+N72+P72+R72+T72+X72+AB72+AD72+AF72+V72+Z72</f>
        <v>0</v>
      </c>
      <c r="AI72" s="9">
        <f t="shared" ref="AI72:AI80" si="7">+O72+Q72+S72+U72+Y72+AC72+AE72+AG72+W72+AA72</f>
        <v>0</v>
      </c>
    </row>
    <row r="73" spans="2:39" x14ac:dyDescent="0.4">
      <c r="B73" s="18"/>
      <c r="C73" s="8"/>
      <c r="D73" s="26"/>
      <c r="E73" s="30"/>
      <c r="F73" s="31"/>
      <c r="G73" s="22"/>
      <c r="H73" s="22"/>
      <c r="I73" s="31"/>
      <c r="J73" s="31"/>
      <c r="K73" s="31"/>
      <c r="L73" s="31"/>
      <c r="M73" s="32">
        <f t="shared" si="5"/>
        <v>0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9">
        <f t="shared" si="6"/>
        <v>0</v>
      </c>
      <c r="AI73" s="9">
        <f t="shared" si="7"/>
        <v>0</v>
      </c>
    </row>
    <row r="74" spans="2:39" x14ac:dyDescent="0.4">
      <c r="B74" s="18"/>
      <c r="C74" s="8"/>
      <c r="D74" s="26"/>
      <c r="E74" s="30"/>
      <c r="F74" s="31"/>
      <c r="G74" s="22"/>
      <c r="H74" s="22"/>
      <c r="I74" s="31"/>
      <c r="J74" s="31"/>
      <c r="K74" s="31"/>
      <c r="L74" s="31"/>
      <c r="M74" s="32">
        <f t="shared" si="5"/>
        <v>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9">
        <f t="shared" si="6"/>
        <v>0</v>
      </c>
      <c r="AI74" s="9">
        <f t="shared" si="7"/>
        <v>0</v>
      </c>
    </row>
    <row r="75" spans="2:39" x14ac:dyDescent="0.4">
      <c r="B75" s="18"/>
      <c r="C75" s="8"/>
      <c r="D75" s="26"/>
      <c r="E75" s="24"/>
      <c r="F75" s="31"/>
      <c r="G75" s="22"/>
      <c r="H75" s="22"/>
      <c r="I75" s="31"/>
      <c r="J75" s="31"/>
      <c r="K75" s="31"/>
      <c r="L75" s="31"/>
      <c r="M75" s="32">
        <f t="shared" si="5"/>
        <v>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9">
        <f t="shared" si="6"/>
        <v>0</v>
      </c>
      <c r="AI75" s="9">
        <f t="shared" si="7"/>
        <v>0</v>
      </c>
    </row>
    <row r="76" spans="2:39" x14ac:dyDescent="0.4">
      <c r="B76" s="18"/>
      <c r="C76" s="8"/>
      <c r="D76" s="26"/>
      <c r="E76" s="31"/>
      <c r="F76" s="31"/>
      <c r="G76" s="22"/>
      <c r="H76" s="22"/>
      <c r="I76" s="31"/>
      <c r="J76" s="31"/>
      <c r="K76" s="31"/>
      <c r="L76" s="31"/>
      <c r="M76" s="32">
        <f t="shared" si="5"/>
        <v>0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9">
        <f t="shared" si="6"/>
        <v>0</v>
      </c>
      <c r="AI76" s="9">
        <f t="shared" si="7"/>
        <v>0</v>
      </c>
    </row>
    <row r="77" spans="2:39" x14ac:dyDescent="0.4">
      <c r="B77" s="18"/>
      <c r="C77" s="8"/>
      <c r="D77" s="25"/>
      <c r="E77" s="30"/>
      <c r="F77" s="33"/>
      <c r="G77" s="22"/>
      <c r="H77" s="22"/>
      <c r="I77" s="33"/>
      <c r="J77" s="33"/>
      <c r="K77" s="33"/>
      <c r="L77" s="33"/>
      <c r="M77" s="32">
        <f t="shared" si="5"/>
        <v>0</v>
      </c>
      <c r="N77" s="16"/>
      <c r="O77" s="20"/>
      <c r="P77" s="16"/>
      <c r="Q77" s="20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9">
        <f t="shared" si="6"/>
        <v>0</v>
      </c>
      <c r="AI77" s="9">
        <f t="shared" si="7"/>
        <v>0</v>
      </c>
    </row>
    <row r="78" spans="2:39" x14ac:dyDescent="0.4">
      <c r="B78" s="18"/>
      <c r="C78" s="8"/>
      <c r="D78" s="26"/>
      <c r="E78" s="33"/>
      <c r="F78" s="33"/>
      <c r="G78" s="22"/>
      <c r="H78" s="22"/>
      <c r="I78" s="31"/>
      <c r="J78" s="31"/>
      <c r="K78" s="31"/>
      <c r="L78" s="31"/>
      <c r="M78" s="32">
        <f t="shared" si="5"/>
        <v>0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9">
        <f t="shared" si="6"/>
        <v>0</v>
      </c>
      <c r="AI78" s="9">
        <f t="shared" si="7"/>
        <v>0</v>
      </c>
    </row>
    <row r="79" spans="2:39" x14ac:dyDescent="0.4">
      <c r="B79" s="18"/>
      <c r="C79" s="8"/>
      <c r="D79" s="26"/>
      <c r="E79" s="33"/>
      <c r="F79" s="33"/>
      <c r="G79" s="22"/>
      <c r="H79" s="22"/>
      <c r="I79" s="31"/>
      <c r="J79" s="31"/>
      <c r="K79" s="31"/>
      <c r="L79" s="31"/>
      <c r="M79" s="32">
        <f t="shared" si="5"/>
        <v>0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9">
        <f t="shared" si="6"/>
        <v>0</v>
      </c>
      <c r="AI79" s="9">
        <f t="shared" si="7"/>
        <v>0</v>
      </c>
    </row>
    <row r="80" spans="2:39" x14ac:dyDescent="0.4">
      <c r="B80" s="11"/>
      <c r="C80" s="12"/>
      <c r="D80" s="27"/>
      <c r="E80" s="10"/>
      <c r="F80" s="10"/>
      <c r="G80" s="10"/>
      <c r="H80" s="10"/>
      <c r="I80" s="10"/>
      <c r="J80" s="10"/>
      <c r="K80" s="10"/>
      <c r="L80" s="10"/>
      <c r="M80" s="32">
        <f t="shared" si="5"/>
        <v>0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9">
        <f t="shared" si="6"/>
        <v>0</v>
      </c>
      <c r="AI80" s="9">
        <f t="shared" si="7"/>
        <v>0</v>
      </c>
    </row>
    <row r="81" spans="2:35" x14ac:dyDescent="0.4">
      <c r="B81" s="13" t="s">
        <v>8</v>
      </c>
      <c r="C81" s="14"/>
      <c r="D81" s="28"/>
      <c r="E81" s="40">
        <f>SUM(E7:E80)</f>
        <v>3282338.620000001</v>
      </c>
      <c r="F81" s="40">
        <f t="shared" ref="F81:AI81" si="8">SUM(F7:F80)</f>
        <v>565780.37999999989</v>
      </c>
      <c r="G81" s="40">
        <f t="shared" si="8"/>
        <v>50348.040000000008</v>
      </c>
      <c r="H81" s="40">
        <f t="shared" si="8"/>
        <v>54600</v>
      </c>
      <c r="I81" s="40">
        <f t="shared" si="8"/>
        <v>17623.28</v>
      </c>
      <c r="J81" s="40">
        <f t="shared" si="8"/>
        <v>0</v>
      </c>
      <c r="K81" s="40">
        <f t="shared" si="8"/>
        <v>0</v>
      </c>
      <c r="L81" s="40">
        <f t="shared" si="8"/>
        <v>0</v>
      </c>
      <c r="M81" s="40">
        <f t="shared" si="8"/>
        <v>3970690.3200000008</v>
      </c>
      <c r="N81" s="15">
        <f t="shared" si="8"/>
        <v>354282.2800000002</v>
      </c>
      <c r="O81" s="15">
        <f t="shared" si="8"/>
        <v>106610.09999999998</v>
      </c>
      <c r="P81" s="15">
        <f t="shared" si="8"/>
        <v>27724.560000000012</v>
      </c>
      <c r="Q81" s="15">
        <f t="shared" si="8"/>
        <v>5055.1600000000008</v>
      </c>
      <c r="R81" s="15">
        <f t="shared" si="8"/>
        <v>3131.5899999999974</v>
      </c>
      <c r="S81" s="35">
        <f t="shared" si="8"/>
        <v>1958.6799999999998</v>
      </c>
      <c r="T81" s="15">
        <f t="shared" si="8"/>
        <v>23739.190000000002</v>
      </c>
      <c r="U81" s="15">
        <f t="shared" si="8"/>
        <v>9682.2699999999986</v>
      </c>
      <c r="V81" s="15">
        <f t="shared" si="8"/>
        <v>0</v>
      </c>
      <c r="W81" s="15">
        <f t="shared" si="8"/>
        <v>3474.8700000000008</v>
      </c>
      <c r="X81" s="15">
        <f t="shared" si="8"/>
        <v>59838.969999999979</v>
      </c>
      <c r="Y81" s="15">
        <f t="shared" si="8"/>
        <v>0</v>
      </c>
      <c r="Z81" s="15">
        <f t="shared" si="8"/>
        <v>0</v>
      </c>
      <c r="AA81" s="15">
        <f t="shared" si="8"/>
        <v>3877.33</v>
      </c>
      <c r="AB81" s="15">
        <f t="shared" si="8"/>
        <v>0</v>
      </c>
      <c r="AC81" s="15">
        <f t="shared" si="8"/>
        <v>158076.11000000007</v>
      </c>
      <c r="AD81" s="15">
        <f t="shared" si="8"/>
        <v>676939.2100000002</v>
      </c>
      <c r="AE81" s="15">
        <f t="shared" si="8"/>
        <v>0</v>
      </c>
      <c r="AF81" s="15">
        <f t="shared" si="8"/>
        <v>22500</v>
      </c>
      <c r="AG81" s="15">
        <f t="shared" si="8"/>
        <v>0</v>
      </c>
      <c r="AH81" s="15">
        <f t="shared" si="8"/>
        <v>5138846.1199999982</v>
      </c>
      <c r="AI81" s="15">
        <f t="shared" si="8"/>
        <v>288734.52000000008</v>
      </c>
    </row>
  </sheetData>
  <mergeCells count="30">
    <mergeCell ref="X4:Y4"/>
    <mergeCell ref="X5:Y5"/>
    <mergeCell ref="AB4:AC4"/>
    <mergeCell ref="AF4:AG4"/>
    <mergeCell ref="AB5:AC5"/>
    <mergeCell ref="AF5:AG5"/>
    <mergeCell ref="AD5:AE5"/>
    <mergeCell ref="AH5:AI5"/>
    <mergeCell ref="B5:B6"/>
    <mergeCell ref="C5:C6"/>
    <mergeCell ref="D5:D6"/>
    <mergeCell ref="V5:W5"/>
    <mergeCell ref="Z5:AA5"/>
    <mergeCell ref="L5:L6"/>
    <mergeCell ref="P4:Q4"/>
    <mergeCell ref="R4:S4"/>
    <mergeCell ref="T4:U4"/>
    <mergeCell ref="I5:I6"/>
    <mergeCell ref="E5:E6"/>
    <mergeCell ref="F5:F6"/>
    <mergeCell ref="G5:G6"/>
    <mergeCell ref="H5:H6"/>
    <mergeCell ref="N4:O4"/>
    <mergeCell ref="M5:M6"/>
    <mergeCell ref="N5:O5"/>
    <mergeCell ref="P5:Q5"/>
    <mergeCell ref="R5:S5"/>
    <mergeCell ref="T5:U5"/>
    <mergeCell ref="J5:J6"/>
    <mergeCell ref="K5:K6"/>
  </mergeCells>
  <pageMargins left="0" right="0" top="0.75" bottom="0.75" header="0.3" footer="0.3"/>
  <pageSetup scale="38" orientation="landscape" r:id="rId1"/>
  <ignoredErrors>
    <ignoredError sqref="M7:M80" formulaRange="1"/>
    <ignoredError sqref="P7:P18 O13 O24:O25 O36 O40 O47:O48 O51 P66:P80 Q14:Q18 AC7:AD68 X7:X63 G53 S49:U49 R50:U63 R7:U48" unlockedFormula="1"/>
    <ignoredError sqref="P19:P65 Q19:Q54 R49" formula="1" unlockedFormula="1"/>
    <ignoredError sqref="Q55:Q6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38D3-6308-4C91-A7D3-4E9D853CA42A}">
  <sheetPr>
    <pageSetUpPr fitToPage="1"/>
  </sheetPr>
  <dimension ref="A1:AP82"/>
  <sheetViews>
    <sheetView topLeftCell="A47" workbookViewId="0">
      <selection activeCell="C65" sqref="C65"/>
    </sheetView>
  </sheetViews>
  <sheetFormatPr defaultColWidth="9.15234375" defaultRowHeight="15.45" x14ac:dyDescent="0.4"/>
  <cols>
    <col min="1" max="1" width="14.3828125" style="3" customWidth="1"/>
    <col min="2" max="2" width="10.84375" style="3" customWidth="1"/>
    <col min="3" max="3" width="38.38281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9.15234375" style="3" customWidth="1"/>
    <col min="29" max="29" width="9.84375" style="3" customWidth="1"/>
    <col min="30" max="30" width="10" style="3" customWidth="1"/>
    <col min="31" max="31" width="9.53515625" style="3" customWidth="1"/>
    <col min="32" max="32" width="9.69140625" style="3" customWidth="1"/>
    <col min="33" max="33" width="11.15234375" style="3" customWidth="1"/>
    <col min="34" max="34" width="11.3046875" style="3" customWidth="1"/>
    <col min="35" max="35" width="9.69140625" style="3" customWidth="1"/>
    <col min="36" max="37" width="9.15234375" style="3" customWidth="1"/>
    <col min="38" max="16384" width="9.15234375" style="3"/>
  </cols>
  <sheetData>
    <row r="1" spans="1:35" ht="20.149999999999999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19"/>
      <c r="N1" s="39"/>
      <c r="O1" s="36"/>
      <c r="P1" s="23"/>
      <c r="Q1" s="23"/>
      <c r="R1" s="23"/>
      <c r="S1" s="2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45</v>
      </c>
      <c r="C2" s="2"/>
      <c r="D2" s="2"/>
      <c r="F2" s="4">
        <v>2023</v>
      </c>
      <c r="G2" s="2"/>
      <c r="H2" s="2"/>
      <c r="I2" s="2"/>
      <c r="J2" s="2"/>
      <c r="K2" s="2"/>
      <c r="L2" s="2"/>
      <c r="M2" s="2"/>
      <c r="N2" s="2"/>
      <c r="O2" s="2"/>
      <c r="P2" s="21"/>
      <c r="Q2" s="23"/>
      <c r="R2" s="23"/>
      <c r="S2" s="23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3"/>
      <c r="P3" s="21"/>
      <c r="Q3" s="23"/>
      <c r="R3" s="23"/>
      <c r="S3" s="2"/>
      <c r="T3" s="2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2"/>
      <c r="C4" s="5"/>
      <c r="D4" s="5"/>
      <c r="E4" s="29"/>
      <c r="F4" s="29"/>
      <c r="G4" s="29"/>
      <c r="H4" s="29"/>
      <c r="I4" s="29"/>
      <c r="J4" s="29"/>
      <c r="K4" s="29"/>
      <c r="L4" s="29"/>
      <c r="M4" s="34"/>
      <c r="N4" s="51"/>
      <c r="O4" s="51"/>
      <c r="P4" s="51"/>
      <c r="Q4" s="51"/>
      <c r="R4" s="51"/>
      <c r="S4" s="51"/>
      <c r="T4" s="51"/>
      <c r="U4" s="51"/>
      <c r="V4" s="41"/>
      <c r="W4" s="41"/>
      <c r="X4" s="51"/>
      <c r="Y4" s="51"/>
      <c r="Z4" s="41"/>
      <c r="AA4" s="41"/>
      <c r="AB4" s="51"/>
      <c r="AC4" s="51"/>
      <c r="AD4" s="41"/>
      <c r="AE4" s="41"/>
      <c r="AF4" s="51"/>
      <c r="AG4" s="51"/>
      <c r="AH4" s="6"/>
      <c r="AI4" s="6"/>
    </row>
    <row r="5" spans="1:35" ht="30" customHeight="1" x14ac:dyDescent="0.4">
      <c r="B5" s="49" t="s">
        <v>9</v>
      </c>
      <c r="C5" s="49" t="s">
        <v>12</v>
      </c>
      <c r="D5" s="49" t="s">
        <v>25</v>
      </c>
      <c r="E5" s="49" t="s">
        <v>0</v>
      </c>
      <c r="F5" s="49" t="s">
        <v>1</v>
      </c>
      <c r="G5" s="49" t="s">
        <v>20</v>
      </c>
      <c r="H5" s="49" t="s">
        <v>33</v>
      </c>
      <c r="I5" s="49" t="s">
        <v>2</v>
      </c>
      <c r="J5" s="49" t="s">
        <v>10</v>
      </c>
      <c r="K5" s="49" t="s">
        <v>38</v>
      </c>
      <c r="L5" s="49" t="s">
        <v>46</v>
      </c>
      <c r="M5" s="49" t="s">
        <v>3</v>
      </c>
      <c r="N5" s="52" t="s">
        <v>44</v>
      </c>
      <c r="O5" s="53"/>
      <c r="P5" s="52" t="s">
        <v>11</v>
      </c>
      <c r="Q5" s="53"/>
      <c r="R5" s="52" t="s">
        <v>43</v>
      </c>
      <c r="S5" s="53"/>
      <c r="T5" s="52" t="s">
        <v>4</v>
      </c>
      <c r="U5" s="53"/>
      <c r="V5" s="55" t="s">
        <v>42</v>
      </c>
      <c r="W5" s="53"/>
      <c r="X5" s="52" t="s">
        <v>21</v>
      </c>
      <c r="Y5" s="53"/>
      <c r="Z5" s="52" t="s">
        <v>41</v>
      </c>
      <c r="AA5" s="53"/>
      <c r="AB5" s="52" t="s">
        <v>5</v>
      </c>
      <c r="AC5" s="53"/>
      <c r="AD5" s="52" t="s">
        <v>37</v>
      </c>
      <c r="AE5" s="53"/>
      <c r="AF5" s="52" t="s">
        <v>22</v>
      </c>
      <c r="AG5" s="53"/>
      <c r="AH5" s="52" t="s">
        <v>6</v>
      </c>
      <c r="AI5" s="53"/>
    </row>
    <row r="6" spans="1:35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7" t="s">
        <v>24</v>
      </c>
      <c r="O6" s="7" t="s">
        <v>7</v>
      </c>
      <c r="P6" s="7" t="str">
        <f>+$N$6</f>
        <v xml:space="preserve">Clark </v>
      </c>
      <c r="Q6" s="7" t="s">
        <v>7</v>
      </c>
      <c r="R6" s="7" t="str">
        <f>+$N$6</f>
        <v xml:space="preserve">Clark </v>
      </c>
      <c r="S6" s="7" t="s">
        <v>7</v>
      </c>
      <c r="T6" s="7" t="str">
        <f>+$N$6</f>
        <v xml:space="preserve">Clark </v>
      </c>
      <c r="U6" s="7" t="s">
        <v>7</v>
      </c>
      <c r="V6" s="7" t="str">
        <f>+$N$6</f>
        <v xml:space="preserve">Clark </v>
      </c>
      <c r="W6" s="7" t="s">
        <v>7</v>
      </c>
      <c r="X6" s="7" t="str">
        <f>+$N$6</f>
        <v xml:space="preserve">Clark </v>
      </c>
      <c r="Y6" s="7" t="s">
        <v>7</v>
      </c>
      <c r="Z6" s="7" t="str">
        <f>+$N$6</f>
        <v xml:space="preserve">Clark </v>
      </c>
      <c r="AA6" s="7" t="s">
        <v>7</v>
      </c>
      <c r="AB6" s="7" t="str">
        <f>+$N$6</f>
        <v xml:space="preserve">Clark </v>
      </c>
      <c r="AC6" s="7" t="s">
        <v>7</v>
      </c>
      <c r="AD6" s="7" t="str">
        <f>+$N$6</f>
        <v xml:space="preserve">Clark </v>
      </c>
      <c r="AE6" s="7" t="s">
        <v>7</v>
      </c>
      <c r="AF6" s="7" t="str">
        <f>+$N$6</f>
        <v xml:space="preserve">Clark </v>
      </c>
      <c r="AG6" s="7" t="s">
        <v>7</v>
      </c>
      <c r="AH6" s="7" t="str">
        <f>+$N$6</f>
        <v xml:space="preserve">Clark </v>
      </c>
      <c r="AI6" s="7" t="s">
        <v>7</v>
      </c>
    </row>
    <row r="7" spans="1:35" x14ac:dyDescent="0.4">
      <c r="A7" s="48"/>
      <c r="B7" s="18"/>
      <c r="C7" s="8"/>
      <c r="D7" s="25">
        <v>30.92</v>
      </c>
      <c r="E7" s="30">
        <v>54812.58</v>
      </c>
      <c r="F7" s="31">
        <v>13290.48</v>
      </c>
      <c r="G7" s="22"/>
      <c r="H7" s="22"/>
      <c r="I7" s="31">
        <v>378.99</v>
      </c>
      <c r="J7" s="31"/>
      <c r="K7" s="31"/>
      <c r="L7" s="31"/>
      <c r="M7" s="32">
        <f>SUM(E7:L7)</f>
        <v>68482.05</v>
      </c>
      <c r="N7" s="16">
        <v>13282.39</v>
      </c>
      <c r="O7" s="20">
        <v>5420.14</v>
      </c>
      <c r="P7" s="16">
        <f>(86.66*10)</f>
        <v>866.59999999999991</v>
      </c>
      <c r="Q7" s="20">
        <v>271.60000000000002</v>
      </c>
      <c r="R7" s="16">
        <f>(5.81*12)</f>
        <v>69.72</v>
      </c>
      <c r="S7" s="16">
        <v>112.7</v>
      </c>
      <c r="T7" s="16">
        <f>(8)+(36.72*12)</f>
        <v>448.64</v>
      </c>
      <c r="U7" s="16">
        <f>(56.4)+(20)+(20)</f>
        <v>96.4</v>
      </c>
      <c r="V7" s="16"/>
      <c r="W7" s="16"/>
      <c r="X7" s="16">
        <f>(91.35*12)</f>
        <v>1096.1999999999998</v>
      </c>
      <c r="Y7" s="16"/>
      <c r="Z7" s="16"/>
      <c r="AA7" s="16"/>
      <c r="AB7" s="16"/>
      <c r="AC7" s="16"/>
      <c r="AD7" s="16"/>
      <c r="AE7" s="16"/>
      <c r="AF7" s="16">
        <v>0</v>
      </c>
      <c r="AG7" s="16"/>
      <c r="AH7" s="9">
        <f>+M7+N7+P7+R7+T7+X7+AB7+AD7+AF7+V7+Z7</f>
        <v>84245.6</v>
      </c>
      <c r="AI7" s="9">
        <f>+O7+Q7+S7+U7+Y7+AC7+AE7+AG7+W7+AA7</f>
        <v>5900.84</v>
      </c>
    </row>
    <row r="8" spans="1:35" x14ac:dyDescent="0.4">
      <c r="A8" s="48"/>
      <c r="B8" s="18"/>
      <c r="C8" s="8"/>
      <c r="D8" s="25">
        <v>40.76</v>
      </c>
      <c r="E8" s="30">
        <v>83085.2</v>
      </c>
      <c r="F8" s="31">
        <v>8632.1200000000008</v>
      </c>
      <c r="G8" s="22">
        <v>17241.07</v>
      </c>
      <c r="H8" s="22"/>
      <c r="I8" s="31">
        <v>378.99</v>
      </c>
      <c r="J8" s="31"/>
      <c r="K8" s="31"/>
      <c r="L8" s="31"/>
      <c r="M8" s="32">
        <f t="shared" ref="M8:M71" si="0">SUM(E8:L8)</f>
        <v>109337.37999999999</v>
      </c>
      <c r="N8" s="16">
        <v>4421.6400000000003</v>
      </c>
      <c r="O8" s="20">
        <v>491.28</v>
      </c>
      <c r="P8" s="16">
        <f>(58.54*12)</f>
        <v>702.48</v>
      </c>
      <c r="Q8" s="20">
        <v>144.24</v>
      </c>
      <c r="R8" s="16">
        <f t="shared" ref="R8:R57" si="1">(5.81*12)</f>
        <v>69.72</v>
      </c>
      <c r="S8" s="16">
        <v>112.7</v>
      </c>
      <c r="T8" s="16">
        <f>(27.6)+(50.18*12)</f>
        <v>629.76</v>
      </c>
      <c r="U8" s="16">
        <f>(265.68)+(41.4)+(953.7)</f>
        <v>1260.78</v>
      </c>
      <c r="V8" s="16"/>
      <c r="W8" s="16">
        <v>252.12</v>
      </c>
      <c r="X8" s="16">
        <f>(125.61*12)</f>
        <v>1507.32</v>
      </c>
      <c r="Y8" s="16"/>
      <c r="Z8" s="16"/>
      <c r="AA8" s="16"/>
      <c r="AB8" s="16"/>
      <c r="AC8" s="16">
        <v>4585.8500000000004</v>
      </c>
      <c r="AD8" s="46"/>
      <c r="AE8" s="16"/>
      <c r="AF8" s="16">
        <v>500</v>
      </c>
      <c r="AG8" s="16"/>
      <c r="AH8" s="9">
        <f t="shared" ref="AH8:AH71" si="2">+M8+N8+P8+R8+T8+X8+AB8+AD8+AF8+V8+Z8</f>
        <v>117168.29999999999</v>
      </c>
      <c r="AI8" s="9">
        <f t="shared" ref="AI8:AI71" si="3">+O8+Q8+S8+U8+Y8+AC8+AE8+AG8+W8+AA8</f>
        <v>6846.97</v>
      </c>
    </row>
    <row r="9" spans="1:35" x14ac:dyDescent="0.4">
      <c r="A9" s="48"/>
      <c r="B9" s="18"/>
      <c r="C9" s="8"/>
      <c r="D9" s="25">
        <v>23.63</v>
      </c>
      <c r="E9" s="30">
        <v>16068.4</v>
      </c>
      <c r="F9" s="31">
        <v>1081.0899999999999</v>
      </c>
      <c r="G9" s="22"/>
      <c r="H9" s="22"/>
      <c r="I9" s="31">
        <v>378.99</v>
      </c>
      <c r="J9" s="31"/>
      <c r="K9" s="31"/>
      <c r="L9" s="31"/>
      <c r="M9" s="32">
        <f t="shared" si="0"/>
        <v>17528.48</v>
      </c>
      <c r="N9" s="16">
        <v>1473.88</v>
      </c>
      <c r="O9" s="20">
        <v>163.76</v>
      </c>
      <c r="P9" s="16">
        <f>(36.2*4)</f>
        <v>144.80000000000001</v>
      </c>
      <c r="Q9" s="20">
        <v>0</v>
      </c>
      <c r="R9" s="16">
        <f>(5.81*4)</f>
        <v>23.24</v>
      </c>
      <c r="S9" s="16"/>
      <c r="T9" s="16">
        <f>(30.6*4)</f>
        <v>122.4</v>
      </c>
      <c r="U9" s="16">
        <v>11.6</v>
      </c>
      <c r="V9" s="16"/>
      <c r="W9" s="16"/>
      <c r="X9" s="16">
        <f>(75.74*4)</f>
        <v>302.95999999999998</v>
      </c>
      <c r="Y9" s="16"/>
      <c r="Z9" s="16"/>
      <c r="AA9" s="16"/>
      <c r="AB9" s="16"/>
      <c r="AC9" s="16"/>
      <c r="AD9" s="16"/>
      <c r="AE9" s="16"/>
      <c r="AF9" s="16"/>
      <c r="AG9" s="16"/>
      <c r="AH9" s="9">
        <f t="shared" si="2"/>
        <v>19595.760000000002</v>
      </c>
      <c r="AI9" s="9">
        <f t="shared" si="3"/>
        <v>175.35999999999999</v>
      </c>
    </row>
    <row r="10" spans="1:35" x14ac:dyDescent="0.4">
      <c r="A10" s="48"/>
      <c r="B10" s="18"/>
      <c r="C10" s="8"/>
      <c r="D10" s="25">
        <v>46.49</v>
      </c>
      <c r="E10" s="30">
        <v>93858.8</v>
      </c>
      <c r="F10" s="31">
        <v>33601.85</v>
      </c>
      <c r="G10" s="22"/>
      <c r="H10" s="22">
        <v>2600</v>
      </c>
      <c r="I10" s="33">
        <v>379</v>
      </c>
      <c r="J10" s="33"/>
      <c r="K10" s="33"/>
      <c r="L10" s="33"/>
      <c r="M10" s="32">
        <f t="shared" si="0"/>
        <v>130439.65</v>
      </c>
      <c r="N10" s="16">
        <v>14489.88</v>
      </c>
      <c r="O10" s="20">
        <v>5912.88</v>
      </c>
      <c r="P10" s="16">
        <f>(86.66*12)</f>
        <v>1039.92</v>
      </c>
      <c r="Q10" s="20">
        <v>325.92</v>
      </c>
      <c r="R10" s="16">
        <f t="shared" si="1"/>
        <v>69.72</v>
      </c>
      <c r="S10" s="16">
        <v>135.24</v>
      </c>
      <c r="T10" s="16">
        <f>(18)+(56.3*12)</f>
        <v>693.59999999999991</v>
      </c>
      <c r="U10" s="16">
        <f>(194.28)+(12)</f>
        <v>206.28</v>
      </c>
      <c r="V10" s="16"/>
      <c r="W10" s="16"/>
      <c r="X10" s="16">
        <f>(140.58*12)</f>
        <v>1686.96</v>
      </c>
      <c r="Y10" s="16"/>
      <c r="Z10" s="16"/>
      <c r="AA10" s="16"/>
      <c r="AB10" s="16"/>
      <c r="AC10" s="16">
        <v>6503.03</v>
      </c>
      <c r="AD10" s="16">
        <f>(2394.76+99.59)*12</f>
        <v>29932.200000000004</v>
      </c>
      <c r="AE10" s="16"/>
      <c r="AF10" s="16">
        <v>500</v>
      </c>
      <c r="AG10" s="16"/>
      <c r="AH10" s="9">
        <f t="shared" si="2"/>
        <v>178851.93000000002</v>
      </c>
      <c r="AI10" s="9">
        <f t="shared" si="3"/>
        <v>13083.349999999999</v>
      </c>
    </row>
    <row r="11" spans="1:35" x14ac:dyDescent="0.4">
      <c r="A11" s="48"/>
      <c r="B11" s="18"/>
      <c r="C11" s="8"/>
      <c r="D11" s="25">
        <v>20.73</v>
      </c>
      <c r="E11" s="30">
        <v>9950.4</v>
      </c>
      <c r="F11" s="31"/>
      <c r="G11" s="22"/>
      <c r="H11" s="22"/>
      <c r="I11" s="31">
        <v>379</v>
      </c>
      <c r="J11" s="31"/>
      <c r="K11" s="31"/>
      <c r="L11" s="31"/>
      <c r="M11" s="32">
        <f t="shared" si="0"/>
        <v>10329.4</v>
      </c>
      <c r="N11" s="16">
        <v>736.94</v>
      </c>
      <c r="O11" s="20">
        <v>102.35</v>
      </c>
      <c r="P11" s="16">
        <f>(36.2*2)</f>
        <v>72.400000000000006</v>
      </c>
      <c r="Q11" s="20">
        <v>0</v>
      </c>
      <c r="R11" s="16">
        <f t="shared" si="1"/>
        <v>69.72</v>
      </c>
      <c r="S11" s="16"/>
      <c r="T11" s="16">
        <f>(1.6)+(26.93*2)</f>
        <v>55.46</v>
      </c>
      <c r="U11" s="16">
        <f>(12.42)+(6)</f>
        <v>18.420000000000002</v>
      </c>
      <c r="V11" s="16"/>
      <c r="W11" s="16"/>
      <c r="X11" s="16">
        <f>(66.46*2)</f>
        <v>132.91999999999999</v>
      </c>
      <c r="Y11" s="16"/>
      <c r="Z11" s="16"/>
      <c r="AA11" s="16"/>
      <c r="AB11" s="16"/>
      <c r="AC11" s="16"/>
      <c r="AD11" s="16"/>
      <c r="AE11" s="16"/>
      <c r="AF11" s="16">
        <v>500</v>
      </c>
      <c r="AG11" s="16"/>
      <c r="AH11" s="9">
        <f t="shared" si="2"/>
        <v>11896.839999999998</v>
      </c>
      <c r="AI11" s="9">
        <f t="shared" si="3"/>
        <v>120.77</v>
      </c>
    </row>
    <row r="12" spans="1:35" x14ac:dyDescent="0.4">
      <c r="A12" s="48"/>
      <c r="B12" s="18"/>
      <c r="C12" s="8"/>
      <c r="D12" s="25">
        <v>27.38</v>
      </c>
      <c r="E12" s="30">
        <v>46980.4</v>
      </c>
      <c r="F12" s="31">
        <v>44.19</v>
      </c>
      <c r="G12" s="22"/>
      <c r="H12" s="22"/>
      <c r="I12" s="33">
        <v>379</v>
      </c>
      <c r="J12" s="33"/>
      <c r="K12" s="33"/>
      <c r="L12" s="33"/>
      <c r="M12" s="32">
        <f t="shared" si="0"/>
        <v>47403.590000000004</v>
      </c>
      <c r="N12" s="16">
        <v>4421.6400000000003</v>
      </c>
      <c r="O12" s="20">
        <v>491.28</v>
      </c>
      <c r="P12" s="16">
        <f>(36.2*12)</f>
        <v>434.40000000000003</v>
      </c>
      <c r="Q12" s="20">
        <v>0</v>
      </c>
      <c r="R12" s="16">
        <f t="shared" si="1"/>
        <v>69.72</v>
      </c>
      <c r="S12" s="16"/>
      <c r="T12" s="16">
        <f>(25.09*12)</f>
        <v>301.08</v>
      </c>
      <c r="U12" s="16">
        <f>(46.2)+(24)</f>
        <v>70.2</v>
      </c>
      <c r="V12" s="16"/>
      <c r="W12" s="16"/>
      <c r="X12" s="16">
        <f>(62.95*12)</f>
        <v>755.40000000000009</v>
      </c>
      <c r="Y12" s="16"/>
      <c r="Z12" s="16"/>
      <c r="AA12" s="16"/>
      <c r="AB12" s="16"/>
      <c r="AC12" s="16"/>
      <c r="AD12" s="16">
        <f>(713.19+29.62)</f>
        <v>742.81000000000006</v>
      </c>
      <c r="AE12" s="16"/>
      <c r="AF12" s="16">
        <v>500</v>
      </c>
      <c r="AG12" s="16"/>
      <c r="AH12" s="9">
        <f t="shared" si="2"/>
        <v>54628.640000000007</v>
      </c>
      <c r="AI12" s="9">
        <f t="shared" si="3"/>
        <v>561.48</v>
      </c>
    </row>
    <row r="13" spans="1:35" x14ac:dyDescent="0.4">
      <c r="A13" s="48"/>
      <c r="B13" s="18"/>
      <c r="C13" s="8"/>
      <c r="D13" s="25">
        <v>39.020000000000003</v>
      </c>
      <c r="E13" s="30">
        <v>78224</v>
      </c>
      <c r="F13" s="31">
        <v>18575.23</v>
      </c>
      <c r="G13" s="22"/>
      <c r="H13" s="22">
        <v>2000</v>
      </c>
      <c r="I13" s="33">
        <v>378.99</v>
      </c>
      <c r="J13" s="33"/>
      <c r="K13" s="33"/>
      <c r="L13" s="33"/>
      <c r="M13" s="32">
        <f t="shared" si="0"/>
        <v>99178.22</v>
      </c>
      <c r="N13" s="16">
        <v>4421.6400000000003</v>
      </c>
      <c r="O13" s="20">
        <v>491.28</v>
      </c>
      <c r="P13" s="16">
        <f>(36.2*12)</f>
        <v>434.40000000000003</v>
      </c>
      <c r="Q13" s="20">
        <v>0</v>
      </c>
      <c r="R13" s="16">
        <f t="shared" si="1"/>
        <v>69.72</v>
      </c>
      <c r="S13" s="16"/>
      <c r="T13" s="16">
        <f>(7.2)+(46.51*12)</f>
        <v>565.32000000000005</v>
      </c>
      <c r="U13" s="16">
        <f>(63.84)+(10.8)</f>
        <v>74.64</v>
      </c>
      <c r="V13" s="16"/>
      <c r="W13" s="16"/>
      <c r="X13" s="16">
        <f>(116.35*12)</f>
        <v>1396.1999999999998</v>
      </c>
      <c r="Y13" s="16"/>
      <c r="Z13" s="16"/>
      <c r="AA13" s="16"/>
      <c r="AB13" s="16"/>
      <c r="AC13" s="16">
        <v>11855.93</v>
      </c>
      <c r="AD13" s="16">
        <f>(1318.17+57.74)*12</f>
        <v>16510.920000000002</v>
      </c>
      <c r="AE13" s="16"/>
      <c r="AF13" s="16">
        <v>500</v>
      </c>
      <c r="AG13" s="16"/>
      <c r="AH13" s="9">
        <f t="shared" si="2"/>
        <v>123076.42</v>
      </c>
      <c r="AI13" s="9">
        <f t="shared" si="3"/>
        <v>12421.85</v>
      </c>
    </row>
    <row r="14" spans="1:35" x14ac:dyDescent="0.4">
      <c r="A14" s="48"/>
      <c r="B14" s="18"/>
      <c r="C14" s="8"/>
      <c r="D14" s="25">
        <v>44.21</v>
      </c>
      <c r="E14" s="30">
        <v>87802.55</v>
      </c>
      <c r="F14" s="31">
        <v>22919.200000000001</v>
      </c>
      <c r="G14" s="22"/>
      <c r="H14" s="22">
        <v>2240</v>
      </c>
      <c r="I14" s="31">
        <v>379</v>
      </c>
      <c r="J14" s="31"/>
      <c r="K14" s="31"/>
      <c r="L14" s="31"/>
      <c r="M14" s="32">
        <f t="shared" si="0"/>
        <v>113340.75</v>
      </c>
      <c r="N14" s="16">
        <v>14489.88</v>
      </c>
      <c r="O14" s="20">
        <v>5912.88</v>
      </c>
      <c r="P14" s="16">
        <f>(60.2*12)</f>
        <v>722.40000000000009</v>
      </c>
      <c r="Q14" s="20">
        <v>155.28</v>
      </c>
      <c r="R14" s="16">
        <f t="shared" si="1"/>
        <v>69.72</v>
      </c>
      <c r="S14" s="16">
        <v>135.24</v>
      </c>
      <c r="T14" s="16">
        <f>(12)+(52.02*12)</f>
        <v>636.24</v>
      </c>
      <c r="U14" s="16">
        <f>(120.36)+(18)+(24)</f>
        <v>162.36000000000001</v>
      </c>
      <c r="V14" s="16"/>
      <c r="W14" s="16"/>
      <c r="X14" s="16">
        <f>(130.71*12)</f>
        <v>1568.52</v>
      </c>
      <c r="Y14" s="16"/>
      <c r="Z14" s="16"/>
      <c r="AA14" s="16">
        <v>422.76</v>
      </c>
      <c r="AB14" s="16"/>
      <c r="AC14" s="16">
        <v>5631.91</v>
      </c>
      <c r="AD14" s="16">
        <f>(1480.85+61.5)*12</f>
        <v>18508.199999999997</v>
      </c>
      <c r="AE14" s="16"/>
      <c r="AF14" s="16">
        <v>500</v>
      </c>
      <c r="AG14" s="16"/>
      <c r="AH14" s="9">
        <f t="shared" si="2"/>
        <v>149835.71000000002</v>
      </c>
      <c r="AI14" s="9">
        <f t="shared" si="3"/>
        <v>12420.429999999998</v>
      </c>
    </row>
    <row r="15" spans="1:35" x14ac:dyDescent="0.4">
      <c r="A15" s="48"/>
      <c r="B15" s="18"/>
      <c r="C15" s="8"/>
      <c r="D15" s="25">
        <v>36.21</v>
      </c>
      <c r="E15" s="30">
        <v>73815.600000000006</v>
      </c>
      <c r="F15" s="31">
        <v>570.30999999999995</v>
      </c>
      <c r="G15" s="22"/>
      <c r="H15" s="22"/>
      <c r="I15" s="31">
        <v>379</v>
      </c>
      <c r="J15" s="31"/>
      <c r="K15" s="31"/>
      <c r="L15" s="31"/>
      <c r="M15" s="32">
        <f t="shared" si="0"/>
        <v>74764.91</v>
      </c>
      <c r="N15" s="16">
        <v>10546.8</v>
      </c>
      <c r="O15" s="20">
        <v>3789.36</v>
      </c>
      <c r="P15" s="16">
        <f>(58.54*12)</f>
        <v>702.48</v>
      </c>
      <c r="Q15" s="20">
        <v>144.24</v>
      </c>
      <c r="R15" s="16">
        <f t="shared" si="1"/>
        <v>69.72</v>
      </c>
      <c r="S15" s="16">
        <v>62.76</v>
      </c>
      <c r="T15" s="16">
        <f>(27.6)+(44.68*12)</f>
        <v>563.76</v>
      </c>
      <c r="U15" s="16">
        <f>(110.4)+(310.2)</f>
        <v>420.6</v>
      </c>
      <c r="V15" s="16"/>
      <c r="W15" s="16"/>
      <c r="X15" s="16">
        <f>(111.61*12)</f>
        <v>1339.32</v>
      </c>
      <c r="Y15" s="16"/>
      <c r="Z15" s="16"/>
      <c r="AA15" s="16"/>
      <c r="AB15" s="16"/>
      <c r="AC15" s="16">
        <v>8926.31</v>
      </c>
      <c r="AD15" s="16">
        <f>(1907.18+79.07)*12</f>
        <v>23835</v>
      </c>
      <c r="AE15" s="16"/>
      <c r="AF15" s="16">
        <v>500</v>
      </c>
      <c r="AG15" s="16"/>
      <c r="AH15" s="9">
        <f t="shared" si="2"/>
        <v>112321.99</v>
      </c>
      <c r="AI15" s="9">
        <f t="shared" si="3"/>
        <v>13343.27</v>
      </c>
    </row>
    <row r="16" spans="1:35" x14ac:dyDescent="0.4">
      <c r="A16" s="48"/>
      <c r="B16" s="18"/>
      <c r="C16" s="8"/>
      <c r="D16" s="25">
        <v>38.25</v>
      </c>
      <c r="E16" s="30">
        <v>27210.67</v>
      </c>
      <c r="F16" s="31">
        <v>7831.7</v>
      </c>
      <c r="G16" s="22"/>
      <c r="H16" s="22">
        <v>1440</v>
      </c>
      <c r="I16" s="31">
        <v>378.99</v>
      </c>
      <c r="J16" s="31"/>
      <c r="K16" s="31"/>
      <c r="L16" s="31"/>
      <c r="M16" s="32">
        <f t="shared" si="0"/>
        <v>36861.359999999993</v>
      </c>
      <c r="N16" s="16">
        <v>4829.96</v>
      </c>
      <c r="O16" s="20">
        <v>1970.96</v>
      </c>
      <c r="P16" s="16">
        <f>(36.2*4)</f>
        <v>144.80000000000001</v>
      </c>
      <c r="Q16" s="20">
        <v>0</v>
      </c>
      <c r="R16" s="16">
        <f>(5.81*4)</f>
        <v>23.24</v>
      </c>
      <c r="S16" s="16"/>
      <c r="T16" s="16">
        <f>(2.4)+(48.96*4)</f>
        <v>198.24</v>
      </c>
      <c r="U16" s="16">
        <f>(22.4)+(3.6)+(8)</f>
        <v>34</v>
      </c>
      <c r="V16" s="16"/>
      <c r="W16" s="16"/>
      <c r="X16" s="16">
        <f>(122.6*4)</f>
        <v>490.4</v>
      </c>
      <c r="Y16" s="16"/>
      <c r="Z16" s="16"/>
      <c r="AA16" s="16"/>
      <c r="AB16" s="16"/>
      <c r="AC16" s="16"/>
      <c r="AD16" s="16">
        <f>(1388.99+57.68)*4</f>
        <v>5786.68</v>
      </c>
      <c r="AE16" s="16"/>
      <c r="AF16" s="16">
        <v>0</v>
      </c>
      <c r="AG16" s="16"/>
      <c r="AH16" s="9">
        <f t="shared" si="2"/>
        <v>48334.679999999993</v>
      </c>
      <c r="AI16" s="9">
        <f t="shared" si="3"/>
        <v>2004.96</v>
      </c>
    </row>
    <row r="17" spans="1:35" x14ac:dyDescent="0.4">
      <c r="A17" s="48"/>
      <c r="B17" s="18"/>
      <c r="C17" s="8"/>
      <c r="D17" s="25">
        <v>38.06</v>
      </c>
      <c r="E17" s="30">
        <v>76475.600000000006</v>
      </c>
      <c r="F17" s="31">
        <v>19491.7</v>
      </c>
      <c r="G17" s="22"/>
      <c r="H17" s="22"/>
      <c r="I17" s="31">
        <v>378.99</v>
      </c>
      <c r="J17" s="31"/>
      <c r="K17" s="31"/>
      <c r="L17" s="31"/>
      <c r="M17" s="32">
        <f t="shared" si="0"/>
        <v>96346.290000000008</v>
      </c>
      <c r="N17" s="16">
        <v>4421.6400000000003</v>
      </c>
      <c r="O17" s="20">
        <v>491.28</v>
      </c>
      <c r="P17" s="16">
        <f>(36.2*12)</f>
        <v>434.40000000000003</v>
      </c>
      <c r="Q17" s="20">
        <v>0</v>
      </c>
      <c r="R17" s="16">
        <f t="shared" si="1"/>
        <v>69.72</v>
      </c>
      <c r="S17" s="16"/>
      <c r="T17" s="16">
        <f>(45.29*12)</f>
        <v>543.48</v>
      </c>
      <c r="U17" s="16"/>
      <c r="V17" s="16"/>
      <c r="W17" s="16"/>
      <c r="X17" s="16">
        <f>(114.01*12)</f>
        <v>1368.1200000000001</v>
      </c>
      <c r="Y17" s="16"/>
      <c r="Z17" s="16"/>
      <c r="AA17" s="16">
        <v>377.16</v>
      </c>
      <c r="AB17" s="16"/>
      <c r="AC17" s="16">
        <v>9596.73</v>
      </c>
      <c r="AD17" s="16">
        <f>(1291.67+53.64)*12</f>
        <v>16143.720000000001</v>
      </c>
      <c r="AE17" s="16"/>
      <c r="AF17" s="16">
        <v>500</v>
      </c>
      <c r="AG17" s="16"/>
      <c r="AH17" s="9">
        <f t="shared" si="2"/>
        <v>119827.37</v>
      </c>
      <c r="AI17" s="9">
        <f t="shared" si="3"/>
        <v>10465.17</v>
      </c>
    </row>
    <row r="18" spans="1:35" x14ac:dyDescent="0.4">
      <c r="A18" s="48"/>
      <c r="B18" s="18"/>
      <c r="C18" s="8"/>
      <c r="D18" s="25">
        <v>38.700000000000003</v>
      </c>
      <c r="E18" s="30">
        <v>78692.399999999994</v>
      </c>
      <c r="F18" s="31">
        <v>15491.14</v>
      </c>
      <c r="G18" s="22">
        <v>1548</v>
      </c>
      <c r="H18" s="22"/>
      <c r="I18" s="31">
        <v>379</v>
      </c>
      <c r="J18" s="31"/>
      <c r="K18" s="31"/>
      <c r="L18" s="31"/>
      <c r="M18" s="32">
        <f t="shared" si="0"/>
        <v>96110.54</v>
      </c>
      <c r="N18" s="16">
        <v>4421.6400000000003</v>
      </c>
      <c r="O18" s="20">
        <v>491.28</v>
      </c>
      <c r="P18" s="16">
        <f>(36.2*12)</f>
        <v>434.40000000000003</v>
      </c>
      <c r="Q18" s="20">
        <v>0</v>
      </c>
      <c r="R18" s="16">
        <f t="shared" si="1"/>
        <v>69.72</v>
      </c>
      <c r="S18" s="16"/>
      <c r="T18" s="16">
        <f>(47.74*12)</f>
        <v>572.88</v>
      </c>
      <c r="U18" s="16">
        <f>(24)</f>
        <v>24</v>
      </c>
      <c r="V18" s="16"/>
      <c r="W18" s="16"/>
      <c r="X18" s="16">
        <f>(118.69*12)</f>
        <v>1424.28</v>
      </c>
      <c r="Y18" s="16"/>
      <c r="Z18" s="16"/>
      <c r="AA18" s="16"/>
      <c r="AB18" s="16"/>
      <c r="AC18" s="16"/>
      <c r="AD18" s="16">
        <f>(2021.83+84.08)*12</f>
        <v>25270.92</v>
      </c>
      <c r="AE18" s="16"/>
      <c r="AF18" s="16">
        <v>500</v>
      </c>
      <c r="AG18" s="16"/>
      <c r="AH18" s="9">
        <f t="shared" si="2"/>
        <v>128804.37999999999</v>
      </c>
      <c r="AI18" s="9">
        <f t="shared" si="3"/>
        <v>515.28</v>
      </c>
    </row>
    <row r="19" spans="1:35" x14ac:dyDescent="0.4">
      <c r="A19" s="48"/>
      <c r="B19" s="18"/>
      <c r="C19" s="8"/>
      <c r="D19" s="25">
        <v>35.14</v>
      </c>
      <c r="E19" s="30">
        <v>69937.600000000006</v>
      </c>
      <c r="F19" s="31">
        <v>13170.74</v>
      </c>
      <c r="G19" s="22"/>
      <c r="H19" s="22">
        <v>2520</v>
      </c>
      <c r="I19" s="31">
        <v>378.99</v>
      </c>
      <c r="J19" s="31"/>
      <c r="K19" s="31"/>
      <c r="L19" s="31"/>
      <c r="M19" s="32">
        <f t="shared" si="0"/>
        <v>86007.330000000016</v>
      </c>
      <c r="N19" s="16">
        <v>9539.52</v>
      </c>
      <c r="O19" s="20">
        <v>3247.2</v>
      </c>
      <c r="P19" s="16">
        <f>(60.2*12)</f>
        <v>722.40000000000009</v>
      </c>
      <c r="Q19" s="20">
        <v>155.28</v>
      </c>
      <c r="R19" s="16">
        <f t="shared" si="1"/>
        <v>69.72</v>
      </c>
      <c r="S19" s="16">
        <v>69.72</v>
      </c>
      <c r="T19" s="16">
        <f>(9.6)+(39.78*12)</f>
        <v>486.96000000000004</v>
      </c>
      <c r="U19" s="16">
        <f>(12)</f>
        <v>12</v>
      </c>
      <c r="V19" s="16"/>
      <c r="W19" s="16"/>
      <c r="X19" s="16">
        <f>(99.14*12)</f>
        <v>1189.68</v>
      </c>
      <c r="Y19" s="16"/>
      <c r="Z19" s="16"/>
      <c r="AA19" s="16"/>
      <c r="AB19" s="16"/>
      <c r="AC19" s="16">
        <v>5137.71</v>
      </c>
      <c r="AD19" s="16">
        <f>(1123.16+46.64)*12</f>
        <v>14037.600000000002</v>
      </c>
      <c r="AE19" s="16"/>
      <c r="AF19" s="16">
        <v>500</v>
      </c>
      <c r="AG19" s="16"/>
      <c r="AH19" s="9">
        <f t="shared" si="2"/>
        <v>112553.21000000002</v>
      </c>
      <c r="AI19" s="9">
        <f t="shared" si="3"/>
        <v>8621.91</v>
      </c>
    </row>
    <row r="20" spans="1:35" x14ac:dyDescent="0.4">
      <c r="A20" s="48"/>
      <c r="B20" s="18"/>
      <c r="C20" s="8"/>
      <c r="D20" s="25">
        <v>21.5</v>
      </c>
      <c r="E20" s="30">
        <v>50265.2</v>
      </c>
      <c r="F20" s="31">
        <v>4389.1000000000004</v>
      </c>
      <c r="G20" s="22"/>
      <c r="H20" s="22"/>
      <c r="I20" s="31">
        <v>378.99</v>
      </c>
      <c r="J20" s="31"/>
      <c r="K20" s="31"/>
      <c r="L20" s="31"/>
      <c r="M20" s="32">
        <f t="shared" si="0"/>
        <v>55033.289999999994</v>
      </c>
      <c r="N20" s="16">
        <v>4421.6400000000003</v>
      </c>
      <c r="O20" s="20">
        <v>491.28</v>
      </c>
      <c r="P20" s="16">
        <f>(36.2*12)</f>
        <v>434.40000000000003</v>
      </c>
      <c r="Q20" s="20">
        <v>0</v>
      </c>
      <c r="R20" s="16">
        <f t="shared" si="1"/>
        <v>69.72</v>
      </c>
      <c r="S20" s="16"/>
      <c r="T20" s="16">
        <f>(10.8)+(25.09*12)</f>
        <v>311.88</v>
      </c>
      <c r="U20" s="16">
        <f>(52.2)+(24)</f>
        <v>76.2</v>
      </c>
      <c r="V20" s="16"/>
      <c r="W20" s="16"/>
      <c r="X20" s="16">
        <f>(62.95*12)</f>
        <v>755.40000000000009</v>
      </c>
      <c r="Y20" s="16"/>
      <c r="Z20" s="16"/>
      <c r="AA20" s="16"/>
      <c r="AB20" s="16"/>
      <c r="AC20" s="16"/>
      <c r="AD20" s="16">
        <f>(713.19+29.62)</f>
        <v>742.81000000000006</v>
      </c>
      <c r="AE20" s="16"/>
      <c r="AF20" s="16">
        <v>500</v>
      </c>
      <c r="AG20" s="16"/>
      <c r="AH20" s="9">
        <f t="shared" si="2"/>
        <v>62269.139999999992</v>
      </c>
      <c r="AI20" s="9">
        <f t="shared" si="3"/>
        <v>567.48</v>
      </c>
    </row>
    <row r="21" spans="1:35" x14ac:dyDescent="0.4">
      <c r="A21" s="48"/>
      <c r="B21" s="18"/>
      <c r="C21" s="8"/>
      <c r="D21" s="25">
        <v>44.39</v>
      </c>
      <c r="E21" s="30">
        <v>30185.200000000001</v>
      </c>
      <c r="F21" s="31"/>
      <c r="G21" s="22">
        <f>(5815.53)+(4049.26)</f>
        <v>9864.7900000000009</v>
      </c>
      <c r="H21" s="22"/>
      <c r="I21" s="31">
        <v>0</v>
      </c>
      <c r="J21" s="31"/>
      <c r="K21" s="31"/>
      <c r="L21" s="31"/>
      <c r="M21" s="32">
        <f t="shared" si="0"/>
        <v>40049.990000000005</v>
      </c>
      <c r="N21" s="16">
        <v>1473.88</v>
      </c>
      <c r="O21" s="20">
        <v>163.76</v>
      </c>
      <c r="P21" s="16">
        <f>(60.2*4)</f>
        <v>240.8</v>
      </c>
      <c r="Q21" s="20">
        <v>51.76</v>
      </c>
      <c r="R21" s="16">
        <f>(5.81*4)</f>
        <v>23.24</v>
      </c>
      <c r="S21" s="16"/>
      <c r="T21" s="16">
        <f>(3)+(56.92*5)</f>
        <v>287.60000000000002</v>
      </c>
      <c r="U21" s="16">
        <v>3.6</v>
      </c>
      <c r="V21" s="16"/>
      <c r="W21" s="16"/>
      <c r="X21" s="16">
        <f>(142.28*5)</f>
        <v>711.4</v>
      </c>
      <c r="Y21" s="16"/>
      <c r="Z21" s="16"/>
      <c r="AA21" s="16"/>
      <c r="AB21" s="16"/>
      <c r="AC21" s="16">
        <v>4261.4399999999996</v>
      </c>
      <c r="AD21" s="16">
        <f>(1611.95+66.94)*5</f>
        <v>8394.4500000000007</v>
      </c>
      <c r="AE21" s="16"/>
      <c r="AF21" s="16">
        <v>500</v>
      </c>
      <c r="AG21" s="16"/>
      <c r="AH21" s="9">
        <f t="shared" si="2"/>
        <v>51681.36</v>
      </c>
      <c r="AI21" s="9">
        <f t="shared" si="3"/>
        <v>4480.5599999999995</v>
      </c>
    </row>
    <row r="22" spans="1:35" x14ac:dyDescent="0.4">
      <c r="A22" s="48"/>
      <c r="B22" s="18"/>
      <c r="C22" s="8"/>
      <c r="D22" s="25">
        <v>47.41</v>
      </c>
      <c r="E22" s="30">
        <v>96528.4</v>
      </c>
      <c r="F22" s="31">
        <v>13708.14</v>
      </c>
      <c r="G22" s="22">
        <v>1920</v>
      </c>
      <c r="H22" s="22"/>
      <c r="I22" s="31">
        <v>379</v>
      </c>
      <c r="J22" s="31"/>
      <c r="K22" s="31"/>
      <c r="L22" s="31"/>
      <c r="M22" s="32">
        <f t="shared" si="0"/>
        <v>112535.54</v>
      </c>
      <c r="N22" s="16">
        <v>10036.370000000001</v>
      </c>
      <c r="O22" s="20">
        <f>(20.47)+(3768.89)</f>
        <v>3789.3599999999997</v>
      </c>
      <c r="P22" s="16">
        <f>(58.54*12)</f>
        <v>702.48</v>
      </c>
      <c r="Q22" s="20">
        <v>144.24</v>
      </c>
      <c r="R22" s="16">
        <f t="shared" si="1"/>
        <v>69.72</v>
      </c>
      <c r="S22" s="16">
        <v>62.76</v>
      </c>
      <c r="T22" s="16">
        <f>(27.6)+(12*58.14)</f>
        <v>725.28000000000009</v>
      </c>
      <c r="U22" s="16"/>
      <c r="V22" s="16"/>
      <c r="W22" s="16">
        <v>252.12</v>
      </c>
      <c r="X22" s="16">
        <f>(12*145.78)</f>
        <v>1749.3600000000001</v>
      </c>
      <c r="Y22" s="16"/>
      <c r="Z22" s="16"/>
      <c r="AA22" s="16"/>
      <c r="AB22" s="16"/>
      <c r="AC22" s="16">
        <v>5607.86</v>
      </c>
      <c r="AD22" s="16">
        <f>(2483.2+103.27)*12</f>
        <v>31037.64</v>
      </c>
      <c r="AE22" s="16"/>
      <c r="AF22" s="16">
        <v>500</v>
      </c>
      <c r="AG22" s="16"/>
      <c r="AH22" s="9">
        <f t="shared" si="2"/>
        <v>157356.38999999998</v>
      </c>
      <c r="AI22" s="9">
        <f t="shared" si="3"/>
        <v>9856.34</v>
      </c>
    </row>
    <row r="23" spans="1:35" x14ac:dyDescent="0.4">
      <c r="A23" s="48"/>
      <c r="B23" s="18"/>
      <c r="C23" s="8"/>
      <c r="D23" s="25">
        <v>41.89</v>
      </c>
      <c r="E23" s="30">
        <v>84571.61</v>
      </c>
      <c r="F23" s="31">
        <v>12859.55</v>
      </c>
      <c r="G23" s="22"/>
      <c r="H23" s="22">
        <v>2440</v>
      </c>
      <c r="I23" s="31">
        <v>379</v>
      </c>
      <c r="J23" s="31"/>
      <c r="K23" s="31"/>
      <c r="L23" s="31"/>
      <c r="M23" s="32">
        <f t="shared" si="0"/>
        <v>100250.16</v>
      </c>
      <c r="N23" s="16">
        <v>4421.6400000000003</v>
      </c>
      <c r="O23" s="20">
        <v>491.28</v>
      </c>
      <c r="P23" s="16">
        <f>(36.2*12)</f>
        <v>434.40000000000003</v>
      </c>
      <c r="Q23" s="20">
        <v>0</v>
      </c>
      <c r="R23" s="16">
        <f t="shared" si="1"/>
        <v>69.72</v>
      </c>
      <c r="S23" s="16"/>
      <c r="T23" s="16">
        <f>(50.8*12)</f>
        <v>609.59999999999991</v>
      </c>
      <c r="U23" s="16">
        <v>501.96</v>
      </c>
      <c r="V23" s="16"/>
      <c r="W23" s="16">
        <v>252.12</v>
      </c>
      <c r="X23" s="16">
        <f>(126.67*12)</f>
        <v>1520.04</v>
      </c>
      <c r="Y23" s="16"/>
      <c r="Z23" s="16"/>
      <c r="AA23" s="16"/>
      <c r="AB23" s="16"/>
      <c r="AC23" s="16">
        <v>1997.41</v>
      </c>
      <c r="AD23" s="16">
        <f>(89.74+2157.8)*12</f>
        <v>26970.48</v>
      </c>
      <c r="AE23" s="16"/>
      <c r="AF23" s="16">
        <v>500</v>
      </c>
      <c r="AG23" s="16"/>
      <c r="AH23" s="9">
        <f t="shared" si="2"/>
        <v>134776.04</v>
      </c>
      <c r="AI23" s="9">
        <f t="shared" si="3"/>
        <v>3242.77</v>
      </c>
    </row>
    <row r="24" spans="1:35" x14ac:dyDescent="0.4">
      <c r="A24" s="48"/>
      <c r="B24" s="18"/>
      <c r="C24" s="8"/>
      <c r="D24" s="25">
        <v>26.64</v>
      </c>
      <c r="E24" s="30">
        <v>47973.62</v>
      </c>
      <c r="F24" s="31">
        <v>339.66</v>
      </c>
      <c r="G24" s="22"/>
      <c r="H24" s="22"/>
      <c r="I24" s="31">
        <v>379</v>
      </c>
      <c r="J24" s="31"/>
      <c r="K24" s="31"/>
      <c r="L24" s="31"/>
      <c r="M24" s="32">
        <f t="shared" si="0"/>
        <v>48692.280000000006</v>
      </c>
      <c r="N24" s="16">
        <v>14077.35</v>
      </c>
      <c r="O24" s="20">
        <f>(5777.58)+(135.3)</f>
        <v>5912.88</v>
      </c>
      <c r="P24" s="16">
        <f>(86.66*11)+(36.2)</f>
        <v>989.46</v>
      </c>
      <c r="Q24" s="20">
        <f>(312.98)+(6.47)</f>
        <v>319.45000000000005</v>
      </c>
      <c r="R24" s="16">
        <f t="shared" si="1"/>
        <v>69.72</v>
      </c>
      <c r="S24" s="16">
        <v>135.24</v>
      </c>
      <c r="T24" s="16">
        <f>(26.32*12)</f>
        <v>315.84000000000003</v>
      </c>
      <c r="U24" s="16">
        <f>(48.48)+(24)</f>
        <v>72.47999999999999</v>
      </c>
      <c r="V24" s="16"/>
      <c r="W24" s="16"/>
      <c r="X24" s="16">
        <f>(65.87*12)</f>
        <v>790.44</v>
      </c>
      <c r="Y24" s="16"/>
      <c r="Z24" s="16"/>
      <c r="AA24" s="16"/>
      <c r="AB24" s="16"/>
      <c r="AC24" s="16">
        <v>483.15</v>
      </c>
      <c r="AD24" s="16">
        <f>(746.24+30.99)*12</f>
        <v>9326.76</v>
      </c>
      <c r="AE24" s="16"/>
      <c r="AF24" s="16">
        <v>500</v>
      </c>
      <c r="AG24" s="16"/>
      <c r="AH24" s="9">
        <f t="shared" si="2"/>
        <v>74761.850000000006</v>
      </c>
      <c r="AI24" s="9">
        <f t="shared" si="3"/>
        <v>6923.1999999999989</v>
      </c>
    </row>
    <row r="25" spans="1:35" x14ac:dyDescent="0.4">
      <c r="A25" s="48"/>
      <c r="B25" s="18"/>
      <c r="C25" s="8"/>
      <c r="D25" s="25">
        <v>42.31</v>
      </c>
      <c r="E25" s="30">
        <v>86039.2</v>
      </c>
      <c r="F25" s="31">
        <v>5070.04</v>
      </c>
      <c r="G25" s="22"/>
      <c r="H25" s="22"/>
      <c r="I25" s="31">
        <v>379</v>
      </c>
      <c r="J25" s="31"/>
      <c r="K25" s="31"/>
      <c r="L25" s="31"/>
      <c r="M25" s="32">
        <f t="shared" si="0"/>
        <v>91488.239999999991</v>
      </c>
      <c r="N25" s="16">
        <v>11189.64</v>
      </c>
      <c r="O25" s="20">
        <f>(1835.46)+(2300.1)</f>
        <v>4135.5599999999995</v>
      </c>
      <c r="P25" s="16">
        <f>(86.66*3)+(60.2*9)</f>
        <v>801.78000000000009</v>
      </c>
      <c r="Q25" s="20">
        <f>(81.48)+(116.46)</f>
        <v>197.94</v>
      </c>
      <c r="R25" s="16">
        <f t="shared" si="1"/>
        <v>69.72</v>
      </c>
      <c r="S25" s="16">
        <v>86.1</v>
      </c>
      <c r="T25" s="16">
        <f>(27.6)+(52.02*12)</f>
        <v>651.84</v>
      </c>
      <c r="U25" s="16">
        <f>(275.4)+(24)</f>
        <v>299.39999999999998</v>
      </c>
      <c r="V25" s="16"/>
      <c r="W25" s="16">
        <v>497.04</v>
      </c>
      <c r="X25" s="16">
        <f>(129.78*12)</f>
        <v>1557.3600000000001</v>
      </c>
      <c r="Y25" s="16"/>
      <c r="Z25" s="16"/>
      <c r="AA25" s="16"/>
      <c r="AB25" s="16"/>
      <c r="AC25" s="16">
        <f>(7288.76)+(6377.64)</f>
        <v>13666.400000000001</v>
      </c>
      <c r="AD25" s="16">
        <f>(2210.75+91.94)*12</f>
        <v>27632.28</v>
      </c>
      <c r="AE25" s="16"/>
      <c r="AF25" s="16">
        <v>500</v>
      </c>
      <c r="AG25" s="16"/>
      <c r="AH25" s="9">
        <f t="shared" si="2"/>
        <v>133890.85999999999</v>
      </c>
      <c r="AI25" s="9">
        <f t="shared" si="3"/>
        <v>18882.440000000002</v>
      </c>
    </row>
    <row r="26" spans="1:35" x14ac:dyDescent="0.4">
      <c r="A26" s="48"/>
      <c r="B26" s="18"/>
      <c r="C26" s="8"/>
      <c r="D26" s="25">
        <v>22.58</v>
      </c>
      <c r="E26" s="30">
        <v>32295.200000000001</v>
      </c>
      <c r="F26" s="31"/>
      <c r="G26" s="22"/>
      <c r="H26" s="22"/>
      <c r="I26" s="31">
        <v>379</v>
      </c>
      <c r="J26" s="31"/>
      <c r="K26" s="31"/>
      <c r="L26" s="31"/>
      <c r="M26" s="32">
        <f t="shared" si="0"/>
        <v>32674.2</v>
      </c>
      <c r="N26" s="16">
        <v>2947.76</v>
      </c>
      <c r="O26" s="20">
        <v>368.46</v>
      </c>
      <c r="P26" s="16">
        <f>(36.2*8)</f>
        <v>289.60000000000002</v>
      </c>
      <c r="Q26" s="20">
        <v>0</v>
      </c>
      <c r="R26" s="16">
        <f>(5.81*8)</f>
        <v>46.48</v>
      </c>
      <c r="S26" s="16"/>
      <c r="T26" s="16">
        <f>(5.6)+(27.54*8)</f>
        <v>225.92</v>
      </c>
      <c r="U26" s="16">
        <f>(34.07)+(14.4)</f>
        <v>48.47</v>
      </c>
      <c r="V26" s="16"/>
      <c r="W26" s="16"/>
      <c r="X26" s="16">
        <f>(68.91*8)</f>
        <v>551.28</v>
      </c>
      <c r="Y26" s="16"/>
      <c r="Z26" s="16"/>
      <c r="AA26" s="16"/>
      <c r="AB26" s="16"/>
      <c r="AC26" s="16"/>
      <c r="AD26" s="16"/>
      <c r="AE26" s="16"/>
      <c r="AF26" s="16">
        <v>0</v>
      </c>
      <c r="AG26" s="16"/>
      <c r="AH26" s="9">
        <f t="shared" si="2"/>
        <v>36735.24</v>
      </c>
      <c r="AI26" s="9">
        <f t="shared" si="3"/>
        <v>416.92999999999995</v>
      </c>
    </row>
    <row r="27" spans="1:35" x14ac:dyDescent="0.4">
      <c r="A27" s="48"/>
      <c r="B27" s="18"/>
      <c r="C27" s="8"/>
      <c r="D27" s="25">
        <v>42.06</v>
      </c>
      <c r="E27" s="30">
        <v>84115.199999999997</v>
      </c>
      <c r="F27" s="31">
        <v>23990.23</v>
      </c>
      <c r="G27" s="22"/>
      <c r="H27" s="22">
        <v>2880</v>
      </c>
      <c r="I27" s="31">
        <v>378.99</v>
      </c>
      <c r="J27" s="31"/>
      <c r="K27" s="31"/>
      <c r="L27" s="31"/>
      <c r="M27" s="32">
        <f t="shared" si="0"/>
        <v>111364.42</v>
      </c>
      <c r="N27" s="16">
        <v>4421.6400000000003</v>
      </c>
      <c r="O27" s="20">
        <v>491.28</v>
      </c>
      <c r="P27" s="16">
        <f>(36.2*12)</f>
        <v>434.40000000000003</v>
      </c>
      <c r="Q27" s="20">
        <v>0</v>
      </c>
      <c r="R27" s="16">
        <f t="shared" si="1"/>
        <v>69.72</v>
      </c>
      <c r="S27" s="16"/>
      <c r="T27" s="16">
        <f>(49.57*12)</f>
        <v>594.84</v>
      </c>
      <c r="U27" s="16"/>
      <c r="V27" s="16"/>
      <c r="W27" s="16"/>
      <c r="X27" s="16">
        <f>(124.81*12)</f>
        <v>1497.72</v>
      </c>
      <c r="Y27" s="16"/>
      <c r="Z27" s="16"/>
      <c r="AA27" s="16"/>
      <c r="AB27" s="16"/>
      <c r="AC27" s="16">
        <v>4439.3999999999996</v>
      </c>
      <c r="AD27" s="16">
        <f>(1414.04+58.72)*12</f>
        <v>17673.12</v>
      </c>
      <c r="AE27" s="16"/>
      <c r="AF27" s="16">
        <v>500</v>
      </c>
      <c r="AG27" s="16"/>
      <c r="AH27" s="9">
        <f t="shared" si="2"/>
        <v>136555.85999999999</v>
      </c>
      <c r="AI27" s="9">
        <f t="shared" si="3"/>
        <v>4930.6799999999994</v>
      </c>
    </row>
    <row r="28" spans="1:35" x14ac:dyDescent="0.4">
      <c r="A28" s="48"/>
      <c r="B28" s="18"/>
      <c r="C28" s="8"/>
      <c r="D28" s="25">
        <v>39.020000000000003</v>
      </c>
      <c r="E28" s="30">
        <v>78224</v>
      </c>
      <c r="F28" s="33">
        <v>17153.37</v>
      </c>
      <c r="G28" s="22"/>
      <c r="H28" s="22">
        <v>2120</v>
      </c>
      <c r="I28" s="31">
        <v>378.99</v>
      </c>
      <c r="J28" s="31"/>
      <c r="K28" s="31"/>
      <c r="L28" s="31"/>
      <c r="M28" s="32">
        <f t="shared" si="0"/>
        <v>97876.36</v>
      </c>
      <c r="N28" s="16">
        <v>14489.88</v>
      </c>
      <c r="O28" s="20">
        <v>5912.88</v>
      </c>
      <c r="P28" s="16">
        <f>(86.66*12)</f>
        <v>1039.92</v>
      </c>
      <c r="Q28" s="20">
        <v>325.92</v>
      </c>
      <c r="R28" s="16">
        <f t="shared" si="1"/>
        <v>69.72</v>
      </c>
      <c r="S28" s="16">
        <v>135.24</v>
      </c>
      <c r="T28" s="16">
        <f>(7.2)+(46.51*12)</f>
        <v>565.32000000000005</v>
      </c>
      <c r="U28" s="16">
        <f>(63.84)+(10.8)+(24)</f>
        <v>98.64</v>
      </c>
      <c r="V28" s="16"/>
      <c r="W28" s="16"/>
      <c r="X28" s="16">
        <f>(116.35*12)</f>
        <v>1396.1999999999998</v>
      </c>
      <c r="Y28" s="16"/>
      <c r="Z28" s="16"/>
      <c r="AA28" s="16">
        <v>441.36</v>
      </c>
      <c r="AB28" s="16"/>
      <c r="AC28" s="16">
        <v>1949.95</v>
      </c>
      <c r="AD28" s="16">
        <f>(1318.17+54.74)*12</f>
        <v>16474.920000000002</v>
      </c>
      <c r="AE28" s="16"/>
      <c r="AF28" s="16">
        <v>500</v>
      </c>
      <c r="AG28" s="16"/>
      <c r="AH28" s="9">
        <f t="shared" si="2"/>
        <v>132412.32</v>
      </c>
      <c r="AI28" s="9">
        <f t="shared" si="3"/>
        <v>8863.9900000000016</v>
      </c>
    </row>
    <row r="29" spans="1:35" x14ac:dyDescent="0.4">
      <c r="A29" s="48"/>
      <c r="B29" s="18"/>
      <c r="C29" s="8"/>
      <c r="D29" s="25">
        <v>38.15</v>
      </c>
      <c r="E29" s="30">
        <v>39855.199999999997</v>
      </c>
      <c r="F29" s="33">
        <v>8517.6</v>
      </c>
      <c r="G29" s="22">
        <f>(1667.16)+(1780.84)</f>
        <v>3448</v>
      </c>
      <c r="H29" s="22">
        <v>1080</v>
      </c>
      <c r="I29" s="31">
        <v>0</v>
      </c>
      <c r="J29" s="31"/>
      <c r="K29" s="31"/>
      <c r="L29" s="31"/>
      <c r="M29" s="32">
        <f t="shared" si="0"/>
        <v>52900.799999999996</v>
      </c>
      <c r="N29" s="16">
        <v>5564.72</v>
      </c>
      <c r="O29" s="20">
        <v>1758.9</v>
      </c>
      <c r="P29" s="16">
        <f>(60.2*7)</f>
        <v>421.40000000000003</v>
      </c>
      <c r="Q29" s="20">
        <v>84.11</v>
      </c>
      <c r="R29" s="16">
        <f>(5.81*7)</f>
        <v>40.669999999999995</v>
      </c>
      <c r="S29" s="16">
        <v>34.86</v>
      </c>
      <c r="T29" s="16">
        <f>(5.6)+(45.29*12)</f>
        <v>549.08000000000004</v>
      </c>
      <c r="U29" s="16">
        <f>(41.76)+(7.2)+(12)</f>
        <v>60.96</v>
      </c>
      <c r="V29" s="16"/>
      <c r="W29" s="16"/>
      <c r="X29" s="16">
        <f>(113.76*12)</f>
        <v>1365.1200000000001</v>
      </c>
      <c r="Y29" s="16"/>
      <c r="Z29" s="16"/>
      <c r="AA29" s="16"/>
      <c r="AB29" s="16"/>
      <c r="AC29" s="16"/>
      <c r="AD29" s="16">
        <f>(1288.76+53.52)*7</f>
        <v>9395.9599999999991</v>
      </c>
      <c r="AE29" s="16"/>
      <c r="AF29" s="16">
        <v>500</v>
      </c>
      <c r="AG29" s="16"/>
      <c r="AH29" s="9">
        <f t="shared" si="2"/>
        <v>70737.75</v>
      </c>
      <c r="AI29" s="9">
        <f t="shared" si="3"/>
        <v>1938.83</v>
      </c>
    </row>
    <row r="30" spans="1:35" x14ac:dyDescent="0.4">
      <c r="A30" s="48"/>
      <c r="B30" s="18"/>
      <c r="C30" s="8"/>
      <c r="D30" s="25">
        <v>28.78</v>
      </c>
      <c r="E30" s="30">
        <v>44661.599999999999</v>
      </c>
      <c r="F30" s="33"/>
      <c r="G30" s="22">
        <f>(2184.69)+(1595.85)</f>
        <v>3780.54</v>
      </c>
      <c r="H30" s="22"/>
      <c r="I30" s="31">
        <v>0</v>
      </c>
      <c r="J30" s="31"/>
      <c r="K30" s="31"/>
      <c r="L30" s="31"/>
      <c r="M30" s="32">
        <f t="shared" si="0"/>
        <v>48442.14</v>
      </c>
      <c r="N30" s="16">
        <v>3684.7</v>
      </c>
      <c r="O30" s="20">
        <v>368.46</v>
      </c>
      <c r="P30" s="16">
        <v>0</v>
      </c>
      <c r="Q30" s="20">
        <v>0</v>
      </c>
      <c r="R30" s="16">
        <f>(5.81*9)</f>
        <v>52.29</v>
      </c>
      <c r="S30" s="16"/>
      <c r="T30" s="16">
        <f>(36.11*9)</f>
        <v>324.99</v>
      </c>
      <c r="U30" s="16">
        <v>15.39</v>
      </c>
      <c r="V30" s="16"/>
      <c r="W30" s="16"/>
      <c r="X30" s="16">
        <f>(89.56*9)</f>
        <v>806.04</v>
      </c>
      <c r="Y30" s="16"/>
      <c r="Z30" s="16"/>
      <c r="AA30" s="16"/>
      <c r="AB30" s="16"/>
      <c r="AC30" s="16"/>
      <c r="AD30" s="16">
        <f>(1014.59+42.13)*2</f>
        <v>2113.44</v>
      </c>
      <c r="AE30" s="16"/>
      <c r="AF30" s="16">
        <v>500</v>
      </c>
      <c r="AG30" s="16"/>
      <c r="AH30" s="9">
        <f t="shared" si="2"/>
        <v>55923.6</v>
      </c>
      <c r="AI30" s="9">
        <f t="shared" si="3"/>
        <v>383.84999999999997</v>
      </c>
    </row>
    <row r="31" spans="1:35" x14ac:dyDescent="0.4">
      <c r="A31" s="48"/>
      <c r="B31" s="18"/>
      <c r="C31" s="8"/>
      <c r="D31" s="25">
        <v>43.85</v>
      </c>
      <c r="E31" s="30">
        <v>88950.8</v>
      </c>
      <c r="F31" s="33">
        <v>43936.6</v>
      </c>
      <c r="G31" s="22">
        <v>1754</v>
      </c>
      <c r="H31" s="22">
        <v>4480</v>
      </c>
      <c r="I31" s="31">
        <v>379</v>
      </c>
      <c r="J31" s="31"/>
      <c r="K31" s="31"/>
      <c r="L31" s="31"/>
      <c r="M31" s="32">
        <f t="shared" si="0"/>
        <v>139500.4</v>
      </c>
      <c r="N31" s="16">
        <v>10546.8</v>
      </c>
      <c r="O31" s="20">
        <v>3789.36</v>
      </c>
      <c r="P31" s="16">
        <f>(58.54*12)</f>
        <v>702.48</v>
      </c>
      <c r="Q31" s="20">
        <v>144.24</v>
      </c>
      <c r="R31" s="16">
        <f t="shared" si="1"/>
        <v>69.72</v>
      </c>
      <c r="S31" s="16">
        <v>62.76</v>
      </c>
      <c r="T31" s="16">
        <f>(51.6)+(53.24*12)</f>
        <v>690.48</v>
      </c>
      <c r="U31" s="16">
        <f>(526.2)+(257.4)+(858.24)</f>
        <v>1641.8400000000001</v>
      </c>
      <c r="V31" s="16"/>
      <c r="W31" s="16">
        <v>396.72</v>
      </c>
      <c r="X31" s="16">
        <f>(133.85*12)</f>
        <v>1606.1999999999998</v>
      </c>
      <c r="Y31" s="16"/>
      <c r="Z31" s="16"/>
      <c r="AA31" s="16"/>
      <c r="AB31" s="16"/>
      <c r="AC31" s="16"/>
      <c r="AD31" s="16">
        <f>(2280.1+94.82)*12</f>
        <v>28499.040000000001</v>
      </c>
      <c r="AE31" s="16"/>
      <c r="AF31" s="16">
        <v>500</v>
      </c>
      <c r="AG31" s="16"/>
      <c r="AH31" s="9">
        <f t="shared" si="2"/>
        <v>182115.12000000002</v>
      </c>
      <c r="AI31" s="9">
        <f t="shared" si="3"/>
        <v>6034.920000000001</v>
      </c>
    </row>
    <row r="32" spans="1:35" x14ac:dyDescent="0.4">
      <c r="A32" s="48"/>
      <c r="B32" s="18"/>
      <c r="C32" s="8"/>
      <c r="D32" s="25">
        <v>24.56</v>
      </c>
      <c r="E32" s="30">
        <v>50069.599999999999</v>
      </c>
      <c r="F32" s="33">
        <v>1062.9000000000001</v>
      </c>
      <c r="G32" s="22"/>
      <c r="H32" s="22"/>
      <c r="I32" s="31">
        <v>378.99</v>
      </c>
      <c r="J32" s="31"/>
      <c r="K32" s="31"/>
      <c r="L32" s="31"/>
      <c r="M32" s="32">
        <f t="shared" si="0"/>
        <v>51511.49</v>
      </c>
      <c r="N32" s="16">
        <v>4421.6400000000003</v>
      </c>
      <c r="O32" s="20">
        <v>491.28</v>
      </c>
      <c r="P32" s="16">
        <f>(36.2*12)</f>
        <v>434.40000000000003</v>
      </c>
      <c r="Q32" s="20">
        <v>0</v>
      </c>
      <c r="R32" s="16">
        <f t="shared" si="1"/>
        <v>69.72</v>
      </c>
      <c r="S32" s="16"/>
      <c r="T32" s="16">
        <f>(30.6*12)</f>
        <v>367.20000000000005</v>
      </c>
      <c r="U32" s="16"/>
      <c r="V32" s="16"/>
      <c r="W32" s="16">
        <v>252.12</v>
      </c>
      <c r="X32" s="16">
        <f>(75.71*12)</f>
        <v>908.52</v>
      </c>
      <c r="Y32" s="16"/>
      <c r="Z32" s="16"/>
      <c r="AA32" s="16">
        <v>435.6</v>
      </c>
      <c r="AB32" s="16"/>
      <c r="AC32" s="16"/>
      <c r="AD32" s="16">
        <f>(1289.66+53.63)*12</f>
        <v>16119.480000000003</v>
      </c>
      <c r="AE32" s="16"/>
      <c r="AF32" s="16">
        <v>500</v>
      </c>
      <c r="AG32" s="16"/>
      <c r="AH32" s="9">
        <f t="shared" si="2"/>
        <v>74332.45</v>
      </c>
      <c r="AI32" s="9">
        <f t="shared" si="3"/>
        <v>1179</v>
      </c>
    </row>
    <row r="33" spans="1:42" x14ac:dyDescent="0.4">
      <c r="A33" s="48"/>
      <c r="B33" s="18"/>
      <c r="C33" s="8"/>
      <c r="D33" s="25">
        <v>21</v>
      </c>
      <c r="E33" s="30">
        <v>26880</v>
      </c>
      <c r="F33" s="33">
        <v>3591</v>
      </c>
      <c r="G33" s="22"/>
      <c r="H33" s="22"/>
      <c r="I33" s="31">
        <v>378.9</v>
      </c>
      <c r="J33" s="31"/>
      <c r="K33" s="31"/>
      <c r="L33" s="31"/>
      <c r="M33" s="32">
        <f t="shared" si="0"/>
        <v>30849.9</v>
      </c>
      <c r="N33" s="16">
        <v>2579.29</v>
      </c>
      <c r="O33" s="20">
        <v>286.58</v>
      </c>
      <c r="P33" s="16">
        <f>(36.2*7)</f>
        <v>253.40000000000003</v>
      </c>
      <c r="Q33" s="20">
        <v>0</v>
      </c>
      <c r="R33" s="16">
        <f>(5.81*7)</f>
        <v>40.669999999999995</v>
      </c>
      <c r="S33" s="16"/>
      <c r="T33" s="16">
        <f>(7*26.93)</f>
        <v>188.51</v>
      </c>
      <c r="U33" s="16"/>
      <c r="V33" s="16"/>
      <c r="W33" s="16"/>
      <c r="X33" s="16">
        <f>(67.31*7)</f>
        <v>471.17</v>
      </c>
      <c r="Y33" s="16"/>
      <c r="Z33" s="16"/>
      <c r="AA33" s="16"/>
      <c r="AB33" s="16"/>
      <c r="AC33" s="16"/>
      <c r="AD33" s="16"/>
      <c r="AE33" s="16"/>
      <c r="AF33" s="16">
        <v>0</v>
      </c>
      <c r="AG33" s="16"/>
      <c r="AH33" s="9">
        <f t="shared" si="2"/>
        <v>34382.94</v>
      </c>
      <c r="AI33" s="9">
        <f t="shared" si="3"/>
        <v>286.58</v>
      </c>
    </row>
    <row r="34" spans="1:42" x14ac:dyDescent="0.4">
      <c r="A34" s="48"/>
      <c r="B34" s="18"/>
      <c r="C34" s="8"/>
      <c r="D34" s="25">
        <v>45.62</v>
      </c>
      <c r="E34" s="30">
        <v>91239.2</v>
      </c>
      <c r="F34" s="33">
        <v>18245.259999999998</v>
      </c>
      <c r="G34" s="22"/>
      <c r="H34" s="22">
        <v>2680</v>
      </c>
      <c r="I34" s="31">
        <v>379</v>
      </c>
      <c r="J34" s="31"/>
      <c r="K34" s="31"/>
      <c r="L34" s="31"/>
      <c r="M34" s="32">
        <f t="shared" si="0"/>
        <v>112543.45999999999</v>
      </c>
      <c r="N34" s="16">
        <v>4421.6400000000003</v>
      </c>
      <c r="O34" s="20">
        <v>491.28</v>
      </c>
      <c r="P34" s="16">
        <f>(36.2*12)</f>
        <v>434.40000000000003</v>
      </c>
      <c r="Q34" s="20">
        <v>0</v>
      </c>
      <c r="R34" s="16">
        <f t="shared" si="1"/>
        <v>69.72</v>
      </c>
      <c r="S34" s="16"/>
      <c r="T34" s="16">
        <f>(27.6)+(53.86*12)</f>
        <v>673.92</v>
      </c>
      <c r="U34" s="16">
        <f>(285.12)+(41.4)+(12)</f>
        <v>338.52</v>
      </c>
      <c r="V34" s="16"/>
      <c r="W34" s="16"/>
      <c r="X34" s="16">
        <f>(135.39*12)</f>
        <v>1624.6799999999998</v>
      </c>
      <c r="Y34" s="16"/>
      <c r="Z34" s="16"/>
      <c r="AA34" s="16"/>
      <c r="AB34" s="16"/>
      <c r="AC34" s="16">
        <v>3364.95</v>
      </c>
      <c r="AD34" s="16">
        <f>(1533.87+63.7)*12</f>
        <v>19170.84</v>
      </c>
      <c r="AE34" s="16"/>
      <c r="AF34" s="16">
        <v>500</v>
      </c>
      <c r="AG34" s="16"/>
      <c r="AH34" s="9">
        <f t="shared" si="2"/>
        <v>139438.65999999997</v>
      </c>
      <c r="AI34" s="9">
        <f t="shared" si="3"/>
        <v>4194.75</v>
      </c>
    </row>
    <row r="35" spans="1:42" x14ac:dyDescent="0.4">
      <c r="A35" s="48"/>
      <c r="B35" s="18"/>
      <c r="C35" s="8"/>
      <c r="D35" s="25">
        <v>35.32</v>
      </c>
      <c r="E35" s="30">
        <v>70474</v>
      </c>
      <c r="F35" s="33">
        <v>5062.74</v>
      </c>
      <c r="G35" s="22"/>
      <c r="H35" s="22"/>
      <c r="I35" s="31">
        <v>379</v>
      </c>
      <c r="J35" s="31"/>
      <c r="K35" s="31"/>
      <c r="L35" s="31"/>
      <c r="M35" s="32">
        <f t="shared" si="0"/>
        <v>75915.740000000005</v>
      </c>
      <c r="N35" s="16">
        <v>9952.0499999999993</v>
      </c>
      <c r="O35" s="20">
        <f>(492.74)+(2976.6)</f>
        <v>3469.34</v>
      </c>
      <c r="P35" s="16">
        <f>(86.66*12)</f>
        <v>1039.92</v>
      </c>
      <c r="Q35" s="20">
        <v>325.92</v>
      </c>
      <c r="R35" s="16">
        <f t="shared" si="1"/>
        <v>69.72</v>
      </c>
      <c r="S35" s="16">
        <v>135.24</v>
      </c>
      <c r="T35" s="16">
        <f>(12)+(41.62*12)</f>
        <v>511.43999999999994</v>
      </c>
      <c r="U35" s="16">
        <f>(96.24)+(18)+(12)</f>
        <v>126.24</v>
      </c>
      <c r="V35" s="16"/>
      <c r="W35" s="16"/>
      <c r="X35" s="16">
        <f>(104.33*12)</f>
        <v>1251.96</v>
      </c>
      <c r="Y35" s="16"/>
      <c r="Z35" s="16"/>
      <c r="AA35" s="16"/>
      <c r="AB35" s="16"/>
      <c r="AC35" s="16">
        <v>4532.22</v>
      </c>
      <c r="AD35" s="16">
        <f>(49.09+1182)*12</f>
        <v>14773.079999999998</v>
      </c>
      <c r="AE35" s="16"/>
      <c r="AF35" s="16">
        <v>500</v>
      </c>
      <c r="AG35" s="16"/>
      <c r="AH35" s="9">
        <f t="shared" si="2"/>
        <v>104013.91000000002</v>
      </c>
      <c r="AI35" s="9">
        <f t="shared" si="3"/>
        <v>8588.9599999999991</v>
      </c>
    </row>
    <row r="36" spans="1:42" x14ac:dyDescent="0.4">
      <c r="A36" s="48"/>
      <c r="B36" s="18"/>
      <c r="C36" s="8"/>
      <c r="D36" s="25">
        <v>31.93</v>
      </c>
      <c r="E36" s="30">
        <v>59884</v>
      </c>
      <c r="F36" s="33">
        <v>18866.52</v>
      </c>
      <c r="G36" s="22"/>
      <c r="H36" s="22"/>
      <c r="I36" s="31">
        <v>378.99</v>
      </c>
      <c r="J36" s="31"/>
      <c r="K36" s="31"/>
      <c r="L36" s="31"/>
      <c r="M36" s="32">
        <f t="shared" si="0"/>
        <v>79129.510000000009</v>
      </c>
      <c r="N36" s="16">
        <v>10546.8</v>
      </c>
      <c r="O36" s="20">
        <v>3789.36</v>
      </c>
      <c r="P36" s="16">
        <f>(58.54*12)</f>
        <v>702.48</v>
      </c>
      <c r="Q36" s="20">
        <v>144.24</v>
      </c>
      <c r="R36" s="16">
        <f t="shared" si="1"/>
        <v>69.72</v>
      </c>
      <c r="S36" s="16">
        <v>62.76</v>
      </c>
      <c r="T36" s="16">
        <f>(152.4)+(35.5*12)</f>
        <v>578.4</v>
      </c>
      <c r="U36" s="16">
        <v>2102.98</v>
      </c>
      <c r="V36" s="16"/>
      <c r="W36" s="16">
        <v>497.04</v>
      </c>
      <c r="X36" s="16">
        <f>(88.31*12)</f>
        <v>1059.72</v>
      </c>
      <c r="Y36" s="16"/>
      <c r="Z36" s="16"/>
      <c r="AA36" s="16"/>
      <c r="AB36" s="16"/>
      <c r="AC36" s="16">
        <v>7875.09</v>
      </c>
      <c r="AD36" s="16">
        <f>(1504.23+62.56)*12</f>
        <v>18801.48</v>
      </c>
      <c r="AE36" s="16"/>
      <c r="AF36" s="16">
        <v>500</v>
      </c>
      <c r="AG36" s="16"/>
      <c r="AH36" s="9">
        <f t="shared" si="2"/>
        <v>111388.11</v>
      </c>
      <c r="AI36" s="9">
        <f t="shared" si="3"/>
        <v>14471.470000000001</v>
      </c>
    </row>
    <row r="37" spans="1:42" x14ac:dyDescent="0.4">
      <c r="A37" s="48"/>
      <c r="B37" s="18"/>
      <c r="C37" s="8"/>
      <c r="D37" s="25">
        <v>30.92</v>
      </c>
      <c r="E37" s="30">
        <v>55247.199999999997</v>
      </c>
      <c r="F37" s="33">
        <v>15251.95</v>
      </c>
      <c r="G37" s="22"/>
      <c r="H37" s="22"/>
      <c r="I37" s="33">
        <v>379</v>
      </c>
      <c r="J37" s="33"/>
      <c r="K37" s="33"/>
      <c r="L37" s="33"/>
      <c r="M37" s="32">
        <f t="shared" si="0"/>
        <v>70878.149999999994</v>
      </c>
      <c r="N37" s="16">
        <v>13282.39</v>
      </c>
      <c r="O37" s="20">
        <v>5420.14</v>
      </c>
      <c r="P37" s="16">
        <f>(86.66*10)</f>
        <v>866.59999999999991</v>
      </c>
      <c r="Q37" s="20">
        <v>271.60000000000002</v>
      </c>
      <c r="R37" s="16">
        <f t="shared" si="1"/>
        <v>69.72</v>
      </c>
      <c r="S37" s="16">
        <v>112.7</v>
      </c>
      <c r="T37" s="16">
        <f>(6)+(36.72*10)</f>
        <v>373.2</v>
      </c>
      <c r="U37" s="16">
        <f>(37.8)+(13.2)+(20)</f>
        <v>71</v>
      </c>
      <c r="V37" s="16"/>
      <c r="W37" s="16"/>
      <c r="X37" s="16">
        <f>(91.35*10)</f>
        <v>913.5</v>
      </c>
      <c r="Y37" s="16"/>
      <c r="Z37" s="16"/>
      <c r="AA37" s="16"/>
      <c r="AB37" s="16"/>
      <c r="AC37" s="16"/>
      <c r="AD37" s="16"/>
      <c r="AE37" s="16"/>
      <c r="AF37" s="16">
        <v>0</v>
      </c>
      <c r="AG37" s="16"/>
      <c r="AH37" s="9">
        <f t="shared" si="2"/>
        <v>86383.56</v>
      </c>
      <c r="AI37" s="9">
        <f t="shared" si="3"/>
        <v>5875.4400000000005</v>
      </c>
      <c r="AM37" s="24"/>
      <c r="AN37" s="24"/>
      <c r="AO37" s="24"/>
      <c r="AP37" s="24"/>
    </row>
    <row r="38" spans="1:42" x14ac:dyDescent="0.4">
      <c r="A38" s="48"/>
      <c r="B38" s="18"/>
      <c r="C38" s="8"/>
      <c r="D38" s="25">
        <v>23.63</v>
      </c>
      <c r="E38" s="30">
        <v>16068.4</v>
      </c>
      <c r="F38" s="33">
        <v>1098.8</v>
      </c>
      <c r="G38" s="22"/>
      <c r="H38" s="22"/>
      <c r="I38" s="33">
        <v>378.99</v>
      </c>
      <c r="J38" s="33"/>
      <c r="K38" s="33"/>
      <c r="L38" s="33"/>
      <c r="M38" s="32">
        <f t="shared" si="0"/>
        <v>17546.190000000002</v>
      </c>
      <c r="N38" s="16">
        <v>1473.88</v>
      </c>
      <c r="O38" s="20">
        <v>163.76</v>
      </c>
      <c r="P38" s="16">
        <f>(36.2*4)</f>
        <v>144.80000000000001</v>
      </c>
      <c r="Q38" s="20">
        <v>0</v>
      </c>
      <c r="R38" s="16">
        <f>(5.81*4)</f>
        <v>23.24</v>
      </c>
      <c r="S38" s="16"/>
      <c r="T38" s="16">
        <f>(30.6*4)</f>
        <v>122.4</v>
      </c>
      <c r="U38" s="16">
        <v>11.6</v>
      </c>
      <c r="V38" s="16"/>
      <c r="W38" s="16"/>
      <c r="X38" s="16">
        <f>(75.74*4)</f>
        <v>302.95999999999998</v>
      </c>
      <c r="Y38" s="16"/>
      <c r="Z38" s="16"/>
      <c r="AA38" s="16"/>
      <c r="AB38" s="16"/>
      <c r="AC38" s="16"/>
      <c r="AD38" s="16"/>
      <c r="AE38" s="16"/>
      <c r="AF38" s="16">
        <v>500</v>
      </c>
      <c r="AG38" s="16"/>
      <c r="AH38" s="9">
        <f t="shared" si="2"/>
        <v>20113.470000000005</v>
      </c>
      <c r="AI38" s="9">
        <f t="shared" si="3"/>
        <v>175.35999999999999</v>
      </c>
      <c r="AM38" s="24"/>
      <c r="AN38" s="24"/>
      <c r="AO38" s="24"/>
      <c r="AP38" s="24"/>
    </row>
    <row r="39" spans="1:42" x14ac:dyDescent="0.4">
      <c r="A39" s="48"/>
      <c r="B39" s="18"/>
      <c r="C39" s="8"/>
      <c r="D39" s="25">
        <v>30.85</v>
      </c>
      <c r="E39" s="30">
        <v>56922.57</v>
      </c>
      <c r="F39" s="33">
        <v>4759.13</v>
      </c>
      <c r="G39" s="22"/>
      <c r="H39" s="22"/>
      <c r="I39" s="33">
        <v>378.99</v>
      </c>
      <c r="J39" s="33"/>
      <c r="K39" s="33"/>
      <c r="L39" s="33"/>
      <c r="M39" s="32">
        <f t="shared" si="0"/>
        <v>62060.689999999995</v>
      </c>
      <c r="N39" s="16">
        <v>4421.6400000000003</v>
      </c>
      <c r="O39" s="20">
        <v>491.28</v>
      </c>
      <c r="P39" s="16">
        <f>(36.2*12)</f>
        <v>434.40000000000003</v>
      </c>
      <c r="Q39" s="20">
        <v>0</v>
      </c>
      <c r="R39" s="16">
        <f t="shared" si="1"/>
        <v>69.72</v>
      </c>
      <c r="S39" s="16"/>
      <c r="T39" s="16">
        <f>(9.6)+(37.33*12)</f>
        <v>457.56</v>
      </c>
      <c r="U39" s="16">
        <v>14.4</v>
      </c>
      <c r="V39" s="16"/>
      <c r="W39" s="16"/>
      <c r="X39" s="16">
        <f>(92.76*12)</f>
        <v>1113.1200000000001</v>
      </c>
      <c r="Y39" s="16"/>
      <c r="Z39" s="16"/>
      <c r="AA39" s="16"/>
      <c r="AB39" s="16"/>
      <c r="AC39" s="16">
        <v>3053.94</v>
      </c>
      <c r="AD39" s="16">
        <f>(1050.9+43.64)*12</f>
        <v>13134.480000000003</v>
      </c>
      <c r="AE39" s="16"/>
      <c r="AF39" s="16">
        <v>500</v>
      </c>
      <c r="AG39" s="16"/>
      <c r="AH39" s="9">
        <f t="shared" si="2"/>
        <v>82191.609999999986</v>
      </c>
      <c r="AI39" s="9">
        <f t="shared" si="3"/>
        <v>3559.62</v>
      </c>
      <c r="AM39" s="24"/>
      <c r="AN39" s="24"/>
      <c r="AO39" s="24"/>
      <c r="AP39" s="24"/>
    </row>
    <row r="40" spans="1:42" x14ac:dyDescent="0.4">
      <c r="A40" s="48"/>
      <c r="B40" s="18"/>
      <c r="C40" s="8"/>
      <c r="D40" s="25">
        <v>41.57</v>
      </c>
      <c r="E40" s="30">
        <v>43329.2</v>
      </c>
      <c r="F40" s="33">
        <v>10000.540000000001</v>
      </c>
      <c r="G40" s="22">
        <f>(1551.81)+(2074.34)</f>
        <v>3626.15</v>
      </c>
      <c r="H40" s="22">
        <v>1120</v>
      </c>
      <c r="I40" s="33">
        <v>0</v>
      </c>
      <c r="J40" s="33"/>
      <c r="K40" s="33"/>
      <c r="L40" s="33"/>
      <c r="M40" s="32">
        <f t="shared" si="0"/>
        <v>58075.89</v>
      </c>
      <c r="N40" s="16">
        <f>(5564.72)</f>
        <v>5564.72</v>
      </c>
      <c r="O40" s="20">
        <v>1758.9</v>
      </c>
      <c r="P40" s="16">
        <f>(60.2*7)</f>
        <v>421.40000000000003</v>
      </c>
      <c r="Q40" s="20">
        <v>84.11</v>
      </c>
      <c r="R40" s="16">
        <f>(5.81*7)</f>
        <v>40.669999999999995</v>
      </c>
      <c r="S40" s="16">
        <v>34.86</v>
      </c>
      <c r="T40" s="16">
        <f>(6.3)+(49.57*7)</f>
        <v>353.29</v>
      </c>
      <c r="U40" s="16">
        <f>(51.54)+(12)</f>
        <v>63.54</v>
      </c>
      <c r="V40" s="16"/>
      <c r="W40" s="16"/>
      <c r="X40" s="16">
        <f>(123.66*7)</f>
        <v>865.62</v>
      </c>
      <c r="Y40" s="16"/>
      <c r="Z40" s="16"/>
      <c r="AA40" s="16"/>
      <c r="AB40" s="16"/>
      <c r="AC40" s="16">
        <f>(1089)+(1089)</f>
        <v>2178</v>
      </c>
      <c r="AD40" s="16">
        <f>(1400.96+58.18)*7</f>
        <v>10213.980000000001</v>
      </c>
      <c r="AE40" s="16"/>
      <c r="AF40" s="16">
        <v>500</v>
      </c>
      <c r="AG40" s="16"/>
      <c r="AH40" s="9">
        <f t="shared" si="2"/>
        <v>76035.570000000007</v>
      </c>
      <c r="AI40" s="9">
        <f t="shared" si="3"/>
        <v>4119.41</v>
      </c>
      <c r="AM40" s="24"/>
      <c r="AN40" s="24"/>
      <c r="AO40" s="24"/>
      <c r="AP40" s="24"/>
    </row>
    <row r="41" spans="1:42" x14ac:dyDescent="0.4">
      <c r="A41" s="48"/>
      <c r="B41" s="18"/>
      <c r="C41" s="8"/>
      <c r="D41" s="25">
        <v>24.84</v>
      </c>
      <c r="E41" s="30">
        <v>9600</v>
      </c>
      <c r="F41" s="33">
        <v>180</v>
      </c>
      <c r="G41" s="22"/>
      <c r="H41" s="22"/>
      <c r="I41" s="33">
        <v>378.99</v>
      </c>
      <c r="J41" s="33"/>
      <c r="K41" s="33"/>
      <c r="L41" s="33"/>
      <c r="M41" s="32">
        <f t="shared" si="0"/>
        <v>10158.99</v>
      </c>
      <c r="N41" s="16">
        <v>1589.92</v>
      </c>
      <c r="O41" s="20">
        <v>541.20000000000005</v>
      </c>
      <c r="P41" s="16">
        <f>(60.2*2)</f>
        <v>120.4</v>
      </c>
      <c r="Q41" s="20">
        <v>25.88</v>
      </c>
      <c r="R41" s="16">
        <f>(5.81*2)</f>
        <v>11.62</v>
      </c>
      <c r="S41" s="16">
        <v>11.62</v>
      </c>
      <c r="T41" s="16">
        <f>(2*30.6)</f>
        <v>61.2</v>
      </c>
      <c r="U41" s="16">
        <v>4</v>
      </c>
      <c r="V41" s="16"/>
      <c r="W41" s="16"/>
      <c r="X41" s="16">
        <f>(2*75.82)</f>
        <v>151.63999999999999</v>
      </c>
      <c r="Y41" s="16"/>
      <c r="Z41" s="16"/>
      <c r="AA41" s="16"/>
      <c r="AB41" s="16"/>
      <c r="AC41" s="16"/>
      <c r="AD41" s="16"/>
      <c r="AE41" s="16"/>
      <c r="AF41" s="16">
        <v>500</v>
      </c>
      <c r="AG41" s="16"/>
      <c r="AH41" s="9">
        <f t="shared" si="2"/>
        <v>12593.77</v>
      </c>
      <c r="AI41" s="9">
        <f t="shared" si="3"/>
        <v>582.70000000000005</v>
      </c>
      <c r="AM41" s="24"/>
      <c r="AN41" s="24"/>
      <c r="AO41" s="24"/>
      <c r="AP41" s="24"/>
    </row>
    <row r="42" spans="1:42" x14ac:dyDescent="0.4">
      <c r="A42" s="48"/>
      <c r="B42" s="18"/>
      <c r="C42" s="8"/>
      <c r="D42" s="25">
        <v>21.96</v>
      </c>
      <c r="E42" s="30">
        <v>42129.2</v>
      </c>
      <c r="F42" s="33">
        <v>2655.79</v>
      </c>
      <c r="G42" s="22"/>
      <c r="H42" s="22"/>
      <c r="I42" s="33">
        <v>379</v>
      </c>
      <c r="J42" s="33"/>
      <c r="K42" s="33"/>
      <c r="L42" s="33"/>
      <c r="M42" s="32">
        <f t="shared" si="0"/>
        <v>45163.99</v>
      </c>
      <c r="N42" s="16">
        <v>4421.6400000000003</v>
      </c>
      <c r="O42" s="20">
        <v>491.28</v>
      </c>
      <c r="P42" s="16">
        <f>(36.2*11)</f>
        <v>398.20000000000005</v>
      </c>
      <c r="Q42" s="20"/>
      <c r="R42" s="16">
        <f>(5.81*4)</f>
        <v>23.24</v>
      </c>
      <c r="S42" s="16"/>
      <c r="T42" s="16">
        <f>(12*25.09)</f>
        <v>301.08</v>
      </c>
      <c r="U42" s="16"/>
      <c r="V42" s="16"/>
      <c r="W42" s="16"/>
      <c r="X42" s="16">
        <f>(62.95*12)</f>
        <v>755.40000000000009</v>
      </c>
      <c r="Y42" s="16"/>
      <c r="Z42" s="16"/>
      <c r="AA42" s="16"/>
      <c r="AB42" s="16"/>
      <c r="AC42" s="16"/>
      <c r="AD42" s="16"/>
      <c r="AE42" s="16"/>
      <c r="AF42" s="16">
        <v>0</v>
      </c>
      <c r="AG42" s="16"/>
      <c r="AH42" s="9">
        <f t="shared" si="2"/>
        <v>51063.549999999996</v>
      </c>
      <c r="AI42" s="9">
        <f t="shared" si="3"/>
        <v>491.28</v>
      </c>
    </row>
    <row r="43" spans="1:42" x14ac:dyDescent="0.4">
      <c r="A43" s="48"/>
      <c r="B43" s="18"/>
      <c r="C43" s="8"/>
      <c r="D43" s="25">
        <v>26.08</v>
      </c>
      <c r="E43" s="30">
        <v>51347.199999999997</v>
      </c>
      <c r="F43" s="33"/>
      <c r="G43" s="22"/>
      <c r="H43" s="22"/>
      <c r="I43" s="31">
        <v>378.99</v>
      </c>
      <c r="J43" s="31"/>
      <c r="K43" s="31"/>
      <c r="L43" s="31"/>
      <c r="M43" s="32">
        <f t="shared" si="0"/>
        <v>51726.189999999995</v>
      </c>
      <c r="N43" s="16">
        <v>9539.52</v>
      </c>
      <c r="O43" s="20">
        <v>3247.2</v>
      </c>
      <c r="P43" s="16">
        <f>(60.2*12)</f>
        <v>722.40000000000009</v>
      </c>
      <c r="Q43" s="20">
        <v>155.28</v>
      </c>
      <c r="R43" s="16">
        <f t="shared" si="1"/>
        <v>69.72</v>
      </c>
      <c r="S43" s="16">
        <v>135.24</v>
      </c>
      <c r="T43" s="16">
        <f>(9.6)+(29.99*12)</f>
        <v>369.48</v>
      </c>
      <c r="U43" s="16">
        <f>(55.32)+(14.4)+(24)</f>
        <v>93.72</v>
      </c>
      <c r="V43" s="16"/>
      <c r="W43" s="16"/>
      <c r="X43" s="16">
        <f>(74.11*12)</f>
        <v>889.31999999999994</v>
      </c>
      <c r="Y43" s="16"/>
      <c r="Z43" s="16"/>
      <c r="AA43" s="16">
        <v>269.52</v>
      </c>
      <c r="AB43" s="16"/>
      <c r="AC43" s="16">
        <v>719.01</v>
      </c>
      <c r="AD43" s="16">
        <f>(839.57+34.87)*12</f>
        <v>10493.28</v>
      </c>
      <c r="AE43" s="16"/>
      <c r="AF43" s="16">
        <v>500</v>
      </c>
      <c r="AG43" s="16"/>
      <c r="AH43" s="9">
        <f t="shared" si="2"/>
        <v>74309.91</v>
      </c>
      <c r="AI43" s="9">
        <f t="shared" si="3"/>
        <v>4619.9699999999993</v>
      </c>
      <c r="AM43" s="38"/>
    </row>
    <row r="44" spans="1:42" x14ac:dyDescent="0.4">
      <c r="A44" s="48"/>
      <c r="B44" s="18"/>
      <c r="C44" s="8"/>
      <c r="D44" s="25">
        <v>42.57</v>
      </c>
      <c r="E44" s="30">
        <v>86148.01</v>
      </c>
      <c r="F44" s="33">
        <v>16095.68</v>
      </c>
      <c r="G44" s="22"/>
      <c r="H44" s="22">
        <v>2160</v>
      </c>
      <c r="I44" s="31">
        <v>378.99</v>
      </c>
      <c r="J44" s="31"/>
      <c r="K44" s="31"/>
      <c r="L44" s="31"/>
      <c r="M44" s="32">
        <f t="shared" si="0"/>
        <v>104782.68000000001</v>
      </c>
      <c r="N44" s="16">
        <v>4421.6400000000003</v>
      </c>
      <c r="O44" s="20">
        <v>491.28</v>
      </c>
      <c r="P44" s="16">
        <f>(36.2*12)</f>
        <v>434.40000000000003</v>
      </c>
      <c r="Q44" s="20">
        <v>0</v>
      </c>
      <c r="R44" s="16">
        <f t="shared" si="1"/>
        <v>69.72</v>
      </c>
      <c r="S44" s="16"/>
      <c r="T44" s="16">
        <f>(51.41*12)</f>
        <v>616.91999999999996</v>
      </c>
      <c r="U44" s="16">
        <v>149.28</v>
      </c>
      <c r="V44" s="16"/>
      <c r="W44" s="16"/>
      <c r="X44" s="16">
        <f>(129.33*12)</f>
        <v>1551.96</v>
      </c>
      <c r="Y44" s="16"/>
      <c r="Z44" s="16"/>
      <c r="AA44" s="16"/>
      <c r="AB44" s="16"/>
      <c r="AC44" s="16"/>
      <c r="AD44" s="16">
        <f>(2203.11+91.62)*12</f>
        <v>27536.760000000002</v>
      </c>
      <c r="AE44" s="16"/>
      <c r="AF44" s="16">
        <v>500</v>
      </c>
      <c r="AG44" s="16"/>
      <c r="AH44" s="9">
        <f t="shared" si="2"/>
        <v>139914.08000000002</v>
      </c>
      <c r="AI44" s="9">
        <f t="shared" si="3"/>
        <v>640.55999999999995</v>
      </c>
    </row>
    <row r="45" spans="1:42" x14ac:dyDescent="0.4">
      <c r="A45" s="48"/>
      <c r="B45" s="18"/>
      <c r="C45" s="8"/>
      <c r="D45" s="25">
        <v>38.25</v>
      </c>
      <c r="E45" s="30">
        <v>27540.01</v>
      </c>
      <c r="F45" s="33">
        <v>4991.63</v>
      </c>
      <c r="G45" s="22"/>
      <c r="H45" s="22">
        <v>480</v>
      </c>
      <c r="I45" s="31">
        <v>379</v>
      </c>
      <c r="J45" s="31"/>
      <c r="K45" s="31"/>
      <c r="L45" s="31"/>
      <c r="M45" s="32">
        <f t="shared" si="0"/>
        <v>33390.639999999999</v>
      </c>
      <c r="N45" s="16">
        <v>1473.88</v>
      </c>
      <c r="O45" s="20">
        <v>163.76</v>
      </c>
      <c r="P45" s="16">
        <f>(36.2*4)</f>
        <v>144.80000000000001</v>
      </c>
      <c r="Q45" s="20"/>
      <c r="R45" s="16">
        <f>(5.81*4)</f>
        <v>23.24</v>
      </c>
      <c r="S45" s="16"/>
      <c r="T45" s="16">
        <f>(2.4)+(48.96*4)</f>
        <v>198.24</v>
      </c>
      <c r="U45" s="16">
        <f>(30.08)+(4.8)+(8)</f>
        <v>42.879999999999995</v>
      </c>
      <c r="V45" s="16"/>
      <c r="W45" s="16"/>
      <c r="X45" s="16">
        <f>(122.6*4)</f>
        <v>490.4</v>
      </c>
      <c r="Y45" s="16"/>
      <c r="Z45" s="16"/>
      <c r="AA45" s="16"/>
      <c r="AB45" s="16"/>
      <c r="AC45" s="16"/>
      <c r="AD45" s="16"/>
      <c r="AE45" s="16"/>
      <c r="AF45" s="16">
        <v>0</v>
      </c>
      <c r="AG45" s="16"/>
      <c r="AH45" s="9">
        <f t="shared" si="2"/>
        <v>35721.199999999997</v>
      </c>
      <c r="AI45" s="9">
        <f t="shared" si="3"/>
        <v>206.64</v>
      </c>
    </row>
    <row r="46" spans="1:42" x14ac:dyDescent="0.4">
      <c r="A46" s="48"/>
      <c r="B46" s="18"/>
      <c r="C46" s="8"/>
      <c r="D46" s="25">
        <v>35.14</v>
      </c>
      <c r="E46" s="30">
        <v>69937.600000000006</v>
      </c>
      <c r="F46" s="33">
        <v>20169.25</v>
      </c>
      <c r="G46" s="22"/>
      <c r="H46" s="22">
        <v>3320</v>
      </c>
      <c r="I46" s="31">
        <v>378.99</v>
      </c>
      <c r="J46" s="31"/>
      <c r="K46" s="31"/>
      <c r="L46" s="31"/>
      <c r="M46" s="32">
        <f t="shared" si="0"/>
        <v>93805.840000000011</v>
      </c>
      <c r="N46" s="16">
        <v>10364.58</v>
      </c>
      <c r="O46" s="20">
        <f>(850.18)+(2841.3)</f>
        <v>3691.48</v>
      </c>
      <c r="P46" s="16">
        <f>(60.2*11)+(86.66)</f>
        <v>748.86</v>
      </c>
      <c r="Q46" s="20">
        <f>(27.16)+(142.34)</f>
        <v>169.5</v>
      </c>
      <c r="R46" s="16">
        <f t="shared" si="1"/>
        <v>69.72</v>
      </c>
      <c r="S46" s="16">
        <v>69.72</v>
      </c>
      <c r="T46" s="16">
        <f>(12)+(39.78*12)</f>
        <v>489.36</v>
      </c>
      <c r="U46" s="16">
        <f>(92.04)+(18)+(12)</f>
        <v>122.04</v>
      </c>
      <c r="V46" s="16"/>
      <c r="W46" s="16"/>
      <c r="X46" s="16">
        <f>(99.14*12)</f>
        <v>1189.68</v>
      </c>
      <c r="Y46" s="16"/>
      <c r="Z46" s="16"/>
      <c r="AA46" s="16"/>
      <c r="AB46" s="16"/>
      <c r="AC46" s="16">
        <v>1868.55</v>
      </c>
      <c r="AD46" s="16">
        <f>(1123.16+46.64)*12</f>
        <v>14037.600000000002</v>
      </c>
      <c r="AE46" s="16"/>
      <c r="AF46" s="16">
        <v>500</v>
      </c>
      <c r="AG46" s="16"/>
      <c r="AH46" s="9">
        <f t="shared" si="2"/>
        <v>121205.64000000001</v>
      </c>
      <c r="AI46" s="9">
        <f t="shared" si="3"/>
        <v>5921.29</v>
      </c>
    </row>
    <row r="47" spans="1:42" x14ac:dyDescent="0.4">
      <c r="A47" s="48"/>
      <c r="B47" s="18"/>
      <c r="C47" s="8"/>
      <c r="D47" s="25">
        <v>44.73</v>
      </c>
      <c r="E47" s="30">
        <v>89668.81</v>
      </c>
      <c r="F47" s="33">
        <v>22663.53</v>
      </c>
      <c r="G47" s="22"/>
      <c r="H47" s="22">
        <v>2560</v>
      </c>
      <c r="I47" s="31">
        <v>379</v>
      </c>
      <c r="J47" s="31"/>
      <c r="K47" s="31"/>
      <c r="L47" s="31"/>
      <c r="M47" s="32">
        <f t="shared" si="0"/>
        <v>115271.34</v>
      </c>
      <c r="N47" s="16">
        <v>9539.52</v>
      </c>
      <c r="O47" s="20">
        <v>3247.2</v>
      </c>
      <c r="P47" s="16">
        <f>(60.2*12)</f>
        <v>722.40000000000009</v>
      </c>
      <c r="Q47" s="20">
        <v>155.28</v>
      </c>
      <c r="R47" s="16">
        <f t="shared" si="1"/>
        <v>69.72</v>
      </c>
      <c r="S47" s="16"/>
      <c r="T47" s="16">
        <f>(10.8)+(53.24*12)</f>
        <v>649.67999999999995</v>
      </c>
      <c r="U47" s="16">
        <f>(744)+(12)</f>
        <v>756</v>
      </c>
      <c r="V47" s="16"/>
      <c r="W47" s="16"/>
      <c r="X47" s="16">
        <f>(133.37*12)</f>
        <v>1600.44</v>
      </c>
      <c r="Y47" s="16"/>
      <c r="Z47" s="16"/>
      <c r="AA47" s="16"/>
      <c r="AB47" s="16"/>
      <c r="AC47" s="16">
        <v>4595.68</v>
      </c>
      <c r="AD47" s="16">
        <f>(2271.91+94.48)*12</f>
        <v>28396.68</v>
      </c>
      <c r="AE47" s="16"/>
      <c r="AF47" s="16">
        <v>500</v>
      </c>
      <c r="AG47" s="16"/>
      <c r="AH47" s="9">
        <f t="shared" si="2"/>
        <v>156749.78</v>
      </c>
      <c r="AI47" s="9">
        <f t="shared" si="3"/>
        <v>8754.16</v>
      </c>
    </row>
    <row r="48" spans="1:42" x14ac:dyDescent="0.4">
      <c r="A48" s="48"/>
      <c r="B48" s="18"/>
      <c r="C48" s="8"/>
      <c r="D48" s="25">
        <v>30.64</v>
      </c>
      <c r="E48" s="30">
        <v>60703.21</v>
      </c>
      <c r="F48" s="33"/>
      <c r="G48" s="22"/>
      <c r="H48" s="22"/>
      <c r="I48" s="31">
        <v>379</v>
      </c>
      <c r="J48" s="31"/>
      <c r="K48" s="31"/>
      <c r="L48" s="31"/>
      <c r="M48" s="32">
        <f t="shared" si="0"/>
        <v>61082.21</v>
      </c>
      <c r="N48" s="16">
        <v>14489.88</v>
      </c>
      <c r="O48" s="20">
        <v>5912.88</v>
      </c>
      <c r="P48" s="16">
        <f>(86.66*12)</f>
        <v>1039.92</v>
      </c>
      <c r="Q48" s="20">
        <v>325.92</v>
      </c>
      <c r="R48" s="16">
        <f t="shared" si="1"/>
        <v>69.72</v>
      </c>
      <c r="S48" s="16">
        <v>135.24</v>
      </c>
      <c r="T48" s="16">
        <f>(18)+(34.88*12)</f>
        <v>436.56000000000006</v>
      </c>
      <c r="U48" s="16">
        <v>24</v>
      </c>
      <c r="V48" s="16"/>
      <c r="W48" s="16"/>
      <c r="X48" s="16">
        <f>(87.02*12)</f>
        <v>1044.24</v>
      </c>
      <c r="Y48" s="16"/>
      <c r="Z48" s="16"/>
      <c r="AA48" s="16">
        <v>384.72</v>
      </c>
      <c r="AB48" s="16"/>
      <c r="AC48" s="16"/>
      <c r="AD48" s="16">
        <f>(985.91+40.94)*12</f>
        <v>12322.199999999999</v>
      </c>
      <c r="AE48" s="16"/>
      <c r="AF48" s="16">
        <v>500</v>
      </c>
      <c r="AG48" s="16"/>
      <c r="AH48" s="9">
        <f t="shared" si="2"/>
        <v>90984.73</v>
      </c>
      <c r="AI48" s="9">
        <f t="shared" si="3"/>
        <v>6782.76</v>
      </c>
    </row>
    <row r="49" spans="1:35" x14ac:dyDescent="0.4">
      <c r="A49" s="48"/>
      <c r="B49" s="18"/>
      <c r="C49" s="8"/>
      <c r="D49" s="25">
        <v>24.16</v>
      </c>
      <c r="E49" s="30">
        <v>48319.64</v>
      </c>
      <c r="F49" s="33">
        <v>810.7</v>
      </c>
      <c r="G49" s="22"/>
      <c r="H49" s="22"/>
      <c r="I49" s="31">
        <v>378.99</v>
      </c>
      <c r="J49" s="31"/>
      <c r="K49" s="31"/>
      <c r="L49" s="31"/>
      <c r="M49" s="32">
        <f t="shared" si="0"/>
        <v>49509.329999999994</v>
      </c>
      <c r="N49" s="16">
        <v>4421.6400000000003</v>
      </c>
      <c r="O49" s="20">
        <v>491.28</v>
      </c>
      <c r="P49" s="16">
        <f>(36.2*12)</f>
        <v>434.40000000000003</v>
      </c>
      <c r="Q49" s="20">
        <v>0</v>
      </c>
      <c r="R49" s="16">
        <f t="shared" si="1"/>
        <v>69.72</v>
      </c>
      <c r="S49" s="16"/>
      <c r="T49" s="16">
        <f>(6)+(26.93*12)</f>
        <v>329.15999999999997</v>
      </c>
      <c r="U49" s="16">
        <f>(30.6)+(9)</f>
        <v>39.6</v>
      </c>
      <c r="V49" s="16"/>
      <c r="W49" s="16"/>
      <c r="X49" s="16">
        <f>(66.38*12)</f>
        <v>796.56</v>
      </c>
      <c r="Y49" s="16"/>
      <c r="Z49" s="16"/>
      <c r="AA49" s="16"/>
      <c r="AB49" s="16"/>
      <c r="AC49" s="16">
        <f>(1473.89)+(1473.89)</f>
        <v>2947.78</v>
      </c>
      <c r="AD49" s="16">
        <f>(752.05+31.23)*12</f>
        <v>9399.36</v>
      </c>
      <c r="AE49" s="16"/>
      <c r="AF49" s="16">
        <v>500</v>
      </c>
      <c r="AG49" s="16"/>
      <c r="AH49" s="9">
        <f t="shared" si="2"/>
        <v>65460.17</v>
      </c>
      <c r="AI49" s="9">
        <f t="shared" si="3"/>
        <v>3478.6600000000003</v>
      </c>
    </row>
    <row r="50" spans="1:35" x14ac:dyDescent="0.4">
      <c r="A50" s="48"/>
      <c r="B50" s="18"/>
      <c r="C50" s="8"/>
      <c r="D50" s="25">
        <v>24.45</v>
      </c>
      <c r="E50" s="30">
        <v>49840.800000000003</v>
      </c>
      <c r="F50" s="33">
        <v>2544.0300000000002</v>
      </c>
      <c r="G50" s="22">
        <v>1645.7</v>
      </c>
      <c r="H50" s="22"/>
      <c r="I50" s="31">
        <v>379</v>
      </c>
      <c r="J50" s="31"/>
      <c r="K50" s="31"/>
      <c r="L50" s="31"/>
      <c r="M50" s="32">
        <f t="shared" si="0"/>
        <v>54409.53</v>
      </c>
      <c r="N50" s="16">
        <v>9015.51</v>
      </c>
      <c r="O50" s="20">
        <f>(122.82)+(2842.02)</f>
        <v>2964.84</v>
      </c>
      <c r="P50" s="16">
        <f>(36.2*3)+(58.54*9)</f>
        <v>635.46</v>
      </c>
      <c r="Q50" s="20">
        <v>108.18</v>
      </c>
      <c r="R50" s="16">
        <f t="shared" si="1"/>
        <v>69.72</v>
      </c>
      <c r="S50" s="16">
        <v>47.07</v>
      </c>
      <c r="T50" s="16">
        <f>(72.6)+(29.99*12)</f>
        <v>432.48</v>
      </c>
      <c r="U50" s="16">
        <f>(226.92)+(66)</f>
        <v>292.91999999999996</v>
      </c>
      <c r="V50" s="16"/>
      <c r="W50" s="16">
        <v>396.72</v>
      </c>
      <c r="X50" s="16">
        <f>(75.36*12)</f>
        <v>904.31999999999994</v>
      </c>
      <c r="Y50" s="16"/>
      <c r="Z50" s="16"/>
      <c r="AA50" s="16"/>
      <c r="AB50" s="16"/>
      <c r="AC50" s="16">
        <v>3095.39</v>
      </c>
      <c r="AD50" s="16">
        <f>(1283.65+53.38)*12</f>
        <v>16044.360000000002</v>
      </c>
      <c r="AE50" s="16"/>
      <c r="AF50" s="16">
        <v>500</v>
      </c>
      <c r="AG50" s="16"/>
      <c r="AH50" s="9">
        <f t="shared" si="2"/>
        <v>82011.38</v>
      </c>
      <c r="AI50" s="9">
        <f t="shared" si="3"/>
        <v>6905.12</v>
      </c>
    </row>
    <row r="51" spans="1:35" x14ac:dyDescent="0.4">
      <c r="A51" s="48"/>
      <c r="B51" s="18"/>
      <c r="C51" s="8"/>
      <c r="D51" s="25">
        <v>45.42</v>
      </c>
      <c r="E51" s="30">
        <v>91050.02</v>
      </c>
      <c r="F51" s="33">
        <v>17351.439999999999</v>
      </c>
      <c r="G51" s="22">
        <v>1816.8</v>
      </c>
      <c r="H51" s="22">
        <v>2240</v>
      </c>
      <c r="I51" s="31">
        <v>378.99</v>
      </c>
      <c r="J51" s="31"/>
      <c r="K51" s="31"/>
      <c r="L51" s="31"/>
      <c r="M51" s="32">
        <f t="shared" si="0"/>
        <v>112837.25000000001</v>
      </c>
      <c r="N51" s="16">
        <v>10546.8</v>
      </c>
      <c r="O51" s="20">
        <v>3789.36</v>
      </c>
      <c r="P51" s="16">
        <f>(58.54*12)</f>
        <v>702.48</v>
      </c>
      <c r="Q51" s="20">
        <v>144.24</v>
      </c>
      <c r="R51" s="16">
        <f t="shared" si="1"/>
        <v>69.72</v>
      </c>
      <c r="S51" s="16">
        <v>135.24</v>
      </c>
      <c r="T51" s="16">
        <f>(51.6)+(53.86*12)</f>
        <v>697.92</v>
      </c>
      <c r="U51" s="16">
        <f>(266.16)+(77.4)</f>
        <v>343.56000000000006</v>
      </c>
      <c r="V51" s="16"/>
      <c r="W51" s="16">
        <v>396.72</v>
      </c>
      <c r="X51" s="16">
        <f>(135.42*12)</f>
        <v>1625.04</v>
      </c>
      <c r="Y51" s="16"/>
      <c r="Z51" s="16"/>
      <c r="AA51" s="16"/>
      <c r="AB51" s="16"/>
      <c r="AC51" s="16">
        <v>2212.83</v>
      </c>
      <c r="AD51" s="16">
        <f>(2306.85+95.94)*12</f>
        <v>28833.48</v>
      </c>
      <c r="AE51" s="16"/>
      <c r="AF51" s="16">
        <v>500</v>
      </c>
      <c r="AG51" s="16"/>
      <c r="AH51" s="9">
        <f t="shared" si="2"/>
        <v>155812.69</v>
      </c>
      <c r="AI51" s="9">
        <f t="shared" si="3"/>
        <v>7021.9500000000007</v>
      </c>
    </row>
    <row r="52" spans="1:35" x14ac:dyDescent="0.4">
      <c r="A52" s="48"/>
      <c r="B52" s="18"/>
      <c r="C52" s="8"/>
      <c r="D52" s="25">
        <v>31.64</v>
      </c>
      <c r="E52" s="30">
        <v>63284</v>
      </c>
      <c r="F52" s="33">
        <v>21616.2</v>
      </c>
      <c r="G52" s="22"/>
      <c r="H52" s="22"/>
      <c r="I52" s="31">
        <v>378.99</v>
      </c>
      <c r="J52" s="31"/>
      <c r="K52" s="31"/>
      <c r="L52" s="31"/>
      <c r="M52" s="32">
        <f t="shared" si="0"/>
        <v>85279.19</v>
      </c>
      <c r="N52" s="16">
        <v>6127.6</v>
      </c>
      <c r="O52" s="20">
        <f>(347.99)+(1061.93)</f>
        <v>1409.92</v>
      </c>
      <c r="P52" s="20">
        <f>(60.2*3)+(36.2*9)</f>
        <v>506.40000000000003</v>
      </c>
      <c r="Q52" s="20">
        <v>38.82</v>
      </c>
      <c r="R52" s="16">
        <f t="shared" si="1"/>
        <v>69.72</v>
      </c>
      <c r="S52" s="16">
        <v>17.43</v>
      </c>
      <c r="T52" s="16">
        <f>(36.11*12)</f>
        <v>433.32</v>
      </c>
      <c r="U52" s="16">
        <v>356.88</v>
      </c>
      <c r="V52" s="16"/>
      <c r="W52" s="16"/>
      <c r="X52" s="16">
        <f>(90.29*12)</f>
        <v>1083.48</v>
      </c>
      <c r="Y52" s="16"/>
      <c r="Z52" s="16"/>
      <c r="AA52" s="16"/>
      <c r="AB52" s="16"/>
      <c r="AC52" s="16">
        <f>(5942.99)+(6664.39)</f>
        <v>12607.380000000001</v>
      </c>
      <c r="AD52" s="16">
        <f>(1022.95+42.48)*12</f>
        <v>12785.16</v>
      </c>
      <c r="AE52" s="16"/>
      <c r="AF52" s="16">
        <v>500</v>
      </c>
      <c r="AG52" s="16"/>
      <c r="AH52" s="9">
        <f t="shared" si="2"/>
        <v>106784.87000000001</v>
      </c>
      <c r="AI52" s="9">
        <f t="shared" si="3"/>
        <v>14430.43</v>
      </c>
    </row>
    <row r="53" spans="1:35" x14ac:dyDescent="0.4">
      <c r="A53" s="48"/>
      <c r="B53" s="18"/>
      <c r="C53" s="8"/>
      <c r="D53" s="25">
        <v>23.71</v>
      </c>
      <c r="E53" s="30">
        <v>46577.78</v>
      </c>
      <c r="F53" s="33"/>
      <c r="G53" s="22"/>
      <c r="H53" s="22"/>
      <c r="I53" s="31">
        <v>379</v>
      </c>
      <c r="J53" s="31"/>
      <c r="K53" s="31"/>
      <c r="L53" s="31"/>
      <c r="M53" s="32">
        <f t="shared" si="0"/>
        <v>46956.78</v>
      </c>
      <c r="N53" s="16">
        <v>0</v>
      </c>
      <c r="O53" s="20"/>
      <c r="P53" s="16">
        <f>(36.2*12)</f>
        <v>434.40000000000003</v>
      </c>
      <c r="Q53" s="20"/>
      <c r="R53" s="16">
        <f t="shared" si="1"/>
        <v>69.72</v>
      </c>
      <c r="S53" s="16"/>
      <c r="T53" s="16">
        <f>(26.93*12)</f>
        <v>323.15999999999997</v>
      </c>
      <c r="U53" s="16"/>
      <c r="V53" s="16"/>
      <c r="W53" s="16"/>
      <c r="X53" s="16">
        <f>(66.38*12)</f>
        <v>796.56</v>
      </c>
      <c r="Y53" s="16"/>
      <c r="Z53" s="16"/>
      <c r="AA53" s="16"/>
      <c r="AB53" s="16"/>
      <c r="AC53" s="16">
        <f>(1347.56)+(898.49)</f>
        <v>2246.0500000000002</v>
      </c>
      <c r="AD53" s="16">
        <f>(752.05+31.23)*12</f>
        <v>9399.36</v>
      </c>
      <c r="AE53" s="16"/>
      <c r="AF53" s="16">
        <v>500</v>
      </c>
      <c r="AG53" s="16"/>
      <c r="AH53" s="9">
        <f t="shared" si="2"/>
        <v>58479.98</v>
      </c>
      <c r="AI53" s="9">
        <f t="shared" si="3"/>
        <v>2246.0500000000002</v>
      </c>
    </row>
    <row r="54" spans="1:35" x14ac:dyDescent="0.4">
      <c r="A54" s="48"/>
      <c r="B54" s="18"/>
      <c r="C54" s="8"/>
      <c r="D54" s="25">
        <v>47.76</v>
      </c>
      <c r="E54" s="30">
        <v>97234.8</v>
      </c>
      <c r="F54" s="33">
        <v>19156.96</v>
      </c>
      <c r="G54" s="22"/>
      <c r="H54" s="22">
        <v>2520</v>
      </c>
      <c r="I54" s="31">
        <v>379</v>
      </c>
      <c r="J54" s="31"/>
      <c r="K54" s="31"/>
      <c r="L54" s="31"/>
      <c r="M54" s="32">
        <f t="shared" si="0"/>
        <v>119290.76000000001</v>
      </c>
      <c r="N54" s="16">
        <v>4421.6400000000003</v>
      </c>
      <c r="O54" s="20">
        <v>491.28</v>
      </c>
      <c r="P54" s="16">
        <f>(58.54*12)</f>
        <v>702.48</v>
      </c>
      <c r="Q54" s="20">
        <v>144.32400000000001</v>
      </c>
      <c r="R54" s="16">
        <f t="shared" si="1"/>
        <v>69.72</v>
      </c>
      <c r="S54" s="16">
        <v>62.76</v>
      </c>
      <c r="T54" s="16">
        <f>(27.6)+(58.75*12)</f>
        <v>732.6</v>
      </c>
      <c r="U54" s="16"/>
      <c r="V54" s="16"/>
      <c r="W54" s="16">
        <v>396.72</v>
      </c>
      <c r="X54" s="16">
        <f>(146.83*12)</f>
        <v>1761.96</v>
      </c>
      <c r="Y54" s="16"/>
      <c r="Z54" s="16"/>
      <c r="AA54" s="16">
        <v>804.24</v>
      </c>
      <c r="AB54" s="16"/>
      <c r="AC54" s="16">
        <v>7134.7</v>
      </c>
      <c r="AD54" s="16">
        <f>(2501.23+104.02)*12</f>
        <v>31263</v>
      </c>
      <c r="AE54" s="16"/>
      <c r="AF54" s="16">
        <v>500</v>
      </c>
      <c r="AG54" s="16"/>
      <c r="AH54" s="9">
        <f t="shared" si="2"/>
        <v>158742.16000000003</v>
      </c>
      <c r="AI54" s="9">
        <f t="shared" si="3"/>
        <v>9034.0239999999994</v>
      </c>
    </row>
    <row r="55" spans="1:35" x14ac:dyDescent="0.4">
      <c r="A55" s="48"/>
      <c r="B55" s="18"/>
      <c r="C55" s="8"/>
      <c r="D55" s="25">
        <v>20</v>
      </c>
      <c r="E55" s="30">
        <v>15940</v>
      </c>
      <c r="F55" s="33"/>
      <c r="G55" s="22"/>
      <c r="H55" s="22"/>
      <c r="I55" s="31">
        <v>189.5</v>
      </c>
      <c r="J55" s="31"/>
      <c r="K55" s="31"/>
      <c r="L55" s="31"/>
      <c r="M55" s="32">
        <f t="shared" si="0"/>
        <v>16129.5</v>
      </c>
      <c r="N55" s="16"/>
      <c r="O55" s="20"/>
      <c r="P55" s="16"/>
      <c r="Q55" s="20"/>
      <c r="R55" s="16">
        <v>0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>
        <v>0</v>
      </c>
      <c r="AG55" s="16"/>
      <c r="AH55" s="9">
        <f t="shared" si="2"/>
        <v>16129.5</v>
      </c>
      <c r="AI55" s="9">
        <f t="shared" si="3"/>
        <v>0</v>
      </c>
    </row>
    <row r="56" spans="1:35" x14ac:dyDescent="0.4">
      <c r="A56" s="48"/>
      <c r="B56" s="18"/>
      <c r="C56" s="8"/>
      <c r="D56" s="25">
        <v>28.89</v>
      </c>
      <c r="E56" s="30">
        <v>57650.47</v>
      </c>
      <c r="F56" s="33">
        <v>39.94</v>
      </c>
      <c r="G56" s="22"/>
      <c r="H56" s="22"/>
      <c r="I56" s="31">
        <v>378.99</v>
      </c>
      <c r="J56" s="31"/>
      <c r="K56" s="31"/>
      <c r="L56" s="31"/>
      <c r="M56" s="32">
        <f t="shared" si="0"/>
        <v>58069.4</v>
      </c>
      <c r="N56" s="16">
        <v>4421.6400000000003</v>
      </c>
      <c r="O56" s="20">
        <v>491.28</v>
      </c>
      <c r="P56" s="16">
        <f>(36.2*12)</f>
        <v>434.40000000000003</v>
      </c>
      <c r="Q56" s="20"/>
      <c r="R56" s="16">
        <f t="shared" si="1"/>
        <v>69.72</v>
      </c>
      <c r="S56" s="16"/>
      <c r="T56" s="16">
        <f>(27.6)+(34.27*12)</f>
        <v>438.84000000000003</v>
      </c>
      <c r="U56" s="16">
        <v>41.4</v>
      </c>
      <c r="V56" s="16"/>
      <c r="W56" s="16"/>
      <c r="X56" s="16">
        <f>(85.36*12)</f>
        <v>1024.32</v>
      </c>
      <c r="Y56" s="16"/>
      <c r="Z56" s="16"/>
      <c r="AA56" s="16">
        <v>468</v>
      </c>
      <c r="AB56" s="16"/>
      <c r="AC56" s="16">
        <v>576.83000000000004</v>
      </c>
      <c r="AD56" s="16">
        <f>(967.02+40.16)*12</f>
        <v>12086.16</v>
      </c>
      <c r="AE56" s="16"/>
      <c r="AF56" s="16">
        <v>500</v>
      </c>
      <c r="AG56" s="16"/>
      <c r="AH56" s="9">
        <f t="shared" si="2"/>
        <v>77044.479999999996</v>
      </c>
      <c r="AI56" s="9">
        <f t="shared" si="3"/>
        <v>1577.51</v>
      </c>
    </row>
    <row r="57" spans="1:35" x14ac:dyDescent="0.4">
      <c r="A57" s="48"/>
      <c r="B57" s="18"/>
      <c r="C57" s="8"/>
      <c r="D57" s="25">
        <v>44.31</v>
      </c>
      <c r="E57" s="30">
        <v>87223.21</v>
      </c>
      <c r="F57" s="33">
        <v>1555.08</v>
      </c>
      <c r="G57" s="22">
        <v>4540.6400000000003</v>
      </c>
      <c r="H57" s="22"/>
      <c r="I57" s="31">
        <v>378.99</v>
      </c>
      <c r="J57" s="31"/>
      <c r="K57" s="31"/>
      <c r="L57" s="31"/>
      <c r="M57" s="32">
        <f t="shared" si="0"/>
        <v>93697.920000000013</v>
      </c>
      <c r="N57" s="16">
        <v>14489.88</v>
      </c>
      <c r="O57" s="20">
        <v>5912.88</v>
      </c>
      <c r="P57" s="16">
        <f>(86.66*12)</f>
        <v>1039.92</v>
      </c>
      <c r="Q57" s="20">
        <v>325.92</v>
      </c>
      <c r="R57" s="16">
        <f t="shared" si="1"/>
        <v>69.72</v>
      </c>
      <c r="S57" s="16">
        <v>135.24</v>
      </c>
      <c r="T57" s="16">
        <f>(12)+(51.41*12)</f>
        <v>628.91999999999996</v>
      </c>
      <c r="U57" s="16">
        <v>18</v>
      </c>
      <c r="V57" s="16"/>
      <c r="W57" s="16">
        <v>497.04</v>
      </c>
      <c r="X57" s="16">
        <f>(128.98*12)</f>
        <v>1547.7599999999998</v>
      </c>
      <c r="Y57" s="16"/>
      <c r="Z57" s="16"/>
      <c r="AA57" s="16">
        <v>450.12</v>
      </c>
      <c r="AB57" s="16"/>
      <c r="AC57" s="16">
        <f>(3551.11)+(1775.55)</f>
        <v>5326.66</v>
      </c>
      <c r="AD57" s="16">
        <f>(2197.1+91.37)*12</f>
        <v>27461.64</v>
      </c>
      <c r="AE57" s="16"/>
      <c r="AF57" s="16">
        <v>500</v>
      </c>
      <c r="AG57" s="16"/>
      <c r="AH57" s="9">
        <f t="shared" si="2"/>
        <v>139435.76</v>
      </c>
      <c r="AI57" s="9">
        <f t="shared" si="3"/>
        <v>12665.860000000002</v>
      </c>
    </row>
    <row r="58" spans="1:35" x14ac:dyDescent="0.4">
      <c r="A58" s="48"/>
      <c r="B58" s="18"/>
      <c r="C58" s="8"/>
      <c r="D58" s="25">
        <v>32.46</v>
      </c>
      <c r="E58" s="30">
        <v>40250.400000000001</v>
      </c>
      <c r="F58" s="33">
        <v>12342.95</v>
      </c>
      <c r="G58" s="22">
        <f>(10714.4)+(5745.42)</f>
        <v>16459.82</v>
      </c>
      <c r="H58" s="22"/>
      <c r="I58" s="31">
        <v>0</v>
      </c>
      <c r="J58" s="31"/>
      <c r="K58" s="31"/>
      <c r="L58" s="31"/>
      <c r="M58" s="32">
        <f t="shared" si="0"/>
        <v>69053.170000000013</v>
      </c>
      <c r="N58" s="16">
        <v>2210.8200000000002</v>
      </c>
      <c r="O58" s="20">
        <v>286.58</v>
      </c>
      <c r="P58" s="16">
        <f>(36.2*8)</f>
        <v>289.60000000000002</v>
      </c>
      <c r="Q58" s="20"/>
      <c r="R58" s="16">
        <f>(5.81*7)</f>
        <v>40.669999999999995</v>
      </c>
      <c r="S58" s="16"/>
      <c r="T58" s="16">
        <f>(41.62*8)</f>
        <v>332.96</v>
      </c>
      <c r="U58" s="16"/>
      <c r="V58" s="16"/>
      <c r="W58" s="16">
        <v>147.07</v>
      </c>
      <c r="X58" s="16">
        <f>(104.04*8)</f>
        <v>832.32</v>
      </c>
      <c r="Y58" s="16"/>
      <c r="Z58" s="16"/>
      <c r="AA58" s="16"/>
      <c r="AB58" s="16"/>
      <c r="AC58" s="16">
        <v>2559.89</v>
      </c>
      <c r="AD58" s="16">
        <f>(1772.32+73.71)*7</f>
        <v>12922.21</v>
      </c>
      <c r="AE58" s="16"/>
      <c r="AF58" s="16">
        <v>500</v>
      </c>
      <c r="AG58" s="16"/>
      <c r="AH58" s="9">
        <f t="shared" si="2"/>
        <v>86181.750000000029</v>
      </c>
      <c r="AI58" s="9">
        <f t="shared" si="3"/>
        <v>2993.54</v>
      </c>
    </row>
    <row r="59" spans="1:35" x14ac:dyDescent="0.4">
      <c r="A59" s="48"/>
      <c r="B59" s="18"/>
      <c r="C59" s="8"/>
      <c r="D59" s="25">
        <v>33.46</v>
      </c>
      <c r="E59" s="30">
        <v>1338.4</v>
      </c>
      <c r="F59" s="33"/>
      <c r="G59" s="22">
        <f>(280.06)+(341.29)</f>
        <v>621.35</v>
      </c>
      <c r="H59" s="22"/>
      <c r="I59" s="31">
        <v>0</v>
      </c>
      <c r="J59" s="31"/>
      <c r="K59" s="31"/>
      <c r="L59" s="31"/>
      <c r="M59" s="32">
        <f t="shared" si="0"/>
        <v>1959.75</v>
      </c>
      <c r="N59" s="16"/>
      <c r="O59" s="20"/>
      <c r="P59" s="16"/>
      <c r="Q59" s="20"/>
      <c r="R59" s="16"/>
      <c r="S59" s="16"/>
      <c r="T59" s="16">
        <v>0</v>
      </c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>
        <v>500</v>
      </c>
      <c r="AG59" s="16"/>
      <c r="AH59" s="9">
        <f t="shared" si="2"/>
        <v>2459.75</v>
      </c>
      <c r="AI59" s="9">
        <f t="shared" si="3"/>
        <v>0</v>
      </c>
    </row>
    <row r="60" spans="1:35" x14ac:dyDescent="0.4">
      <c r="A60" s="48"/>
      <c r="B60" s="18"/>
      <c r="C60" s="8"/>
      <c r="D60" s="25">
        <v>23.54</v>
      </c>
      <c r="E60" s="30">
        <v>941.6</v>
      </c>
      <c r="F60" s="33"/>
      <c r="G60" s="22">
        <f>(3514.05)+(2543.26)</f>
        <v>6057.31</v>
      </c>
      <c r="H60" s="22"/>
      <c r="I60" s="31">
        <v>0</v>
      </c>
      <c r="J60" s="31"/>
      <c r="K60" s="31"/>
      <c r="L60" s="31"/>
      <c r="M60" s="32">
        <f t="shared" si="0"/>
        <v>6998.9100000000008</v>
      </c>
      <c r="N60" s="16"/>
      <c r="O60" s="20"/>
      <c r="P60" s="16"/>
      <c r="Q60" s="20"/>
      <c r="R60" s="16"/>
      <c r="S60" s="16"/>
      <c r="T60" s="16">
        <f>(29.99)</f>
        <v>29.99</v>
      </c>
      <c r="U60" s="16"/>
      <c r="V60" s="16"/>
      <c r="W60" s="16"/>
      <c r="X60" s="16">
        <f>(75.45)</f>
        <v>75.45</v>
      </c>
      <c r="Y60" s="16"/>
      <c r="Z60" s="16"/>
      <c r="AA60" s="16"/>
      <c r="AB60" s="16"/>
      <c r="AC60" s="16"/>
      <c r="AD60" s="16"/>
      <c r="AE60" s="16"/>
      <c r="AF60" s="16">
        <v>500</v>
      </c>
      <c r="AG60" s="16"/>
      <c r="AH60" s="9">
        <f t="shared" si="2"/>
        <v>7604.35</v>
      </c>
      <c r="AI60" s="9">
        <f t="shared" si="3"/>
        <v>0</v>
      </c>
    </row>
    <row r="61" spans="1:35" x14ac:dyDescent="0.4">
      <c r="A61" s="48"/>
      <c r="B61" s="18"/>
      <c r="C61" s="8"/>
      <c r="D61" s="25">
        <v>19.73</v>
      </c>
      <c r="E61" s="30">
        <v>976.64</v>
      </c>
      <c r="F61" s="33"/>
      <c r="G61" s="22">
        <f>(325.55)+(324.76)</f>
        <v>650.30999999999995</v>
      </c>
      <c r="H61" s="22"/>
      <c r="I61" s="31">
        <v>0</v>
      </c>
      <c r="J61" s="31"/>
      <c r="K61" s="31"/>
      <c r="L61" s="31"/>
      <c r="M61" s="32">
        <f t="shared" si="0"/>
        <v>1626.9499999999998</v>
      </c>
      <c r="N61" s="16"/>
      <c r="O61" s="20"/>
      <c r="P61" s="16"/>
      <c r="Q61" s="20"/>
      <c r="R61" s="16">
        <v>5.81</v>
      </c>
      <c r="S61" s="16"/>
      <c r="T61" s="16">
        <f>(25.09)</f>
        <v>25.09</v>
      </c>
      <c r="U61" s="16"/>
      <c r="V61" s="16"/>
      <c r="W61" s="16"/>
      <c r="X61" s="16">
        <f>(61.7)</f>
        <v>61.7</v>
      </c>
      <c r="Y61" s="16"/>
      <c r="Z61" s="16"/>
      <c r="AA61" s="16"/>
      <c r="AB61" s="16"/>
      <c r="AC61" s="16"/>
      <c r="AD61" s="16">
        <v>0</v>
      </c>
      <c r="AE61" s="16"/>
      <c r="AF61" s="16">
        <v>500</v>
      </c>
      <c r="AG61" s="16"/>
      <c r="AH61" s="9">
        <f t="shared" si="2"/>
        <v>2219.5499999999997</v>
      </c>
      <c r="AI61" s="9">
        <f t="shared" si="3"/>
        <v>0</v>
      </c>
    </row>
    <row r="62" spans="1:35" x14ac:dyDescent="0.4">
      <c r="A62" s="48"/>
      <c r="B62" s="18"/>
      <c r="C62" s="8"/>
      <c r="D62" s="25">
        <v>39.159999999999997</v>
      </c>
      <c r="E62" s="30">
        <v>6578.88</v>
      </c>
      <c r="F62" s="22"/>
      <c r="G62" s="22">
        <f>(1370.6)+(596.8)</f>
        <v>1967.3999999999999</v>
      </c>
      <c r="H62" s="22"/>
      <c r="I62" s="31">
        <v>0</v>
      </c>
      <c r="J62" s="31"/>
      <c r="K62" s="31"/>
      <c r="L62" s="31"/>
      <c r="M62" s="32">
        <f t="shared" si="0"/>
        <v>8546.2800000000007</v>
      </c>
      <c r="N62" s="22">
        <v>878.9</v>
      </c>
      <c r="O62" s="16">
        <v>315.77999999999997</v>
      </c>
      <c r="P62" s="22">
        <v>58.54</v>
      </c>
      <c r="Q62" s="22">
        <v>12.02</v>
      </c>
      <c r="R62" s="16">
        <v>5.81</v>
      </c>
      <c r="S62" s="16"/>
      <c r="T62" s="16">
        <f>(13.2)+(50.18*1)</f>
        <v>63.379999999999995</v>
      </c>
      <c r="U62" s="16">
        <f>(63.3)+(9.9)</f>
        <v>73.2</v>
      </c>
      <c r="V62" s="16"/>
      <c r="W62" s="16">
        <v>33.06</v>
      </c>
      <c r="X62" s="16">
        <f>(125.52*1)</f>
        <v>125.52</v>
      </c>
      <c r="Y62" s="16"/>
      <c r="Z62" s="16"/>
      <c r="AA62" s="16"/>
      <c r="AB62" s="16"/>
      <c r="AC62" s="16"/>
      <c r="AD62" s="16">
        <f>(2138.14+88.92)</f>
        <v>2227.06</v>
      </c>
      <c r="AE62" s="16"/>
      <c r="AF62" s="16">
        <v>500</v>
      </c>
      <c r="AG62" s="16"/>
      <c r="AH62" s="9">
        <f t="shared" si="2"/>
        <v>12405.49</v>
      </c>
      <c r="AI62" s="9">
        <f t="shared" si="3"/>
        <v>434.05999999999995</v>
      </c>
    </row>
    <row r="63" spans="1:35" x14ac:dyDescent="0.4">
      <c r="B63" s="17"/>
      <c r="C63" s="8"/>
      <c r="D63" s="25"/>
      <c r="E63" s="30"/>
      <c r="F63" s="22"/>
      <c r="G63" s="22"/>
      <c r="H63" s="22"/>
      <c r="I63" s="31"/>
      <c r="J63" s="31"/>
      <c r="K63" s="31"/>
      <c r="L63" s="31"/>
      <c r="M63" s="32">
        <f t="shared" si="0"/>
        <v>0</v>
      </c>
      <c r="N63" s="22"/>
      <c r="O63" s="16"/>
      <c r="P63" s="22"/>
      <c r="Q63" s="22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9">
        <f t="shared" si="2"/>
        <v>0</v>
      </c>
      <c r="AI63" s="9">
        <f t="shared" si="3"/>
        <v>0</v>
      </c>
    </row>
    <row r="64" spans="1:35" x14ac:dyDescent="0.4">
      <c r="B64" s="17"/>
      <c r="C64" s="8"/>
      <c r="D64" s="25"/>
      <c r="E64" s="30"/>
      <c r="F64" s="31"/>
      <c r="G64" s="22"/>
      <c r="H64" s="22"/>
      <c r="I64" s="31"/>
      <c r="J64" s="31"/>
      <c r="K64" s="31"/>
      <c r="L64" s="31"/>
      <c r="M64" s="32">
        <f t="shared" si="0"/>
        <v>0</v>
      </c>
      <c r="N64" s="16"/>
      <c r="O64" s="20"/>
      <c r="P64" s="16"/>
      <c r="Q64" s="20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9">
        <f t="shared" si="2"/>
        <v>0</v>
      </c>
      <c r="AI64" s="9">
        <f t="shared" si="3"/>
        <v>0</v>
      </c>
    </row>
    <row r="65" spans="2:39" x14ac:dyDescent="0.4">
      <c r="B65" s="17"/>
      <c r="C65" s="8"/>
      <c r="D65" s="25"/>
      <c r="E65" s="30"/>
      <c r="F65" s="31"/>
      <c r="G65" s="22"/>
      <c r="H65" s="22"/>
      <c r="I65" s="31"/>
      <c r="J65" s="31"/>
      <c r="K65" s="31"/>
      <c r="L65" s="31"/>
      <c r="M65" s="32">
        <f t="shared" si="0"/>
        <v>0</v>
      </c>
      <c r="N65" s="16"/>
      <c r="O65" s="20"/>
      <c r="P65" s="16"/>
      <c r="Q65" s="20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9">
        <f t="shared" si="2"/>
        <v>0</v>
      </c>
      <c r="AI65" s="9">
        <f t="shared" si="3"/>
        <v>0</v>
      </c>
    </row>
    <row r="66" spans="2:39" x14ac:dyDescent="0.4">
      <c r="B66" s="17"/>
      <c r="C66" s="8"/>
      <c r="D66" s="25"/>
      <c r="E66" s="30"/>
      <c r="F66" s="31"/>
      <c r="G66" s="22"/>
      <c r="H66" s="22"/>
      <c r="I66" s="31"/>
      <c r="J66" s="31"/>
      <c r="K66" s="31"/>
      <c r="L66" s="31"/>
      <c r="M66" s="32">
        <f t="shared" si="0"/>
        <v>0</v>
      </c>
      <c r="N66" s="16"/>
      <c r="O66" s="20"/>
      <c r="P66" s="16"/>
      <c r="Q66" s="20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9">
        <f t="shared" si="2"/>
        <v>0</v>
      </c>
      <c r="AI66" s="9">
        <f t="shared" si="3"/>
        <v>0</v>
      </c>
      <c r="AL66" s="37"/>
      <c r="AM66" s="21"/>
    </row>
    <row r="67" spans="2:39" x14ac:dyDescent="0.4">
      <c r="B67" s="17"/>
      <c r="C67" s="8"/>
      <c r="D67" s="26"/>
      <c r="E67" s="30"/>
      <c r="F67" s="31"/>
      <c r="G67" s="22"/>
      <c r="H67" s="22"/>
      <c r="I67" s="31"/>
      <c r="J67" s="31"/>
      <c r="K67" s="31"/>
      <c r="L67" s="31"/>
      <c r="M67" s="32">
        <f t="shared" si="0"/>
        <v>0</v>
      </c>
      <c r="N67" s="22"/>
      <c r="O67" s="16"/>
      <c r="P67" s="22"/>
      <c r="Q67" s="22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9">
        <f t="shared" si="2"/>
        <v>0</v>
      </c>
      <c r="AI67" s="9">
        <f t="shared" si="3"/>
        <v>0</v>
      </c>
    </row>
    <row r="68" spans="2:39" x14ac:dyDescent="0.4">
      <c r="B68" s="17"/>
      <c r="C68" s="8"/>
      <c r="D68" s="26"/>
      <c r="E68" s="30"/>
      <c r="F68" s="31"/>
      <c r="G68" s="22"/>
      <c r="H68" s="22"/>
      <c r="I68" s="31"/>
      <c r="J68" s="31"/>
      <c r="K68" s="31"/>
      <c r="L68" s="31"/>
      <c r="M68" s="32">
        <f t="shared" si="0"/>
        <v>0</v>
      </c>
      <c r="N68" s="22"/>
      <c r="O68" s="16"/>
      <c r="P68" s="22"/>
      <c r="Q68" s="22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9">
        <f t="shared" si="2"/>
        <v>0</v>
      </c>
      <c r="AI68" s="9">
        <f t="shared" si="3"/>
        <v>0</v>
      </c>
    </row>
    <row r="69" spans="2:39" x14ac:dyDescent="0.4">
      <c r="B69" s="17"/>
      <c r="C69" s="8"/>
      <c r="D69" s="26"/>
      <c r="E69" s="30"/>
      <c r="F69" s="31"/>
      <c r="G69" s="22"/>
      <c r="H69" s="22"/>
      <c r="I69" s="31"/>
      <c r="J69" s="31"/>
      <c r="K69" s="31"/>
      <c r="L69" s="31"/>
      <c r="M69" s="32">
        <f t="shared" si="0"/>
        <v>0</v>
      </c>
      <c r="N69" s="22"/>
      <c r="O69" s="16"/>
      <c r="P69" s="22"/>
      <c r="Q69" s="22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9">
        <f t="shared" si="2"/>
        <v>0</v>
      </c>
      <c r="AI69" s="9">
        <f t="shared" si="3"/>
        <v>0</v>
      </c>
    </row>
    <row r="70" spans="2:39" x14ac:dyDescent="0.4">
      <c r="B70" s="17"/>
      <c r="C70" s="8"/>
      <c r="D70" s="26"/>
      <c r="E70" s="30"/>
      <c r="F70" s="31"/>
      <c r="G70" s="22"/>
      <c r="H70" s="22"/>
      <c r="I70" s="31"/>
      <c r="J70" s="31"/>
      <c r="K70" s="31"/>
      <c r="L70" s="31"/>
      <c r="M70" s="32">
        <f t="shared" si="0"/>
        <v>0</v>
      </c>
      <c r="N70" s="22"/>
      <c r="O70" s="16"/>
      <c r="P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9">
        <f t="shared" si="2"/>
        <v>0</v>
      </c>
      <c r="AI70" s="9">
        <f t="shared" si="3"/>
        <v>0</v>
      </c>
    </row>
    <row r="71" spans="2:39" x14ac:dyDescent="0.4">
      <c r="B71" s="17"/>
      <c r="C71" s="8"/>
      <c r="D71" s="26"/>
      <c r="E71" s="30"/>
      <c r="F71" s="31"/>
      <c r="G71" s="22"/>
      <c r="H71" s="22"/>
      <c r="I71" s="31"/>
      <c r="J71" s="31"/>
      <c r="K71" s="31"/>
      <c r="L71" s="31"/>
      <c r="M71" s="32">
        <f t="shared" si="0"/>
        <v>0</v>
      </c>
      <c r="N71" s="22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9">
        <f t="shared" si="2"/>
        <v>0</v>
      </c>
      <c r="AI71" s="9">
        <f t="shared" si="3"/>
        <v>0</v>
      </c>
    </row>
    <row r="72" spans="2:39" x14ac:dyDescent="0.4">
      <c r="B72" s="17"/>
      <c r="C72" s="8"/>
      <c r="D72" s="26"/>
      <c r="E72" s="30"/>
      <c r="F72" s="33"/>
      <c r="G72" s="22"/>
      <c r="H72" s="22"/>
      <c r="I72" s="31"/>
      <c r="J72" s="31"/>
      <c r="K72" s="31"/>
      <c r="L72" s="31"/>
      <c r="M72" s="32">
        <f t="shared" ref="M72:M81" si="4">SUM(E72:L72)</f>
        <v>0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9">
        <f t="shared" ref="AH72:AH81" si="5">+M72+N72+P72+R72+T72+X72+AB72+AD72+AF72+V72+Z72</f>
        <v>0</v>
      </c>
      <c r="AI72" s="9">
        <f t="shared" ref="AI72:AI81" si="6">+O72+Q72+S72+U72+Y72+AC72+AE72+AG72+W72+AA72</f>
        <v>0</v>
      </c>
    </row>
    <row r="73" spans="2:39" x14ac:dyDescent="0.4">
      <c r="B73" s="17"/>
      <c r="C73" s="8"/>
      <c r="D73" s="26"/>
      <c r="E73" s="30"/>
      <c r="F73" s="31"/>
      <c r="G73" s="22"/>
      <c r="H73" s="22"/>
      <c r="I73" s="31"/>
      <c r="J73" s="31"/>
      <c r="K73" s="31"/>
      <c r="L73" s="31"/>
      <c r="M73" s="32">
        <f t="shared" si="4"/>
        <v>0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9">
        <f t="shared" si="5"/>
        <v>0</v>
      </c>
      <c r="AI73" s="9">
        <f t="shared" si="6"/>
        <v>0</v>
      </c>
    </row>
    <row r="74" spans="2:39" x14ac:dyDescent="0.4">
      <c r="B74" s="18"/>
      <c r="C74" s="8"/>
      <c r="D74" s="26"/>
      <c r="E74" s="30"/>
      <c r="F74" s="31"/>
      <c r="G74" s="22"/>
      <c r="H74" s="22"/>
      <c r="I74" s="31"/>
      <c r="J74" s="31"/>
      <c r="K74" s="31"/>
      <c r="L74" s="31"/>
      <c r="M74" s="32">
        <f t="shared" si="4"/>
        <v>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9">
        <f t="shared" si="5"/>
        <v>0</v>
      </c>
      <c r="AI74" s="9">
        <f t="shared" si="6"/>
        <v>0</v>
      </c>
    </row>
    <row r="75" spans="2:39" x14ac:dyDescent="0.4">
      <c r="B75" s="18"/>
      <c r="C75" s="8"/>
      <c r="D75" s="26"/>
      <c r="E75" s="30"/>
      <c r="F75" s="31"/>
      <c r="G75" s="22"/>
      <c r="H75" s="22"/>
      <c r="I75" s="31"/>
      <c r="J75" s="31"/>
      <c r="K75" s="31"/>
      <c r="L75" s="31"/>
      <c r="M75" s="32">
        <f t="shared" si="4"/>
        <v>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9">
        <f t="shared" si="5"/>
        <v>0</v>
      </c>
      <c r="AI75" s="9">
        <f t="shared" si="6"/>
        <v>0</v>
      </c>
    </row>
    <row r="76" spans="2:39" x14ac:dyDescent="0.4">
      <c r="B76" s="18"/>
      <c r="C76" s="8"/>
      <c r="D76" s="26"/>
      <c r="E76" s="24"/>
      <c r="F76" s="31"/>
      <c r="G76" s="22"/>
      <c r="H76" s="22"/>
      <c r="I76" s="31"/>
      <c r="J76" s="31"/>
      <c r="K76" s="31"/>
      <c r="L76" s="31"/>
      <c r="M76" s="32">
        <f t="shared" si="4"/>
        <v>0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9">
        <f t="shared" si="5"/>
        <v>0</v>
      </c>
      <c r="AI76" s="9">
        <f t="shared" si="6"/>
        <v>0</v>
      </c>
    </row>
    <row r="77" spans="2:39" x14ac:dyDescent="0.4">
      <c r="B77" s="18"/>
      <c r="C77" s="8"/>
      <c r="D77" s="26"/>
      <c r="E77" s="31"/>
      <c r="F77" s="31"/>
      <c r="G77" s="22"/>
      <c r="H77" s="22"/>
      <c r="I77" s="31"/>
      <c r="J77" s="31"/>
      <c r="K77" s="31"/>
      <c r="L77" s="31"/>
      <c r="M77" s="32">
        <f t="shared" si="4"/>
        <v>0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9">
        <f t="shared" si="5"/>
        <v>0</v>
      </c>
      <c r="AI77" s="9">
        <f t="shared" si="6"/>
        <v>0</v>
      </c>
    </row>
    <row r="78" spans="2:39" x14ac:dyDescent="0.4">
      <c r="B78" s="18"/>
      <c r="C78" s="8"/>
      <c r="D78" s="25"/>
      <c r="E78" s="30"/>
      <c r="F78" s="33"/>
      <c r="G78" s="22"/>
      <c r="H78" s="22"/>
      <c r="I78" s="33"/>
      <c r="J78" s="33"/>
      <c r="K78" s="33"/>
      <c r="L78" s="33"/>
      <c r="M78" s="32">
        <f t="shared" si="4"/>
        <v>0</v>
      </c>
      <c r="N78" s="16"/>
      <c r="O78" s="20"/>
      <c r="P78" s="16"/>
      <c r="Q78" s="20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9">
        <f t="shared" si="5"/>
        <v>0</v>
      </c>
      <c r="AI78" s="9">
        <f t="shared" si="6"/>
        <v>0</v>
      </c>
    </row>
    <row r="79" spans="2:39" x14ac:dyDescent="0.4">
      <c r="B79" s="18"/>
      <c r="C79" s="8"/>
      <c r="D79" s="26"/>
      <c r="E79" s="33"/>
      <c r="F79" s="33"/>
      <c r="G79" s="22"/>
      <c r="H79" s="22"/>
      <c r="I79" s="31"/>
      <c r="J79" s="31"/>
      <c r="K79" s="31"/>
      <c r="L79" s="31"/>
      <c r="M79" s="32">
        <f t="shared" si="4"/>
        <v>0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9">
        <f t="shared" si="5"/>
        <v>0</v>
      </c>
      <c r="AI79" s="9">
        <f t="shared" si="6"/>
        <v>0</v>
      </c>
    </row>
    <row r="80" spans="2:39" x14ac:dyDescent="0.4">
      <c r="B80" s="18"/>
      <c r="C80" s="8"/>
      <c r="D80" s="26"/>
      <c r="E80" s="33"/>
      <c r="F80" s="33"/>
      <c r="G80" s="22"/>
      <c r="H80" s="22"/>
      <c r="I80" s="31"/>
      <c r="J80" s="31"/>
      <c r="K80" s="31"/>
      <c r="L80" s="31"/>
      <c r="M80" s="32">
        <f t="shared" si="4"/>
        <v>0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9">
        <f t="shared" si="5"/>
        <v>0</v>
      </c>
      <c r="AI80" s="9">
        <f t="shared" si="6"/>
        <v>0</v>
      </c>
    </row>
    <row r="81" spans="2:35" x14ac:dyDescent="0.4">
      <c r="B81" s="11"/>
      <c r="C81" s="12"/>
      <c r="D81" s="27"/>
      <c r="E81" s="10"/>
      <c r="F81" s="10"/>
      <c r="G81" s="10"/>
      <c r="H81" s="10"/>
      <c r="I81" s="10"/>
      <c r="J81" s="10"/>
      <c r="K81" s="10"/>
      <c r="L81" s="10"/>
      <c r="M81" s="32">
        <f t="shared" si="4"/>
        <v>0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9">
        <f t="shared" si="5"/>
        <v>0</v>
      </c>
      <c r="AI81" s="9">
        <f t="shared" si="6"/>
        <v>0</v>
      </c>
    </row>
    <row r="82" spans="2:35" x14ac:dyDescent="0.4">
      <c r="B82" s="13" t="s">
        <v>8</v>
      </c>
      <c r="C82" s="14"/>
      <c r="D82" s="28"/>
      <c r="E82" s="40">
        <f>SUM(E7:E81)</f>
        <v>3074974.2799999993</v>
      </c>
      <c r="F82" s="40">
        <f>SUM(F7:F81)</f>
        <v>504776.06000000011</v>
      </c>
      <c r="G82" s="40">
        <f t="shared" ref="G82:AI82" si="7">SUM(G7:G81)</f>
        <v>76941.88</v>
      </c>
      <c r="H82" s="40">
        <f t="shared" si="7"/>
        <v>40880</v>
      </c>
      <c r="I82" s="40">
        <f>SUM(I7:I81)</f>
        <v>17623.169999999998</v>
      </c>
      <c r="J82" s="40">
        <f t="shared" ref="J82:L82" si="8">SUM(J7:J81)</f>
        <v>0</v>
      </c>
      <c r="K82" s="40">
        <f t="shared" si="8"/>
        <v>0</v>
      </c>
      <c r="L82" s="40">
        <f t="shared" si="8"/>
        <v>0</v>
      </c>
      <c r="M82" s="40">
        <f t="shared" si="7"/>
        <v>3715195.3899999997</v>
      </c>
      <c r="N82" s="15">
        <f t="shared" si="7"/>
        <v>347812.5300000002</v>
      </c>
      <c r="O82" s="15">
        <f t="shared" si="7"/>
        <v>106950.78999999995</v>
      </c>
      <c r="P82" s="15">
        <f t="shared" si="7"/>
        <v>27648.260000000009</v>
      </c>
      <c r="Q82" s="15">
        <f t="shared" si="7"/>
        <v>4895.4540000000006</v>
      </c>
      <c r="R82" s="15">
        <f t="shared" si="7"/>
        <v>3073.4899999999975</v>
      </c>
      <c r="S82" s="35">
        <f t="shared" si="7"/>
        <v>2240.4399999999996</v>
      </c>
      <c r="T82" s="15">
        <f t="shared" si="7"/>
        <v>22886.75</v>
      </c>
      <c r="U82" s="15">
        <f t="shared" si="7"/>
        <v>10295.98</v>
      </c>
      <c r="V82" s="15">
        <f t="shared" si="7"/>
        <v>0</v>
      </c>
      <c r="W82" s="15">
        <f t="shared" si="7"/>
        <v>4266.6100000000006</v>
      </c>
      <c r="X82" s="15">
        <f t="shared" si="7"/>
        <v>55384.159999999996</v>
      </c>
      <c r="Y82" s="15">
        <f t="shared" si="7"/>
        <v>0</v>
      </c>
      <c r="Z82" s="15">
        <f t="shared" si="7"/>
        <v>0</v>
      </c>
      <c r="AA82" s="15">
        <f t="shared" si="7"/>
        <v>4053.4799999999996</v>
      </c>
      <c r="AB82" s="15">
        <f t="shared" si="7"/>
        <v>0</v>
      </c>
      <c r="AC82" s="15">
        <f t="shared" si="7"/>
        <v>151538.03</v>
      </c>
      <c r="AD82" s="15">
        <f t="shared" si="7"/>
        <v>676450.60000000009</v>
      </c>
      <c r="AE82" s="15">
        <f t="shared" si="7"/>
        <v>0</v>
      </c>
      <c r="AF82" s="15">
        <f t="shared" si="7"/>
        <v>23500</v>
      </c>
      <c r="AG82" s="15">
        <f t="shared" si="7"/>
        <v>0</v>
      </c>
      <c r="AH82" s="15">
        <f t="shared" si="7"/>
        <v>4871951.1800000016</v>
      </c>
      <c r="AI82" s="15">
        <f t="shared" si="7"/>
        <v>284240.78399999999</v>
      </c>
    </row>
  </sheetData>
  <mergeCells count="30">
    <mergeCell ref="N4:O4"/>
    <mergeCell ref="X4:Y4"/>
    <mergeCell ref="P4:Q4"/>
    <mergeCell ref="T4:U4"/>
    <mergeCell ref="AH5:AI5"/>
    <mergeCell ref="R5:S5"/>
    <mergeCell ref="T5:U5"/>
    <mergeCell ref="X5:Y5"/>
    <mergeCell ref="AB5:AC5"/>
    <mergeCell ref="AF5:AG5"/>
    <mergeCell ref="AF4:AG4"/>
    <mergeCell ref="V5:W5"/>
    <mergeCell ref="Z5:AA5"/>
    <mergeCell ref="AD5:AE5"/>
    <mergeCell ref="AB4:AC4"/>
    <mergeCell ref="P5:Q5"/>
    <mergeCell ref="B5:B6"/>
    <mergeCell ref="C5:C6"/>
    <mergeCell ref="E5:E6"/>
    <mergeCell ref="D5:D6"/>
    <mergeCell ref="F5:F6"/>
    <mergeCell ref="G5:G6"/>
    <mergeCell ref="H5:H6"/>
    <mergeCell ref="I5:I6"/>
    <mergeCell ref="M5:M6"/>
    <mergeCell ref="J5:J6"/>
    <mergeCell ref="K5:K6"/>
    <mergeCell ref="L5:L6"/>
    <mergeCell ref="N5:O5"/>
    <mergeCell ref="R4:S4"/>
  </mergeCells>
  <pageMargins left="0" right="0" top="0" bottom="0" header="0.3" footer="0.3"/>
  <pageSetup scale="36" orientation="landscape" r:id="rId1"/>
  <ignoredErrors>
    <ignoredError sqref="M7:M81" formulaRange="1"/>
    <ignoredError sqref="AC25 AD10:AD64 AC40 AC49:AC57 G21:G31 G40 G58:G62 P9:Q9 P16:Q16 O22:O25 N40 O35:O52 Q33 P21:Q32 P34:Q55 X7:X72 S21:U55 P56:U72 Q19:U19 P20:U20 S16:U16 P17:U18 S9:U9 P10:U15 P7:U8" unlockedFormula="1"/>
    <ignoredError sqref="R9 R16 P19 P33 R33 R34:R55 R21:R32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9ED5-C2CB-46A0-A426-A6E0933EF638}">
  <dimension ref="A1:AQ76"/>
  <sheetViews>
    <sheetView topLeftCell="A38" workbookViewId="0">
      <selection activeCell="C56" sqref="C56"/>
    </sheetView>
  </sheetViews>
  <sheetFormatPr defaultColWidth="9.15234375" defaultRowHeight="15.45" x14ac:dyDescent="0.4"/>
  <cols>
    <col min="1" max="1" width="14.3828125" style="3" customWidth="1"/>
    <col min="2" max="2" width="10.84375" style="3" customWidth="1"/>
    <col min="3" max="3" width="38.3828125" style="3" customWidth="1"/>
    <col min="4" max="4" width="11.69140625" style="3" customWidth="1"/>
    <col min="5" max="5" width="14.69140625" style="3" customWidth="1"/>
    <col min="6" max="6" width="11.3046875" style="3" customWidth="1"/>
    <col min="7" max="8" width="14.84375" style="3" customWidth="1"/>
    <col min="9" max="9" width="9.3828125" style="3" customWidth="1"/>
    <col min="10" max="13" width="10.3046875" style="3" customWidth="1"/>
    <col min="14" max="14" width="14" style="3" bestFit="1" customWidth="1"/>
    <col min="15" max="15" width="11.84375" style="3" customWidth="1"/>
    <col min="16" max="16" width="11.3046875" style="3" customWidth="1"/>
    <col min="17" max="17" width="12.69140625" style="3" customWidth="1"/>
    <col min="18" max="18" width="11.3046875" style="3" customWidth="1"/>
    <col min="19" max="19" width="10.3046875" style="3" customWidth="1"/>
    <col min="20" max="20" width="11.3046875" style="3" customWidth="1"/>
    <col min="21" max="21" width="9.3828125" style="3" customWidth="1"/>
    <col min="22" max="24" width="10.69140625" style="3" customWidth="1"/>
    <col min="25" max="25" width="9.3828125" style="3" customWidth="1"/>
    <col min="26" max="28" width="10" style="3" customWidth="1"/>
    <col min="29" max="29" width="9.3046875" style="3" customWidth="1"/>
    <col min="30" max="30" width="10.15234375" style="3" customWidth="1"/>
    <col min="31" max="31" width="12.3046875" style="3" customWidth="1"/>
    <col min="32" max="32" width="10" style="3" customWidth="1"/>
    <col min="33" max="33" width="9.69140625" style="3" customWidth="1"/>
    <col min="34" max="34" width="11.15234375" style="3" customWidth="1"/>
    <col min="35" max="35" width="11.3046875" style="3" customWidth="1"/>
    <col min="36" max="36" width="9.69140625" style="3" customWidth="1"/>
    <col min="37" max="16384" width="9.15234375" style="3"/>
  </cols>
  <sheetData>
    <row r="1" spans="1:36" ht="20.149999999999999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2"/>
      <c r="N1" s="19"/>
      <c r="O1" s="39"/>
      <c r="P1" s="36"/>
      <c r="Q1" s="23"/>
      <c r="R1" s="23"/>
      <c r="S1" s="23"/>
      <c r="T1" s="23"/>
      <c r="U1" s="2"/>
      <c r="V1" s="2"/>
      <c r="W1" s="2"/>
      <c r="X1" s="2"/>
      <c r="Y1" s="2"/>
      <c r="Z1" s="2"/>
      <c r="AA1" s="2"/>
      <c r="AB1" s="2"/>
      <c r="AC1" s="2"/>
      <c r="AD1"/>
      <c r="AE1"/>
      <c r="AF1"/>
      <c r="AG1" s="2"/>
      <c r="AH1" s="2"/>
      <c r="AI1" s="2"/>
      <c r="AJ1" s="2"/>
    </row>
    <row r="2" spans="1:36" x14ac:dyDescent="0.4">
      <c r="B2" s="1" t="s">
        <v>45</v>
      </c>
      <c r="C2" s="2"/>
      <c r="D2" s="2"/>
      <c r="F2" s="4">
        <v>2022</v>
      </c>
      <c r="G2" s="2"/>
      <c r="H2" s="2"/>
      <c r="I2" s="2"/>
      <c r="J2" s="2"/>
      <c r="K2" s="2"/>
      <c r="L2" s="2"/>
      <c r="M2" s="2"/>
      <c r="N2" s="2"/>
      <c r="O2" s="2"/>
      <c r="P2" s="2"/>
      <c r="Q2" s="21"/>
      <c r="R2" s="23"/>
      <c r="S2" s="23"/>
      <c r="T2" s="23"/>
      <c r="U2" s="23"/>
      <c r="V2" s="2"/>
      <c r="W2" s="2"/>
      <c r="X2" s="2"/>
      <c r="Y2" s="2"/>
      <c r="Z2" s="2"/>
      <c r="AA2" s="2"/>
      <c r="AB2" s="2"/>
      <c r="AC2" s="2"/>
      <c r="AD2"/>
      <c r="AE2"/>
      <c r="AF2"/>
      <c r="AG2" s="2"/>
      <c r="AH2" s="2"/>
      <c r="AI2" s="2"/>
      <c r="AJ2" s="2"/>
    </row>
    <row r="3" spans="1:36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"/>
      <c r="P3" s="23"/>
      <c r="Q3" s="21"/>
      <c r="R3" s="23"/>
      <c r="S3" s="23"/>
      <c r="T3" s="2"/>
      <c r="U3" s="23"/>
      <c r="V3" s="2"/>
      <c r="W3" s="2"/>
      <c r="X3" s="2"/>
      <c r="Y3" s="2"/>
      <c r="Z3" s="2"/>
      <c r="AA3" s="2"/>
      <c r="AB3" s="2"/>
      <c r="AC3" s="2"/>
      <c r="AD3"/>
      <c r="AE3"/>
      <c r="AF3"/>
      <c r="AG3" s="2"/>
      <c r="AH3" s="2"/>
      <c r="AI3" s="2"/>
      <c r="AJ3" s="2"/>
    </row>
    <row r="4" spans="1:36" x14ac:dyDescent="0.4">
      <c r="B4" s="2"/>
      <c r="C4" s="5"/>
      <c r="D4" s="5"/>
      <c r="E4" s="29"/>
      <c r="F4" s="29"/>
      <c r="G4" s="29"/>
      <c r="H4" s="29"/>
      <c r="I4" s="29"/>
      <c r="J4" s="29"/>
      <c r="K4" s="29"/>
      <c r="L4" s="29"/>
      <c r="M4" s="29"/>
      <c r="N4" s="34"/>
      <c r="O4" s="51"/>
      <c r="P4" s="51"/>
      <c r="Q4" s="51"/>
      <c r="R4" s="51"/>
      <c r="S4" s="51"/>
      <c r="T4" s="51"/>
      <c r="U4" s="56"/>
      <c r="V4" s="56"/>
      <c r="W4"/>
      <c r="X4"/>
      <c r="Y4" s="51"/>
      <c r="Z4" s="51"/>
      <c r="AA4" s="41"/>
      <c r="AB4" s="41"/>
      <c r="AC4" s="51"/>
      <c r="AD4" s="51"/>
      <c r="AE4" s="41"/>
      <c r="AF4" s="41"/>
      <c r="AG4" s="51"/>
      <c r="AH4" s="51"/>
      <c r="AI4" s="6"/>
      <c r="AJ4" s="6"/>
    </row>
    <row r="5" spans="1:36" ht="30" customHeight="1" x14ac:dyDescent="0.4">
      <c r="B5" s="49" t="s">
        <v>9</v>
      </c>
      <c r="C5" s="49" t="s">
        <v>27</v>
      </c>
      <c r="D5" s="49" t="s">
        <v>26</v>
      </c>
      <c r="E5" s="49" t="s">
        <v>0</v>
      </c>
      <c r="F5" s="49" t="s">
        <v>1</v>
      </c>
      <c r="G5" s="49" t="s">
        <v>34</v>
      </c>
      <c r="H5" s="49" t="s">
        <v>35</v>
      </c>
      <c r="I5" s="49" t="s">
        <v>32</v>
      </c>
      <c r="J5" s="49" t="s">
        <v>2</v>
      </c>
      <c r="K5" s="49" t="s">
        <v>10</v>
      </c>
      <c r="L5" s="49" t="s">
        <v>38</v>
      </c>
      <c r="M5" s="49" t="s">
        <v>46</v>
      </c>
      <c r="N5" s="49" t="s">
        <v>3</v>
      </c>
      <c r="O5" s="52" t="s">
        <v>44</v>
      </c>
      <c r="P5" s="53"/>
      <c r="Q5" s="52" t="s">
        <v>11</v>
      </c>
      <c r="R5" s="53"/>
      <c r="S5" s="52" t="s">
        <v>43</v>
      </c>
      <c r="T5" s="53"/>
      <c r="U5" s="52" t="s">
        <v>4</v>
      </c>
      <c r="V5" s="53"/>
      <c r="W5" s="55" t="s">
        <v>42</v>
      </c>
      <c r="X5" s="53"/>
      <c r="Y5" s="52" t="s">
        <v>21</v>
      </c>
      <c r="Z5" s="53"/>
      <c r="AA5" s="52" t="s">
        <v>41</v>
      </c>
      <c r="AB5" s="53"/>
      <c r="AC5" s="52" t="s">
        <v>5</v>
      </c>
      <c r="AD5" s="53"/>
      <c r="AE5" s="52" t="s">
        <v>37</v>
      </c>
      <c r="AF5" s="53"/>
      <c r="AG5" s="52" t="s">
        <v>22</v>
      </c>
      <c r="AH5" s="53"/>
      <c r="AI5" s="52" t="s">
        <v>6</v>
      </c>
      <c r="AJ5" s="53"/>
    </row>
    <row r="6" spans="1:36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 t="s">
        <v>24</v>
      </c>
      <c r="P6" s="7" t="s">
        <v>7</v>
      </c>
      <c r="Q6" s="7" t="str">
        <f>+$O$6</f>
        <v xml:space="preserve">Clark </v>
      </c>
      <c r="R6" s="7" t="s">
        <v>7</v>
      </c>
      <c r="S6" s="7" t="str">
        <f>+$O$6</f>
        <v xml:space="preserve">Clark </v>
      </c>
      <c r="T6" s="7" t="s">
        <v>7</v>
      </c>
      <c r="U6" s="7" t="str">
        <f>+$O$6</f>
        <v xml:space="preserve">Clark </v>
      </c>
      <c r="V6" s="7" t="s">
        <v>7</v>
      </c>
      <c r="W6" s="7" t="str">
        <f>+$O$6</f>
        <v xml:space="preserve">Clark </v>
      </c>
      <c r="X6" s="7" t="s">
        <v>7</v>
      </c>
      <c r="Y6" s="7" t="str">
        <f>+$O$6</f>
        <v xml:space="preserve">Clark </v>
      </c>
      <c r="Z6" s="7" t="s">
        <v>7</v>
      </c>
      <c r="AA6" s="7" t="str">
        <f>+$O$6</f>
        <v xml:space="preserve">Clark </v>
      </c>
      <c r="AB6" s="7" t="s">
        <v>7</v>
      </c>
      <c r="AC6" s="7" t="str">
        <f>+$O$6</f>
        <v xml:space="preserve">Clark </v>
      </c>
      <c r="AD6" s="7" t="s">
        <v>7</v>
      </c>
      <c r="AE6" s="7" t="str">
        <f>+$O$6</f>
        <v xml:space="preserve">Clark </v>
      </c>
      <c r="AF6" s="7" t="s">
        <v>7</v>
      </c>
      <c r="AG6" s="7" t="str">
        <f>+$O$6</f>
        <v xml:space="preserve">Clark </v>
      </c>
      <c r="AH6" s="7" t="s">
        <v>7</v>
      </c>
      <c r="AI6" s="7" t="str">
        <f>+$O$6</f>
        <v xml:space="preserve">Clark </v>
      </c>
      <c r="AJ6" s="7" t="s">
        <v>7</v>
      </c>
    </row>
    <row r="7" spans="1:36" x14ac:dyDescent="0.4">
      <c r="A7" s="48"/>
      <c r="B7" s="18"/>
      <c r="C7" s="8"/>
      <c r="D7" s="25">
        <v>39.19</v>
      </c>
      <c r="E7" s="30">
        <v>80284.009999999995</v>
      </c>
      <c r="F7" s="31">
        <v>9182.98</v>
      </c>
      <c r="G7" s="22"/>
      <c r="H7" s="22">
        <v>400</v>
      </c>
      <c r="I7" s="22"/>
      <c r="J7" s="31">
        <v>541.41999999999996</v>
      </c>
      <c r="K7" s="31"/>
      <c r="L7" s="31"/>
      <c r="M7" s="31"/>
      <c r="N7" s="32">
        <f>SUM(E7:M7)</f>
        <v>90408.409999999989</v>
      </c>
      <c r="O7" s="16">
        <v>4093.92</v>
      </c>
      <c r="P7" s="20">
        <v>455.04</v>
      </c>
      <c r="Q7" s="16">
        <f>(58.54*12)</f>
        <v>702.48</v>
      </c>
      <c r="R7" s="20">
        <v>144.24</v>
      </c>
      <c r="S7" s="16">
        <f t="shared" ref="S7:S53" si="0">(5.81*12)</f>
        <v>69.72</v>
      </c>
      <c r="T7" s="16"/>
      <c r="U7" s="16">
        <f>(27.6)+(47.04*12)</f>
        <v>592.08000000000004</v>
      </c>
      <c r="V7" s="16">
        <f>(259.2)+(41.4)+(1040.4)</f>
        <v>1341</v>
      </c>
      <c r="W7" s="16"/>
      <c r="X7" s="16">
        <v>252.12</v>
      </c>
      <c r="Y7" s="16">
        <f>(121.96*12)</f>
        <v>1463.52</v>
      </c>
      <c r="Z7" s="16"/>
      <c r="AA7" s="16"/>
      <c r="AB7" s="16"/>
      <c r="AC7" s="16"/>
      <c r="AD7" s="16">
        <v>4473.3599999999997</v>
      </c>
      <c r="AE7" s="16">
        <f>(2016.19+83.76)*12</f>
        <v>25199.4</v>
      </c>
      <c r="AF7" s="16"/>
      <c r="AG7" s="16">
        <v>500</v>
      </c>
      <c r="AH7" s="16"/>
      <c r="AI7" s="9">
        <f>+N7+O7+Q7+S7+U7+Y7+AC7+AE7+AG7+AA7+W7</f>
        <v>123029.53</v>
      </c>
      <c r="AJ7" s="9">
        <f>+P7+R7+T7+V7+Z7+AD7+AF7+AH7+X7+AB7</f>
        <v>6665.7599999999993</v>
      </c>
    </row>
    <row r="8" spans="1:36" x14ac:dyDescent="0.4">
      <c r="A8" s="48"/>
      <c r="B8" s="18"/>
      <c r="C8" s="8"/>
      <c r="D8" s="25">
        <v>43.86</v>
      </c>
      <c r="E8" s="30">
        <v>87513.600000000006</v>
      </c>
      <c r="F8" s="31">
        <v>30774.32</v>
      </c>
      <c r="G8" s="22"/>
      <c r="H8" s="22">
        <v>400</v>
      </c>
      <c r="I8" s="22">
        <v>2800</v>
      </c>
      <c r="J8" s="31">
        <v>541.41999999999996</v>
      </c>
      <c r="K8" s="31"/>
      <c r="L8" s="31"/>
      <c r="M8" s="31"/>
      <c r="N8" s="32">
        <f t="shared" ref="N8:N71" si="1">SUM(E8:M8)</f>
        <v>122029.34000000001</v>
      </c>
      <c r="O8" s="16">
        <v>13416.6</v>
      </c>
      <c r="P8" s="20">
        <v>5474.88</v>
      </c>
      <c r="Q8" s="16">
        <f>(86.66*12)</f>
        <v>1039.92</v>
      </c>
      <c r="R8" s="20">
        <v>325.92</v>
      </c>
      <c r="S8" s="16">
        <f t="shared" si="0"/>
        <v>69.72</v>
      </c>
      <c r="T8" s="16">
        <v>135.24</v>
      </c>
      <c r="U8" s="16">
        <f>(18)+(49.98*12)</f>
        <v>617.76</v>
      </c>
      <c r="V8" s="16">
        <f>(179.52)+(12)</f>
        <v>191.52</v>
      </c>
      <c r="W8" s="16"/>
      <c r="X8" s="16"/>
      <c r="Y8" s="16">
        <f>(129.56*12)</f>
        <v>1554.72</v>
      </c>
      <c r="Z8" s="16"/>
      <c r="AA8" s="16"/>
      <c r="AB8" s="16"/>
      <c r="AC8" s="16"/>
      <c r="AD8" s="16">
        <v>6054.39</v>
      </c>
      <c r="AE8" s="16">
        <f>(2141.79+88.98)*12</f>
        <v>26769.239999999998</v>
      </c>
      <c r="AF8" s="16"/>
      <c r="AG8" s="16">
        <v>500</v>
      </c>
      <c r="AH8" s="16"/>
      <c r="AI8" s="9">
        <f t="shared" ref="AI8:AI71" si="2">+N8+O8+Q8+S8+U8+Y8+AC8+AE8+AG8+AA8+W8</f>
        <v>165997.30000000002</v>
      </c>
      <c r="AJ8" s="9">
        <f t="shared" ref="AJ8:AJ71" si="3">+P8+R8+T8+V8+Z8+AD8+AF8+AH8+X8+AB8</f>
        <v>12181.95</v>
      </c>
    </row>
    <row r="9" spans="1:36" x14ac:dyDescent="0.4">
      <c r="A9" s="48"/>
      <c r="B9" s="18"/>
      <c r="C9" s="8"/>
      <c r="D9" s="25">
        <v>19.64</v>
      </c>
      <c r="E9" s="30">
        <v>5499.2</v>
      </c>
      <c r="F9" s="31"/>
      <c r="G9" s="22"/>
      <c r="H9" s="22"/>
      <c r="I9" s="22"/>
      <c r="J9" s="33">
        <v>541.41999999999996</v>
      </c>
      <c r="K9" s="33"/>
      <c r="L9" s="33"/>
      <c r="M9" s="33"/>
      <c r="N9" s="32">
        <f t="shared" si="1"/>
        <v>6040.62</v>
      </c>
      <c r="O9" s="16">
        <v>682.32</v>
      </c>
      <c r="P9" s="20">
        <v>75.84</v>
      </c>
      <c r="Q9" s="16">
        <f>36.2*12</f>
        <v>434.40000000000003</v>
      </c>
      <c r="R9" s="20">
        <v>0</v>
      </c>
      <c r="S9" s="16">
        <f>(5.81)</f>
        <v>5.81</v>
      </c>
      <c r="T9" s="16"/>
      <c r="U9" s="16">
        <f>(24.11)</f>
        <v>24.11</v>
      </c>
      <c r="V9" s="16">
        <f>(3.85)+(2)</f>
        <v>5.85</v>
      </c>
      <c r="W9" s="16"/>
      <c r="X9" s="16"/>
      <c r="Y9" s="16">
        <f>(62.95)</f>
        <v>62.95</v>
      </c>
      <c r="Z9" s="16"/>
      <c r="AA9" s="16"/>
      <c r="AB9" s="16"/>
      <c r="AC9" s="16"/>
      <c r="AD9" s="16"/>
      <c r="AE9" s="16"/>
      <c r="AF9" s="16"/>
      <c r="AG9" s="16">
        <v>0</v>
      </c>
      <c r="AH9" s="16"/>
      <c r="AI9" s="9">
        <f t="shared" si="2"/>
        <v>7250.2099999999991</v>
      </c>
      <c r="AJ9" s="9">
        <f t="shared" si="3"/>
        <v>81.69</v>
      </c>
    </row>
    <row r="10" spans="1:36" x14ac:dyDescent="0.4">
      <c r="A10" s="48"/>
      <c r="B10" s="18"/>
      <c r="C10" s="8"/>
      <c r="D10" s="25">
        <v>36.299999999999997</v>
      </c>
      <c r="E10" s="30">
        <v>70093.210000000006</v>
      </c>
      <c r="F10" s="31">
        <v>18849.25</v>
      </c>
      <c r="G10" s="22"/>
      <c r="H10" s="22">
        <v>400</v>
      </c>
      <c r="I10" s="22">
        <v>2640</v>
      </c>
      <c r="J10" s="33">
        <v>541.41999999999996</v>
      </c>
      <c r="K10" s="33"/>
      <c r="L10" s="33"/>
      <c r="M10" s="33"/>
      <c r="N10" s="32">
        <f t="shared" si="1"/>
        <v>92523.88</v>
      </c>
      <c r="O10" s="16">
        <v>4093.92</v>
      </c>
      <c r="P10" s="20">
        <v>455.04</v>
      </c>
      <c r="Q10" s="16">
        <f>36.2*12</f>
        <v>434.40000000000003</v>
      </c>
      <c r="R10" s="20">
        <v>0</v>
      </c>
      <c r="S10" s="16">
        <f t="shared" si="0"/>
        <v>69.72</v>
      </c>
      <c r="T10" s="16"/>
      <c r="U10" s="16">
        <f>(7.2)+(38.81*12)</f>
        <v>472.92</v>
      </c>
      <c r="V10" s="16">
        <f>(55.44)+(10.8)</f>
        <v>66.239999999999995</v>
      </c>
      <c r="W10" s="16"/>
      <c r="X10" s="16"/>
      <c r="Y10" s="16">
        <f>(100.29*12)</f>
        <v>1203.48</v>
      </c>
      <c r="Z10" s="16"/>
      <c r="AA10" s="16"/>
      <c r="AB10" s="16"/>
      <c r="AC10" s="16"/>
      <c r="AD10" s="16">
        <v>10989.89</v>
      </c>
      <c r="AE10" s="16">
        <f>(1042.96+43.39)*12</f>
        <v>13036.2</v>
      </c>
      <c r="AF10" s="16"/>
      <c r="AG10" s="16">
        <v>500</v>
      </c>
      <c r="AH10" s="16"/>
      <c r="AI10" s="9">
        <f t="shared" si="2"/>
        <v>112334.51999999999</v>
      </c>
      <c r="AJ10" s="9">
        <f t="shared" si="3"/>
        <v>11511.17</v>
      </c>
    </row>
    <row r="11" spans="1:36" x14ac:dyDescent="0.4">
      <c r="A11" s="48"/>
      <c r="B11" s="18"/>
      <c r="C11" s="8"/>
      <c r="D11" s="25">
        <v>40.78</v>
      </c>
      <c r="E11" s="30">
        <v>81938.81</v>
      </c>
      <c r="F11" s="31">
        <v>21607.82</v>
      </c>
      <c r="G11" s="22"/>
      <c r="H11" s="22">
        <v>400</v>
      </c>
      <c r="I11" s="22">
        <v>2680</v>
      </c>
      <c r="J11" s="31">
        <v>541.41999999999996</v>
      </c>
      <c r="K11" s="31"/>
      <c r="L11" s="31"/>
      <c r="M11" s="31"/>
      <c r="N11" s="32">
        <f t="shared" si="1"/>
        <v>107168.05</v>
      </c>
      <c r="O11" s="16">
        <v>13416.6</v>
      </c>
      <c r="P11" s="20">
        <v>5474.88</v>
      </c>
      <c r="Q11" s="16">
        <f>(60.2*12)</f>
        <v>722.40000000000009</v>
      </c>
      <c r="R11" s="20">
        <v>155.28</v>
      </c>
      <c r="S11" s="16">
        <f t="shared" si="0"/>
        <v>69.72</v>
      </c>
      <c r="T11" s="16">
        <v>135.24</v>
      </c>
      <c r="U11" s="16">
        <f>(12)+(45.28*12)</f>
        <v>555.36</v>
      </c>
      <c r="V11" s="16">
        <f>(109.08)+(18)+(24)</f>
        <v>151.07999999999998</v>
      </c>
      <c r="W11" s="16"/>
      <c r="X11" s="16"/>
      <c r="Y11" s="16">
        <f>(118.6*12)</f>
        <v>1423.1999999999998</v>
      </c>
      <c r="Z11" s="16"/>
      <c r="AA11" s="16"/>
      <c r="AB11" s="16">
        <v>422.76</v>
      </c>
      <c r="AC11" s="16"/>
      <c r="AD11" s="16">
        <v>5311.35</v>
      </c>
      <c r="AE11" s="16">
        <f>(1233.28+51.31)*12</f>
        <v>15415.079999999998</v>
      </c>
      <c r="AF11" s="16"/>
      <c r="AG11" s="16">
        <v>500</v>
      </c>
      <c r="AH11" s="16"/>
      <c r="AI11" s="9">
        <f t="shared" si="2"/>
        <v>139270.41</v>
      </c>
      <c r="AJ11" s="9">
        <f t="shared" si="3"/>
        <v>11650.59</v>
      </c>
    </row>
    <row r="12" spans="1:36" x14ac:dyDescent="0.4">
      <c r="A12" s="48"/>
      <c r="B12" s="18"/>
      <c r="C12" s="8"/>
      <c r="D12" s="25">
        <v>34.82</v>
      </c>
      <c r="E12" s="30">
        <v>71507.600000000006</v>
      </c>
      <c r="F12" s="31"/>
      <c r="G12" s="22"/>
      <c r="H12" s="22">
        <v>400</v>
      </c>
      <c r="I12" s="22"/>
      <c r="J12" s="31">
        <v>541.41999999999996</v>
      </c>
      <c r="K12" s="31"/>
      <c r="L12" s="31"/>
      <c r="M12" s="31"/>
      <c r="N12" s="32">
        <f t="shared" si="1"/>
        <v>72449.02</v>
      </c>
      <c r="O12" s="16">
        <v>9765.1200000000008</v>
      </c>
      <c r="P12" s="20">
        <v>3509.04</v>
      </c>
      <c r="Q12" s="16">
        <f>(58.54*12)</f>
        <v>702.48</v>
      </c>
      <c r="R12" s="20">
        <v>144.24</v>
      </c>
      <c r="S12" s="16">
        <f t="shared" si="0"/>
        <v>69.72</v>
      </c>
      <c r="T12" s="16">
        <v>62.76</v>
      </c>
      <c r="U12" s="16">
        <f>(27.6)+(41.75*12)</f>
        <v>528.6</v>
      </c>
      <c r="V12" s="16">
        <f>(110.4)+(338.4)</f>
        <v>448.79999999999995</v>
      </c>
      <c r="W12" s="16"/>
      <c r="X12" s="16"/>
      <c r="Y12" s="16">
        <f>(108.88*12)</f>
        <v>1306.56</v>
      </c>
      <c r="Z12" s="16"/>
      <c r="AA12" s="16"/>
      <c r="AB12" s="16"/>
      <c r="AC12" s="16"/>
      <c r="AD12" s="16">
        <v>8580.86</v>
      </c>
      <c r="AE12" s="16">
        <f>(1800.01+74.78)*12</f>
        <v>22497.48</v>
      </c>
      <c r="AF12" s="16"/>
      <c r="AG12" s="16">
        <v>500</v>
      </c>
      <c r="AH12" s="16"/>
      <c r="AI12" s="9">
        <f t="shared" si="2"/>
        <v>107818.98</v>
      </c>
      <c r="AJ12" s="9">
        <f t="shared" si="3"/>
        <v>12745.7</v>
      </c>
    </row>
    <row r="13" spans="1:36" x14ac:dyDescent="0.4">
      <c r="A13" s="48"/>
      <c r="B13" s="18"/>
      <c r="C13" s="8"/>
      <c r="D13" s="25">
        <v>35.57</v>
      </c>
      <c r="E13" s="30">
        <v>72506</v>
      </c>
      <c r="F13" s="31">
        <v>15926.97</v>
      </c>
      <c r="G13" s="22"/>
      <c r="H13" s="22">
        <v>400</v>
      </c>
      <c r="I13" s="22"/>
      <c r="J13" s="33">
        <v>541.41999999999996</v>
      </c>
      <c r="K13" s="33"/>
      <c r="L13" s="33"/>
      <c r="M13" s="33"/>
      <c r="N13" s="32">
        <f t="shared" si="1"/>
        <v>89374.39</v>
      </c>
      <c r="O13" s="16">
        <v>4093.92</v>
      </c>
      <c r="P13" s="20">
        <v>455.04</v>
      </c>
      <c r="Q13" s="16">
        <f>36.2*12</f>
        <v>434.40000000000003</v>
      </c>
      <c r="R13" s="20">
        <v>0</v>
      </c>
      <c r="S13" s="16">
        <f t="shared" si="0"/>
        <v>69.72</v>
      </c>
      <c r="T13" s="16"/>
      <c r="U13" s="16">
        <f>(42.34*12)</f>
        <v>508.08000000000004</v>
      </c>
      <c r="V13" s="16"/>
      <c r="W13" s="16"/>
      <c r="X13" s="16"/>
      <c r="Y13" s="16">
        <f>(109.62*12)</f>
        <v>1315.44</v>
      </c>
      <c r="Z13" s="16"/>
      <c r="AA13" s="16"/>
      <c r="AB13" s="16">
        <v>377.16</v>
      </c>
      <c r="AC13" s="16"/>
      <c r="AD13" s="16">
        <v>8843.35</v>
      </c>
      <c r="AE13" s="16">
        <f>(1139.95+47.42)*12</f>
        <v>14248.440000000002</v>
      </c>
      <c r="AF13" s="16"/>
      <c r="AG13" s="16">
        <v>500</v>
      </c>
      <c r="AH13" s="16"/>
      <c r="AI13" s="9">
        <f t="shared" si="2"/>
        <v>110544.39</v>
      </c>
      <c r="AJ13" s="9">
        <f t="shared" si="3"/>
        <v>9675.5500000000011</v>
      </c>
    </row>
    <row r="14" spans="1:36" x14ac:dyDescent="0.4">
      <c r="A14" s="48"/>
      <c r="B14" s="18"/>
      <c r="C14" s="8"/>
      <c r="D14" s="25">
        <v>37.03</v>
      </c>
      <c r="E14" s="30">
        <v>75672.399999999994</v>
      </c>
      <c r="F14" s="31">
        <v>8234.16</v>
      </c>
      <c r="G14" s="22">
        <v>1481.2</v>
      </c>
      <c r="H14" s="22">
        <v>400</v>
      </c>
      <c r="I14" s="22"/>
      <c r="J14" s="33">
        <v>541.41999999999996</v>
      </c>
      <c r="K14" s="33"/>
      <c r="L14" s="33"/>
      <c r="M14" s="33"/>
      <c r="N14" s="32">
        <f t="shared" si="1"/>
        <v>86329.18</v>
      </c>
      <c r="O14" s="16">
        <v>4093.92</v>
      </c>
      <c r="P14" s="20">
        <v>455.04</v>
      </c>
      <c r="Q14" s="16">
        <f>36.2*12</f>
        <v>434.40000000000003</v>
      </c>
      <c r="R14" s="20">
        <v>0</v>
      </c>
      <c r="S14" s="16">
        <f t="shared" si="0"/>
        <v>69.72</v>
      </c>
      <c r="T14" s="16"/>
      <c r="U14" s="16">
        <f>(44.1*12)</f>
        <v>529.20000000000005</v>
      </c>
      <c r="V14" s="16">
        <f>(24)</f>
        <v>24</v>
      </c>
      <c r="W14" s="16"/>
      <c r="X14" s="16"/>
      <c r="Y14" s="16">
        <f>(114.68*12)</f>
        <v>1376.16</v>
      </c>
      <c r="Z14" s="16"/>
      <c r="AA14" s="16"/>
      <c r="AB14" s="16"/>
      <c r="AC14" s="16"/>
      <c r="AD14" s="16"/>
      <c r="AE14" s="16">
        <f>(1895.9+78.76)*12</f>
        <v>23695.920000000002</v>
      </c>
      <c r="AF14" s="16"/>
      <c r="AG14" s="16">
        <v>500</v>
      </c>
      <c r="AH14" s="16"/>
      <c r="AI14" s="9">
        <f t="shared" si="2"/>
        <v>117028.49999999999</v>
      </c>
      <c r="AJ14" s="9">
        <f t="shared" si="3"/>
        <v>479.04</v>
      </c>
    </row>
    <row r="15" spans="1:36" x14ac:dyDescent="0.4">
      <c r="A15" s="48"/>
      <c r="B15" s="18"/>
      <c r="C15" s="8"/>
      <c r="D15" s="25">
        <v>30.93</v>
      </c>
      <c r="E15" s="30">
        <v>61396.81</v>
      </c>
      <c r="F15" s="31">
        <v>14114.65</v>
      </c>
      <c r="G15" s="22"/>
      <c r="H15" s="22">
        <v>400</v>
      </c>
      <c r="I15" s="22">
        <v>1320</v>
      </c>
      <c r="J15" s="31">
        <v>541.41999999999996</v>
      </c>
      <c r="K15" s="31"/>
      <c r="L15" s="31"/>
      <c r="M15" s="31"/>
      <c r="N15" s="32">
        <f t="shared" si="1"/>
        <v>77772.87999999999</v>
      </c>
      <c r="O15" s="16">
        <v>8832.84</v>
      </c>
      <c r="P15" s="20">
        <v>3006.72</v>
      </c>
      <c r="Q15" s="16">
        <f>(60.2*12)</f>
        <v>722.40000000000009</v>
      </c>
      <c r="R15" s="20">
        <v>155.28</v>
      </c>
      <c r="S15" s="16">
        <f t="shared" si="0"/>
        <v>69.72</v>
      </c>
      <c r="T15" s="16">
        <v>69.72</v>
      </c>
      <c r="U15" s="16">
        <f>(9.6)+(32.93*12)</f>
        <v>404.76</v>
      </c>
      <c r="V15" s="16">
        <f>(12)</f>
        <v>12</v>
      </c>
      <c r="W15" s="16"/>
      <c r="X15" s="16"/>
      <c r="Y15" s="16">
        <f>(85.77*12)</f>
        <v>1029.24</v>
      </c>
      <c r="Z15" s="16"/>
      <c r="AA15" s="16"/>
      <c r="AB15" s="16"/>
      <c r="AC15" s="16"/>
      <c r="AD15" s="16">
        <v>4609.87</v>
      </c>
      <c r="AE15" s="16">
        <f>(891.97+37.11)*12</f>
        <v>11148.960000000001</v>
      </c>
      <c r="AF15" s="16"/>
      <c r="AG15" s="16">
        <v>500</v>
      </c>
      <c r="AH15" s="16"/>
      <c r="AI15" s="9">
        <f t="shared" si="2"/>
        <v>100480.79999999999</v>
      </c>
      <c r="AJ15" s="9">
        <f t="shared" si="3"/>
        <v>7853.59</v>
      </c>
    </row>
    <row r="16" spans="1:36" x14ac:dyDescent="0.4">
      <c r="A16" s="48"/>
      <c r="B16" s="18"/>
      <c r="C16" s="8"/>
      <c r="D16" s="25">
        <v>19.64</v>
      </c>
      <c r="E16" s="30">
        <v>4713.6000000000004</v>
      </c>
      <c r="F16" s="31"/>
      <c r="G16" s="22"/>
      <c r="H16" s="22"/>
      <c r="I16" s="22"/>
      <c r="J16" s="33">
        <v>541.42999999999995</v>
      </c>
      <c r="K16" s="33"/>
      <c r="L16" s="33"/>
      <c r="M16" s="33"/>
      <c r="N16" s="32">
        <f t="shared" si="1"/>
        <v>5255.0300000000007</v>
      </c>
      <c r="O16" s="16">
        <v>341.16</v>
      </c>
      <c r="P16" s="20">
        <v>37.92</v>
      </c>
      <c r="Q16" s="16">
        <f>36.2*1</f>
        <v>36.200000000000003</v>
      </c>
      <c r="R16" s="20"/>
      <c r="S16" s="16">
        <f>(5.81)</f>
        <v>5.81</v>
      </c>
      <c r="T16" s="16"/>
      <c r="U16" s="16">
        <f>(1.8)+(24.11)</f>
        <v>25.91</v>
      </c>
      <c r="V16" s="16">
        <f>(4.35)+(2)</f>
        <v>6.35</v>
      </c>
      <c r="W16" s="16"/>
      <c r="X16" s="16"/>
      <c r="Y16" s="16">
        <f>(62.95)</f>
        <v>62.95</v>
      </c>
      <c r="Z16" s="16"/>
      <c r="AA16" s="16"/>
      <c r="AB16" s="16"/>
      <c r="AC16" s="16"/>
      <c r="AD16" s="16"/>
      <c r="AE16" s="16"/>
      <c r="AF16" s="16"/>
      <c r="AG16" s="16">
        <v>0</v>
      </c>
      <c r="AH16" s="16"/>
      <c r="AI16" s="9">
        <f t="shared" si="2"/>
        <v>5727.06</v>
      </c>
      <c r="AJ16" s="9">
        <f t="shared" si="3"/>
        <v>44.27</v>
      </c>
    </row>
    <row r="17" spans="1:36" x14ac:dyDescent="0.4">
      <c r="A17" s="48"/>
      <c r="B17" s="43"/>
      <c r="D17" s="25">
        <v>27.06</v>
      </c>
      <c r="E17" s="30">
        <v>35382.06</v>
      </c>
      <c r="F17" s="31"/>
      <c r="G17" s="22"/>
      <c r="H17" s="22">
        <v>400</v>
      </c>
      <c r="I17" s="22"/>
      <c r="J17" s="33">
        <v>0</v>
      </c>
      <c r="K17" s="33"/>
      <c r="L17" s="33"/>
      <c r="M17" s="33"/>
      <c r="N17" s="32">
        <f t="shared" si="1"/>
        <v>35782.06</v>
      </c>
      <c r="O17" s="16"/>
      <c r="P17" s="20">
        <v>2046.94</v>
      </c>
      <c r="Q17" s="16">
        <f>(36.2*8)</f>
        <v>289.60000000000002</v>
      </c>
      <c r="R17" s="20">
        <v>84.14</v>
      </c>
      <c r="S17" s="16">
        <f t="shared" si="0"/>
        <v>69.72</v>
      </c>
      <c r="T17" s="16">
        <v>36.61</v>
      </c>
      <c r="U17" s="16">
        <f>(52.8)+(33.52*12)</f>
        <v>455.04</v>
      </c>
      <c r="V17" s="16">
        <v>308</v>
      </c>
      <c r="W17" s="16"/>
      <c r="X17" s="16">
        <v>231.42</v>
      </c>
      <c r="Y17" s="16">
        <f>(86.74*12)</f>
        <v>1040.8799999999999</v>
      </c>
      <c r="Z17" s="16"/>
      <c r="AA17" s="16"/>
      <c r="AB17" s="16"/>
      <c r="AC17" s="16"/>
      <c r="AD17" s="16"/>
      <c r="AE17" s="16">
        <f>(1433.86+59.57)*8</f>
        <v>11947.439999999999</v>
      </c>
      <c r="AF17" s="16"/>
      <c r="AG17" s="16">
        <v>500</v>
      </c>
      <c r="AH17" s="16"/>
      <c r="AI17" s="9">
        <f t="shared" si="2"/>
        <v>50084.739999999991</v>
      </c>
      <c r="AJ17" s="9">
        <f t="shared" si="3"/>
        <v>2707.11</v>
      </c>
    </row>
    <row r="18" spans="1:36" x14ac:dyDescent="0.4">
      <c r="A18" s="48"/>
      <c r="B18" s="18"/>
      <c r="C18" s="8"/>
      <c r="D18" s="25">
        <v>45.48</v>
      </c>
      <c r="E18" s="30">
        <v>92254.8</v>
      </c>
      <c r="F18" s="31">
        <v>13885.12</v>
      </c>
      <c r="G18" s="22"/>
      <c r="H18" s="22">
        <v>400</v>
      </c>
      <c r="I18" s="22">
        <v>2400</v>
      </c>
      <c r="J18" s="31">
        <v>541.41999999999996</v>
      </c>
      <c r="K18" s="31"/>
      <c r="L18" s="31"/>
      <c r="M18" s="31"/>
      <c r="N18" s="32">
        <f t="shared" si="1"/>
        <v>109481.34</v>
      </c>
      <c r="O18" s="16">
        <v>4093.92</v>
      </c>
      <c r="P18" s="20">
        <v>455.04</v>
      </c>
      <c r="Q18" s="16">
        <f>36.2*12</f>
        <v>434.40000000000003</v>
      </c>
      <c r="R18" s="20"/>
      <c r="S18" s="16">
        <f t="shared" si="0"/>
        <v>69.72</v>
      </c>
      <c r="T18" s="16"/>
      <c r="U18" s="16">
        <f>(53.51*12)</f>
        <v>642.12</v>
      </c>
      <c r="V18" s="16"/>
      <c r="W18" s="16"/>
      <c r="X18" s="16">
        <v>252.12</v>
      </c>
      <c r="Y18" s="16">
        <f>(138.82*12)</f>
        <v>1665.84</v>
      </c>
      <c r="Z18" s="16"/>
      <c r="AA18" s="16"/>
      <c r="AB18" s="16"/>
      <c r="AC18" s="16"/>
      <c r="AD18" s="16">
        <v>5426.99</v>
      </c>
      <c r="AE18" s="16">
        <f>(2294.92+95.34)*12</f>
        <v>28683.120000000003</v>
      </c>
      <c r="AF18" s="16"/>
      <c r="AG18" s="16">
        <v>500</v>
      </c>
      <c r="AH18" s="16"/>
      <c r="AI18" s="9">
        <f t="shared" si="2"/>
        <v>145570.46</v>
      </c>
      <c r="AJ18" s="9">
        <f t="shared" si="3"/>
        <v>6134.15</v>
      </c>
    </row>
    <row r="19" spans="1:36" x14ac:dyDescent="0.4">
      <c r="A19" s="48"/>
      <c r="B19" s="18"/>
      <c r="C19" s="8"/>
      <c r="D19" s="25">
        <v>39.520000000000003</v>
      </c>
      <c r="E19" s="30">
        <v>80171.199999999997</v>
      </c>
      <c r="F19" s="31">
        <v>12533.88</v>
      </c>
      <c r="G19" s="22"/>
      <c r="H19" s="22">
        <v>400</v>
      </c>
      <c r="I19" s="22">
        <v>2040</v>
      </c>
      <c r="J19" s="31">
        <v>541.41999999999996</v>
      </c>
      <c r="K19" s="31"/>
      <c r="L19" s="31"/>
      <c r="M19" s="31"/>
      <c r="N19" s="32">
        <f t="shared" si="1"/>
        <v>95686.5</v>
      </c>
      <c r="O19" s="16">
        <v>4093.92</v>
      </c>
      <c r="P19" s="20">
        <v>455.04</v>
      </c>
      <c r="Q19" s="16">
        <f>36.2*12</f>
        <v>434.40000000000003</v>
      </c>
      <c r="R19" s="20"/>
      <c r="S19" s="16">
        <f t="shared" si="0"/>
        <v>69.72</v>
      </c>
      <c r="T19" s="16"/>
      <c r="U19" s="16">
        <f>(45.86*12)</f>
        <v>550.31999999999994</v>
      </c>
      <c r="V19" s="16">
        <v>471.72</v>
      </c>
      <c r="W19" s="16"/>
      <c r="X19" s="16">
        <v>252.12</v>
      </c>
      <c r="Y19" s="16">
        <f>(120.04*12)</f>
        <v>1440.48</v>
      </c>
      <c r="Z19" s="16"/>
      <c r="AA19" s="16"/>
      <c r="AB19" s="16"/>
      <c r="AC19" s="16"/>
      <c r="AD19" s="16">
        <v>1894.88</v>
      </c>
      <c r="AE19" s="16">
        <f>(1984.4+82.44)*12</f>
        <v>24802.080000000002</v>
      </c>
      <c r="AF19" s="16"/>
      <c r="AG19" s="16">
        <v>500</v>
      </c>
      <c r="AH19" s="16"/>
      <c r="AI19" s="9">
        <f t="shared" si="2"/>
        <v>127577.42</v>
      </c>
      <c r="AJ19" s="9">
        <f t="shared" si="3"/>
        <v>3073.76</v>
      </c>
    </row>
    <row r="20" spans="1:36" x14ac:dyDescent="0.4">
      <c r="A20" s="48"/>
      <c r="B20" s="18"/>
      <c r="C20" s="8"/>
      <c r="D20" s="25">
        <v>21.17</v>
      </c>
      <c r="E20" s="30">
        <v>42468.75</v>
      </c>
      <c r="F20" s="31">
        <v>15.41</v>
      </c>
      <c r="G20" s="22"/>
      <c r="H20" s="22">
        <v>400</v>
      </c>
      <c r="I20" s="22"/>
      <c r="J20" s="31">
        <v>541.41999999999996</v>
      </c>
      <c r="K20" s="31"/>
      <c r="L20" s="31"/>
      <c r="M20" s="31"/>
      <c r="N20" s="32">
        <f t="shared" si="1"/>
        <v>43425.58</v>
      </c>
      <c r="O20" s="16">
        <v>8832.84</v>
      </c>
      <c r="P20" s="20">
        <f>(37.92)+(2756.16)</f>
        <v>2794.08</v>
      </c>
      <c r="Q20" s="16">
        <f>(60.2*12)</f>
        <v>722.40000000000009</v>
      </c>
      <c r="R20" s="20">
        <v>155.28</v>
      </c>
      <c r="S20" s="16">
        <f t="shared" si="0"/>
        <v>69.72</v>
      </c>
      <c r="T20" s="16">
        <v>69.72</v>
      </c>
      <c r="U20" s="16">
        <f>(25.28*12)</f>
        <v>303.36</v>
      </c>
      <c r="V20" s="16">
        <f>(48.48)+(24)</f>
        <v>72.47999999999999</v>
      </c>
      <c r="W20" s="16"/>
      <c r="X20" s="16"/>
      <c r="Y20" s="16">
        <f>(65.87*12)</f>
        <v>790.44</v>
      </c>
      <c r="Z20" s="16"/>
      <c r="AA20" s="16"/>
      <c r="AB20" s="16"/>
      <c r="AC20" s="16"/>
      <c r="AD20" s="16">
        <v>424.84</v>
      </c>
      <c r="AE20" s="16">
        <f>(684.97+28.5)*12</f>
        <v>8561.64</v>
      </c>
      <c r="AF20" s="16"/>
      <c r="AG20" s="16">
        <v>500</v>
      </c>
      <c r="AH20" s="16"/>
      <c r="AI20" s="9">
        <f t="shared" si="2"/>
        <v>63205.98</v>
      </c>
      <c r="AJ20" s="9">
        <f t="shared" si="3"/>
        <v>3516.4</v>
      </c>
    </row>
    <row r="21" spans="1:36" x14ac:dyDescent="0.4">
      <c r="A21" s="48"/>
      <c r="B21" s="18"/>
      <c r="C21" s="8"/>
      <c r="D21" s="25">
        <v>40.49</v>
      </c>
      <c r="E21" s="30">
        <v>82739.600000000006</v>
      </c>
      <c r="F21" s="31">
        <v>4479.09</v>
      </c>
      <c r="G21" s="22"/>
      <c r="H21" s="22">
        <v>400</v>
      </c>
      <c r="I21" s="22"/>
      <c r="J21" s="31">
        <v>541.41999999999996</v>
      </c>
      <c r="K21" s="31"/>
      <c r="L21" s="31"/>
      <c r="M21" s="31"/>
      <c r="N21" s="32">
        <f t="shared" si="1"/>
        <v>88160.11</v>
      </c>
      <c r="O21" s="16">
        <v>8832.84</v>
      </c>
      <c r="P21" s="20">
        <v>3006.72</v>
      </c>
      <c r="Q21" s="16">
        <f>(60.2*12)</f>
        <v>722.40000000000009</v>
      </c>
      <c r="R21" s="20">
        <v>155.28</v>
      </c>
      <c r="S21" s="16">
        <f t="shared" si="0"/>
        <v>69.72</v>
      </c>
      <c r="T21" s="16">
        <v>69.72</v>
      </c>
      <c r="U21" s="16">
        <f>(27.6)+(48.22*12)</f>
        <v>606.24</v>
      </c>
      <c r="V21" s="16">
        <f>(177.12)+(24)</f>
        <v>201.12</v>
      </c>
      <c r="W21" s="16"/>
      <c r="X21" s="16">
        <v>497.04</v>
      </c>
      <c r="Y21" s="16">
        <f>(125.39*12)</f>
        <v>1504.68</v>
      </c>
      <c r="Z21" s="16"/>
      <c r="AA21" s="16"/>
      <c r="AB21" s="16"/>
      <c r="AC21" s="16"/>
      <c r="AD21" s="16">
        <f>(6977.55)+(2095.58)</f>
        <v>9073.130000000001</v>
      </c>
      <c r="AE21" s="16">
        <f>(2072.9+86.12)*12</f>
        <v>25908.239999999998</v>
      </c>
      <c r="AF21" s="16"/>
      <c r="AG21" s="16">
        <v>500</v>
      </c>
      <c r="AH21" s="16"/>
      <c r="AI21" s="9">
        <f t="shared" si="2"/>
        <v>126304.22999999998</v>
      </c>
      <c r="AJ21" s="9">
        <f t="shared" si="3"/>
        <v>13003.010000000002</v>
      </c>
    </row>
    <row r="22" spans="1:36" x14ac:dyDescent="0.4">
      <c r="A22" s="48"/>
      <c r="B22" s="18"/>
      <c r="C22" s="8"/>
      <c r="D22" s="25">
        <v>33.46</v>
      </c>
      <c r="E22" s="30">
        <v>66759.89</v>
      </c>
      <c r="F22" s="31"/>
      <c r="G22" s="22"/>
      <c r="H22" s="22">
        <v>400</v>
      </c>
      <c r="I22" s="22"/>
      <c r="J22" s="31">
        <v>541.41999999999996</v>
      </c>
      <c r="K22" s="31"/>
      <c r="L22" s="31"/>
      <c r="M22" s="31"/>
      <c r="N22" s="32">
        <f t="shared" si="1"/>
        <v>67701.31</v>
      </c>
      <c r="O22" s="16">
        <v>4093.92</v>
      </c>
      <c r="P22" s="20">
        <v>455.04</v>
      </c>
      <c r="Q22" s="16">
        <f>36.2*12</f>
        <v>434.40000000000003</v>
      </c>
      <c r="R22" s="20"/>
      <c r="S22" s="16">
        <f t="shared" si="0"/>
        <v>69.72</v>
      </c>
      <c r="T22" s="16"/>
      <c r="U22" s="16">
        <f>(41.16*12)</f>
        <v>493.91999999999996</v>
      </c>
      <c r="V22" s="16">
        <v>88</v>
      </c>
      <c r="W22" s="16"/>
      <c r="X22" s="16">
        <v>252.12</v>
      </c>
      <c r="Y22" s="16">
        <f>(107.25*12)</f>
        <v>1287</v>
      </c>
      <c r="Z22" s="16"/>
      <c r="AA22" s="16"/>
      <c r="AB22" s="16">
        <v>882</v>
      </c>
      <c r="AC22" s="16"/>
      <c r="AD22" s="16">
        <v>3960.63</v>
      </c>
      <c r="AE22" s="16"/>
      <c r="AF22" s="16"/>
      <c r="AG22" s="16">
        <v>500</v>
      </c>
      <c r="AH22" s="16"/>
      <c r="AI22" s="9">
        <f t="shared" si="2"/>
        <v>74580.26999999999</v>
      </c>
      <c r="AJ22" s="9">
        <f t="shared" si="3"/>
        <v>5637.79</v>
      </c>
    </row>
    <row r="23" spans="1:36" x14ac:dyDescent="0.4">
      <c r="A23" s="48"/>
      <c r="B23" s="18"/>
      <c r="C23" s="8"/>
      <c r="D23" s="25">
        <v>38.94</v>
      </c>
      <c r="E23" s="30">
        <v>76491.600000000006</v>
      </c>
      <c r="F23" s="31">
        <v>21153.63</v>
      </c>
      <c r="G23" s="22"/>
      <c r="H23" s="22">
        <v>400</v>
      </c>
      <c r="I23" s="22">
        <v>2960</v>
      </c>
      <c r="J23" s="31">
        <v>541.41999999999996</v>
      </c>
      <c r="K23" s="31"/>
      <c r="L23" s="31"/>
      <c r="M23" s="31"/>
      <c r="N23" s="32">
        <f t="shared" si="1"/>
        <v>101546.65000000001</v>
      </c>
      <c r="O23" s="16">
        <v>4093.92</v>
      </c>
      <c r="P23" s="20">
        <v>455.04</v>
      </c>
      <c r="Q23" s="16">
        <f>36.2*12</f>
        <v>434.40000000000003</v>
      </c>
      <c r="R23" s="20"/>
      <c r="S23" s="16">
        <f t="shared" si="0"/>
        <v>69.72</v>
      </c>
      <c r="T23" s="16"/>
      <c r="U23" s="16">
        <f>(42.92*12)</f>
        <v>515.04</v>
      </c>
      <c r="V23" s="16"/>
      <c r="W23" s="16"/>
      <c r="X23" s="16"/>
      <c r="Y23" s="16">
        <f>(111.45*12)</f>
        <v>1337.4</v>
      </c>
      <c r="Z23" s="16"/>
      <c r="AA23" s="16"/>
      <c r="AB23" s="16"/>
      <c r="AC23" s="16"/>
      <c r="AD23" s="16">
        <v>4024.2</v>
      </c>
      <c r="AE23" s="16">
        <f>(1158.96+48.21)*12</f>
        <v>14486.04</v>
      </c>
      <c r="AF23" s="16"/>
      <c r="AG23" s="16">
        <v>500</v>
      </c>
      <c r="AH23" s="16"/>
      <c r="AI23" s="9">
        <f t="shared" si="2"/>
        <v>122983.16999999998</v>
      </c>
      <c r="AJ23" s="9">
        <f t="shared" si="3"/>
        <v>4479.24</v>
      </c>
    </row>
    <row r="24" spans="1:36" x14ac:dyDescent="0.4">
      <c r="A24" s="48"/>
      <c r="B24" s="18"/>
      <c r="C24" s="8"/>
      <c r="D24" s="25">
        <v>36.299999999999997</v>
      </c>
      <c r="E24" s="30">
        <v>70093.22</v>
      </c>
      <c r="F24" s="33">
        <v>13884.97</v>
      </c>
      <c r="G24" s="22"/>
      <c r="H24" s="22">
        <v>400</v>
      </c>
      <c r="I24" s="22">
        <v>2320</v>
      </c>
      <c r="J24" s="31">
        <v>541.41999999999996</v>
      </c>
      <c r="K24" s="31"/>
      <c r="L24" s="31"/>
      <c r="M24" s="31"/>
      <c r="N24" s="32">
        <f t="shared" si="1"/>
        <v>87239.61</v>
      </c>
      <c r="O24" s="16">
        <v>13416.6</v>
      </c>
      <c r="P24" s="20">
        <v>5474.88</v>
      </c>
      <c r="Q24" s="16">
        <f>(86.66*12)</f>
        <v>1039.92</v>
      </c>
      <c r="R24" s="20">
        <v>325.92</v>
      </c>
      <c r="S24" s="16">
        <f t="shared" si="0"/>
        <v>69.72</v>
      </c>
      <c r="T24" s="16">
        <v>135.24</v>
      </c>
      <c r="U24" s="16">
        <f>(7.2)+(38.81*12)</f>
        <v>472.92</v>
      </c>
      <c r="V24" s="16">
        <f>(55.44)+(10.8)+(24)</f>
        <v>90.24</v>
      </c>
      <c r="W24" s="16"/>
      <c r="X24" s="16"/>
      <c r="Y24" s="16">
        <f>(100.29*12)</f>
        <v>1203.48</v>
      </c>
      <c r="Z24" s="16"/>
      <c r="AA24" s="16"/>
      <c r="AB24" s="16"/>
      <c r="AC24" s="16"/>
      <c r="AD24" s="16">
        <v>1725.97</v>
      </c>
      <c r="AE24" s="16">
        <f>(1042.96+43.39)*12</f>
        <v>13036.2</v>
      </c>
      <c r="AF24" s="16"/>
      <c r="AG24" s="16">
        <v>500</v>
      </c>
      <c r="AH24" s="16"/>
      <c r="AI24" s="9">
        <f t="shared" si="2"/>
        <v>116978.45</v>
      </c>
      <c r="AJ24" s="9">
        <f t="shared" si="3"/>
        <v>7752.25</v>
      </c>
    </row>
    <row r="25" spans="1:36" x14ac:dyDescent="0.4">
      <c r="A25" s="48"/>
      <c r="B25" s="18"/>
      <c r="C25" s="8"/>
      <c r="D25" s="25">
        <v>35.49</v>
      </c>
      <c r="E25" s="30">
        <v>68818.81</v>
      </c>
      <c r="F25" s="33">
        <v>14494.78</v>
      </c>
      <c r="G25" s="22"/>
      <c r="H25" s="22">
        <v>400</v>
      </c>
      <c r="I25" s="22">
        <v>2800</v>
      </c>
      <c r="J25" s="31">
        <v>541.41999999999996</v>
      </c>
      <c r="K25" s="31"/>
      <c r="L25" s="31"/>
      <c r="M25" s="31"/>
      <c r="N25" s="32">
        <f t="shared" si="1"/>
        <v>87055.01</v>
      </c>
      <c r="O25" s="16">
        <v>8832.84</v>
      </c>
      <c r="P25" s="20">
        <v>3006.72</v>
      </c>
      <c r="Q25" s="16">
        <f>(60.2*12)</f>
        <v>722.40000000000009</v>
      </c>
      <c r="R25" s="20">
        <v>155.28</v>
      </c>
      <c r="S25" s="16">
        <f t="shared" si="0"/>
        <v>69.72</v>
      </c>
      <c r="T25" s="16">
        <v>69.72</v>
      </c>
      <c r="U25" s="16">
        <f>(9.6)+(38.22*12)</f>
        <v>468.24</v>
      </c>
      <c r="V25" s="16">
        <f>(73.32)+(14.4)+(24)</f>
        <v>111.72</v>
      </c>
      <c r="W25" s="16"/>
      <c r="X25" s="16"/>
      <c r="Y25" s="16">
        <f>(98.92*12)</f>
        <v>1187.04</v>
      </c>
      <c r="Z25" s="16"/>
      <c r="AA25" s="16"/>
      <c r="AB25" s="16"/>
      <c r="AC25" s="16"/>
      <c r="AD25" s="16"/>
      <c r="AE25" s="16">
        <f>(1028.63+42.79)*12</f>
        <v>12857.04</v>
      </c>
      <c r="AF25" s="16"/>
      <c r="AG25" s="16">
        <v>500</v>
      </c>
      <c r="AH25" s="16"/>
      <c r="AI25" s="9">
        <f t="shared" si="2"/>
        <v>111692.28999999998</v>
      </c>
      <c r="AJ25" s="9">
        <f t="shared" si="3"/>
        <v>3343.4399999999996</v>
      </c>
    </row>
    <row r="26" spans="1:36" x14ac:dyDescent="0.4">
      <c r="A26" s="48"/>
      <c r="B26" s="18"/>
      <c r="C26" s="8"/>
      <c r="D26" s="25">
        <v>27.94</v>
      </c>
      <c r="E26" s="30">
        <v>27716.48</v>
      </c>
      <c r="F26" s="33"/>
      <c r="G26" s="22"/>
      <c r="H26" s="22">
        <v>0</v>
      </c>
      <c r="I26" s="22"/>
      <c r="J26" s="31">
        <v>541.41999999999996</v>
      </c>
      <c r="K26" s="31"/>
      <c r="L26" s="31"/>
      <c r="M26" s="31"/>
      <c r="N26" s="32">
        <f t="shared" si="1"/>
        <v>28257.899999999998</v>
      </c>
      <c r="O26" s="16">
        <v>2046.96</v>
      </c>
      <c r="P26" s="20">
        <v>227.52</v>
      </c>
      <c r="Q26" s="16">
        <f>36.2*5</f>
        <v>181</v>
      </c>
      <c r="R26" s="20"/>
      <c r="S26" s="16">
        <f t="shared" si="0"/>
        <v>69.72</v>
      </c>
      <c r="T26" s="16"/>
      <c r="U26" s="16">
        <f>(34.69*9)</f>
        <v>312.20999999999998</v>
      </c>
      <c r="V26" s="16">
        <v>8.5500000000000007</v>
      </c>
      <c r="W26" s="16"/>
      <c r="X26" s="16"/>
      <c r="Y26" s="16">
        <f>(89.56*9)</f>
        <v>806.04</v>
      </c>
      <c r="Z26" s="16"/>
      <c r="AA26" s="16"/>
      <c r="AB26" s="16"/>
      <c r="AC26" s="16"/>
      <c r="AD26" s="16"/>
      <c r="AE26" s="16"/>
      <c r="AF26" s="16"/>
      <c r="AG26" s="16">
        <v>0</v>
      </c>
      <c r="AH26" s="16"/>
      <c r="AI26" s="9">
        <f t="shared" si="2"/>
        <v>31673.829999999998</v>
      </c>
      <c r="AJ26" s="9">
        <f t="shared" si="3"/>
        <v>236.07000000000002</v>
      </c>
    </row>
    <row r="27" spans="1:36" x14ac:dyDescent="0.4">
      <c r="A27" s="48"/>
      <c r="B27" s="18"/>
      <c r="C27" s="8"/>
      <c r="D27" s="25">
        <v>41.76</v>
      </c>
      <c r="E27" s="30">
        <v>84506.4</v>
      </c>
      <c r="F27" s="33">
        <v>38745.78</v>
      </c>
      <c r="G27" s="22">
        <f>(11874)+(1670.4)</f>
        <v>13544.4</v>
      </c>
      <c r="H27" s="22">
        <v>400</v>
      </c>
      <c r="I27" s="22">
        <v>4600</v>
      </c>
      <c r="J27" s="31">
        <v>541.42999999999995</v>
      </c>
      <c r="K27" s="31"/>
      <c r="L27" s="31"/>
      <c r="M27" s="31"/>
      <c r="N27" s="32">
        <f t="shared" si="1"/>
        <v>142338.00999999998</v>
      </c>
      <c r="O27" s="16">
        <v>9765.1200000000008</v>
      </c>
      <c r="P27" s="20">
        <v>3509.04</v>
      </c>
      <c r="Q27" s="16">
        <f>(58.54*12)</f>
        <v>702.48</v>
      </c>
      <c r="R27" s="20">
        <v>144.24</v>
      </c>
      <c r="S27" s="16">
        <f t="shared" si="0"/>
        <v>69.72</v>
      </c>
      <c r="T27" s="16">
        <v>62.76</v>
      </c>
      <c r="U27" s="16">
        <f>(51.6)+(48.8*12)</f>
        <v>637.19999999999993</v>
      </c>
      <c r="V27" s="16">
        <f>(501.96)+(280.8)+(858.24)</f>
        <v>1641</v>
      </c>
      <c r="W27" s="16"/>
      <c r="X27" s="16">
        <v>396.72</v>
      </c>
      <c r="Y27" s="16">
        <f>(126.86*12)</f>
        <v>1522.32</v>
      </c>
      <c r="Z27" s="16"/>
      <c r="AA27" s="16"/>
      <c r="AB27" s="16"/>
      <c r="AC27" s="16"/>
      <c r="AD27" s="16"/>
      <c r="AE27" s="16">
        <f>(2097.25+87.13)*12</f>
        <v>26212.560000000001</v>
      </c>
      <c r="AF27" s="16"/>
      <c r="AG27" s="16">
        <v>500</v>
      </c>
      <c r="AH27" s="16"/>
      <c r="AI27" s="9">
        <f t="shared" si="2"/>
        <v>181747.41</v>
      </c>
      <c r="AJ27" s="9">
        <f t="shared" si="3"/>
        <v>5753.76</v>
      </c>
    </row>
    <row r="28" spans="1:36" x14ac:dyDescent="0.4">
      <c r="A28" s="48"/>
      <c r="B28" s="18"/>
      <c r="C28" s="8"/>
      <c r="D28" s="25">
        <v>23.62</v>
      </c>
      <c r="E28" s="30">
        <v>48503.199999999997</v>
      </c>
      <c r="F28" s="33">
        <v>708.47799999999995</v>
      </c>
      <c r="G28" s="22"/>
      <c r="H28" s="22">
        <v>400</v>
      </c>
      <c r="I28" s="22"/>
      <c r="J28" s="31">
        <v>541.41999999999996</v>
      </c>
      <c r="K28" s="31"/>
      <c r="L28" s="31"/>
      <c r="M28" s="31"/>
      <c r="N28" s="32">
        <f t="shared" si="1"/>
        <v>50153.097999999998</v>
      </c>
      <c r="O28" s="16">
        <v>4093.92</v>
      </c>
      <c r="P28" s="20">
        <v>455.04</v>
      </c>
      <c r="Q28" s="16">
        <f>36.2*12</f>
        <v>434.40000000000003</v>
      </c>
      <c r="R28" s="20"/>
      <c r="S28" s="16">
        <f t="shared" si="0"/>
        <v>69.72</v>
      </c>
      <c r="T28" s="16"/>
      <c r="U28" s="16">
        <f>(28.22*12)</f>
        <v>338.64</v>
      </c>
      <c r="V28" s="16"/>
      <c r="W28" s="16"/>
      <c r="X28" s="16">
        <v>252.12</v>
      </c>
      <c r="Y28" s="16">
        <f>(73.85*12)</f>
        <v>886.19999999999993</v>
      </c>
      <c r="Z28" s="16"/>
      <c r="AA28" s="16"/>
      <c r="AB28" s="16">
        <v>348.48</v>
      </c>
      <c r="AC28" s="16"/>
      <c r="AD28" s="16"/>
      <c r="AE28" s="16">
        <f>(1220.84+50.72)*12</f>
        <v>15258.72</v>
      </c>
      <c r="AF28" s="16"/>
      <c r="AG28" s="16">
        <v>500</v>
      </c>
      <c r="AH28" s="16"/>
      <c r="AI28" s="9">
        <f t="shared" si="2"/>
        <v>71734.697999999989</v>
      </c>
      <c r="AJ28" s="9">
        <f t="shared" si="3"/>
        <v>1055.6400000000001</v>
      </c>
    </row>
    <row r="29" spans="1:36" x14ac:dyDescent="0.4">
      <c r="A29" s="48"/>
      <c r="B29" s="18"/>
      <c r="C29" s="8"/>
      <c r="D29" s="25">
        <v>44.39</v>
      </c>
      <c r="E29" s="30">
        <v>90484.42</v>
      </c>
      <c r="F29" s="33"/>
      <c r="G29" s="22"/>
      <c r="H29" s="22">
        <v>400</v>
      </c>
      <c r="I29" s="22"/>
      <c r="J29" s="31">
        <v>541.41999999999996</v>
      </c>
      <c r="K29" s="31"/>
      <c r="L29" s="31"/>
      <c r="M29" s="31"/>
      <c r="N29" s="32">
        <f t="shared" si="1"/>
        <v>91425.84</v>
      </c>
      <c r="O29" s="16">
        <v>4093.92</v>
      </c>
      <c r="P29" s="20">
        <v>455.04</v>
      </c>
      <c r="Q29" s="16">
        <f>(60.2*12)</f>
        <v>722.40000000000009</v>
      </c>
      <c r="R29" s="20">
        <v>155.28</v>
      </c>
      <c r="S29" s="16">
        <f t="shared" si="0"/>
        <v>69.72</v>
      </c>
      <c r="T29" s="16"/>
      <c r="U29" s="16">
        <f>(7.2)+(48.22*12)</f>
        <v>585.84</v>
      </c>
      <c r="V29" s="16">
        <v>10.8</v>
      </c>
      <c r="W29" s="16"/>
      <c r="X29" s="16"/>
      <c r="Y29" s="16">
        <f>(125.52*12)</f>
        <v>1506.24</v>
      </c>
      <c r="Z29" s="16"/>
      <c r="AA29" s="16"/>
      <c r="AB29" s="16"/>
      <c r="AC29" s="16"/>
      <c r="AD29" s="16">
        <v>13572.66</v>
      </c>
      <c r="AE29" s="16">
        <f>(1305.28+54.3)</f>
        <v>1359.58</v>
      </c>
      <c r="AF29" s="16"/>
      <c r="AG29" s="16">
        <v>500</v>
      </c>
      <c r="AH29" s="16"/>
      <c r="AI29" s="9">
        <f t="shared" si="2"/>
        <v>100263.54</v>
      </c>
      <c r="AJ29" s="9">
        <f t="shared" si="3"/>
        <v>14193.78</v>
      </c>
    </row>
    <row r="30" spans="1:36" x14ac:dyDescent="0.4">
      <c r="A30" s="48"/>
      <c r="B30" s="18"/>
      <c r="C30" s="8"/>
      <c r="D30" s="25">
        <v>42.24</v>
      </c>
      <c r="E30" s="30">
        <v>83992.8</v>
      </c>
      <c r="F30" s="33">
        <v>18693.810000000001</v>
      </c>
      <c r="G30" s="22"/>
      <c r="H30" s="22">
        <v>400</v>
      </c>
      <c r="I30" s="22">
        <v>3040</v>
      </c>
      <c r="J30" s="31">
        <v>541.41999999999996</v>
      </c>
      <c r="K30" s="31"/>
      <c r="L30" s="31"/>
      <c r="M30" s="31"/>
      <c r="N30" s="32">
        <f t="shared" si="1"/>
        <v>106668.03</v>
      </c>
      <c r="O30" s="16">
        <v>4093.92</v>
      </c>
      <c r="P30" s="20">
        <v>455.04</v>
      </c>
      <c r="Q30" s="16">
        <f>36.2*12</f>
        <v>434.40000000000003</v>
      </c>
      <c r="R30" s="20"/>
      <c r="S30" s="16">
        <f t="shared" si="0"/>
        <v>69.72</v>
      </c>
      <c r="T30" s="16"/>
      <c r="U30" s="16">
        <f>(27.6)+(47.63*12)</f>
        <v>599.16000000000008</v>
      </c>
      <c r="V30" s="16">
        <f>(262.44)+(41.4)+(12)</f>
        <v>315.83999999999997</v>
      </c>
      <c r="W30" s="16"/>
      <c r="X30" s="16"/>
      <c r="Y30" s="16">
        <f>(123.92*12)</f>
        <v>1487.04</v>
      </c>
      <c r="Z30" s="16"/>
      <c r="AA30" s="16"/>
      <c r="AB30" s="16"/>
      <c r="AC30" s="16"/>
      <c r="AD30" s="16">
        <v>3171.8</v>
      </c>
      <c r="AE30" s="16">
        <f>(1288.62+53.61)*12</f>
        <v>16106.759999999998</v>
      </c>
      <c r="AF30" s="16"/>
      <c r="AG30" s="16">
        <v>500</v>
      </c>
      <c r="AH30" s="16"/>
      <c r="AI30" s="9">
        <f t="shared" si="2"/>
        <v>129959.02999999998</v>
      </c>
      <c r="AJ30" s="9">
        <f t="shared" si="3"/>
        <v>3942.6800000000003</v>
      </c>
    </row>
    <row r="31" spans="1:36" x14ac:dyDescent="0.4">
      <c r="A31" s="48"/>
      <c r="B31" s="18"/>
      <c r="C31" s="8"/>
      <c r="D31" s="25">
        <v>32.549999999999997</v>
      </c>
      <c r="E31" s="30">
        <v>65868</v>
      </c>
      <c r="F31" s="33">
        <v>4466.09</v>
      </c>
      <c r="G31" s="22"/>
      <c r="H31" s="22">
        <v>400</v>
      </c>
      <c r="I31" s="22"/>
      <c r="J31" s="31">
        <v>541.41999999999996</v>
      </c>
      <c r="K31" s="31"/>
      <c r="L31" s="31"/>
      <c r="M31" s="31"/>
      <c r="N31" s="32">
        <f t="shared" si="1"/>
        <v>71275.509999999995</v>
      </c>
      <c r="O31" s="16">
        <v>13416.6</v>
      </c>
      <c r="P31" s="20">
        <v>5474.88</v>
      </c>
      <c r="Q31" s="16">
        <f>(86.66*12)</f>
        <v>1039.92</v>
      </c>
      <c r="R31" s="20">
        <v>325.92</v>
      </c>
      <c r="S31" s="16">
        <f t="shared" si="0"/>
        <v>69.72</v>
      </c>
      <c r="T31" s="16">
        <v>135.24</v>
      </c>
      <c r="U31" s="16">
        <f>(12)+(38.22*12)</f>
        <v>470.64</v>
      </c>
      <c r="V31" s="16">
        <f>(92.04)+(18)+(12)</f>
        <v>122.04</v>
      </c>
      <c r="W31" s="16"/>
      <c r="X31" s="16"/>
      <c r="Y31" s="16">
        <f>(98.8*12)</f>
        <v>1185.5999999999999</v>
      </c>
      <c r="Z31" s="16"/>
      <c r="AA31" s="16"/>
      <c r="AB31" s="16"/>
      <c r="AC31" s="16"/>
      <c r="AD31" s="16">
        <v>4220.03</v>
      </c>
      <c r="AE31" s="16">
        <f>(1028.29+42.78)*12</f>
        <v>12852.84</v>
      </c>
      <c r="AF31" s="16"/>
      <c r="AG31" s="16">
        <v>500</v>
      </c>
      <c r="AH31" s="16"/>
      <c r="AI31" s="9">
        <f t="shared" si="2"/>
        <v>100810.83</v>
      </c>
      <c r="AJ31" s="9">
        <f t="shared" si="3"/>
        <v>10278.11</v>
      </c>
    </row>
    <row r="32" spans="1:36" x14ac:dyDescent="0.4">
      <c r="A32" s="48"/>
      <c r="B32" s="18"/>
      <c r="C32" s="8"/>
      <c r="D32" s="25">
        <v>27.55</v>
      </c>
      <c r="E32" s="30">
        <v>56299.6</v>
      </c>
      <c r="F32" s="33">
        <v>17589.669999999998</v>
      </c>
      <c r="G32" s="22"/>
      <c r="H32" s="22">
        <v>400</v>
      </c>
      <c r="I32" s="22"/>
      <c r="J32" s="31">
        <v>541.41999999999996</v>
      </c>
      <c r="K32" s="31"/>
      <c r="L32" s="31"/>
      <c r="M32" s="31"/>
      <c r="N32" s="32">
        <f t="shared" si="1"/>
        <v>74830.689999999988</v>
      </c>
      <c r="O32" s="16">
        <v>9765.1200000000008</v>
      </c>
      <c r="P32" s="20">
        <v>3509.04</v>
      </c>
      <c r="Q32" s="16">
        <f>(58.54*12)</f>
        <v>702.48</v>
      </c>
      <c r="R32" s="20">
        <v>144.24</v>
      </c>
      <c r="S32" s="16">
        <f t="shared" si="0"/>
        <v>69.72</v>
      </c>
      <c r="T32" s="16">
        <v>62.76</v>
      </c>
      <c r="U32" s="16">
        <f>(152.4)+(32.93*12)</f>
        <v>547.55999999999995</v>
      </c>
      <c r="V32" s="16">
        <f>(2098.82)</f>
        <v>2098.8200000000002</v>
      </c>
      <c r="W32" s="16"/>
      <c r="X32" s="16">
        <v>497.04</v>
      </c>
      <c r="Y32" s="16">
        <f>(85.33*12)</f>
        <v>1023.96</v>
      </c>
      <c r="Z32" s="16"/>
      <c r="AA32" s="16"/>
      <c r="AB32" s="16"/>
      <c r="AC32" s="16"/>
      <c r="AD32" s="16">
        <v>7388.94</v>
      </c>
      <c r="AE32" s="16">
        <f>(1410.55+58.6)*12</f>
        <v>17629.8</v>
      </c>
      <c r="AF32" s="16"/>
      <c r="AG32" s="16">
        <v>500</v>
      </c>
      <c r="AH32" s="16"/>
      <c r="AI32" s="9">
        <f t="shared" si="2"/>
        <v>105069.32999999999</v>
      </c>
      <c r="AJ32" s="9">
        <f t="shared" si="3"/>
        <v>13700.84</v>
      </c>
    </row>
    <row r="33" spans="1:43" x14ac:dyDescent="0.4">
      <c r="A33" s="48"/>
      <c r="B33" s="18"/>
      <c r="C33" s="8"/>
      <c r="D33" s="25">
        <v>32.46</v>
      </c>
      <c r="E33" s="30">
        <v>66490.820000000007</v>
      </c>
      <c r="F33" s="33">
        <v>10107.59</v>
      </c>
      <c r="G33" s="22">
        <f>(1260.4)+(1623)</f>
        <v>2883.4</v>
      </c>
      <c r="H33" s="22">
        <v>400</v>
      </c>
      <c r="I33" s="22"/>
      <c r="J33" s="33">
        <v>541.41999999999996</v>
      </c>
      <c r="K33" s="33"/>
      <c r="L33" s="33"/>
      <c r="M33" s="33"/>
      <c r="N33" s="32">
        <f t="shared" si="1"/>
        <v>80423.23</v>
      </c>
      <c r="O33" s="16">
        <v>4093.92</v>
      </c>
      <c r="P33" s="20">
        <v>455.04</v>
      </c>
      <c r="Q33" s="16">
        <f>36.2*12</f>
        <v>434.40000000000003</v>
      </c>
      <c r="R33" s="20"/>
      <c r="S33" s="16">
        <f t="shared" si="0"/>
        <v>69.72</v>
      </c>
      <c r="T33" s="16"/>
      <c r="U33" s="16">
        <f>(38.81*12)</f>
        <v>465.72</v>
      </c>
      <c r="V33" s="43"/>
      <c r="W33" s="43"/>
      <c r="X33" s="16">
        <v>252.12</v>
      </c>
      <c r="Y33" s="16">
        <f>(101*12)</f>
        <v>1212</v>
      </c>
      <c r="Z33" s="16"/>
      <c r="AA33" s="16"/>
      <c r="AB33" s="16"/>
      <c r="AC33" s="16"/>
      <c r="AD33" s="16">
        <v>3829.93</v>
      </c>
      <c r="AE33" s="16">
        <f>(1669.66+69.36)*12</f>
        <v>20868.239999999998</v>
      </c>
      <c r="AF33" s="16"/>
      <c r="AG33" s="16">
        <v>500</v>
      </c>
      <c r="AH33" s="16"/>
      <c r="AI33" s="9">
        <f t="shared" si="2"/>
        <v>108067.22999999998</v>
      </c>
      <c r="AJ33" s="9">
        <f t="shared" si="3"/>
        <v>4537.09</v>
      </c>
    </row>
    <row r="34" spans="1:43" x14ac:dyDescent="0.4">
      <c r="A34" s="48"/>
      <c r="B34" s="18"/>
      <c r="C34" s="8"/>
      <c r="D34" s="25">
        <v>30.85</v>
      </c>
      <c r="E34" s="30">
        <v>57412.36</v>
      </c>
      <c r="F34" s="33">
        <v>4493</v>
      </c>
      <c r="G34" s="22"/>
      <c r="H34" s="22">
        <v>400</v>
      </c>
      <c r="I34" s="22"/>
      <c r="J34" s="33">
        <v>541.41999999999996</v>
      </c>
      <c r="K34" s="33"/>
      <c r="L34" s="33"/>
      <c r="M34" s="33"/>
      <c r="N34" s="32">
        <f t="shared" si="1"/>
        <v>62846.78</v>
      </c>
      <c r="O34" s="16">
        <v>4093.92</v>
      </c>
      <c r="P34" s="20">
        <v>455.04</v>
      </c>
      <c r="Q34" s="16">
        <f>36.2*12</f>
        <v>434.40000000000003</v>
      </c>
      <c r="R34" s="20"/>
      <c r="S34" s="16">
        <f t="shared" si="0"/>
        <v>69.72</v>
      </c>
      <c r="T34" s="16"/>
      <c r="U34" s="16">
        <f>(9.6)+(35.87*12)</f>
        <v>440.03999999999996</v>
      </c>
      <c r="V34" s="16">
        <v>14.4</v>
      </c>
      <c r="W34" s="16"/>
      <c r="X34" s="16"/>
      <c r="Y34" s="16">
        <f>(92.76*12)</f>
        <v>1113.1200000000001</v>
      </c>
      <c r="Z34" s="16"/>
      <c r="AA34" s="16"/>
      <c r="AB34" s="16"/>
      <c r="AC34" s="16"/>
      <c r="AD34" s="16">
        <v>3037.65</v>
      </c>
      <c r="AE34" s="16">
        <f>(964.62+40.13)*12</f>
        <v>12057</v>
      </c>
      <c r="AF34" s="16"/>
      <c r="AG34" s="16">
        <v>500</v>
      </c>
      <c r="AH34" s="16"/>
      <c r="AI34" s="9">
        <f t="shared" si="2"/>
        <v>81554.979999999981</v>
      </c>
      <c r="AJ34" s="9">
        <f t="shared" si="3"/>
        <v>3507.09</v>
      </c>
    </row>
    <row r="35" spans="1:43" ht="17.25" customHeight="1" x14ac:dyDescent="0.4">
      <c r="A35" s="48"/>
      <c r="B35" s="18"/>
      <c r="C35" s="8"/>
      <c r="D35" s="25">
        <v>38.58</v>
      </c>
      <c r="E35" s="30">
        <v>75786.009999999995</v>
      </c>
      <c r="F35" s="33">
        <v>12492.38</v>
      </c>
      <c r="G35" s="22"/>
      <c r="H35" s="22">
        <v>400</v>
      </c>
      <c r="I35" s="22">
        <v>2320</v>
      </c>
      <c r="J35" s="33">
        <v>541.41999999999996</v>
      </c>
      <c r="K35" s="33"/>
      <c r="L35" s="33"/>
      <c r="M35" s="33"/>
      <c r="N35" s="32">
        <f t="shared" si="1"/>
        <v>91539.81</v>
      </c>
      <c r="O35" s="16">
        <v>8832.84</v>
      </c>
      <c r="P35" s="20">
        <v>3006.72</v>
      </c>
      <c r="Q35" s="16">
        <f>(60.2*12)</f>
        <v>722.40000000000009</v>
      </c>
      <c r="R35" s="20">
        <v>155.28</v>
      </c>
      <c r="S35" s="16">
        <f t="shared" si="0"/>
        <v>69.72</v>
      </c>
      <c r="T35" s="16">
        <v>69.72</v>
      </c>
      <c r="U35" s="16">
        <f>(3.6)+(42.34*12)</f>
        <v>511.68000000000006</v>
      </c>
      <c r="V35" s="16">
        <f>(91.56)+(24)</f>
        <v>115.56</v>
      </c>
      <c r="W35" s="16"/>
      <c r="X35" s="16"/>
      <c r="Y35" s="16">
        <f>(110.42*12)</f>
        <v>1325.04</v>
      </c>
      <c r="Z35" s="16"/>
      <c r="AA35" s="16"/>
      <c r="AB35" s="16"/>
      <c r="AC35" s="16"/>
      <c r="AD35" s="16">
        <f>(1811.95)+(1811.95)</f>
        <v>3623.9</v>
      </c>
      <c r="AE35" s="16">
        <f>(1148.29+47.77)*12</f>
        <v>14352.72</v>
      </c>
      <c r="AF35" s="16"/>
      <c r="AG35" s="16">
        <v>500</v>
      </c>
      <c r="AH35" s="16"/>
      <c r="AI35" s="9">
        <f t="shared" si="2"/>
        <v>117854.20999999998</v>
      </c>
      <c r="AJ35" s="9">
        <f t="shared" si="3"/>
        <v>6971.18</v>
      </c>
    </row>
    <row r="36" spans="1:43" x14ac:dyDescent="0.4">
      <c r="A36" s="48"/>
      <c r="B36" s="18"/>
      <c r="C36" s="8"/>
      <c r="D36" s="25">
        <v>23.54</v>
      </c>
      <c r="E36" s="30">
        <v>47980.4</v>
      </c>
      <c r="F36" s="33">
        <v>1645.08</v>
      </c>
      <c r="G36" s="22"/>
      <c r="H36" s="22">
        <v>400</v>
      </c>
      <c r="I36" s="22"/>
      <c r="J36" s="33">
        <v>541.41999999999996</v>
      </c>
      <c r="K36" s="33"/>
      <c r="L36" s="33"/>
      <c r="M36" s="33"/>
      <c r="N36" s="32">
        <f t="shared" si="1"/>
        <v>50566.9</v>
      </c>
      <c r="O36" s="16">
        <v>8832.84</v>
      </c>
      <c r="P36" s="20">
        <v>3006.72</v>
      </c>
      <c r="Q36" s="16">
        <f>(60.2*12)</f>
        <v>722.40000000000009</v>
      </c>
      <c r="R36" s="20">
        <v>155.28</v>
      </c>
      <c r="S36" s="16">
        <f t="shared" si="0"/>
        <v>69.72</v>
      </c>
      <c r="T36" s="16">
        <v>69.72</v>
      </c>
      <c r="U36" s="16">
        <f>(12)+(28.22*12)</f>
        <v>350.64</v>
      </c>
      <c r="V36" s="16">
        <f>(18)+(1660.8)+(24)</f>
        <v>1702.8</v>
      </c>
      <c r="W36" s="16"/>
      <c r="X36" s="16"/>
      <c r="Y36" s="16">
        <f>(72.53*12)</f>
        <v>870.36</v>
      </c>
      <c r="Z36" s="16"/>
      <c r="AA36" s="16"/>
      <c r="AB36" s="16">
        <v>267.24</v>
      </c>
      <c r="AC36" s="16"/>
      <c r="AD36" s="16">
        <v>496.21</v>
      </c>
      <c r="AE36" s="16">
        <f>(754.3+31.38)*12</f>
        <v>9428.16</v>
      </c>
      <c r="AF36" s="16"/>
      <c r="AG36" s="16">
        <v>500</v>
      </c>
      <c r="AH36" s="16"/>
      <c r="AI36" s="9">
        <f t="shared" si="2"/>
        <v>71341.02</v>
      </c>
      <c r="AJ36" s="9">
        <f t="shared" si="3"/>
        <v>5697.9699999999993</v>
      </c>
      <c r="AN36" s="24"/>
    </row>
    <row r="37" spans="1:43" x14ac:dyDescent="0.4">
      <c r="A37" s="48"/>
      <c r="B37" s="18"/>
      <c r="C37" s="8"/>
      <c r="D37" s="25">
        <v>23.58</v>
      </c>
      <c r="E37" s="30">
        <v>47838.99</v>
      </c>
      <c r="F37" s="33"/>
      <c r="G37" s="22"/>
      <c r="H37" s="22">
        <v>400</v>
      </c>
      <c r="I37" s="22"/>
      <c r="J37" s="31">
        <v>541.41999999999996</v>
      </c>
      <c r="K37" s="31"/>
      <c r="L37" s="31"/>
      <c r="M37" s="31"/>
      <c r="N37" s="32">
        <f t="shared" si="1"/>
        <v>48780.409999999996</v>
      </c>
      <c r="O37" s="16">
        <v>8832.84</v>
      </c>
      <c r="P37" s="20">
        <v>3006.72</v>
      </c>
      <c r="Q37" s="16">
        <f>(60.2*12)</f>
        <v>722.40000000000009</v>
      </c>
      <c r="R37" s="20">
        <v>155.28</v>
      </c>
      <c r="S37" s="16">
        <f t="shared" si="0"/>
        <v>69.72</v>
      </c>
      <c r="T37" s="16">
        <v>135.24</v>
      </c>
      <c r="U37" s="16">
        <f>(9.6)+(28.22*12)</f>
        <v>348.24</v>
      </c>
      <c r="V37" s="16">
        <f>(54.12)+(14.4)+(24)</f>
        <v>92.52</v>
      </c>
      <c r="W37" s="16"/>
      <c r="X37" s="16"/>
      <c r="Y37" s="16">
        <f>(73.18*12)</f>
        <v>878.16000000000008</v>
      </c>
      <c r="Z37" s="16"/>
      <c r="AA37" s="16"/>
      <c r="AB37" s="16">
        <v>269.52</v>
      </c>
      <c r="AC37" s="16"/>
      <c r="AD37" s="16">
        <v>478.37</v>
      </c>
      <c r="AE37" s="16">
        <f>(760.96+31.66)*12</f>
        <v>9511.44</v>
      </c>
      <c r="AF37" s="16"/>
      <c r="AG37" s="16">
        <v>500</v>
      </c>
      <c r="AH37" s="16"/>
      <c r="AI37" s="9">
        <f t="shared" si="2"/>
        <v>69643.210000000006</v>
      </c>
      <c r="AJ37" s="9">
        <f t="shared" si="3"/>
        <v>4137.6499999999996</v>
      </c>
      <c r="AN37" s="24"/>
      <c r="AO37" s="24"/>
      <c r="AP37" s="24"/>
      <c r="AQ37" s="24"/>
    </row>
    <row r="38" spans="1:43" x14ac:dyDescent="0.4">
      <c r="A38" s="48"/>
      <c r="B38" s="18"/>
      <c r="C38" s="8"/>
      <c r="D38" s="25">
        <v>40.35</v>
      </c>
      <c r="E38" s="30">
        <v>79608.03</v>
      </c>
      <c r="F38" s="33">
        <v>24530.36</v>
      </c>
      <c r="G38" s="22"/>
      <c r="H38" s="22">
        <v>400</v>
      </c>
      <c r="I38" s="22">
        <v>2800</v>
      </c>
      <c r="J38" s="31">
        <v>541.41999999999996</v>
      </c>
      <c r="K38" s="31"/>
      <c r="L38" s="31"/>
      <c r="M38" s="31"/>
      <c r="N38" s="32">
        <f t="shared" si="1"/>
        <v>107879.81</v>
      </c>
      <c r="O38" s="16">
        <v>4093.92</v>
      </c>
      <c r="P38" s="20">
        <v>455.04</v>
      </c>
      <c r="Q38" s="16">
        <f>36.2*12</f>
        <v>434.40000000000003</v>
      </c>
      <c r="R38" s="20"/>
      <c r="S38" s="16">
        <f t="shared" si="0"/>
        <v>69.72</v>
      </c>
      <c r="T38" s="16"/>
      <c r="U38" s="16">
        <f>(44.69*12)</f>
        <v>536.28</v>
      </c>
      <c r="V38" s="16">
        <v>113.04</v>
      </c>
      <c r="W38" s="16"/>
      <c r="X38" s="16"/>
      <c r="Y38" s="16">
        <f>(116.51*12)</f>
        <v>1398.1200000000001</v>
      </c>
      <c r="Z38" s="16"/>
      <c r="AA38" s="16"/>
      <c r="AB38" s="16"/>
      <c r="AC38" s="16"/>
      <c r="AD38" s="16"/>
      <c r="AE38" s="16">
        <f>(1923.11+80.02)*12</f>
        <v>24037.559999999998</v>
      </c>
      <c r="AF38" s="16"/>
      <c r="AG38" s="16">
        <v>500</v>
      </c>
      <c r="AH38" s="16"/>
      <c r="AI38" s="9">
        <f t="shared" si="2"/>
        <v>138949.81</v>
      </c>
      <c r="AJ38" s="9">
        <f t="shared" si="3"/>
        <v>568.08000000000004</v>
      </c>
      <c r="AN38" s="24"/>
      <c r="AO38" s="24"/>
      <c r="AP38" s="24"/>
      <c r="AQ38" s="24"/>
    </row>
    <row r="39" spans="1:43" x14ac:dyDescent="0.4">
      <c r="A39" s="48"/>
      <c r="B39" s="18"/>
      <c r="C39" s="8"/>
      <c r="D39" s="25">
        <v>19.73</v>
      </c>
      <c r="E39" s="30">
        <v>38284.22</v>
      </c>
      <c r="F39" s="33">
        <v>938.46</v>
      </c>
      <c r="G39" s="22"/>
      <c r="H39" s="22">
        <v>400</v>
      </c>
      <c r="I39" s="22"/>
      <c r="J39" s="31">
        <v>541.41999999999996</v>
      </c>
      <c r="K39" s="31"/>
      <c r="L39" s="31"/>
      <c r="M39" s="31"/>
      <c r="N39" s="32">
        <f t="shared" si="1"/>
        <v>40164.1</v>
      </c>
      <c r="O39" s="16">
        <v>4093.92</v>
      </c>
      <c r="P39" s="20">
        <v>455.04</v>
      </c>
      <c r="Q39" s="16">
        <f>36.2*12</f>
        <v>434.40000000000003</v>
      </c>
      <c r="R39" s="20"/>
      <c r="S39" s="16">
        <f t="shared" si="0"/>
        <v>69.72</v>
      </c>
      <c r="T39" s="16"/>
      <c r="U39" s="16">
        <f>(24.11*12)</f>
        <v>289.32</v>
      </c>
      <c r="V39" s="16"/>
      <c r="W39" s="16"/>
      <c r="X39" s="16"/>
      <c r="Y39" s="16">
        <f>(61.7*12)</f>
        <v>740.40000000000009</v>
      </c>
      <c r="Z39" s="16"/>
      <c r="AA39" s="16"/>
      <c r="AB39" s="16"/>
      <c r="AC39" s="16"/>
      <c r="AD39" s="16"/>
      <c r="AE39" s="16">
        <f>(641.64+26.69)*5</f>
        <v>3341.65</v>
      </c>
      <c r="AF39" s="16"/>
      <c r="AG39" s="16">
        <v>500</v>
      </c>
      <c r="AH39" s="16"/>
      <c r="AI39" s="9">
        <f t="shared" si="2"/>
        <v>49633.51</v>
      </c>
      <c r="AJ39" s="9">
        <f t="shared" si="3"/>
        <v>455.04</v>
      </c>
      <c r="AN39" s="24"/>
      <c r="AO39" s="24"/>
      <c r="AP39" s="24"/>
      <c r="AQ39" s="24"/>
    </row>
    <row r="40" spans="1:43" x14ac:dyDescent="0.4">
      <c r="A40" s="48"/>
      <c r="B40" s="18"/>
      <c r="C40" s="8"/>
      <c r="D40" s="25">
        <v>30.93</v>
      </c>
      <c r="E40" s="30">
        <v>61396.81</v>
      </c>
      <c r="F40" s="33">
        <v>18850.36</v>
      </c>
      <c r="G40" s="22"/>
      <c r="H40" s="22">
        <v>400</v>
      </c>
      <c r="I40" s="22">
        <v>1760</v>
      </c>
      <c r="J40" s="31">
        <v>541.42999999999995</v>
      </c>
      <c r="K40" s="31"/>
      <c r="L40" s="31"/>
      <c r="M40" s="31"/>
      <c r="N40" s="32">
        <f t="shared" si="1"/>
        <v>82948.599999999991</v>
      </c>
      <c r="O40" s="16">
        <v>8832.84</v>
      </c>
      <c r="P40" s="20">
        <v>3006.72</v>
      </c>
      <c r="Q40" s="16">
        <f>(60.2*12)</f>
        <v>722.40000000000009</v>
      </c>
      <c r="R40" s="20">
        <v>155.28</v>
      </c>
      <c r="S40" s="16">
        <f t="shared" si="0"/>
        <v>69.72</v>
      </c>
      <c r="T40" s="16">
        <v>69.72</v>
      </c>
      <c r="U40" s="16">
        <f>(12)+(32.93*12)</f>
        <v>407.15999999999997</v>
      </c>
      <c r="V40" s="16">
        <f>(79.32)+(18)+(12)</f>
        <v>109.32</v>
      </c>
      <c r="W40" s="16"/>
      <c r="X40" s="16"/>
      <c r="Y40" s="16">
        <f>(85.77*12)</f>
        <v>1029.24</v>
      </c>
      <c r="Z40" s="16"/>
      <c r="AA40" s="16"/>
      <c r="AB40" s="16"/>
      <c r="AC40" s="16"/>
      <c r="AD40" s="16">
        <f>(1320.97)+(2578.66)</f>
        <v>3899.63</v>
      </c>
      <c r="AE40" s="16">
        <f>(891.97+37.11)*12</f>
        <v>11148.960000000001</v>
      </c>
      <c r="AF40" s="16"/>
      <c r="AG40" s="16">
        <v>500</v>
      </c>
      <c r="AH40" s="16"/>
      <c r="AI40" s="9">
        <f t="shared" si="2"/>
        <v>105658.92</v>
      </c>
      <c r="AJ40" s="9">
        <f t="shared" si="3"/>
        <v>7240.67</v>
      </c>
      <c r="AN40" s="24"/>
      <c r="AO40" s="24"/>
      <c r="AP40" s="24"/>
      <c r="AQ40" s="24"/>
    </row>
    <row r="41" spans="1:43" x14ac:dyDescent="0.4">
      <c r="A41" s="48"/>
      <c r="B41" s="18"/>
      <c r="C41" s="8"/>
      <c r="D41" s="25">
        <v>41.61</v>
      </c>
      <c r="E41" s="30">
        <v>83125.2</v>
      </c>
      <c r="F41" s="33">
        <v>27431.54</v>
      </c>
      <c r="G41" s="22"/>
      <c r="H41" s="22">
        <v>400</v>
      </c>
      <c r="I41" s="22">
        <v>2840</v>
      </c>
      <c r="J41" s="31">
        <v>541.41999999999996</v>
      </c>
      <c r="K41" s="31"/>
      <c r="L41" s="31"/>
      <c r="M41" s="31"/>
      <c r="N41" s="32">
        <f t="shared" si="1"/>
        <v>114338.15999999999</v>
      </c>
      <c r="O41" s="16">
        <v>8832.84</v>
      </c>
      <c r="P41" s="20">
        <v>3006.72</v>
      </c>
      <c r="Q41" s="16">
        <f>(60.2*12)</f>
        <v>722.40000000000009</v>
      </c>
      <c r="R41" s="20">
        <v>155.28</v>
      </c>
      <c r="S41" s="16">
        <f t="shared" si="0"/>
        <v>69.72</v>
      </c>
      <c r="T41" s="16"/>
      <c r="U41" s="16">
        <f>(10.8)+(47.04*12)</f>
        <v>575.28</v>
      </c>
      <c r="V41" s="16">
        <f>(744)+(12)</f>
        <v>756</v>
      </c>
      <c r="W41" s="16"/>
      <c r="X41" s="16"/>
      <c r="Y41" s="16">
        <f>(123.21*12)</f>
        <v>1478.52</v>
      </c>
      <c r="Z41" s="16"/>
      <c r="AA41" s="16"/>
      <c r="AB41" s="16"/>
      <c r="AC41" s="16"/>
      <c r="AD41" s="16">
        <v>4535.8599999999997</v>
      </c>
      <c r="AE41" s="16">
        <f>(2036.85+84.62)*12</f>
        <v>25457.64</v>
      </c>
      <c r="AF41" s="16"/>
      <c r="AG41" s="16">
        <v>500</v>
      </c>
      <c r="AH41" s="16"/>
      <c r="AI41" s="9">
        <f t="shared" si="2"/>
        <v>151974.56</v>
      </c>
      <c r="AJ41" s="9">
        <f t="shared" si="3"/>
        <v>8453.86</v>
      </c>
      <c r="AO41" s="24"/>
      <c r="AP41" s="24"/>
      <c r="AQ41" s="24"/>
    </row>
    <row r="42" spans="1:43" x14ac:dyDescent="0.4">
      <c r="A42" s="48"/>
      <c r="B42" s="18"/>
      <c r="C42" s="8"/>
      <c r="D42" s="25">
        <v>27.15</v>
      </c>
      <c r="E42" s="30">
        <v>55078.83</v>
      </c>
      <c r="F42" s="33">
        <v>81.45</v>
      </c>
      <c r="G42" s="22"/>
      <c r="H42" s="22">
        <v>400</v>
      </c>
      <c r="I42" s="22"/>
      <c r="J42" s="31">
        <v>541.41999999999996</v>
      </c>
      <c r="K42" s="31"/>
      <c r="L42" s="31"/>
      <c r="M42" s="31"/>
      <c r="N42" s="32">
        <f t="shared" si="1"/>
        <v>56101.7</v>
      </c>
      <c r="O42" s="16">
        <v>13416.6</v>
      </c>
      <c r="P42" s="20">
        <v>5474.88</v>
      </c>
      <c r="Q42" s="16">
        <f>(86.66*12)</f>
        <v>1039.92</v>
      </c>
      <c r="R42" s="20">
        <v>325.92</v>
      </c>
      <c r="S42" s="16">
        <f t="shared" si="0"/>
        <v>69.72</v>
      </c>
      <c r="T42" s="16">
        <v>135.24</v>
      </c>
      <c r="U42" s="16">
        <f>(12)+(31.75*12)</f>
        <v>393</v>
      </c>
      <c r="V42" s="16">
        <f>(24)</f>
        <v>24</v>
      </c>
      <c r="W42" s="16"/>
      <c r="X42" s="16"/>
      <c r="Y42" s="16">
        <f>(82.89*12)</f>
        <v>994.68000000000006</v>
      </c>
      <c r="Z42" s="16"/>
      <c r="AA42" s="16"/>
      <c r="AB42" s="16">
        <v>304.56</v>
      </c>
      <c r="AC42" s="16"/>
      <c r="AD42" s="16"/>
      <c r="AE42" s="16">
        <f>(961.97+35.86)*12</f>
        <v>11973.960000000001</v>
      </c>
      <c r="AF42" s="16"/>
      <c r="AG42" s="16">
        <v>500</v>
      </c>
      <c r="AH42" s="16"/>
      <c r="AI42" s="9">
        <f t="shared" si="2"/>
        <v>84489.58</v>
      </c>
      <c r="AJ42" s="9">
        <f t="shared" si="3"/>
        <v>6264.6</v>
      </c>
      <c r="AN42" s="38"/>
    </row>
    <row r="43" spans="1:43" x14ac:dyDescent="0.4">
      <c r="A43" s="48"/>
      <c r="B43" s="18"/>
      <c r="C43" s="8"/>
      <c r="D43" s="25">
        <v>22.37</v>
      </c>
      <c r="E43" s="30">
        <v>42686.44</v>
      </c>
      <c r="F43" s="33"/>
      <c r="G43" s="22"/>
      <c r="H43" s="22">
        <v>400</v>
      </c>
      <c r="I43" s="22"/>
      <c r="J43" s="31">
        <v>541.41999999999996</v>
      </c>
      <c r="K43" s="31"/>
      <c r="L43" s="31"/>
      <c r="M43" s="31"/>
      <c r="N43" s="32">
        <f t="shared" si="1"/>
        <v>43627.86</v>
      </c>
      <c r="O43" s="16">
        <v>4093.92</v>
      </c>
      <c r="P43" s="20">
        <v>455.04</v>
      </c>
      <c r="Q43" s="16">
        <f>36.2*12</f>
        <v>434.40000000000003</v>
      </c>
      <c r="R43" s="20"/>
      <c r="S43" s="16">
        <f t="shared" si="0"/>
        <v>69.72</v>
      </c>
      <c r="T43" s="16"/>
      <c r="U43" s="16">
        <f>(6)+(24.11*12)</f>
        <v>295.32</v>
      </c>
      <c r="V43" s="16">
        <f>(28.56)+(9)</f>
        <v>37.56</v>
      </c>
      <c r="W43" s="16"/>
      <c r="X43" s="16"/>
      <c r="Y43" s="16">
        <f>(61.66*12)</f>
        <v>739.92</v>
      </c>
      <c r="Z43" s="16"/>
      <c r="AA43" s="16"/>
      <c r="AB43" s="16"/>
      <c r="AC43" s="16"/>
      <c r="AD43" s="16">
        <v>268.45</v>
      </c>
      <c r="AE43" s="16">
        <f>(752.05+31.23)*2</f>
        <v>1566.56</v>
      </c>
      <c r="AF43" s="16"/>
      <c r="AG43" s="16">
        <v>500</v>
      </c>
      <c r="AH43" s="16"/>
      <c r="AI43" s="9">
        <f t="shared" si="2"/>
        <v>51327.7</v>
      </c>
      <c r="AJ43" s="9">
        <f t="shared" si="3"/>
        <v>761.05</v>
      </c>
    </row>
    <row r="44" spans="1:43" x14ac:dyDescent="0.4">
      <c r="A44" s="48"/>
      <c r="B44" s="18"/>
      <c r="C44" s="8"/>
      <c r="D44" s="25">
        <v>23.51</v>
      </c>
      <c r="E44" s="30">
        <v>48285.2</v>
      </c>
      <c r="F44" s="33">
        <v>1456.34</v>
      </c>
      <c r="G44" s="22">
        <f>(917.6)+(4588)</f>
        <v>5505.6</v>
      </c>
      <c r="H44" s="22">
        <v>400</v>
      </c>
      <c r="I44" s="22"/>
      <c r="J44" s="31">
        <v>541.41999999999996</v>
      </c>
      <c r="K44" s="31"/>
      <c r="L44" s="31"/>
      <c r="M44" s="31"/>
      <c r="N44" s="32">
        <f t="shared" si="1"/>
        <v>56188.55999999999</v>
      </c>
      <c r="O44" s="16">
        <v>9765.1200000000008</v>
      </c>
      <c r="P44" s="20">
        <v>3509.04</v>
      </c>
      <c r="Q44" s="16">
        <f>(58.54*12)</f>
        <v>702.48</v>
      </c>
      <c r="R44" s="20">
        <v>144.24</v>
      </c>
      <c r="S44" s="16">
        <f t="shared" si="0"/>
        <v>69.72</v>
      </c>
      <c r="T44" s="16">
        <v>62.76</v>
      </c>
      <c r="U44" s="16">
        <f>(79.2)+(28.22*12)</f>
        <v>417.84</v>
      </c>
      <c r="V44" s="16">
        <v>222.36</v>
      </c>
      <c r="W44" s="16"/>
      <c r="X44" s="16">
        <v>396.72</v>
      </c>
      <c r="Y44" s="16">
        <f>(73.53*12)</f>
        <v>882.36</v>
      </c>
      <c r="Z44" s="16"/>
      <c r="AA44" s="16"/>
      <c r="AB44" s="16"/>
      <c r="AC44" s="16"/>
      <c r="AD44" s="16">
        <v>3979.32</v>
      </c>
      <c r="AE44" s="16">
        <f>(1215.54+50.5)*12</f>
        <v>15192.48</v>
      </c>
      <c r="AF44" s="16"/>
      <c r="AG44" s="16">
        <v>500</v>
      </c>
      <c r="AH44" s="16"/>
      <c r="AI44" s="9">
        <f t="shared" si="2"/>
        <v>83718.559999999983</v>
      </c>
      <c r="AJ44" s="9">
        <f t="shared" si="3"/>
        <v>8314.44</v>
      </c>
    </row>
    <row r="45" spans="1:43" x14ac:dyDescent="0.4">
      <c r="A45" s="48"/>
      <c r="B45" s="18"/>
      <c r="C45" s="8"/>
      <c r="D45" s="25">
        <v>42.25</v>
      </c>
      <c r="E45" s="30">
        <v>65467.32</v>
      </c>
      <c r="F45" s="33">
        <v>18027.21</v>
      </c>
      <c r="G45" s="22">
        <v>984.48</v>
      </c>
      <c r="H45" s="22">
        <v>400</v>
      </c>
      <c r="I45" s="22">
        <v>1400</v>
      </c>
      <c r="J45" s="31">
        <v>541.41999999999996</v>
      </c>
      <c r="K45" s="31"/>
      <c r="L45" s="31"/>
      <c r="M45" s="31"/>
      <c r="N45" s="32">
        <f t="shared" si="1"/>
        <v>86820.43</v>
      </c>
      <c r="O45" s="16">
        <v>9765.1200000000008</v>
      </c>
      <c r="P45" s="20">
        <f>(456.24)+(3216.62)</f>
        <v>3672.8599999999997</v>
      </c>
      <c r="Q45" s="16">
        <f>(58.54*12)</f>
        <v>702.48</v>
      </c>
      <c r="R45" s="20">
        <v>144.24</v>
      </c>
      <c r="S45" s="16">
        <f t="shared" si="0"/>
        <v>69.72</v>
      </c>
      <c r="T45" s="16">
        <v>135.24</v>
      </c>
      <c r="U45" s="16">
        <f>(51.6)+(50.57*12)</f>
        <v>658.44</v>
      </c>
      <c r="V45" s="16">
        <f>(250.74)+(77.4)+(15)</f>
        <v>343.14</v>
      </c>
      <c r="W45" s="16"/>
      <c r="X45" s="16">
        <v>396.72</v>
      </c>
      <c r="Y45" s="16">
        <f>(131.48*12)</f>
        <v>1577.7599999999998</v>
      </c>
      <c r="Z45" s="16"/>
      <c r="AA45" s="16"/>
      <c r="AB45" s="16"/>
      <c r="AC45" s="16"/>
      <c r="AD45" s="16">
        <v>1633.69</v>
      </c>
      <c r="AE45" s="16">
        <f>(2173.58+90.3)*12</f>
        <v>27166.560000000001</v>
      </c>
      <c r="AF45" s="16"/>
      <c r="AG45" s="16">
        <v>500</v>
      </c>
      <c r="AH45" s="16"/>
      <c r="AI45" s="9">
        <f t="shared" si="2"/>
        <v>127260.50999999998</v>
      </c>
      <c r="AJ45" s="9">
        <f t="shared" si="3"/>
        <v>6325.89</v>
      </c>
    </row>
    <row r="46" spans="1:43" x14ac:dyDescent="0.4">
      <c r="A46" s="48"/>
      <c r="B46" s="18"/>
      <c r="C46" s="8"/>
      <c r="D46" s="25">
        <v>29.3</v>
      </c>
      <c r="E46" s="30">
        <v>55124.800000000003</v>
      </c>
      <c r="F46" s="33">
        <v>7205.64</v>
      </c>
      <c r="G46" s="22"/>
      <c r="H46" s="22">
        <v>400</v>
      </c>
      <c r="I46" s="22"/>
      <c r="J46" s="31">
        <v>541.41999999999996</v>
      </c>
      <c r="K46" s="31"/>
      <c r="L46" s="31"/>
      <c r="M46" s="31"/>
      <c r="N46" s="32">
        <f t="shared" si="1"/>
        <v>63271.86</v>
      </c>
      <c r="O46" s="16">
        <v>4093.92</v>
      </c>
      <c r="P46" s="20">
        <f>(341.28)+(751.68)</f>
        <v>1092.96</v>
      </c>
      <c r="Q46" s="16">
        <f>(36.2*9)+(60.2*3)</f>
        <v>506.40000000000003</v>
      </c>
      <c r="R46" s="20">
        <v>38.82</v>
      </c>
      <c r="S46" s="16">
        <f t="shared" si="0"/>
        <v>69.72</v>
      </c>
      <c r="T46" s="16">
        <v>17.43</v>
      </c>
      <c r="U46" s="16">
        <f>(27.64*12)</f>
        <v>331.68</v>
      </c>
      <c r="V46" s="16">
        <v>284.27999999999997</v>
      </c>
      <c r="W46" s="16"/>
      <c r="X46" s="16"/>
      <c r="Y46" s="16">
        <f>(71.22*12)</f>
        <v>854.64</v>
      </c>
      <c r="Z46" s="16"/>
      <c r="AA46" s="16"/>
      <c r="AB46" s="16"/>
      <c r="AC46" s="16"/>
      <c r="AD46" s="16">
        <f>(4039.7)+(4039.7)</f>
        <v>8079.4</v>
      </c>
      <c r="AE46" s="16">
        <f>(740.64+30.81)*11</f>
        <v>8485.9499999999989</v>
      </c>
      <c r="AF46" s="16"/>
      <c r="AG46" s="16">
        <v>500</v>
      </c>
      <c r="AH46" s="16"/>
      <c r="AI46" s="9">
        <f t="shared" si="2"/>
        <v>78114.169999999984</v>
      </c>
      <c r="AJ46" s="9">
        <f t="shared" si="3"/>
        <v>9512.89</v>
      </c>
    </row>
    <row r="47" spans="1:43" x14ac:dyDescent="0.4">
      <c r="A47" s="48"/>
      <c r="B47" s="18"/>
      <c r="C47" s="8"/>
      <c r="D47" s="25">
        <v>20.71</v>
      </c>
      <c r="E47" s="30">
        <v>40976.74</v>
      </c>
      <c r="F47" s="33"/>
      <c r="G47" s="22"/>
      <c r="H47" s="22">
        <v>400</v>
      </c>
      <c r="I47" s="22"/>
      <c r="J47" s="31">
        <v>541.41999999999996</v>
      </c>
      <c r="K47" s="31"/>
      <c r="L47" s="31"/>
      <c r="M47" s="31"/>
      <c r="N47" s="32">
        <f t="shared" si="1"/>
        <v>41918.159999999996</v>
      </c>
      <c r="O47" s="16">
        <v>0</v>
      </c>
      <c r="P47" s="20"/>
      <c r="Q47" s="16">
        <f>36.2*12</f>
        <v>434.40000000000003</v>
      </c>
      <c r="R47" s="20"/>
      <c r="S47" s="16">
        <f t="shared" si="0"/>
        <v>69.72</v>
      </c>
      <c r="T47" s="16"/>
      <c r="U47" s="16">
        <f>(24.11*12)</f>
        <v>289.32</v>
      </c>
      <c r="V47" s="16">
        <f>(24)</f>
        <v>24</v>
      </c>
      <c r="W47" s="16"/>
      <c r="X47" s="16"/>
      <c r="Y47" s="16">
        <f>(61.67*12)</f>
        <v>740.04</v>
      </c>
      <c r="Z47" s="16"/>
      <c r="AA47" s="16"/>
      <c r="AB47" s="16"/>
      <c r="AC47" s="16"/>
      <c r="AD47" s="16"/>
      <c r="AE47" s="16">
        <f>(641.3+26.68)*3</f>
        <v>2003.9399999999996</v>
      </c>
      <c r="AF47" s="16"/>
      <c r="AG47" s="16">
        <v>500</v>
      </c>
      <c r="AH47" s="16"/>
      <c r="AI47" s="9">
        <f t="shared" si="2"/>
        <v>45955.58</v>
      </c>
      <c r="AJ47" s="9">
        <f t="shared" si="3"/>
        <v>24</v>
      </c>
    </row>
    <row r="48" spans="1:43" x14ac:dyDescent="0.4">
      <c r="A48" s="48"/>
      <c r="B48" s="18"/>
      <c r="C48" s="8"/>
      <c r="D48" s="25">
        <v>45.81</v>
      </c>
      <c r="E48" s="30">
        <v>93384.02</v>
      </c>
      <c r="F48" s="33">
        <v>21114.639999999999</v>
      </c>
      <c r="G48" s="22"/>
      <c r="H48" s="22">
        <v>400</v>
      </c>
      <c r="I48" s="22">
        <v>2480</v>
      </c>
      <c r="J48" s="31">
        <v>541.41999999999996</v>
      </c>
      <c r="K48" s="31"/>
      <c r="L48" s="31"/>
      <c r="M48" s="31"/>
      <c r="N48" s="32">
        <f t="shared" si="1"/>
        <v>117920.08</v>
      </c>
      <c r="O48" s="16">
        <v>4093.92</v>
      </c>
      <c r="P48" s="20">
        <v>455.04</v>
      </c>
      <c r="Q48" s="16">
        <f>(58.54*12)</f>
        <v>702.48</v>
      </c>
      <c r="R48" s="20">
        <v>144.24</v>
      </c>
      <c r="S48" s="16">
        <f t="shared" si="0"/>
        <v>69.72</v>
      </c>
      <c r="T48" s="16">
        <v>62.76</v>
      </c>
      <c r="U48" s="16">
        <f>(27.6)+(54.1*12)</f>
        <v>676.80000000000007</v>
      </c>
      <c r="V48" s="16">
        <f>(141.19*12)</f>
        <v>1694.28</v>
      </c>
      <c r="W48" s="16"/>
      <c r="X48" s="16">
        <v>396.72</v>
      </c>
      <c r="Y48" s="16"/>
      <c r="Z48" s="16"/>
      <c r="AA48" s="16"/>
      <c r="AB48" s="16">
        <v>804.24</v>
      </c>
      <c r="AC48" s="16"/>
      <c r="AD48" s="16">
        <v>7018.71</v>
      </c>
      <c r="AE48" s="16">
        <f>(2334.12+96.97)*12</f>
        <v>29173.079999999994</v>
      </c>
      <c r="AF48" s="16"/>
      <c r="AG48" s="16">
        <v>500</v>
      </c>
      <c r="AH48" s="16"/>
      <c r="AI48" s="9">
        <f t="shared" si="2"/>
        <v>153136.07999999999</v>
      </c>
      <c r="AJ48" s="9">
        <f t="shared" si="3"/>
        <v>10575.989999999998</v>
      </c>
    </row>
    <row r="49" spans="1:39" x14ac:dyDescent="0.4">
      <c r="A49" s="48"/>
      <c r="B49" s="18"/>
      <c r="C49" s="8"/>
      <c r="D49" s="25">
        <v>39.159999999999997</v>
      </c>
      <c r="E49" s="30">
        <v>75209.119999999995</v>
      </c>
      <c r="F49" s="33"/>
      <c r="G49" s="22"/>
      <c r="H49" s="22">
        <v>400</v>
      </c>
      <c r="I49" s="22"/>
      <c r="J49" s="31">
        <v>541.41999999999996</v>
      </c>
      <c r="K49" s="31"/>
      <c r="L49" s="31"/>
      <c r="M49" s="31"/>
      <c r="N49" s="32">
        <f t="shared" si="1"/>
        <v>76150.539999999994</v>
      </c>
      <c r="O49" s="16">
        <v>9765.1200000000008</v>
      </c>
      <c r="P49" s="20">
        <v>3509.04</v>
      </c>
      <c r="Q49" s="16">
        <f>(58.54*12)</f>
        <v>702.48</v>
      </c>
      <c r="R49" s="20">
        <v>144.24</v>
      </c>
      <c r="S49" s="16">
        <f t="shared" si="0"/>
        <v>69.72</v>
      </c>
      <c r="T49" s="16"/>
      <c r="U49" s="16">
        <f>(79.2)+(47.04*12)</f>
        <v>643.68000000000006</v>
      </c>
      <c r="V49" s="16">
        <f>(741.12)+(118.8)+(885.6)</f>
        <v>1745.52</v>
      </c>
      <c r="W49" s="16"/>
      <c r="X49" s="16">
        <v>396.72</v>
      </c>
      <c r="Y49" s="16">
        <f>(121.87*12)</f>
        <v>1462.44</v>
      </c>
      <c r="Z49" s="16"/>
      <c r="AA49" s="16"/>
      <c r="AB49" s="16"/>
      <c r="AC49" s="16"/>
      <c r="AD49" s="16">
        <v>2444.6799999999998</v>
      </c>
      <c r="AE49" s="16">
        <f>(2014.61+83.7)*12</f>
        <v>25179.72</v>
      </c>
      <c r="AF49" s="16"/>
      <c r="AG49" s="16">
        <v>500</v>
      </c>
      <c r="AH49" s="16"/>
      <c r="AI49" s="9">
        <f t="shared" si="2"/>
        <v>114473.69999999998</v>
      </c>
      <c r="AJ49" s="9">
        <f t="shared" si="3"/>
        <v>8240.1999999999989</v>
      </c>
    </row>
    <row r="50" spans="1:39" x14ac:dyDescent="0.4">
      <c r="A50" s="48"/>
      <c r="B50" s="18"/>
      <c r="C50" s="8"/>
      <c r="D50" s="25">
        <v>26.63</v>
      </c>
      <c r="E50" s="30">
        <v>54018.84</v>
      </c>
      <c r="F50" s="33"/>
      <c r="G50" s="22"/>
      <c r="H50" s="22">
        <v>400</v>
      </c>
      <c r="I50" s="22"/>
      <c r="J50" s="31">
        <v>541.41999999999996</v>
      </c>
      <c r="K50" s="31"/>
      <c r="L50" s="31"/>
      <c r="M50" s="31"/>
      <c r="N50" s="32">
        <f t="shared" si="1"/>
        <v>54960.259999999995</v>
      </c>
      <c r="O50" s="16">
        <v>8832.84</v>
      </c>
      <c r="P50" s="20">
        <f>(113.76)+(2255.04)</f>
        <v>2368.8000000000002</v>
      </c>
      <c r="Q50" s="16">
        <f>(60.2*12)</f>
        <v>722.40000000000009</v>
      </c>
      <c r="R50" s="20">
        <v>116.46</v>
      </c>
      <c r="S50" s="16">
        <f t="shared" si="0"/>
        <v>69.72</v>
      </c>
      <c r="T50" s="16">
        <v>52.29</v>
      </c>
      <c r="U50" s="16">
        <f>(18)+(31.16*12)</f>
        <v>391.92</v>
      </c>
      <c r="V50" s="16">
        <f>(27)+(18)</f>
        <v>45</v>
      </c>
      <c r="W50" s="16"/>
      <c r="X50" s="16"/>
      <c r="Y50" s="16">
        <f>(81.29*12)</f>
        <v>975.48</v>
      </c>
      <c r="Z50" s="16"/>
      <c r="AA50" s="16"/>
      <c r="AB50" s="16">
        <v>374.4</v>
      </c>
      <c r="AC50" s="16"/>
      <c r="AD50" s="16">
        <v>540.16999999999996</v>
      </c>
      <c r="AE50" s="16">
        <f>(845.3+35.17)*12</f>
        <v>10565.64</v>
      </c>
      <c r="AF50" s="16"/>
      <c r="AG50" s="16">
        <v>500</v>
      </c>
      <c r="AH50" s="16"/>
      <c r="AI50" s="9">
        <f t="shared" si="2"/>
        <v>77018.259999999995</v>
      </c>
      <c r="AJ50" s="9">
        <f t="shared" si="3"/>
        <v>3497.1200000000003</v>
      </c>
    </row>
    <row r="51" spans="1:39" x14ac:dyDescent="0.4">
      <c r="A51" s="48"/>
      <c r="B51" s="18"/>
      <c r="C51" s="8"/>
      <c r="D51" s="25">
        <v>40.24</v>
      </c>
      <c r="E51" s="30">
        <v>81625.600000000006</v>
      </c>
      <c r="F51" s="33">
        <v>673.98</v>
      </c>
      <c r="G51" s="22">
        <f>(1609.6)+(1609.6)</f>
        <v>3219.2</v>
      </c>
      <c r="H51" s="22">
        <v>400</v>
      </c>
      <c r="I51" s="22"/>
      <c r="J51" s="31">
        <v>541.41999999999996</v>
      </c>
      <c r="K51" s="31"/>
      <c r="L51" s="31"/>
      <c r="M51" s="31"/>
      <c r="N51" s="32">
        <f t="shared" si="1"/>
        <v>86460.2</v>
      </c>
      <c r="O51" s="16">
        <v>13416.6</v>
      </c>
      <c r="P51" s="20">
        <v>5474.88</v>
      </c>
      <c r="Q51" s="16">
        <f>(86.66*12)</f>
        <v>1039.92</v>
      </c>
      <c r="R51" s="20">
        <v>325.92</v>
      </c>
      <c r="S51" s="16">
        <f t="shared" si="0"/>
        <v>69.72</v>
      </c>
      <c r="T51" s="16">
        <v>135.24</v>
      </c>
      <c r="U51" s="16">
        <f>(10.8)+(47.04*12)</f>
        <v>575.28</v>
      </c>
      <c r="V51" s="16">
        <f>(16.2)+(24)</f>
        <v>40.200000000000003</v>
      </c>
      <c r="W51" s="16"/>
      <c r="X51" s="16">
        <v>497.04</v>
      </c>
      <c r="Y51" s="16">
        <f>(122.83*12)</f>
        <v>1473.96</v>
      </c>
      <c r="Z51" s="16"/>
      <c r="AA51" s="16"/>
      <c r="AB51" s="16">
        <v>450.12</v>
      </c>
      <c r="AC51" s="16"/>
      <c r="AD51" s="16">
        <f>(3291.95)+(1645.98)</f>
        <v>4937.93</v>
      </c>
      <c r="AE51" s="16">
        <f>(2030.51+84.36)*12</f>
        <v>25378.44</v>
      </c>
      <c r="AF51" s="16"/>
      <c r="AG51" s="16">
        <v>500</v>
      </c>
      <c r="AH51" s="16"/>
      <c r="AI51" s="9">
        <f t="shared" si="2"/>
        <v>128914.12000000001</v>
      </c>
      <c r="AJ51" s="9">
        <f t="shared" si="3"/>
        <v>11861.330000000002</v>
      </c>
    </row>
    <row r="52" spans="1:39" x14ac:dyDescent="0.4">
      <c r="A52" s="48"/>
      <c r="B52" s="18"/>
      <c r="C52" s="8"/>
      <c r="D52" s="25">
        <v>27.07</v>
      </c>
      <c r="E52" s="30">
        <v>13945.38</v>
      </c>
      <c r="F52" s="33"/>
      <c r="G52" s="22"/>
      <c r="H52" s="22"/>
      <c r="I52" s="22"/>
      <c r="J52" s="31"/>
      <c r="K52" s="31"/>
      <c r="L52" s="31"/>
      <c r="M52" s="31"/>
      <c r="N52" s="32">
        <f t="shared" si="1"/>
        <v>13945.38</v>
      </c>
      <c r="O52" s="16"/>
      <c r="P52" s="20">
        <v>189.6</v>
      </c>
      <c r="Q52" s="16"/>
      <c r="R52" s="20"/>
      <c r="S52" s="16">
        <f t="shared" si="0"/>
        <v>69.72</v>
      </c>
      <c r="T52" s="16"/>
      <c r="U52" s="16">
        <f>(33.52*12)</f>
        <v>402.24</v>
      </c>
      <c r="V52" s="16"/>
      <c r="W52" s="16"/>
      <c r="X52" s="16">
        <v>105.05</v>
      </c>
      <c r="Y52" s="16">
        <f>(86.77*12)</f>
        <v>1041.24</v>
      </c>
      <c r="Z52" s="16"/>
      <c r="AA52" s="16"/>
      <c r="AB52" s="16"/>
      <c r="AC52" s="16"/>
      <c r="AD52" s="16">
        <f>(389.82)+(519.72)</f>
        <v>909.54</v>
      </c>
      <c r="AE52" s="16">
        <f>(1434.4+59.59)*6</f>
        <v>8963.94</v>
      </c>
      <c r="AF52" s="16"/>
      <c r="AG52" s="16">
        <v>500</v>
      </c>
      <c r="AH52" s="16"/>
      <c r="AI52" s="9">
        <f t="shared" si="2"/>
        <v>24922.519999999997</v>
      </c>
      <c r="AJ52" s="9">
        <f t="shared" si="3"/>
        <v>1204.1899999999998</v>
      </c>
    </row>
    <row r="53" spans="1:39" x14ac:dyDescent="0.4">
      <c r="A53" s="48"/>
      <c r="B53" s="18"/>
      <c r="C53" s="8"/>
      <c r="D53" s="25">
        <v>40.909999999999997</v>
      </c>
      <c r="E53" s="30">
        <v>26182.400000000001</v>
      </c>
      <c r="F53" s="33">
        <v>613.65</v>
      </c>
      <c r="G53" s="22">
        <f>(15822.35)+(7977.45)</f>
        <v>23799.8</v>
      </c>
      <c r="H53" s="22"/>
      <c r="I53" s="22"/>
      <c r="J53" s="31"/>
      <c r="K53" s="31"/>
      <c r="L53" s="31"/>
      <c r="M53" s="31"/>
      <c r="N53" s="32">
        <f t="shared" si="1"/>
        <v>50595.850000000006</v>
      </c>
      <c r="O53" s="16"/>
      <c r="P53" s="20">
        <v>1169.68</v>
      </c>
      <c r="Q53" s="16"/>
      <c r="R53" s="20">
        <v>48.08</v>
      </c>
      <c r="S53" s="16">
        <f t="shared" si="0"/>
        <v>69.72</v>
      </c>
      <c r="T53" s="16">
        <v>20.92</v>
      </c>
      <c r="U53" s="16">
        <f>(17.2)+(50.57*4)</f>
        <v>219.48</v>
      </c>
      <c r="V53" s="16">
        <f>(173.36)+(25.8)</f>
        <v>199.16000000000003</v>
      </c>
      <c r="W53" s="16"/>
      <c r="X53" s="16">
        <v>132.24</v>
      </c>
      <c r="Y53" s="16">
        <f>(131.13*4)</f>
        <v>524.52</v>
      </c>
      <c r="Z53" s="16"/>
      <c r="AA53" s="16"/>
      <c r="AB53" s="16"/>
      <c r="AC53" s="16"/>
      <c r="AD53" s="16">
        <v>2009.7</v>
      </c>
      <c r="AE53" s="16"/>
      <c r="AF53" s="16"/>
      <c r="AG53" s="16">
        <v>500</v>
      </c>
      <c r="AH53" s="16"/>
      <c r="AI53" s="9">
        <f t="shared" si="2"/>
        <v>51909.570000000007</v>
      </c>
      <c r="AJ53" s="9">
        <f t="shared" si="3"/>
        <v>3579.7799999999997</v>
      </c>
    </row>
    <row r="54" spans="1:39" x14ac:dyDescent="0.4">
      <c r="B54" s="18"/>
      <c r="C54" s="8"/>
      <c r="D54" s="25"/>
      <c r="E54" s="30"/>
      <c r="F54" s="33"/>
      <c r="G54" s="22"/>
      <c r="H54" s="22"/>
      <c r="I54" s="22"/>
      <c r="J54" s="31"/>
      <c r="K54" s="31"/>
      <c r="L54" s="31"/>
      <c r="M54" s="31"/>
      <c r="N54" s="32">
        <f t="shared" si="1"/>
        <v>0</v>
      </c>
      <c r="O54" s="16"/>
      <c r="P54" s="20"/>
      <c r="Q54" s="16"/>
      <c r="R54" s="20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9">
        <f t="shared" si="2"/>
        <v>0</v>
      </c>
      <c r="AJ54" s="9">
        <f t="shared" si="3"/>
        <v>0</v>
      </c>
    </row>
    <row r="55" spans="1:39" x14ac:dyDescent="0.4">
      <c r="B55" s="18"/>
      <c r="C55" s="8"/>
      <c r="D55" s="25"/>
      <c r="E55" s="30"/>
      <c r="F55" s="33"/>
      <c r="G55" s="22"/>
      <c r="H55" s="22"/>
      <c r="I55" s="22"/>
      <c r="J55" s="31"/>
      <c r="K55" s="31"/>
      <c r="L55" s="31"/>
      <c r="M55" s="31"/>
      <c r="N55" s="32">
        <f t="shared" si="1"/>
        <v>0</v>
      </c>
      <c r="O55" s="16"/>
      <c r="P55" s="20"/>
      <c r="Q55" s="16"/>
      <c r="R55" s="20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9">
        <f t="shared" si="2"/>
        <v>0</v>
      </c>
      <c r="AJ55" s="9">
        <f t="shared" si="3"/>
        <v>0</v>
      </c>
    </row>
    <row r="56" spans="1:39" x14ac:dyDescent="0.4">
      <c r="B56" s="17"/>
      <c r="C56" s="8"/>
      <c r="D56" s="25"/>
      <c r="E56" s="30"/>
      <c r="F56" s="22"/>
      <c r="G56" s="22"/>
      <c r="H56" s="22"/>
      <c r="I56" s="22"/>
      <c r="J56" s="31"/>
      <c r="K56" s="31"/>
      <c r="L56" s="31"/>
      <c r="M56" s="31"/>
      <c r="N56" s="32">
        <f t="shared" si="1"/>
        <v>0</v>
      </c>
      <c r="O56" s="22"/>
      <c r="P56" s="16"/>
      <c r="Q56" s="22"/>
      <c r="R56" s="22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9">
        <f t="shared" si="2"/>
        <v>0</v>
      </c>
      <c r="AJ56" s="9">
        <f t="shared" si="3"/>
        <v>0</v>
      </c>
    </row>
    <row r="57" spans="1:39" x14ac:dyDescent="0.4">
      <c r="B57" s="17"/>
      <c r="C57" s="8"/>
      <c r="D57" s="25"/>
      <c r="E57" s="30"/>
      <c r="F57" s="22"/>
      <c r="G57" s="22"/>
      <c r="H57" s="22"/>
      <c r="I57" s="22"/>
      <c r="J57" s="31"/>
      <c r="K57" s="31"/>
      <c r="L57" s="31"/>
      <c r="M57" s="31"/>
      <c r="N57" s="32">
        <f t="shared" si="1"/>
        <v>0</v>
      </c>
      <c r="O57" s="22"/>
      <c r="P57" s="16"/>
      <c r="Q57" s="22"/>
      <c r="R57" s="22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9">
        <f t="shared" si="2"/>
        <v>0</v>
      </c>
      <c r="AJ57" s="9">
        <f t="shared" si="3"/>
        <v>0</v>
      </c>
    </row>
    <row r="58" spans="1:39" x14ac:dyDescent="0.4">
      <c r="B58" s="17"/>
      <c r="C58" s="8"/>
      <c r="D58" s="25"/>
      <c r="E58" s="30"/>
      <c r="F58" s="31"/>
      <c r="G58" s="22"/>
      <c r="H58" s="22"/>
      <c r="I58" s="22"/>
      <c r="J58" s="31"/>
      <c r="K58" s="31"/>
      <c r="L58" s="31"/>
      <c r="M58" s="31"/>
      <c r="N58" s="32">
        <f t="shared" si="1"/>
        <v>0</v>
      </c>
      <c r="O58" s="16"/>
      <c r="P58" s="20"/>
      <c r="Q58" s="16"/>
      <c r="R58" s="20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9">
        <f t="shared" si="2"/>
        <v>0</v>
      </c>
      <c r="AJ58" s="9">
        <f t="shared" si="3"/>
        <v>0</v>
      </c>
    </row>
    <row r="59" spans="1:39" x14ac:dyDescent="0.4">
      <c r="B59" s="17"/>
      <c r="C59" s="8"/>
      <c r="D59" s="25"/>
      <c r="E59" s="30"/>
      <c r="F59" s="31"/>
      <c r="G59" s="22"/>
      <c r="H59" s="22"/>
      <c r="I59" s="22"/>
      <c r="J59" s="31"/>
      <c r="K59" s="31"/>
      <c r="L59" s="31"/>
      <c r="M59" s="31"/>
      <c r="N59" s="32">
        <f t="shared" si="1"/>
        <v>0</v>
      </c>
      <c r="O59" s="16"/>
      <c r="P59" s="20"/>
      <c r="Q59" s="16"/>
      <c r="R59" s="20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9">
        <f t="shared" si="2"/>
        <v>0</v>
      </c>
      <c r="AJ59" s="9">
        <f t="shared" si="3"/>
        <v>0</v>
      </c>
    </row>
    <row r="60" spans="1:39" x14ac:dyDescent="0.4">
      <c r="B60" s="17"/>
      <c r="C60" s="8"/>
      <c r="D60" s="25"/>
      <c r="E60" s="30"/>
      <c r="F60" s="31"/>
      <c r="G60" s="22"/>
      <c r="H60" s="22"/>
      <c r="I60" s="22"/>
      <c r="J60" s="31"/>
      <c r="K60" s="31"/>
      <c r="L60" s="31"/>
      <c r="M60" s="31"/>
      <c r="N60" s="32">
        <f t="shared" si="1"/>
        <v>0</v>
      </c>
      <c r="O60" s="16"/>
      <c r="P60" s="20"/>
      <c r="Q60" s="16"/>
      <c r="R60" s="20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9">
        <f t="shared" si="2"/>
        <v>0</v>
      </c>
      <c r="AJ60" s="9">
        <f t="shared" si="3"/>
        <v>0</v>
      </c>
    </row>
    <row r="61" spans="1:39" x14ac:dyDescent="0.4">
      <c r="B61" s="17"/>
      <c r="C61" s="8"/>
      <c r="D61" s="26"/>
      <c r="E61" s="30"/>
      <c r="F61" s="31"/>
      <c r="G61" s="22"/>
      <c r="H61" s="22"/>
      <c r="I61" s="22"/>
      <c r="J61" s="31"/>
      <c r="K61" s="31"/>
      <c r="L61" s="31"/>
      <c r="M61" s="31"/>
      <c r="N61" s="32">
        <f t="shared" si="1"/>
        <v>0</v>
      </c>
      <c r="O61" s="22"/>
      <c r="P61" s="16"/>
      <c r="Q61" s="22"/>
      <c r="R61" s="22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9">
        <f t="shared" si="2"/>
        <v>0</v>
      </c>
      <c r="AJ61" s="9">
        <f t="shared" si="3"/>
        <v>0</v>
      </c>
    </row>
    <row r="62" spans="1:39" x14ac:dyDescent="0.4">
      <c r="B62" s="17"/>
      <c r="C62" s="8"/>
      <c r="D62" s="26"/>
      <c r="E62" s="30"/>
      <c r="F62" s="31"/>
      <c r="G62" s="22"/>
      <c r="H62" s="22"/>
      <c r="I62" s="22"/>
      <c r="J62" s="31"/>
      <c r="K62" s="31"/>
      <c r="L62" s="31"/>
      <c r="M62" s="31"/>
      <c r="N62" s="32">
        <f t="shared" si="1"/>
        <v>0</v>
      </c>
      <c r="O62" s="22"/>
      <c r="P62" s="16"/>
      <c r="Q62" s="22"/>
      <c r="R62" s="22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9">
        <f t="shared" si="2"/>
        <v>0</v>
      </c>
      <c r="AJ62" s="9">
        <f t="shared" si="3"/>
        <v>0</v>
      </c>
    </row>
    <row r="63" spans="1:39" x14ac:dyDescent="0.4">
      <c r="B63" s="17"/>
      <c r="C63" s="8"/>
      <c r="D63" s="26"/>
      <c r="E63" s="30"/>
      <c r="F63" s="31"/>
      <c r="G63" s="22"/>
      <c r="H63" s="22"/>
      <c r="I63" s="22"/>
      <c r="J63" s="31"/>
      <c r="K63" s="31"/>
      <c r="L63" s="31"/>
      <c r="M63" s="31"/>
      <c r="N63" s="32">
        <f t="shared" si="1"/>
        <v>0</v>
      </c>
      <c r="O63" s="22"/>
      <c r="P63" s="16"/>
      <c r="Q63" s="22"/>
      <c r="R63" s="22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9">
        <f t="shared" si="2"/>
        <v>0</v>
      </c>
      <c r="AJ63" s="9">
        <f t="shared" si="3"/>
        <v>0</v>
      </c>
    </row>
    <row r="64" spans="1:39" x14ac:dyDescent="0.4">
      <c r="B64" s="17"/>
      <c r="C64" s="8"/>
      <c r="D64" s="26"/>
      <c r="E64" s="30"/>
      <c r="F64" s="31"/>
      <c r="G64" s="22"/>
      <c r="H64" s="22"/>
      <c r="I64" s="22"/>
      <c r="J64" s="31"/>
      <c r="K64" s="31"/>
      <c r="L64" s="31"/>
      <c r="M64" s="31"/>
      <c r="N64" s="32">
        <f t="shared" si="1"/>
        <v>0</v>
      </c>
      <c r="O64" s="22"/>
      <c r="P64" s="16"/>
      <c r="Q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9">
        <f t="shared" si="2"/>
        <v>0</v>
      </c>
      <c r="AJ64" s="9">
        <f t="shared" si="3"/>
        <v>0</v>
      </c>
      <c r="AM64" s="37"/>
    </row>
    <row r="65" spans="2:40" x14ac:dyDescent="0.4">
      <c r="B65" s="17"/>
      <c r="C65" s="8"/>
      <c r="D65" s="26"/>
      <c r="E65" s="30"/>
      <c r="F65" s="31"/>
      <c r="G65" s="22"/>
      <c r="H65" s="22"/>
      <c r="I65" s="22"/>
      <c r="J65" s="31"/>
      <c r="K65" s="31"/>
      <c r="L65" s="31"/>
      <c r="M65" s="31"/>
      <c r="N65" s="32">
        <f t="shared" si="1"/>
        <v>0</v>
      </c>
      <c r="O65" s="2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9">
        <f t="shared" si="2"/>
        <v>0</v>
      </c>
      <c r="AJ65" s="9">
        <f t="shared" si="3"/>
        <v>0</v>
      </c>
      <c r="AN65" s="21"/>
    </row>
    <row r="66" spans="2:40" x14ac:dyDescent="0.4">
      <c r="B66" s="17"/>
      <c r="C66" s="8"/>
      <c r="D66" s="26"/>
      <c r="E66" s="30"/>
      <c r="F66" s="33"/>
      <c r="G66" s="22"/>
      <c r="H66" s="22"/>
      <c r="I66" s="22"/>
      <c r="J66" s="31"/>
      <c r="K66" s="31"/>
      <c r="L66" s="31"/>
      <c r="M66" s="31"/>
      <c r="N66" s="32">
        <f t="shared" si="1"/>
        <v>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9">
        <f t="shared" si="2"/>
        <v>0</v>
      </c>
      <c r="AJ66" s="9">
        <f t="shared" si="3"/>
        <v>0</v>
      </c>
    </row>
    <row r="67" spans="2:40" x14ac:dyDescent="0.4">
      <c r="B67" s="17"/>
      <c r="C67" s="8"/>
      <c r="D67" s="26"/>
      <c r="E67" s="30"/>
      <c r="F67" s="31"/>
      <c r="G67" s="22"/>
      <c r="H67" s="22"/>
      <c r="I67" s="22"/>
      <c r="J67" s="31"/>
      <c r="K67" s="31"/>
      <c r="L67" s="31"/>
      <c r="M67" s="31"/>
      <c r="N67" s="32">
        <f t="shared" si="1"/>
        <v>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9">
        <f t="shared" si="2"/>
        <v>0</v>
      </c>
      <c r="AJ67" s="9">
        <f t="shared" si="3"/>
        <v>0</v>
      </c>
    </row>
    <row r="68" spans="2:40" x14ac:dyDescent="0.4">
      <c r="B68" s="18"/>
      <c r="C68" s="8"/>
      <c r="D68" s="26"/>
      <c r="E68" s="30"/>
      <c r="F68" s="31"/>
      <c r="G68" s="22"/>
      <c r="H68" s="22"/>
      <c r="I68" s="22"/>
      <c r="J68" s="31"/>
      <c r="K68" s="31"/>
      <c r="L68" s="31"/>
      <c r="M68" s="31"/>
      <c r="N68" s="32">
        <f t="shared" si="1"/>
        <v>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9">
        <f t="shared" si="2"/>
        <v>0</v>
      </c>
      <c r="AJ68" s="9">
        <f t="shared" si="3"/>
        <v>0</v>
      </c>
    </row>
    <row r="69" spans="2:40" x14ac:dyDescent="0.4">
      <c r="B69" s="18"/>
      <c r="C69" s="8"/>
      <c r="D69" s="26"/>
      <c r="E69" s="30"/>
      <c r="F69" s="31"/>
      <c r="G69" s="22"/>
      <c r="H69" s="22"/>
      <c r="I69" s="22"/>
      <c r="J69" s="31"/>
      <c r="K69" s="31"/>
      <c r="L69" s="31"/>
      <c r="M69" s="31"/>
      <c r="N69" s="32">
        <f t="shared" si="1"/>
        <v>0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9">
        <f t="shared" si="2"/>
        <v>0</v>
      </c>
      <c r="AJ69" s="9">
        <f t="shared" si="3"/>
        <v>0</v>
      </c>
    </row>
    <row r="70" spans="2:40" x14ac:dyDescent="0.4">
      <c r="B70" s="18"/>
      <c r="C70" s="8"/>
      <c r="D70" s="26"/>
      <c r="E70" s="24"/>
      <c r="F70" s="31"/>
      <c r="G70" s="22"/>
      <c r="H70" s="22"/>
      <c r="I70" s="22"/>
      <c r="J70" s="31"/>
      <c r="K70" s="31"/>
      <c r="L70" s="31"/>
      <c r="M70" s="31"/>
      <c r="N70" s="32">
        <f t="shared" si="1"/>
        <v>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9">
        <f t="shared" si="2"/>
        <v>0</v>
      </c>
      <c r="AJ70" s="9">
        <f t="shared" si="3"/>
        <v>0</v>
      </c>
    </row>
    <row r="71" spans="2:40" x14ac:dyDescent="0.4">
      <c r="B71" s="18"/>
      <c r="C71" s="8"/>
      <c r="D71" s="26"/>
      <c r="E71" s="31"/>
      <c r="F71" s="31"/>
      <c r="G71" s="22"/>
      <c r="H71" s="22"/>
      <c r="I71" s="22"/>
      <c r="J71" s="31"/>
      <c r="K71" s="31"/>
      <c r="L71" s="31"/>
      <c r="M71" s="31"/>
      <c r="N71" s="32">
        <f t="shared" si="1"/>
        <v>0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9">
        <f t="shared" si="2"/>
        <v>0</v>
      </c>
      <c r="AJ71" s="9">
        <f t="shared" si="3"/>
        <v>0</v>
      </c>
    </row>
    <row r="72" spans="2:40" x14ac:dyDescent="0.4">
      <c r="B72" s="18"/>
      <c r="C72" s="8"/>
      <c r="D72" s="25"/>
      <c r="E72" s="30"/>
      <c r="F72" s="33"/>
      <c r="G72" s="22"/>
      <c r="H72" s="22"/>
      <c r="I72" s="22"/>
      <c r="J72" s="33"/>
      <c r="K72" s="33"/>
      <c r="L72" s="33"/>
      <c r="M72" s="33"/>
      <c r="N72" s="32">
        <f t="shared" ref="N72:N75" si="4">SUM(E72:M72)</f>
        <v>0</v>
      </c>
      <c r="O72" s="16"/>
      <c r="P72" s="20"/>
      <c r="Q72" s="16"/>
      <c r="R72" s="20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9">
        <f t="shared" ref="AI72:AI75" si="5">+N72+O72+Q72+S72+U72+Y72+AC72+AE72+AG72+AA72+W72</f>
        <v>0</v>
      </c>
      <c r="AJ72" s="9">
        <f t="shared" ref="AJ72:AJ75" si="6">+P72+R72+T72+V72+Z72+AD72+AF72+AH72+X72+AB72</f>
        <v>0</v>
      </c>
    </row>
    <row r="73" spans="2:40" x14ac:dyDescent="0.4">
      <c r="B73" s="18"/>
      <c r="C73" s="8"/>
      <c r="D73" s="26"/>
      <c r="E73" s="33"/>
      <c r="F73" s="33"/>
      <c r="G73" s="22"/>
      <c r="H73" s="22"/>
      <c r="I73" s="22"/>
      <c r="J73" s="31"/>
      <c r="K73" s="31"/>
      <c r="L73" s="31"/>
      <c r="M73" s="31"/>
      <c r="N73" s="32">
        <f t="shared" si="4"/>
        <v>0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9">
        <f t="shared" si="5"/>
        <v>0</v>
      </c>
      <c r="AJ73" s="9">
        <f t="shared" si="6"/>
        <v>0</v>
      </c>
    </row>
    <row r="74" spans="2:40" x14ac:dyDescent="0.4">
      <c r="B74" s="18"/>
      <c r="C74" s="8"/>
      <c r="D74" s="26"/>
      <c r="E74" s="33"/>
      <c r="F74" s="33"/>
      <c r="G74" s="22"/>
      <c r="H74" s="22"/>
      <c r="I74" s="22"/>
      <c r="J74" s="31"/>
      <c r="K74" s="31"/>
      <c r="L74" s="31"/>
      <c r="M74" s="31"/>
      <c r="N74" s="32">
        <f t="shared" si="4"/>
        <v>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9">
        <f t="shared" si="5"/>
        <v>0</v>
      </c>
      <c r="AJ74" s="9">
        <f t="shared" si="6"/>
        <v>0</v>
      </c>
    </row>
    <row r="75" spans="2:40" x14ac:dyDescent="0.4">
      <c r="B75" s="11"/>
      <c r="C75" s="12"/>
      <c r="D75" s="27"/>
      <c r="E75" s="10"/>
      <c r="F75" s="10"/>
      <c r="G75" s="10"/>
      <c r="H75" s="10"/>
      <c r="I75" s="10"/>
      <c r="J75" s="10"/>
      <c r="K75" s="10"/>
      <c r="L75" s="10"/>
      <c r="M75" s="10"/>
      <c r="N75" s="32">
        <f t="shared" si="4"/>
        <v>0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9">
        <f t="shared" si="5"/>
        <v>0</v>
      </c>
      <c r="AJ75" s="9">
        <f t="shared" si="6"/>
        <v>0</v>
      </c>
    </row>
    <row r="76" spans="2:40" x14ac:dyDescent="0.4">
      <c r="B76" s="13" t="s">
        <v>8</v>
      </c>
      <c r="C76" s="14"/>
      <c r="D76" s="28"/>
      <c r="E76" s="40">
        <f t="shared" ref="E76:AJ76" si="7">SUM(E7:E75)</f>
        <v>2893583.6</v>
      </c>
      <c r="F76" s="40">
        <f t="shared" si="7"/>
        <v>429002.53800000012</v>
      </c>
      <c r="G76" s="40">
        <f t="shared" si="7"/>
        <v>51418.080000000002</v>
      </c>
      <c r="H76" s="40">
        <f t="shared" si="7"/>
        <v>16800</v>
      </c>
      <c r="I76" s="40">
        <f t="shared" si="7"/>
        <v>43200</v>
      </c>
      <c r="J76" s="40">
        <f t="shared" si="7"/>
        <v>23822.50999999998</v>
      </c>
      <c r="K76" s="40">
        <f t="shared" si="7"/>
        <v>0</v>
      </c>
      <c r="L76" s="40">
        <f t="shared" si="7"/>
        <v>0</v>
      </c>
      <c r="M76" s="40">
        <f t="shared" si="7"/>
        <v>0</v>
      </c>
      <c r="N76" s="40">
        <f t="shared" si="7"/>
        <v>3457826.7280000006</v>
      </c>
      <c r="O76" s="15">
        <f t="shared" si="7"/>
        <v>304179.72000000003</v>
      </c>
      <c r="P76" s="15">
        <f t="shared" si="7"/>
        <v>95860.12</v>
      </c>
      <c r="Q76" s="15">
        <f t="shared" si="7"/>
        <v>27451.840000000011</v>
      </c>
      <c r="R76" s="15">
        <f t="shared" si="7"/>
        <v>4779.1000000000013</v>
      </c>
      <c r="S76" s="15">
        <f t="shared" si="7"/>
        <v>3149.0199999999973</v>
      </c>
      <c r="T76" s="35">
        <f t="shared" si="7"/>
        <v>2011.0100000000004</v>
      </c>
      <c r="U76" s="15">
        <f t="shared" si="7"/>
        <v>21476.589999999993</v>
      </c>
      <c r="V76" s="15">
        <f t="shared" si="7"/>
        <v>15350.310000000003</v>
      </c>
      <c r="W76" s="15">
        <f t="shared" si="7"/>
        <v>0</v>
      </c>
      <c r="X76" s="15">
        <f t="shared" si="7"/>
        <v>5456.1500000000005</v>
      </c>
      <c r="Y76" s="15">
        <f t="shared" si="7"/>
        <v>51984.860000000008</v>
      </c>
      <c r="Z76" s="15">
        <f t="shared" si="7"/>
        <v>0</v>
      </c>
      <c r="AA76" s="15">
        <f t="shared" si="7"/>
        <v>0</v>
      </c>
      <c r="AB76" s="15">
        <f t="shared" si="7"/>
        <v>4500.4800000000005</v>
      </c>
      <c r="AC76" s="15">
        <f t="shared" si="7"/>
        <v>0</v>
      </c>
      <c r="AD76" s="15">
        <f t="shared" si="7"/>
        <v>155470.28</v>
      </c>
      <c r="AE76" s="15">
        <f t="shared" si="7"/>
        <v>677566.41999999981</v>
      </c>
      <c r="AF76" s="15">
        <f t="shared" si="7"/>
        <v>0</v>
      </c>
      <c r="AG76" s="15">
        <f t="shared" si="7"/>
        <v>22000</v>
      </c>
      <c r="AH76" s="15">
        <f t="shared" si="7"/>
        <v>0</v>
      </c>
      <c r="AI76" s="15">
        <f t="shared" si="7"/>
        <v>4565635.1779999994</v>
      </c>
      <c r="AJ76" s="15">
        <f t="shared" si="7"/>
        <v>283427.45</v>
      </c>
    </row>
  </sheetData>
  <mergeCells count="31">
    <mergeCell ref="AG4:AH4"/>
    <mergeCell ref="B5:B6"/>
    <mergeCell ref="C5:C6"/>
    <mergeCell ref="D5:D6"/>
    <mergeCell ref="E5:E6"/>
    <mergeCell ref="F5:F6"/>
    <mergeCell ref="G5:G6"/>
    <mergeCell ref="I5:I6"/>
    <mergeCell ref="J5:J6"/>
    <mergeCell ref="N5:N6"/>
    <mergeCell ref="O4:P4"/>
    <mergeCell ref="Q4:R4"/>
    <mergeCell ref="S4:T4"/>
    <mergeCell ref="U4:V4"/>
    <mergeCell ref="Y4:Z4"/>
    <mergeCell ref="AC4:AD4"/>
    <mergeCell ref="H5:H6"/>
    <mergeCell ref="AG5:AH5"/>
    <mergeCell ref="AI5:AJ5"/>
    <mergeCell ref="O5:P5"/>
    <mergeCell ref="Q5:R5"/>
    <mergeCell ref="S5:T5"/>
    <mergeCell ref="U5:V5"/>
    <mergeCell ref="Y5:Z5"/>
    <mergeCell ref="AC5:AD5"/>
    <mergeCell ref="AE5:AF5"/>
    <mergeCell ref="K5:K6"/>
    <mergeCell ref="L5:L6"/>
    <mergeCell ref="AA5:AB5"/>
    <mergeCell ref="W5:X5"/>
    <mergeCell ref="M5:M6"/>
  </mergeCells>
  <pageMargins left="0.7" right="0.7" top="0.75" bottom="0.75" header="0.3" footer="0.3"/>
  <ignoredErrors>
    <ignoredError sqref="N7:N75" formulaRange="1"/>
    <ignoredError sqref="G27 G33 G44 G51:G53 P20 P45:P50 Q9:R9 Q16:R16 AC7:AE60 Y29:Z29 Y30:Z60 Y16:Z16 Y17:Z28 Y9:Z9 Y10:Z15 Y7:Z8 Q7:V8 Q10:V15 T9:V9 Q17:V28 T16:V16 Q30:V60 R29:V29" unlockedFormula="1"/>
    <ignoredError sqref="S9 S16 Q2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CB9E-25C2-437B-A296-CCE5C15C8EC3}">
  <dimension ref="A1:AP76"/>
  <sheetViews>
    <sheetView topLeftCell="A36" workbookViewId="0">
      <selection activeCell="C54" sqref="C54"/>
    </sheetView>
  </sheetViews>
  <sheetFormatPr defaultColWidth="9.15234375" defaultRowHeight="15.45" x14ac:dyDescent="0.4"/>
  <cols>
    <col min="1" max="1" width="14.3828125" style="3" customWidth="1"/>
    <col min="2" max="2" width="10.84375" style="3" customWidth="1"/>
    <col min="3" max="3" width="38.38281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0.3828125" style="3" customWidth="1"/>
    <col min="29" max="29" width="12.3046875" style="3" bestFit="1" customWidth="1"/>
    <col min="30" max="31" width="12.3046875" style="3" customWidth="1"/>
    <col min="32" max="32" width="9.69140625" style="3" customWidth="1"/>
    <col min="33" max="33" width="11.152343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149999999999999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19"/>
      <c r="N1" s="39"/>
      <c r="O1" s="36"/>
      <c r="P1" s="23"/>
      <c r="Q1" s="23"/>
      <c r="R1" s="23"/>
      <c r="S1" s="2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45</v>
      </c>
      <c r="C2" s="2"/>
      <c r="D2" s="2"/>
      <c r="F2" s="4">
        <v>2021</v>
      </c>
      <c r="G2" s="2"/>
      <c r="H2" s="2"/>
      <c r="I2" s="2"/>
      <c r="J2" s="2"/>
      <c r="K2" s="2"/>
      <c r="L2" s="2"/>
      <c r="M2" s="2"/>
      <c r="N2" s="2"/>
      <c r="O2" s="2"/>
      <c r="P2" s="21"/>
      <c r="Q2" s="23"/>
      <c r="R2" s="23"/>
      <c r="S2" s="23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3"/>
      <c r="P3" s="21"/>
      <c r="Q3" s="23"/>
      <c r="R3" s="23"/>
      <c r="S3" s="2"/>
      <c r="T3" s="2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2"/>
      <c r="C4" s="5"/>
      <c r="D4" s="5"/>
      <c r="E4" s="29"/>
      <c r="F4" s="29"/>
      <c r="G4" s="29"/>
      <c r="H4" s="29"/>
      <c r="I4" s="29"/>
      <c r="J4" s="29"/>
      <c r="K4" s="29"/>
      <c r="L4" s="29"/>
      <c r="M4" s="34"/>
      <c r="N4" s="51"/>
      <c r="O4" s="51"/>
      <c r="P4" s="51"/>
      <c r="Q4" s="51"/>
      <c r="R4" s="51"/>
      <c r="S4" s="51"/>
      <c r="T4" s="51"/>
      <c r="U4" s="51"/>
      <c r="V4" s="41"/>
      <c r="W4" s="41"/>
      <c r="X4" s="51"/>
      <c r="Y4" s="51"/>
      <c r="Z4" s="41"/>
      <c r="AA4" s="41"/>
      <c r="AB4" s="51"/>
      <c r="AC4" s="51"/>
      <c r="AD4" s="41"/>
      <c r="AE4" s="41"/>
      <c r="AF4" s="51"/>
      <c r="AG4" s="51"/>
      <c r="AH4" s="6"/>
      <c r="AI4" s="6"/>
    </row>
    <row r="5" spans="1:35" ht="30" customHeight="1" x14ac:dyDescent="0.4">
      <c r="B5" s="49" t="s">
        <v>9</v>
      </c>
      <c r="C5" s="49" t="s">
        <v>29</v>
      </c>
      <c r="D5" s="49" t="s">
        <v>28</v>
      </c>
      <c r="E5" s="49" t="s">
        <v>0</v>
      </c>
      <c r="F5" s="49" t="s">
        <v>1</v>
      </c>
      <c r="G5" s="49" t="s">
        <v>20</v>
      </c>
      <c r="H5" s="49" t="s">
        <v>36</v>
      </c>
      <c r="I5" s="49" t="s">
        <v>2</v>
      </c>
      <c r="J5" s="49" t="s">
        <v>10</v>
      </c>
      <c r="K5" s="49" t="s">
        <v>38</v>
      </c>
      <c r="L5" s="49" t="s">
        <v>46</v>
      </c>
      <c r="M5" s="49" t="s">
        <v>3</v>
      </c>
      <c r="N5" s="52" t="s">
        <v>44</v>
      </c>
      <c r="O5" s="53"/>
      <c r="P5" s="52" t="s">
        <v>11</v>
      </c>
      <c r="Q5" s="53"/>
      <c r="R5" s="52" t="s">
        <v>43</v>
      </c>
      <c r="S5" s="53"/>
      <c r="T5" s="52" t="s">
        <v>4</v>
      </c>
      <c r="U5" s="53"/>
      <c r="V5" s="55" t="s">
        <v>42</v>
      </c>
      <c r="W5" s="53"/>
      <c r="X5" s="52" t="s">
        <v>21</v>
      </c>
      <c r="Y5" s="53"/>
      <c r="Z5" s="52" t="s">
        <v>41</v>
      </c>
      <c r="AA5" s="53"/>
      <c r="AB5" s="52" t="s">
        <v>5</v>
      </c>
      <c r="AC5" s="53"/>
      <c r="AD5" s="52" t="s">
        <v>37</v>
      </c>
      <c r="AE5" s="53"/>
      <c r="AF5" s="52" t="s">
        <v>22</v>
      </c>
      <c r="AG5" s="53"/>
      <c r="AH5" s="52" t="s">
        <v>6</v>
      </c>
      <c r="AI5" s="53"/>
    </row>
    <row r="6" spans="1:35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7" t="s">
        <v>24</v>
      </c>
      <c r="O6" s="7" t="s">
        <v>7</v>
      </c>
      <c r="P6" s="7" t="str">
        <f>+$N$6</f>
        <v xml:space="preserve">Clark </v>
      </c>
      <c r="Q6" s="7" t="s">
        <v>7</v>
      </c>
      <c r="R6" s="7" t="str">
        <f>+$N$6</f>
        <v xml:space="preserve">Clark </v>
      </c>
      <c r="S6" s="7" t="s">
        <v>7</v>
      </c>
      <c r="T6" s="7" t="str">
        <f>+$N$6</f>
        <v xml:space="preserve">Clark </v>
      </c>
      <c r="U6" s="7" t="s">
        <v>7</v>
      </c>
      <c r="V6" s="7" t="str">
        <f>+$N$6</f>
        <v xml:space="preserve">Clark </v>
      </c>
      <c r="W6" s="7" t="s">
        <v>7</v>
      </c>
      <c r="X6" s="7" t="str">
        <f>+$N$6</f>
        <v xml:space="preserve">Clark </v>
      </c>
      <c r="Y6" s="7" t="s">
        <v>7</v>
      </c>
      <c r="Z6" s="7" t="str">
        <f>+$N$6</f>
        <v xml:space="preserve">Clark </v>
      </c>
      <c r="AA6" s="7" t="s">
        <v>7</v>
      </c>
      <c r="AB6" s="7" t="str">
        <f>+$N$6</f>
        <v xml:space="preserve">Clark </v>
      </c>
      <c r="AC6" s="7" t="s">
        <v>7</v>
      </c>
      <c r="AD6" s="7" t="str">
        <f>+$N$6</f>
        <v xml:space="preserve">Clark </v>
      </c>
      <c r="AE6" s="7" t="s">
        <v>7</v>
      </c>
      <c r="AF6" s="7" t="str">
        <f>+$N$6</f>
        <v xml:space="preserve">Clark </v>
      </c>
      <c r="AG6" s="7" t="s">
        <v>7</v>
      </c>
      <c r="AH6" s="7" t="str">
        <f>+$N$6</f>
        <v xml:space="preserve">Clark </v>
      </c>
      <c r="AI6" s="7" t="s">
        <v>7</v>
      </c>
    </row>
    <row r="7" spans="1:35" x14ac:dyDescent="0.4">
      <c r="A7" s="48"/>
      <c r="B7" s="18"/>
      <c r="C7" s="8"/>
      <c r="D7" s="25">
        <v>38.049999999999997</v>
      </c>
      <c r="E7" s="30">
        <v>78334</v>
      </c>
      <c r="F7" s="31">
        <v>10627.3</v>
      </c>
      <c r="G7" s="22"/>
      <c r="H7" s="22"/>
      <c r="I7" s="31">
        <v>379</v>
      </c>
      <c r="J7" s="31"/>
      <c r="K7" s="31"/>
      <c r="L7" s="31"/>
      <c r="M7" s="32">
        <f>SUM(E7:L7)</f>
        <v>89340.3</v>
      </c>
      <c r="N7" s="16">
        <v>3790.8</v>
      </c>
      <c r="O7" s="20">
        <v>421.2</v>
      </c>
      <c r="P7" s="16">
        <f>(58.54*12)</f>
        <v>702.48</v>
      </c>
      <c r="Q7" s="20">
        <v>144.24</v>
      </c>
      <c r="R7" s="16">
        <f t="shared" ref="R7:R52" si="0">(5.81*12)</f>
        <v>69.72</v>
      </c>
      <c r="S7" s="16"/>
      <c r="T7" s="16">
        <f>(27.6)+(46.33*12)</f>
        <v>583.56000000000006</v>
      </c>
      <c r="U7" s="16">
        <f>(252.72)+(41.4)+(1040.4)</f>
        <v>1334.52</v>
      </c>
      <c r="V7" s="16"/>
      <c r="W7" s="16">
        <v>252.12</v>
      </c>
      <c r="X7" s="16">
        <f>(119.56*12)</f>
        <v>1434.72</v>
      </c>
      <c r="Y7" s="16"/>
      <c r="Z7" s="16"/>
      <c r="AA7" s="16"/>
      <c r="AB7" s="16"/>
      <c r="AC7" s="16">
        <v>4448.1000000000004</v>
      </c>
      <c r="AD7" s="16">
        <f>(1937.66+80.82)*12</f>
        <v>24221.760000000002</v>
      </c>
      <c r="AE7" s="16"/>
      <c r="AF7" s="16">
        <v>500</v>
      </c>
      <c r="AG7" s="16"/>
      <c r="AH7" s="9">
        <f>+M7+N7+P7+R7+T7+X7+AB7+AD7+AF7+V7+Z7</f>
        <v>120643.34</v>
      </c>
      <c r="AI7" s="9">
        <f>+O7+Q7+S7+U7+Y7+AC7+AE7+AG7+W7+AA7</f>
        <v>6600.18</v>
      </c>
    </row>
    <row r="8" spans="1:35" x14ac:dyDescent="0.4">
      <c r="A8" s="48"/>
      <c r="B8" s="18"/>
      <c r="C8" s="8"/>
      <c r="D8" s="25">
        <v>40.42</v>
      </c>
      <c r="E8" s="30">
        <v>81936.800000000003</v>
      </c>
      <c r="F8" s="31">
        <v>29681.7</v>
      </c>
      <c r="G8" s="22"/>
      <c r="H8" s="22">
        <v>2560</v>
      </c>
      <c r="I8" s="33">
        <v>379</v>
      </c>
      <c r="J8" s="33"/>
      <c r="K8" s="33"/>
      <c r="L8" s="33"/>
      <c r="M8" s="32">
        <f t="shared" ref="M8:M71" si="1">SUM(E8:L8)</f>
        <v>114557.5</v>
      </c>
      <c r="N8" s="16">
        <v>12422.76</v>
      </c>
      <c r="O8" s="20">
        <v>5069.28</v>
      </c>
      <c r="P8" s="16">
        <f>(86.66*12)</f>
        <v>1039.92</v>
      </c>
      <c r="Q8" s="20">
        <v>325.92</v>
      </c>
      <c r="R8" s="16">
        <f t="shared" si="0"/>
        <v>69.72</v>
      </c>
      <c r="S8" s="16">
        <v>135.24</v>
      </c>
      <c r="T8" s="16">
        <f>(18)+(46.93*12)</f>
        <v>581.16</v>
      </c>
      <c r="U8" s="16">
        <f>(166.8)+(12)</f>
        <v>178.8</v>
      </c>
      <c r="V8" s="16"/>
      <c r="W8" s="16"/>
      <c r="X8" s="16">
        <f>(121.67*12)</f>
        <v>1460.04</v>
      </c>
      <c r="Y8" s="16"/>
      <c r="Z8" s="16"/>
      <c r="AA8" s="16"/>
      <c r="AB8" s="16"/>
      <c r="AC8" s="16">
        <v>5708.94</v>
      </c>
      <c r="AD8" s="16">
        <f>(1971.95+82.25)*12</f>
        <v>24650.399999999998</v>
      </c>
      <c r="AE8" s="16"/>
      <c r="AF8" s="16">
        <v>500</v>
      </c>
      <c r="AG8" s="16"/>
      <c r="AH8" s="9">
        <f t="shared" ref="AH8:AH39" si="2">+M8+N8+P8+R8+T8+X8+AB8+AD8+AF8</f>
        <v>155281.5</v>
      </c>
      <c r="AI8" s="9">
        <f t="shared" ref="AI8:AI71" si="3">+O8+Q8+S8+U8+Y8+AC8+AE8+AG8+W8+AA8</f>
        <v>11418.18</v>
      </c>
    </row>
    <row r="9" spans="1:35" x14ac:dyDescent="0.4">
      <c r="A9" s="48"/>
      <c r="B9" s="18"/>
      <c r="C9" s="8"/>
      <c r="D9" s="25">
        <v>31.29</v>
      </c>
      <c r="E9" s="30">
        <v>62784.4</v>
      </c>
      <c r="F9" s="31">
        <v>22916.42</v>
      </c>
      <c r="G9" s="22"/>
      <c r="H9" s="22">
        <v>2480</v>
      </c>
      <c r="I9" s="33">
        <v>379</v>
      </c>
      <c r="J9" s="33"/>
      <c r="K9" s="33"/>
      <c r="L9" s="33"/>
      <c r="M9" s="32">
        <f t="shared" si="1"/>
        <v>88559.82</v>
      </c>
      <c r="N9" s="16">
        <v>0</v>
      </c>
      <c r="O9" s="20"/>
      <c r="P9" s="16"/>
      <c r="Q9" s="20"/>
      <c r="R9" s="16">
        <f t="shared" si="0"/>
        <v>69.72</v>
      </c>
      <c r="S9" s="16"/>
      <c r="T9" s="16">
        <f>(6)+(33.863*12)</f>
        <v>412.35599999999999</v>
      </c>
      <c r="U9" s="16">
        <f>(39.72)+(9)</f>
        <v>48.72</v>
      </c>
      <c r="V9" s="16"/>
      <c r="W9" s="16"/>
      <c r="X9" s="16">
        <f>(86.54*12)</f>
        <v>1038.48</v>
      </c>
      <c r="Y9" s="16"/>
      <c r="Z9" s="16"/>
      <c r="AA9" s="16"/>
      <c r="AB9" s="16"/>
      <c r="AC9" s="16">
        <v>2795.7</v>
      </c>
      <c r="AD9" s="16">
        <f>(882.65+36.5)*4</f>
        <v>3676.6</v>
      </c>
      <c r="AE9" s="16"/>
      <c r="AF9" s="16">
        <v>500</v>
      </c>
      <c r="AG9" s="16"/>
      <c r="AH9" s="9">
        <f t="shared" si="2"/>
        <v>94256.97600000001</v>
      </c>
      <c r="AI9" s="9">
        <f t="shared" si="3"/>
        <v>2844.4199999999996</v>
      </c>
    </row>
    <row r="10" spans="1:35" x14ac:dyDescent="0.4">
      <c r="A10" s="48"/>
      <c r="B10" s="18"/>
      <c r="C10" s="8"/>
      <c r="D10" s="25">
        <v>38.11</v>
      </c>
      <c r="E10" s="30">
        <v>75227.600000000006</v>
      </c>
      <c r="F10" s="31">
        <v>21380.23</v>
      </c>
      <c r="G10" s="22"/>
      <c r="H10" s="22">
        <v>2400</v>
      </c>
      <c r="I10" s="31">
        <v>379</v>
      </c>
      <c r="J10" s="31"/>
      <c r="K10" s="31"/>
      <c r="L10" s="31"/>
      <c r="M10" s="32">
        <f t="shared" si="1"/>
        <v>99386.83</v>
      </c>
      <c r="N10" s="16">
        <v>12422.76</v>
      </c>
      <c r="O10" s="20">
        <v>5069.28</v>
      </c>
      <c r="P10" s="16">
        <f>(60.2*12)</f>
        <v>722.40000000000009</v>
      </c>
      <c r="Q10" s="20">
        <v>155.28</v>
      </c>
      <c r="R10" s="16">
        <f t="shared" si="0"/>
        <v>69.72</v>
      </c>
      <c r="S10" s="16">
        <v>135.24</v>
      </c>
      <c r="T10" s="16">
        <f>(12)+(43.66*12)</f>
        <v>535.91999999999996</v>
      </c>
      <c r="U10" s="16">
        <f>(103.32)+(18)+(12)</f>
        <v>133.32</v>
      </c>
      <c r="V10" s="16"/>
      <c r="W10" s="16"/>
      <c r="X10" s="16">
        <f>(111.38*12)</f>
        <v>1336.56</v>
      </c>
      <c r="Y10" s="16"/>
      <c r="Z10" s="16"/>
      <c r="AA10" s="16">
        <v>422.76</v>
      </c>
      <c r="AB10" s="16"/>
      <c r="AC10" s="16">
        <v>4950.41</v>
      </c>
      <c r="AD10" s="16">
        <f>(1136+46.98)*12</f>
        <v>14195.76</v>
      </c>
      <c r="AE10" s="16"/>
      <c r="AF10" s="16">
        <v>500</v>
      </c>
      <c r="AG10" s="16"/>
      <c r="AH10" s="9">
        <f t="shared" si="2"/>
        <v>129169.94999999998</v>
      </c>
      <c r="AI10" s="9">
        <f t="shared" si="3"/>
        <v>10866.289999999999</v>
      </c>
    </row>
    <row r="11" spans="1:35" x14ac:dyDescent="0.4">
      <c r="A11" s="48"/>
      <c r="B11" s="18"/>
      <c r="C11" s="8"/>
      <c r="D11" s="25">
        <v>33.97</v>
      </c>
      <c r="E11" s="30">
        <v>69934</v>
      </c>
      <c r="F11" s="31">
        <v>1698.3</v>
      </c>
      <c r="G11" s="22"/>
      <c r="H11" s="22"/>
      <c r="I11" s="31">
        <v>379</v>
      </c>
      <c r="J11" s="31"/>
      <c r="K11" s="31"/>
      <c r="L11" s="31"/>
      <c r="M11" s="32">
        <f t="shared" si="1"/>
        <v>72011.3</v>
      </c>
      <c r="N11" s="16">
        <v>9042</v>
      </c>
      <c r="O11" s="20">
        <v>3248.88</v>
      </c>
      <c r="P11" s="16">
        <f>(58.54*12)</f>
        <v>702.48</v>
      </c>
      <c r="Q11" s="20">
        <v>144.24</v>
      </c>
      <c r="R11" s="16">
        <f t="shared" si="0"/>
        <v>69.72</v>
      </c>
      <c r="S11" s="16">
        <v>62.76</v>
      </c>
      <c r="T11" s="16">
        <f>(27.6)+(41.58*12)</f>
        <v>526.55999999999995</v>
      </c>
      <c r="U11" s="16">
        <f>(110.4)+(338.4)</f>
        <v>448.79999999999995</v>
      </c>
      <c r="V11" s="16"/>
      <c r="W11" s="16"/>
      <c r="X11" s="16">
        <f>(106.74*12)</f>
        <v>1280.8799999999999</v>
      </c>
      <c r="Y11" s="16"/>
      <c r="Z11" s="16"/>
      <c r="AA11" s="16"/>
      <c r="AB11" s="16"/>
      <c r="AC11" s="16">
        <v>8595.86</v>
      </c>
      <c r="AD11" s="16">
        <f>(72.15+1729.87)*12</f>
        <v>21624.239999999998</v>
      </c>
      <c r="AE11" s="16"/>
      <c r="AF11" s="16">
        <v>500</v>
      </c>
      <c r="AG11" s="16"/>
      <c r="AH11" s="9">
        <f t="shared" si="2"/>
        <v>105757.18</v>
      </c>
      <c r="AI11" s="9">
        <f t="shared" si="3"/>
        <v>12500.54</v>
      </c>
    </row>
    <row r="12" spans="1:35" x14ac:dyDescent="0.4">
      <c r="A12" s="48"/>
      <c r="B12" s="18"/>
      <c r="C12" s="8"/>
      <c r="D12" s="25">
        <v>34.82</v>
      </c>
      <c r="E12" s="30">
        <v>69326.399999999994</v>
      </c>
      <c r="F12" s="31">
        <v>17056.32</v>
      </c>
      <c r="G12" s="22"/>
      <c r="H12" s="22"/>
      <c r="I12" s="31">
        <v>379</v>
      </c>
      <c r="J12" s="31"/>
      <c r="K12" s="31"/>
      <c r="L12" s="31"/>
      <c r="M12" s="32">
        <f t="shared" si="1"/>
        <v>86761.72</v>
      </c>
      <c r="N12" s="16">
        <v>3790.8</v>
      </c>
      <c r="O12" s="20">
        <v>421.2</v>
      </c>
      <c r="P12" s="16">
        <f>(36.2*12)</f>
        <v>434.40000000000003</v>
      </c>
      <c r="Q12" s="20">
        <v>0</v>
      </c>
      <c r="R12" s="16">
        <f t="shared" si="0"/>
        <v>69.72</v>
      </c>
      <c r="S12" s="16"/>
      <c r="T12" s="16">
        <f>(38.61*12)</f>
        <v>463.32</v>
      </c>
      <c r="U12" s="16"/>
      <c r="V12" s="16"/>
      <c r="W12" s="16"/>
      <c r="X12" s="16">
        <f>(99.36*12)</f>
        <v>1192.32</v>
      </c>
      <c r="Y12" s="16"/>
      <c r="Z12" s="16"/>
      <c r="AA12" s="16">
        <v>377.16</v>
      </c>
      <c r="AB12" s="16"/>
      <c r="AC12" s="16">
        <v>8638.32</v>
      </c>
      <c r="AD12" s="16">
        <f>(1013.41+41.91)*12</f>
        <v>12663.84</v>
      </c>
      <c r="AE12" s="16"/>
      <c r="AF12" s="16">
        <v>500</v>
      </c>
      <c r="AG12" s="16"/>
      <c r="AH12" s="9">
        <f t="shared" si="2"/>
        <v>105876.12000000001</v>
      </c>
      <c r="AI12" s="9">
        <f t="shared" si="3"/>
        <v>9436.68</v>
      </c>
    </row>
    <row r="13" spans="1:35" x14ac:dyDescent="0.4">
      <c r="A13" s="48"/>
      <c r="B13" s="18"/>
      <c r="C13" s="8"/>
      <c r="D13" s="25">
        <v>35.78</v>
      </c>
      <c r="E13" s="30">
        <v>73299.199999999997</v>
      </c>
      <c r="F13" s="31">
        <v>14774.11</v>
      </c>
      <c r="G13" s="22">
        <v>1431.2</v>
      </c>
      <c r="H13" s="22"/>
      <c r="I13" s="31">
        <v>379</v>
      </c>
      <c r="J13" s="31"/>
      <c r="K13" s="31"/>
      <c r="L13" s="31"/>
      <c r="M13" s="32">
        <f t="shared" si="1"/>
        <v>89883.51</v>
      </c>
      <c r="N13" s="16">
        <v>3790.8</v>
      </c>
      <c r="O13" s="20">
        <v>421.2</v>
      </c>
      <c r="P13" s="16">
        <f>(36.2*12)</f>
        <v>434.40000000000003</v>
      </c>
      <c r="Q13" s="20">
        <v>0</v>
      </c>
      <c r="R13" s="16">
        <f t="shared" si="0"/>
        <v>69.72</v>
      </c>
      <c r="S13" s="16"/>
      <c r="T13" s="16">
        <f>(43.36*12)</f>
        <v>520.31999999999994</v>
      </c>
      <c r="U13" s="16"/>
      <c r="V13" s="16"/>
      <c r="W13" s="16"/>
      <c r="X13" s="16">
        <f>(111.35*12)</f>
        <v>1336.1999999999998</v>
      </c>
      <c r="Y13" s="16"/>
      <c r="Z13" s="16"/>
      <c r="AA13" s="16"/>
      <c r="AB13" s="16"/>
      <c r="AC13" s="16"/>
      <c r="AD13" s="16">
        <f>(1804.67+75.27)*12</f>
        <v>22559.279999999999</v>
      </c>
      <c r="AE13" s="16"/>
      <c r="AF13" s="16">
        <v>500</v>
      </c>
      <c r="AG13" s="16"/>
      <c r="AH13" s="9">
        <f t="shared" si="2"/>
        <v>119094.23</v>
      </c>
      <c r="AI13" s="9">
        <f t="shared" si="3"/>
        <v>421.2</v>
      </c>
    </row>
    <row r="14" spans="1:35" x14ac:dyDescent="0.4">
      <c r="A14" s="48"/>
      <c r="B14" s="18"/>
      <c r="C14" s="8"/>
      <c r="D14" s="25">
        <v>27.3</v>
      </c>
      <c r="E14" s="30">
        <v>54712</v>
      </c>
      <c r="F14" s="31">
        <v>15196.85</v>
      </c>
      <c r="G14" s="22"/>
      <c r="H14" s="22"/>
      <c r="I14" s="31">
        <v>379</v>
      </c>
      <c r="J14" s="31"/>
      <c r="K14" s="31"/>
      <c r="L14" s="31"/>
      <c r="M14" s="32">
        <f t="shared" si="1"/>
        <v>70287.850000000006</v>
      </c>
      <c r="N14" s="16">
        <v>8178.72</v>
      </c>
      <c r="O14" s="20">
        <v>2783.76</v>
      </c>
      <c r="P14" s="16">
        <f>(60.2*12)</f>
        <v>722.40000000000009</v>
      </c>
      <c r="Q14" s="20">
        <v>155.28</v>
      </c>
      <c r="R14" s="16">
        <f t="shared" si="0"/>
        <v>69.72</v>
      </c>
      <c r="S14" s="16">
        <v>69.72</v>
      </c>
      <c r="T14" s="16">
        <f>(9.6)+(31.48*12)</f>
        <v>387.36</v>
      </c>
      <c r="U14" s="16">
        <f>(12)</f>
        <v>12</v>
      </c>
      <c r="V14" s="16"/>
      <c r="W14" s="16"/>
      <c r="X14" s="16">
        <f>(80.9*12)</f>
        <v>970.80000000000007</v>
      </c>
      <c r="Y14" s="16"/>
      <c r="Z14" s="16"/>
      <c r="AA14" s="16"/>
      <c r="AB14" s="16"/>
      <c r="AC14" s="16">
        <v>4194.54</v>
      </c>
      <c r="AD14" s="16">
        <f>(825.11+34.12)*12</f>
        <v>10310.76</v>
      </c>
      <c r="AE14" s="16"/>
      <c r="AF14" s="16">
        <v>500</v>
      </c>
      <c r="AG14" s="16"/>
      <c r="AH14" s="9">
        <f t="shared" si="2"/>
        <v>91427.61</v>
      </c>
      <c r="AI14" s="9">
        <f t="shared" si="3"/>
        <v>7215.3</v>
      </c>
    </row>
    <row r="15" spans="1:35" x14ac:dyDescent="0.4">
      <c r="A15" s="48"/>
      <c r="D15" s="25">
        <v>27.06</v>
      </c>
      <c r="E15" s="30">
        <v>55712.4</v>
      </c>
      <c r="F15" s="31">
        <v>1094.77</v>
      </c>
      <c r="G15" s="22"/>
      <c r="H15" s="22"/>
      <c r="I15" s="31">
        <v>379</v>
      </c>
      <c r="J15" s="31"/>
      <c r="K15" s="31"/>
      <c r="L15" s="31"/>
      <c r="M15" s="32">
        <f t="shared" si="1"/>
        <v>57186.17</v>
      </c>
      <c r="N15" s="16">
        <v>9042</v>
      </c>
      <c r="O15" s="20">
        <v>3248.88</v>
      </c>
      <c r="P15" s="16">
        <f>(58.54*12)</f>
        <v>702.48</v>
      </c>
      <c r="Q15" s="20">
        <v>144.24</v>
      </c>
      <c r="R15" s="16">
        <f t="shared" si="0"/>
        <v>69.72</v>
      </c>
      <c r="S15" s="16">
        <v>62.76</v>
      </c>
      <c r="T15" s="16">
        <f>(79.2)+(33.26*12)</f>
        <v>478.32</v>
      </c>
      <c r="U15" s="16">
        <v>518.76</v>
      </c>
      <c r="V15" s="16"/>
      <c r="W15" s="16">
        <v>396.72</v>
      </c>
      <c r="X15" s="16">
        <f>(85.04*12)</f>
        <v>1020.48</v>
      </c>
      <c r="Y15" s="16"/>
      <c r="Z15" s="16"/>
      <c r="AA15" s="16"/>
      <c r="AB15" s="16"/>
      <c r="AC15" s="16"/>
      <c r="AD15" s="16">
        <f>(1378.17+57.48)*12</f>
        <v>17227.800000000003</v>
      </c>
      <c r="AE15" s="16"/>
      <c r="AF15" s="16">
        <v>500</v>
      </c>
      <c r="AG15" s="16"/>
      <c r="AH15" s="9">
        <f t="shared" si="2"/>
        <v>86226.97</v>
      </c>
      <c r="AI15" s="9">
        <f t="shared" si="3"/>
        <v>4371.3600000000006</v>
      </c>
    </row>
    <row r="16" spans="1:35" x14ac:dyDescent="0.4">
      <c r="A16" s="48"/>
      <c r="B16" s="18"/>
      <c r="C16" s="8"/>
      <c r="D16" s="25">
        <v>20</v>
      </c>
      <c r="E16" s="30">
        <v>17971.2</v>
      </c>
      <c r="F16" s="31">
        <v>2675.28</v>
      </c>
      <c r="G16" s="22">
        <f>(1505.42)+(723.72)</f>
        <v>2229.1400000000003</v>
      </c>
      <c r="H16" s="22"/>
      <c r="I16" s="31"/>
      <c r="J16" s="31"/>
      <c r="K16" s="31"/>
      <c r="L16" s="31"/>
      <c r="M16" s="32">
        <f t="shared" si="1"/>
        <v>22875.62</v>
      </c>
      <c r="N16" s="16">
        <v>0</v>
      </c>
      <c r="O16" s="20"/>
      <c r="P16" s="16">
        <f>(58.54*5)</f>
        <v>292.7</v>
      </c>
      <c r="Q16" s="20">
        <v>60.1</v>
      </c>
      <c r="R16" s="16">
        <f t="shared" si="0"/>
        <v>69.72</v>
      </c>
      <c r="S16" s="16">
        <v>26.15</v>
      </c>
      <c r="T16" s="16">
        <f>(4.3*6)+(6*23.76)</f>
        <v>168.36</v>
      </c>
      <c r="U16" s="16">
        <v>32.25</v>
      </c>
      <c r="V16" s="16"/>
      <c r="W16" s="16"/>
      <c r="X16" s="16">
        <f>(60.77*6)</f>
        <v>364.62</v>
      </c>
      <c r="Y16" s="16"/>
      <c r="Z16" s="16"/>
      <c r="AA16" s="16"/>
      <c r="AB16" s="16"/>
      <c r="AC16" s="16"/>
      <c r="AD16" s="16"/>
      <c r="AE16" s="16"/>
      <c r="AF16" s="16">
        <v>0</v>
      </c>
      <c r="AG16" s="16"/>
      <c r="AH16" s="9">
        <f t="shared" si="2"/>
        <v>23771.02</v>
      </c>
      <c r="AI16" s="9">
        <f t="shared" si="3"/>
        <v>118.5</v>
      </c>
    </row>
    <row r="17" spans="1:35" x14ac:dyDescent="0.4">
      <c r="A17" s="48"/>
      <c r="B17" s="18"/>
      <c r="C17" s="8"/>
      <c r="D17" s="25">
        <v>43.31</v>
      </c>
      <c r="E17" s="30">
        <v>88580.65</v>
      </c>
      <c r="F17" s="31">
        <v>20418</v>
      </c>
      <c r="G17" s="22"/>
      <c r="H17" s="22">
        <v>3320</v>
      </c>
      <c r="I17" s="31">
        <v>379</v>
      </c>
      <c r="J17" s="31"/>
      <c r="K17" s="31"/>
      <c r="L17" s="31"/>
      <c r="M17" s="32">
        <f t="shared" si="1"/>
        <v>112697.65</v>
      </c>
      <c r="N17" s="16">
        <v>3790.8</v>
      </c>
      <c r="O17" s="20">
        <v>421.2</v>
      </c>
      <c r="P17" s="16">
        <f>(36.2*12)</f>
        <v>434.40000000000003</v>
      </c>
      <c r="Q17" s="20"/>
      <c r="R17" s="16">
        <f t="shared" si="0"/>
        <v>69.72</v>
      </c>
      <c r="S17" s="16"/>
      <c r="T17" s="16">
        <f>+(51.08*12)</f>
        <v>612.96</v>
      </c>
      <c r="U17" s="16"/>
      <c r="V17" s="16"/>
      <c r="W17" s="16">
        <v>252.12</v>
      </c>
      <c r="X17" s="16">
        <f>(131.9*12)</f>
        <v>1582.8000000000002</v>
      </c>
      <c r="Y17" s="16"/>
      <c r="Z17" s="16"/>
      <c r="AA17" s="16"/>
      <c r="AB17" s="16"/>
      <c r="AC17" s="16">
        <v>5600.51</v>
      </c>
      <c r="AD17" s="16">
        <f>(2137.66+89.16)*12</f>
        <v>26721.839999999997</v>
      </c>
      <c r="AE17" s="16"/>
      <c r="AF17" s="16">
        <v>500</v>
      </c>
      <c r="AG17" s="16"/>
      <c r="AH17" s="9">
        <f t="shared" si="2"/>
        <v>146410.16999999998</v>
      </c>
      <c r="AI17" s="9">
        <f t="shared" si="3"/>
        <v>6273.83</v>
      </c>
    </row>
    <row r="18" spans="1:35" x14ac:dyDescent="0.4">
      <c r="A18" s="48"/>
      <c r="B18" s="18"/>
      <c r="C18" s="8"/>
      <c r="D18" s="25">
        <v>37.64</v>
      </c>
      <c r="E18" s="30">
        <v>76638.8</v>
      </c>
      <c r="F18" s="31">
        <v>19671.47</v>
      </c>
      <c r="G18" s="22"/>
      <c r="H18" s="22">
        <v>3080</v>
      </c>
      <c r="I18" s="31">
        <v>379</v>
      </c>
      <c r="J18" s="31"/>
      <c r="K18" s="31"/>
      <c r="L18" s="31"/>
      <c r="M18" s="32">
        <f t="shared" si="1"/>
        <v>99769.27</v>
      </c>
      <c r="N18" s="16">
        <v>3790.8</v>
      </c>
      <c r="O18" s="20">
        <v>421.2</v>
      </c>
      <c r="P18" s="16">
        <f>(36.2*12)</f>
        <v>434.40000000000003</v>
      </c>
      <c r="Q18" s="20"/>
      <c r="R18" s="16">
        <f t="shared" si="0"/>
        <v>69.72</v>
      </c>
      <c r="S18" s="16"/>
      <c r="T18" s="16">
        <f>(44.55*12)</f>
        <v>534.59999999999991</v>
      </c>
      <c r="U18" s="16">
        <v>453.6</v>
      </c>
      <c r="V18" s="16"/>
      <c r="W18" s="16">
        <v>252.12</v>
      </c>
      <c r="X18" s="16">
        <f>(114.49*12)</f>
        <v>1373.8799999999999</v>
      </c>
      <c r="Y18" s="16"/>
      <c r="Z18" s="16"/>
      <c r="AA18" s="16"/>
      <c r="AB18" s="16"/>
      <c r="AC18" s="16">
        <v>1987.84</v>
      </c>
      <c r="AD18" s="16">
        <f>(1855.59+77.39)*12</f>
        <v>23195.760000000002</v>
      </c>
      <c r="AE18" s="16"/>
      <c r="AF18" s="16">
        <v>500</v>
      </c>
      <c r="AG18" s="16"/>
      <c r="AH18" s="9">
        <f t="shared" si="2"/>
        <v>129668.43000000002</v>
      </c>
      <c r="AI18" s="9">
        <f t="shared" si="3"/>
        <v>3114.7599999999998</v>
      </c>
    </row>
    <row r="19" spans="1:35" x14ac:dyDescent="0.4">
      <c r="A19" s="48"/>
      <c r="B19" s="18"/>
      <c r="C19" s="8"/>
      <c r="D19" s="25">
        <v>20.55</v>
      </c>
      <c r="E19" s="30">
        <v>41089.78</v>
      </c>
      <c r="F19" s="31">
        <v>114</v>
      </c>
      <c r="G19" s="22"/>
      <c r="H19" s="22"/>
      <c r="I19" s="31">
        <v>379</v>
      </c>
      <c r="J19" s="31"/>
      <c r="K19" s="31"/>
      <c r="L19" s="31"/>
      <c r="M19" s="32">
        <f t="shared" si="1"/>
        <v>41582.78</v>
      </c>
      <c r="N19" s="16">
        <v>8178.72</v>
      </c>
      <c r="O19" s="20">
        <f>(35.1)+(2551.78)</f>
        <v>2586.88</v>
      </c>
      <c r="P19" s="16">
        <f>(60.2*12)</f>
        <v>722.40000000000009</v>
      </c>
      <c r="Q19" s="20">
        <v>155.28</v>
      </c>
      <c r="R19" s="16">
        <f t="shared" si="0"/>
        <v>69.72</v>
      </c>
      <c r="S19" s="16">
        <v>69.72</v>
      </c>
      <c r="T19" s="16">
        <f>(23.76*12)</f>
        <v>285.12</v>
      </c>
      <c r="U19" s="16">
        <f>(46.53)+(12)</f>
        <v>58.53</v>
      </c>
      <c r="V19" s="16"/>
      <c r="W19" s="16"/>
      <c r="X19" s="16">
        <f>(60.9*12)</f>
        <v>730.8</v>
      </c>
      <c r="Y19" s="16"/>
      <c r="Z19" s="16"/>
      <c r="AA19" s="16"/>
      <c r="AB19" s="16"/>
      <c r="AC19" s="16">
        <v>412.04</v>
      </c>
      <c r="AD19" s="16">
        <f>(621.12+25.69)*12</f>
        <v>7761.7200000000012</v>
      </c>
      <c r="AE19" s="16"/>
      <c r="AF19" s="16">
        <v>500</v>
      </c>
      <c r="AG19" s="16"/>
      <c r="AH19" s="9">
        <f t="shared" si="2"/>
        <v>59831.260000000009</v>
      </c>
      <c r="AI19" s="9">
        <f t="shared" si="3"/>
        <v>3282.4500000000003</v>
      </c>
    </row>
    <row r="20" spans="1:35" x14ac:dyDescent="0.4">
      <c r="A20" s="48"/>
      <c r="B20" s="18"/>
      <c r="C20" s="8"/>
      <c r="D20" s="25">
        <v>39.119999999999997</v>
      </c>
      <c r="E20" s="30">
        <v>80138.399999999994</v>
      </c>
      <c r="F20" s="31">
        <v>9643.64</v>
      </c>
      <c r="G20" s="22"/>
      <c r="H20" s="22"/>
      <c r="I20" s="31">
        <v>379</v>
      </c>
      <c r="J20" s="31"/>
      <c r="K20" s="31"/>
      <c r="L20" s="31"/>
      <c r="M20" s="32">
        <f t="shared" si="1"/>
        <v>90161.04</v>
      </c>
      <c r="N20" s="16">
        <v>4770.92</v>
      </c>
      <c r="O20" s="20">
        <f>(175.5)+(306.45)+(1507.87)</f>
        <v>1989.82</v>
      </c>
      <c r="P20" s="16">
        <f>(86.66*5)+(60.2*7)</f>
        <v>854.7</v>
      </c>
      <c r="Q20" s="20">
        <f>(20.69)+(84.11)</f>
        <v>104.8</v>
      </c>
      <c r="R20" s="16">
        <f t="shared" si="0"/>
        <v>69.72</v>
      </c>
      <c r="S20" s="16">
        <v>46.13</v>
      </c>
      <c r="T20" s="16">
        <f>(27.6)+(46.93*12)</f>
        <v>590.76</v>
      </c>
      <c r="U20" s="16"/>
      <c r="V20" s="16"/>
      <c r="W20" s="16">
        <v>497.04</v>
      </c>
      <c r="X20" s="16">
        <f>(121.74*12)</f>
        <v>1460.8799999999999</v>
      </c>
      <c r="Y20" s="16"/>
      <c r="Z20" s="16"/>
      <c r="AA20" s="16"/>
      <c r="AB20" s="16"/>
      <c r="AC20" s="16">
        <f>(7182.56)+(1795.66)</f>
        <v>8978.2200000000012</v>
      </c>
      <c r="AD20" s="16">
        <f>(1972.98+82.29)*12</f>
        <v>24663.239999999998</v>
      </c>
      <c r="AE20" s="16"/>
      <c r="AF20" s="16">
        <v>500</v>
      </c>
      <c r="AG20" s="16"/>
      <c r="AH20" s="9">
        <f t="shared" si="2"/>
        <v>123071.25999999998</v>
      </c>
      <c r="AI20" s="9">
        <f t="shared" si="3"/>
        <v>11616.010000000002</v>
      </c>
    </row>
    <row r="21" spans="1:35" x14ac:dyDescent="0.4">
      <c r="A21" s="48"/>
      <c r="B21" s="18"/>
      <c r="C21" s="8"/>
      <c r="D21" s="25">
        <v>19.760000000000002</v>
      </c>
      <c r="E21" s="30">
        <v>19453.86</v>
      </c>
      <c r="F21" s="31"/>
      <c r="G21" s="22">
        <f>(223.88)+(171.32)</f>
        <v>395.2</v>
      </c>
      <c r="H21" s="22"/>
      <c r="I21" s="31"/>
      <c r="J21" s="31"/>
      <c r="K21" s="31"/>
      <c r="L21" s="31"/>
      <c r="M21" s="32">
        <f t="shared" si="1"/>
        <v>19849.060000000001</v>
      </c>
      <c r="N21" s="16">
        <v>0</v>
      </c>
      <c r="O21" s="20">
        <v>175.5</v>
      </c>
      <c r="P21" s="16">
        <f>(60.2*4)</f>
        <v>240.8</v>
      </c>
      <c r="Q21" s="20">
        <v>51.76</v>
      </c>
      <c r="R21" s="16">
        <f>(5.81*8)</f>
        <v>46.48</v>
      </c>
      <c r="S21" s="16"/>
      <c r="T21" s="16">
        <f>(8.32*8)</f>
        <v>66.56</v>
      </c>
      <c r="U21" s="16">
        <f>(7.4)+(10)</f>
        <v>17.399999999999999</v>
      </c>
      <c r="V21" s="16"/>
      <c r="W21" s="16"/>
      <c r="X21" s="16">
        <f>(20.19*8)</f>
        <v>161.52000000000001</v>
      </c>
      <c r="Y21" s="16"/>
      <c r="Z21" s="16"/>
      <c r="AA21" s="16"/>
      <c r="AB21" s="16"/>
      <c r="AC21" s="16"/>
      <c r="AD21" s="16"/>
      <c r="AE21" s="16"/>
      <c r="AF21" s="16">
        <v>0</v>
      </c>
      <c r="AG21" s="16"/>
      <c r="AH21" s="9">
        <f t="shared" si="2"/>
        <v>20364.420000000002</v>
      </c>
      <c r="AI21" s="9">
        <f t="shared" si="3"/>
        <v>244.66</v>
      </c>
    </row>
    <row r="22" spans="1:35" x14ac:dyDescent="0.4">
      <c r="A22" s="48"/>
      <c r="B22" s="18"/>
      <c r="C22" s="8"/>
      <c r="D22" s="25">
        <v>34.770000000000003</v>
      </c>
      <c r="E22" s="30">
        <v>70314.399999999994</v>
      </c>
      <c r="F22" s="31">
        <v>29492.43</v>
      </c>
      <c r="G22" s="22"/>
      <c r="H22" s="22">
        <v>4040</v>
      </c>
      <c r="I22" s="31">
        <v>379</v>
      </c>
      <c r="J22" s="31"/>
      <c r="K22" s="31"/>
      <c r="L22" s="31"/>
      <c r="M22" s="32">
        <f t="shared" si="1"/>
        <v>104225.82999999999</v>
      </c>
      <c r="N22" s="16">
        <v>3790.8</v>
      </c>
      <c r="O22" s="20">
        <v>421.2</v>
      </c>
      <c r="P22" s="16">
        <f>(36.2*12)</f>
        <v>434.40000000000003</v>
      </c>
      <c r="Q22" s="20"/>
      <c r="R22" s="16">
        <f t="shared" si="0"/>
        <v>69.72</v>
      </c>
      <c r="S22" s="16"/>
      <c r="T22" s="16">
        <f>(40.39*12)</f>
        <v>484.68</v>
      </c>
      <c r="U22" s="16"/>
      <c r="V22" s="16"/>
      <c r="W22" s="16"/>
      <c r="X22" s="16">
        <f>(103.95*12)</f>
        <v>1247.4000000000001</v>
      </c>
      <c r="Y22" s="16"/>
      <c r="Z22" s="16"/>
      <c r="AA22" s="16"/>
      <c r="AB22" s="16"/>
      <c r="AC22" s="16">
        <v>4153.88</v>
      </c>
      <c r="AD22" s="16">
        <f>(1060.15+43.85)*12</f>
        <v>13248</v>
      </c>
      <c r="AE22" s="16"/>
      <c r="AF22" s="16">
        <v>500</v>
      </c>
      <c r="AG22" s="16"/>
      <c r="AH22" s="9">
        <f t="shared" si="2"/>
        <v>124000.82999999997</v>
      </c>
      <c r="AI22" s="9">
        <f t="shared" si="3"/>
        <v>4575.08</v>
      </c>
    </row>
    <row r="23" spans="1:35" x14ac:dyDescent="0.4">
      <c r="A23" s="48"/>
      <c r="B23" s="18"/>
      <c r="C23" s="8"/>
      <c r="D23" s="25">
        <v>31.29</v>
      </c>
      <c r="E23" s="30">
        <v>62784.42</v>
      </c>
      <c r="F23" s="33">
        <v>17422.099999999999</v>
      </c>
      <c r="G23" s="22"/>
      <c r="H23" s="22">
        <v>2200</v>
      </c>
      <c r="I23" s="31">
        <v>379</v>
      </c>
      <c r="J23" s="31"/>
      <c r="K23" s="31"/>
      <c r="L23" s="31"/>
      <c r="M23" s="32">
        <f t="shared" si="1"/>
        <v>82785.51999999999</v>
      </c>
      <c r="N23" s="16">
        <v>12422.76</v>
      </c>
      <c r="O23" s="20">
        <v>5069.28</v>
      </c>
      <c r="P23" s="16">
        <f>(86.66*12)</f>
        <v>1039.92</v>
      </c>
      <c r="Q23" s="20">
        <v>325.92</v>
      </c>
      <c r="R23" s="16">
        <f t="shared" si="0"/>
        <v>69.72</v>
      </c>
      <c r="S23" s="16">
        <v>135.24</v>
      </c>
      <c r="T23" s="16">
        <f>(7.2)+(33.86*12)</f>
        <v>413.52</v>
      </c>
      <c r="U23" s="16">
        <f>(47.88)+(10.8)+(12)</f>
        <v>70.680000000000007</v>
      </c>
      <c r="V23" s="16"/>
      <c r="W23" s="16"/>
      <c r="X23" s="16">
        <f>(86.54*12)</f>
        <v>1038.48</v>
      </c>
      <c r="Y23" s="16"/>
      <c r="Z23" s="16"/>
      <c r="AA23" s="16"/>
      <c r="AB23" s="16"/>
      <c r="AC23" s="16">
        <v>409.67</v>
      </c>
      <c r="AD23" s="16">
        <f>(882.65+36.5)*4</f>
        <v>3676.6</v>
      </c>
      <c r="AE23" s="16"/>
      <c r="AF23" s="16">
        <v>500</v>
      </c>
      <c r="AG23" s="16"/>
      <c r="AH23" s="9">
        <f t="shared" si="2"/>
        <v>101946.51999999999</v>
      </c>
      <c r="AI23" s="9">
        <f t="shared" si="3"/>
        <v>6010.79</v>
      </c>
    </row>
    <row r="24" spans="1:35" x14ac:dyDescent="0.4">
      <c r="A24" s="48"/>
      <c r="B24" s="18"/>
      <c r="C24" s="8"/>
      <c r="D24" s="25">
        <v>30.86</v>
      </c>
      <c r="E24" s="30">
        <v>62089.22</v>
      </c>
      <c r="F24" s="33">
        <v>18289.86</v>
      </c>
      <c r="G24" s="22"/>
      <c r="H24" s="22">
        <v>3360</v>
      </c>
      <c r="I24" s="31">
        <v>379</v>
      </c>
      <c r="J24" s="31"/>
      <c r="K24" s="31"/>
      <c r="L24" s="31"/>
      <c r="M24" s="32">
        <f t="shared" si="1"/>
        <v>84118.080000000002</v>
      </c>
      <c r="N24" s="16">
        <v>8178.72</v>
      </c>
      <c r="O24" s="20">
        <v>2783.76</v>
      </c>
      <c r="P24" s="16">
        <f>(60.2*12)</f>
        <v>722.40000000000009</v>
      </c>
      <c r="Q24" s="20">
        <v>155.28</v>
      </c>
      <c r="R24" s="16">
        <f t="shared" si="0"/>
        <v>69.72</v>
      </c>
      <c r="S24" s="16">
        <v>69.72</v>
      </c>
      <c r="T24" s="16">
        <f>(7.2)+(33.26*12)</f>
        <v>406.32</v>
      </c>
      <c r="U24" s="16">
        <f>(47.04)+(10.8)+(12)</f>
        <v>69.84</v>
      </c>
      <c r="V24" s="16"/>
      <c r="W24" s="16"/>
      <c r="X24" s="16">
        <f>(12*85.87)</f>
        <v>1030.44</v>
      </c>
      <c r="Y24" s="16"/>
      <c r="Z24" s="16"/>
      <c r="AA24" s="16"/>
      <c r="AB24" s="16"/>
      <c r="AC24" s="16"/>
      <c r="AD24" s="16">
        <f>(875.78+36.22)*12</f>
        <v>10944</v>
      </c>
      <c r="AE24" s="16"/>
      <c r="AF24" s="16">
        <v>500</v>
      </c>
      <c r="AG24" s="16"/>
      <c r="AH24" s="9">
        <f t="shared" si="2"/>
        <v>105969.68000000001</v>
      </c>
      <c r="AI24" s="9">
        <f t="shared" si="3"/>
        <v>3078.6000000000004</v>
      </c>
    </row>
    <row r="25" spans="1:35" x14ac:dyDescent="0.4">
      <c r="A25" s="48"/>
      <c r="B25" s="18"/>
      <c r="C25" s="8"/>
      <c r="D25" s="25">
        <v>39.58</v>
      </c>
      <c r="E25" s="30">
        <v>80524.399999999994</v>
      </c>
      <c r="F25" s="33">
        <v>50108.67</v>
      </c>
      <c r="G25" s="22">
        <v>1583.2</v>
      </c>
      <c r="H25" s="22">
        <v>5080</v>
      </c>
      <c r="I25" s="31">
        <v>379</v>
      </c>
      <c r="J25" s="31"/>
      <c r="K25" s="31"/>
      <c r="L25" s="31"/>
      <c r="M25" s="32">
        <f t="shared" si="1"/>
        <v>137675.26999999999</v>
      </c>
      <c r="N25" s="16">
        <v>9042</v>
      </c>
      <c r="O25" s="20">
        <v>3248.88</v>
      </c>
      <c r="P25" s="16">
        <f>(58.54*12)</f>
        <v>702.48</v>
      </c>
      <c r="Q25" s="20">
        <v>144.24</v>
      </c>
      <c r="R25" s="16">
        <f t="shared" si="0"/>
        <v>69.72</v>
      </c>
      <c r="S25" s="16">
        <v>62.76</v>
      </c>
      <c r="T25" s="16">
        <f>(27.6)+(46.33*12)</f>
        <v>583.56000000000006</v>
      </c>
      <c r="U25" s="16">
        <f>(252.72)+(280.8)+(858.24)</f>
        <v>1391.76</v>
      </c>
      <c r="V25" s="16"/>
      <c r="W25" s="16">
        <v>396.72</v>
      </c>
      <c r="X25" s="16">
        <f>(119.97*12)</f>
        <v>1439.6399999999999</v>
      </c>
      <c r="Y25" s="16"/>
      <c r="Z25" s="16"/>
      <c r="AA25" s="16"/>
      <c r="AB25" s="16"/>
      <c r="AC25" s="16"/>
      <c r="AD25" s="16">
        <f>(1944.4+81.1)*12</f>
        <v>24306</v>
      </c>
      <c r="AE25" s="16"/>
      <c r="AF25" s="16">
        <v>500</v>
      </c>
      <c r="AG25" s="16"/>
      <c r="AH25" s="9">
        <f t="shared" si="2"/>
        <v>174318.67</v>
      </c>
      <c r="AI25" s="9">
        <f t="shared" si="3"/>
        <v>5244.3600000000006</v>
      </c>
    </row>
    <row r="26" spans="1:35" x14ac:dyDescent="0.4">
      <c r="A26" s="48"/>
      <c r="B26" s="18"/>
      <c r="C26" s="8"/>
      <c r="D26" s="25">
        <v>23.04</v>
      </c>
      <c r="E26" s="30">
        <v>47556</v>
      </c>
      <c r="F26" s="33">
        <v>2860.2</v>
      </c>
      <c r="G26" s="22"/>
      <c r="H26" s="22"/>
      <c r="I26" s="31">
        <v>379</v>
      </c>
      <c r="J26" s="31"/>
      <c r="K26" s="31"/>
      <c r="L26" s="31"/>
      <c r="M26" s="32">
        <f t="shared" si="1"/>
        <v>50795.199999999997</v>
      </c>
      <c r="N26" s="16">
        <v>3790.8</v>
      </c>
      <c r="O26" s="20">
        <v>421.2</v>
      </c>
      <c r="P26" s="16">
        <f>(36.2*12)</f>
        <v>434.40000000000003</v>
      </c>
      <c r="Q26" s="20"/>
      <c r="R26" s="16">
        <f t="shared" si="0"/>
        <v>69.72</v>
      </c>
      <c r="S26" s="16"/>
      <c r="T26" s="16">
        <f>(28.51*12)</f>
        <v>342.12</v>
      </c>
      <c r="U26" s="16"/>
      <c r="V26" s="16"/>
      <c r="W26" s="16">
        <v>252.12</v>
      </c>
      <c r="X26" s="16">
        <f>(72.76*12)</f>
        <v>873.12000000000012</v>
      </c>
      <c r="Y26" s="16"/>
      <c r="Z26" s="16"/>
      <c r="AA26" s="16">
        <v>348.48</v>
      </c>
      <c r="AB26" s="16"/>
      <c r="AC26" s="16"/>
      <c r="AD26" s="16">
        <f>(1179.22+49.18)*12</f>
        <v>14740.800000000001</v>
      </c>
      <c r="AE26" s="16"/>
      <c r="AF26" s="16">
        <v>500</v>
      </c>
      <c r="AG26" s="16"/>
      <c r="AH26" s="9">
        <f t="shared" si="2"/>
        <v>71546.16</v>
      </c>
      <c r="AI26" s="9">
        <f t="shared" si="3"/>
        <v>1021.8</v>
      </c>
    </row>
    <row r="27" spans="1:35" x14ac:dyDescent="0.4">
      <c r="A27" s="48"/>
      <c r="B27" s="18"/>
      <c r="C27" s="8"/>
      <c r="D27" s="25">
        <v>42.68</v>
      </c>
      <c r="E27" s="30">
        <v>81187.199999999997</v>
      </c>
      <c r="F27" s="33"/>
      <c r="G27" s="22"/>
      <c r="H27" s="22"/>
      <c r="I27" s="31">
        <v>2879</v>
      </c>
      <c r="J27" s="31"/>
      <c r="K27" s="31"/>
      <c r="L27" s="31"/>
      <c r="M27" s="32">
        <f t="shared" si="1"/>
        <v>84066.2</v>
      </c>
      <c r="N27" s="16">
        <v>3790.8</v>
      </c>
      <c r="O27" s="20">
        <v>421.2</v>
      </c>
      <c r="P27" s="16">
        <f>(60.2*12)</f>
        <v>722.40000000000009</v>
      </c>
      <c r="Q27" s="20">
        <v>155.28</v>
      </c>
      <c r="R27" s="16">
        <f t="shared" si="0"/>
        <v>69.72</v>
      </c>
      <c r="S27" s="16"/>
      <c r="T27" s="16">
        <f>(7.2)+(46.33*12)</f>
        <v>563.16000000000008</v>
      </c>
      <c r="U27" s="16">
        <v>10.8</v>
      </c>
      <c r="V27" s="16"/>
      <c r="W27" s="16"/>
      <c r="X27" s="16">
        <f>(118.88*12)</f>
        <v>1426.56</v>
      </c>
      <c r="Y27" s="16"/>
      <c r="Z27" s="16"/>
      <c r="AA27" s="16"/>
      <c r="AB27" s="16"/>
      <c r="AC27" s="16">
        <f>(1999.2)+(7647.36)</f>
        <v>9646.56</v>
      </c>
      <c r="AD27" s="16">
        <f>(1212.49+50.15)*12</f>
        <v>15151.68</v>
      </c>
      <c r="AE27" s="16"/>
      <c r="AF27" s="16">
        <v>500</v>
      </c>
      <c r="AG27" s="16"/>
      <c r="AH27" s="9">
        <f t="shared" si="2"/>
        <v>106290.51999999999</v>
      </c>
      <c r="AI27" s="9">
        <f t="shared" si="3"/>
        <v>10233.84</v>
      </c>
    </row>
    <row r="28" spans="1:35" x14ac:dyDescent="0.4">
      <c r="A28" s="48"/>
      <c r="B28" s="18"/>
      <c r="C28" s="8"/>
      <c r="D28" s="25">
        <v>38.659999999999997</v>
      </c>
      <c r="E28" s="30">
        <v>78340.800000000003</v>
      </c>
      <c r="F28" s="33">
        <v>20390.36</v>
      </c>
      <c r="G28" s="22"/>
      <c r="H28" s="22">
        <v>3400</v>
      </c>
      <c r="I28" s="31">
        <v>379</v>
      </c>
      <c r="J28" s="31"/>
      <c r="K28" s="31"/>
      <c r="L28" s="31"/>
      <c r="M28" s="32">
        <f t="shared" si="1"/>
        <v>102510.16</v>
      </c>
      <c r="N28" s="16">
        <v>3790.8</v>
      </c>
      <c r="O28" s="20">
        <v>421.2</v>
      </c>
      <c r="P28" s="16">
        <f>(36.2*12)</f>
        <v>434.40000000000003</v>
      </c>
      <c r="Q28" s="20"/>
      <c r="R28" s="16">
        <f t="shared" si="0"/>
        <v>69.72</v>
      </c>
      <c r="S28" s="16"/>
      <c r="T28" s="16">
        <f>(27.6)+(45.14*12)</f>
        <v>569.28000000000009</v>
      </c>
      <c r="U28" s="16">
        <f>(246.24)+(41.4)+(12)</f>
        <v>299.64</v>
      </c>
      <c r="V28" s="16"/>
      <c r="W28" s="16"/>
      <c r="X28" s="16">
        <f>(116.22*12)</f>
        <v>1394.6399999999999</v>
      </c>
      <c r="Y28" s="16"/>
      <c r="Z28" s="16"/>
      <c r="AA28" s="16"/>
      <c r="AB28" s="16"/>
      <c r="AC28" s="16">
        <v>3063.91</v>
      </c>
      <c r="AD28" s="16">
        <f>(1185.37+49.02)*12</f>
        <v>14812.679999999998</v>
      </c>
      <c r="AE28" s="16"/>
      <c r="AF28" s="16">
        <v>500</v>
      </c>
      <c r="AG28" s="16"/>
      <c r="AH28" s="9">
        <f t="shared" si="2"/>
        <v>124081.68</v>
      </c>
      <c r="AI28" s="9">
        <f t="shared" si="3"/>
        <v>3784.75</v>
      </c>
    </row>
    <row r="29" spans="1:35" x14ac:dyDescent="0.4">
      <c r="A29" s="48"/>
      <c r="B29" s="18"/>
      <c r="C29" s="8"/>
      <c r="D29" s="25">
        <v>30.85</v>
      </c>
      <c r="E29" s="30">
        <v>62742.42</v>
      </c>
      <c r="F29" s="33">
        <v>5900.82</v>
      </c>
      <c r="G29" s="22"/>
      <c r="H29" s="22"/>
      <c r="I29" s="31">
        <v>379</v>
      </c>
      <c r="J29" s="31"/>
      <c r="K29" s="31"/>
      <c r="L29" s="31"/>
      <c r="M29" s="32">
        <f t="shared" si="1"/>
        <v>69022.239999999991</v>
      </c>
      <c r="N29" s="16">
        <v>12422.76</v>
      </c>
      <c r="O29" s="20">
        <v>5069.28</v>
      </c>
      <c r="P29" s="16">
        <f>(86.66*12)</f>
        <v>1039.92</v>
      </c>
      <c r="Q29" s="20">
        <v>325.92</v>
      </c>
      <c r="R29" s="16">
        <f t="shared" si="0"/>
        <v>69.72</v>
      </c>
      <c r="S29" s="16">
        <v>135.24</v>
      </c>
      <c r="T29" s="16">
        <f>(10.8)+(36.83*12)</f>
        <v>452.76</v>
      </c>
      <c r="U29" s="16">
        <f>(78.84)+(16.2)+(12)</f>
        <v>107.04</v>
      </c>
      <c r="V29" s="16"/>
      <c r="W29" s="16"/>
      <c r="X29" s="16">
        <f>(94.65*12)</f>
        <v>1135.8000000000002</v>
      </c>
      <c r="Y29" s="16"/>
      <c r="Z29" s="16"/>
      <c r="AA29" s="16"/>
      <c r="AB29" s="16"/>
      <c r="AC29" s="16">
        <v>4118.58</v>
      </c>
      <c r="AD29" s="16">
        <f>(965.35+39.92)*12</f>
        <v>12063.24</v>
      </c>
      <c r="AE29" s="16"/>
      <c r="AF29" s="16">
        <v>500</v>
      </c>
      <c r="AG29" s="16"/>
      <c r="AH29" s="9">
        <f t="shared" si="2"/>
        <v>96706.439999999988</v>
      </c>
      <c r="AI29" s="9">
        <f t="shared" si="3"/>
        <v>9756.06</v>
      </c>
    </row>
    <row r="30" spans="1:35" x14ac:dyDescent="0.4">
      <c r="A30" s="48"/>
      <c r="B30" s="18"/>
      <c r="C30" s="8"/>
      <c r="D30" s="25">
        <v>26.62</v>
      </c>
      <c r="E30" s="30">
        <v>54808</v>
      </c>
      <c r="F30" s="33">
        <v>18675.66</v>
      </c>
      <c r="G30" s="22"/>
      <c r="H30" s="22"/>
      <c r="I30" s="31">
        <v>379</v>
      </c>
      <c r="J30" s="31"/>
      <c r="K30" s="31"/>
      <c r="L30" s="31"/>
      <c r="M30" s="32">
        <f t="shared" si="1"/>
        <v>73862.66</v>
      </c>
      <c r="N30" s="16">
        <v>9042</v>
      </c>
      <c r="O30" s="20">
        <v>3248.88</v>
      </c>
      <c r="P30" s="16">
        <f>(58.54*12)</f>
        <v>702.48</v>
      </c>
      <c r="Q30" s="20">
        <v>144.24</v>
      </c>
      <c r="R30" s="16">
        <f t="shared" si="0"/>
        <v>69.72</v>
      </c>
      <c r="S30" s="16">
        <v>62.76</v>
      </c>
      <c r="T30" s="16">
        <f>(152.4)+(32.67*12)</f>
        <v>544.44000000000005</v>
      </c>
      <c r="U30" s="16">
        <f>(2097.96)</f>
        <v>2097.96</v>
      </c>
      <c r="V30" s="16"/>
      <c r="W30" s="16">
        <v>497.04</v>
      </c>
      <c r="X30" s="16">
        <f>(83.66*12)</f>
        <v>1003.92</v>
      </c>
      <c r="Y30" s="16"/>
      <c r="Z30" s="16"/>
      <c r="AA30" s="16"/>
      <c r="AB30" s="16"/>
      <c r="AC30" s="16">
        <v>7348.4</v>
      </c>
      <c r="AD30" s="16">
        <f>(1355.84+56.55)*12</f>
        <v>16948.68</v>
      </c>
      <c r="AE30" s="16"/>
      <c r="AF30" s="16">
        <v>500</v>
      </c>
      <c r="AG30" s="16"/>
      <c r="AH30" s="9">
        <f t="shared" si="2"/>
        <v>102673.9</v>
      </c>
      <c r="AI30" s="9">
        <f t="shared" si="3"/>
        <v>13399.28</v>
      </c>
    </row>
    <row r="31" spans="1:35" x14ac:dyDescent="0.4">
      <c r="A31" s="48"/>
      <c r="B31" s="18"/>
      <c r="C31" s="8"/>
      <c r="D31" s="25">
        <v>33.46</v>
      </c>
      <c r="E31" s="30">
        <v>68884</v>
      </c>
      <c r="F31" s="33">
        <v>1476</v>
      </c>
      <c r="G31" s="22"/>
      <c r="H31" s="22"/>
      <c r="I31" s="33">
        <v>379</v>
      </c>
      <c r="J31" s="33"/>
      <c r="K31" s="33"/>
      <c r="L31" s="33"/>
      <c r="M31" s="32">
        <f t="shared" si="1"/>
        <v>70739</v>
      </c>
      <c r="N31" s="16">
        <v>3790.8</v>
      </c>
      <c r="O31" s="20">
        <v>421.2</v>
      </c>
      <c r="P31" s="16">
        <f>(36.2*12)</f>
        <v>434.40000000000003</v>
      </c>
      <c r="Q31" s="20"/>
      <c r="R31" s="16">
        <f t="shared" si="0"/>
        <v>69.72</v>
      </c>
      <c r="S31" s="16"/>
      <c r="T31" s="16">
        <f>(40.99*12)</f>
        <v>491.88</v>
      </c>
      <c r="U31" s="16">
        <v>105.6</v>
      </c>
      <c r="V31" s="16"/>
      <c r="W31" s="16">
        <v>252.12</v>
      </c>
      <c r="X31" s="16">
        <f>(105.13*12)</f>
        <v>1261.56</v>
      </c>
      <c r="Y31" s="16"/>
      <c r="Z31" s="16"/>
      <c r="AA31" s="16">
        <v>882</v>
      </c>
      <c r="AB31" s="16"/>
      <c r="AC31" s="16">
        <v>4221.62</v>
      </c>
      <c r="AD31" s="16"/>
      <c r="AE31" s="16"/>
      <c r="AF31" s="16">
        <v>500</v>
      </c>
      <c r="AG31" s="16"/>
      <c r="AH31" s="9">
        <f t="shared" si="2"/>
        <v>77287.360000000001</v>
      </c>
      <c r="AI31" s="9">
        <f t="shared" si="3"/>
        <v>5882.54</v>
      </c>
    </row>
    <row r="32" spans="1:35" x14ac:dyDescent="0.4">
      <c r="A32" s="48"/>
      <c r="B32" s="18"/>
      <c r="C32" s="8"/>
      <c r="D32" s="25">
        <v>31.51</v>
      </c>
      <c r="E32" s="30">
        <v>64720.04</v>
      </c>
      <c r="F32" s="33">
        <v>12767.6</v>
      </c>
      <c r="G32" s="22">
        <f>(1260.4)+(3075)</f>
        <v>4335.3999999999996</v>
      </c>
      <c r="H32" s="22"/>
      <c r="I32" s="33">
        <v>379</v>
      </c>
      <c r="J32" s="33"/>
      <c r="K32" s="33"/>
      <c r="L32" s="33"/>
      <c r="M32" s="32">
        <f t="shared" si="1"/>
        <v>82202.039999999994</v>
      </c>
      <c r="N32" s="16">
        <v>3790.8</v>
      </c>
      <c r="O32" s="20">
        <v>421.2</v>
      </c>
      <c r="P32" s="16">
        <f>(36.2*12)</f>
        <v>434.40000000000003</v>
      </c>
      <c r="Q32" s="20"/>
      <c r="R32" s="16">
        <f t="shared" si="0"/>
        <v>69.72</v>
      </c>
      <c r="S32" s="16"/>
      <c r="T32" s="16">
        <f>(38.02*12)</f>
        <v>456.24</v>
      </c>
      <c r="U32" s="16"/>
      <c r="V32" s="16"/>
      <c r="W32" s="16">
        <v>252.12</v>
      </c>
      <c r="X32" s="16">
        <f>(98.56*12)</f>
        <v>1182.72</v>
      </c>
      <c r="Y32" s="16"/>
      <c r="Z32" s="16"/>
      <c r="AA32" s="16"/>
      <c r="AB32" s="16"/>
      <c r="AC32" s="16">
        <v>3874.38</v>
      </c>
      <c r="AD32" s="16">
        <f>(1597.4+66.63)*12</f>
        <v>19968.36</v>
      </c>
      <c r="AE32" s="16"/>
      <c r="AF32" s="16">
        <v>500</v>
      </c>
      <c r="AG32" s="16"/>
      <c r="AH32" s="9">
        <f t="shared" si="2"/>
        <v>108604.28</v>
      </c>
      <c r="AI32" s="9">
        <f t="shared" si="3"/>
        <v>4547.7</v>
      </c>
    </row>
    <row r="33" spans="1:42" x14ac:dyDescent="0.4">
      <c r="A33" s="48"/>
      <c r="B33" s="18"/>
      <c r="C33" s="8"/>
      <c r="D33" s="25">
        <v>28.94</v>
      </c>
      <c r="E33" s="30">
        <v>54422.25</v>
      </c>
      <c r="F33" s="33">
        <v>5258.17</v>
      </c>
      <c r="G33" s="22"/>
      <c r="H33" s="22"/>
      <c r="I33" s="33">
        <v>379</v>
      </c>
      <c r="J33" s="33"/>
      <c r="K33" s="33"/>
      <c r="L33" s="33"/>
      <c r="M33" s="32">
        <f t="shared" si="1"/>
        <v>60059.42</v>
      </c>
      <c r="N33" s="16">
        <v>3790.8</v>
      </c>
      <c r="O33" s="20">
        <v>421.2</v>
      </c>
      <c r="P33" s="16">
        <f>(36.2*12)</f>
        <v>434.40000000000003</v>
      </c>
      <c r="Q33" s="20"/>
      <c r="R33" s="16">
        <f t="shared" si="0"/>
        <v>69.72</v>
      </c>
      <c r="S33" s="16"/>
      <c r="T33" s="16">
        <f>(7.2)+(35.64*12)</f>
        <v>434.88</v>
      </c>
      <c r="U33" s="16">
        <v>10.8</v>
      </c>
      <c r="V33" s="16"/>
      <c r="W33" s="16"/>
      <c r="X33" s="16">
        <f>(91.83*12)</f>
        <v>1101.96</v>
      </c>
      <c r="Y33" s="16"/>
      <c r="Z33" s="16"/>
      <c r="AA33" s="16"/>
      <c r="AB33" s="16"/>
      <c r="AC33" s="16">
        <v>3595.51</v>
      </c>
      <c r="AD33" s="16">
        <f>(936.59+38.73)*12</f>
        <v>11703.84</v>
      </c>
      <c r="AE33" s="16"/>
      <c r="AF33" s="16">
        <v>500</v>
      </c>
      <c r="AG33" s="16"/>
      <c r="AH33" s="9">
        <f t="shared" si="2"/>
        <v>78095.02</v>
      </c>
      <c r="AI33" s="9">
        <f t="shared" si="3"/>
        <v>4027.51</v>
      </c>
    </row>
    <row r="34" spans="1:42" x14ac:dyDescent="0.4">
      <c r="A34" s="48"/>
      <c r="B34" s="18"/>
      <c r="C34" s="8"/>
      <c r="D34" s="25">
        <v>34.450000000000003</v>
      </c>
      <c r="E34" s="30">
        <v>69746.009999999995</v>
      </c>
      <c r="F34" s="33">
        <v>15184.33</v>
      </c>
      <c r="G34" s="22"/>
      <c r="H34" s="22">
        <v>1760</v>
      </c>
      <c r="I34" s="33">
        <v>379</v>
      </c>
      <c r="J34" s="33"/>
      <c r="K34" s="33"/>
      <c r="L34" s="33"/>
      <c r="M34" s="32">
        <f t="shared" si="1"/>
        <v>87069.34</v>
      </c>
      <c r="N34" s="16">
        <v>8178.72</v>
      </c>
      <c r="O34" s="20">
        <v>2783.76</v>
      </c>
      <c r="P34" s="16">
        <f>(60.2*12)</f>
        <v>722.40000000000009</v>
      </c>
      <c r="Q34" s="20">
        <v>155.28</v>
      </c>
      <c r="R34" s="16">
        <f t="shared" si="0"/>
        <v>69.72</v>
      </c>
      <c r="S34" s="16">
        <v>69.72</v>
      </c>
      <c r="T34" s="16">
        <f>(39.8*12)</f>
        <v>477.59999999999997</v>
      </c>
      <c r="U34" s="16">
        <f>(75.6)+(12)</f>
        <v>87.6</v>
      </c>
      <c r="V34" s="16"/>
      <c r="W34" s="16"/>
      <c r="X34" s="16">
        <f>(103.21*12)</f>
        <v>1238.52</v>
      </c>
      <c r="Y34" s="16"/>
      <c r="Z34" s="16"/>
      <c r="AA34" s="16"/>
      <c r="AB34" s="16"/>
      <c r="AC34" s="16">
        <f>(1733.8)+(1733.8)</f>
        <v>3467.6</v>
      </c>
      <c r="AD34" s="16">
        <f>(1052.64+43.53)*12</f>
        <v>13154.04</v>
      </c>
      <c r="AE34" s="16"/>
      <c r="AF34" s="16">
        <v>500</v>
      </c>
      <c r="AG34" s="16"/>
      <c r="AH34" s="9">
        <f t="shared" si="2"/>
        <v>111410.34</v>
      </c>
      <c r="AI34" s="9">
        <f t="shared" si="3"/>
        <v>6563.96</v>
      </c>
    </row>
    <row r="35" spans="1:42" x14ac:dyDescent="0.4">
      <c r="A35" s="48"/>
      <c r="B35" s="18"/>
      <c r="C35" s="8"/>
      <c r="D35" s="25">
        <v>40.909999999999997</v>
      </c>
      <c r="E35" s="30">
        <v>84228.800000000003</v>
      </c>
      <c r="F35" s="33">
        <v>6708.4</v>
      </c>
      <c r="G35" s="22"/>
      <c r="H35" s="22"/>
      <c r="I35" s="33">
        <v>379</v>
      </c>
      <c r="J35" s="33"/>
      <c r="K35" s="33"/>
      <c r="L35" s="33"/>
      <c r="M35" s="32">
        <f t="shared" si="1"/>
        <v>91316.2</v>
      </c>
      <c r="N35" s="16">
        <v>5103.6000000000004</v>
      </c>
      <c r="O35" s="20">
        <f>(315.9)+(812.22)</f>
        <v>1128.1199999999999</v>
      </c>
      <c r="P35" s="16">
        <f>(58.54*12)</f>
        <v>702.48</v>
      </c>
      <c r="Q35" s="20">
        <v>144.24</v>
      </c>
      <c r="R35" s="16">
        <f t="shared" si="0"/>
        <v>69.72</v>
      </c>
      <c r="S35" s="16">
        <v>62.76</v>
      </c>
      <c r="T35" s="16">
        <f>(51.6)+(49.9*12)</f>
        <v>650.4</v>
      </c>
      <c r="U35" s="16">
        <f>(508.08)+(77.4)</f>
        <v>585.48</v>
      </c>
      <c r="V35" s="16"/>
      <c r="W35" s="16">
        <v>396.72</v>
      </c>
      <c r="X35" s="16">
        <f>(128.56*12)</f>
        <v>1542.72</v>
      </c>
      <c r="Y35" s="16"/>
      <c r="Z35" s="16"/>
      <c r="AA35" s="16"/>
      <c r="AB35" s="16"/>
      <c r="AC35" s="16">
        <v>6820.29</v>
      </c>
      <c r="AD35" s="16">
        <f>(2083.64+86.91)*12</f>
        <v>26046.6</v>
      </c>
      <c r="AE35" s="16"/>
      <c r="AF35" s="16">
        <v>500</v>
      </c>
      <c r="AG35" s="16"/>
      <c r="AH35" s="9">
        <f t="shared" si="2"/>
        <v>125931.72</v>
      </c>
      <c r="AI35" s="9">
        <f t="shared" si="3"/>
        <v>9137.6099999999988</v>
      </c>
    </row>
    <row r="36" spans="1:42" x14ac:dyDescent="0.4">
      <c r="A36" s="48"/>
      <c r="B36" s="18"/>
      <c r="C36" s="8"/>
      <c r="D36" s="25">
        <v>22.63</v>
      </c>
      <c r="E36" s="30">
        <v>46357.63</v>
      </c>
      <c r="F36" s="33">
        <v>3787.22</v>
      </c>
      <c r="G36" s="22"/>
      <c r="H36" s="22"/>
      <c r="I36" s="33">
        <v>379</v>
      </c>
      <c r="J36" s="33"/>
      <c r="K36" s="33"/>
      <c r="L36" s="33"/>
      <c r="M36" s="32">
        <f t="shared" si="1"/>
        <v>50523.85</v>
      </c>
      <c r="N36" s="16">
        <v>8178.72</v>
      </c>
      <c r="O36" s="20">
        <v>2783.76</v>
      </c>
      <c r="P36" s="16">
        <f>(60.2*12)</f>
        <v>722.40000000000009</v>
      </c>
      <c r="Q36" s="20">
        <v>155.28</v>
      </c>
      <c r="R36" s="16">
        <f t="shared" si="0"/>
        <v>69.72</v>
      </c>
      <c r="S36" s="16">
        <v>69.72</v>
      </c>
      <c r="T36" s="16">
        <f>(12)+(27.32*12)</f>
        <v>339.84000000000003</v>
      </c>
      <c r="U36" s="16">
        <f>(18)+(1660.8)+(12)</f>
        <v>1690.8</v>
      </c>
      <c r="V36" s="16"/>
      <c r="W36" s="16"/>
      <c r="X36" s="16">
        <f>(70.42*12)</f>
        <v>845.04</v>
      </c>
      <c r="Y36" s="16"/>
      <c r="Z36" s="16"/>
      <c r="AA36" s="16">
        <v>267.24</v>
      </c>
      <c r="AB36" s="16"/>
      <c r="AC36" s="16">
        <v>501.44</v>
      </c>
      <c r="AD36" s="16">
        <f>(712.22+29.7)*12</f>
        <v>8903.0400000000009</v>
      </c>
      <c r="AE36" s="16"/>
      <c r="AF36" s="16">
        <v>500</v>
      </c>
      <c r="AG36" s="16"/>
      <c r="AH36" s="9">
        <f t="shared" si="2"/>
        <v>70082.61</v>
      </c>
      <c r="AI36" s="9">
        <f t="shared" si="3"/>
        <v>5468.24</v>
      </c>
    </row>
    <row r="37" spans="1:42" x14ac:dyDescent="0.4">
      <c r="A37" s="48"/>
      <c r="B37" s="18"/>
      <c r="C37" s="8"/>
      <c r="D37" s="25">
        <v>22.83</v>
      </c>
      <c r="E37" s="30">
        <v>46773.69</v>
      </c>
      <c r="F37" s="33">
        <v>532.09</v>
      </c>
      <c r="G37" s="22"/>
      <c r="H37" s="22"/>
      <c r="I37" s="31">
        <v>379</v>
      </c>
      <c r="J37" s="31"/>
      <c r="K37" s="31"/>
      <c r="L37" s="31"/>
      <c r="M37" s="32">
        <f t="shared" si="1"/>
        <v>47684.78</v>
      </c>
      <c r="N37" s="16">
        <v>8178.72</v>
      </c>
      <c r="O37" s="20">
        <v>2783.76</v>
      </c>
      <c r="P37" s="16">
        <f>(60.2*12)</f>
        <v>722.40000000000009</v>
      </c>
      <c r="Q37" s="20">
        <v>155.28</v>
      </c>
      <c r="R37" s="16">
        <f t="shared" si="0"/>
        <v>69.72</v>
      </c>
      <c r="S37" s="16">
        <v>135.24</v>
      </c>
      <c r="T37" s="16">
        <f>(9.6)+(27.92*12)</f>
        <v>344.64000000000004</v>
      </c>
      <c r="U37" s="16">
        <f>(53.04)+(14.4)+(12)</f>
        <v>79.44</v>
      </c>
      <c r="V37" s="16"/>
      <c r="W37" s="16"/>
      <c r="X37" s="16">
        <f>(71.06*12)</f>
        <v>852.72</v>
      </c>
      <c r="Y37" s="16"/>
      <c r="Z37" s="16"/>
      <c r="AA37" s="16">
        <v>269.52</v>
      </c>
      <c r="AB37" s="16"/>
      <c r="AC37" s="16">
        <v>473.05</v>
      </c>
      <c r="AD37" s="16">
        <f>(29.97+724.76)*12</f>
        <v>9056.76</v>
      </c>
      <c r="AE37" s="16"/>
      <c r="AF37" s="16">
        <v>500</v>
      </c>
      <c r="AG37" s="16"/>
      <c r="AH37" s="9">
        <f t="shared" si="2"/>
        <v>67409.740000000005</v>
      </c>
      <c r="AI37" s="9">
        <f t="shared" si="3"/>
        <v>3896.2900000000009</v>
      </c>
      <c r="AM37" s="24"/>
      <c r="AN37" s="24"/>
      <c r="AO37" s="24"/>
      <c r="AP37" s="24"/>
    </row>
    <row r="38" spans="1:42" x14ac:dyDescent="0.4">
      <c r="A38" s="48"/>
      <c r="B38" s="18"/>
      <c r="C38" s="8"/>
      <c r="D38" s="25">
        <v>36.35</v>
      </c>
      <c r="E38" s="30">
        <v>72772.160000000003</v>
      </c>
      <c r="F38" s="33">
        <v>22548.81</v>
      </c>
      <c r="G38" s="22"/>
      <c r="H38" s="22">
        <v>2160</v>
      </c>
      <c r="I38" s="31">
        <v>379</v>
      </c>
      <c r="J38" s="31"/>
      <c r="K38" s="31"/>
      <c r="L38" s="31"/>
      <c r="M38" s="32">
        <f t="shared" si="1"/>
        <v>97859.97</v>
      </c>
      <c r="N38" s="16">
        <v>3790.8</v>
      </c>
      <c r="O38" s="20">
        <v>421.2</v>
      </c>
      <c r="P38" s="16">
        <f>(36.2*12)</f>
        <v>434.40000000000003</v>
      </c>
      <c r="Q38" s="20">
        <v>0</v>
      </c>
      <c r="R38" s="16">
        <f t="shared" si="0"/>
        <v>69.72</v>
      </c>
      <c r="S38" s="16"/>
      <c r="T38" s="16">
        <f>(42.17*12)</f>
        <v>506.04</v>
      </c>
      <c r="U38" s="16">
        <v>105.6</v>
      </c>
      <c r="V38" s="16"/>
      <c r="W38" s="16"/>
      <c r="X38" s="16">
        <f>(108.82*12)</f>
        <v>1305.8399999999999</v>
      </c>
      <c r="Y38" s="16"/>
      <c r="Z38" s="16"/>
      <c r="AA38" s="16"/>
      <c r="AB38" s="16"/>
      <c r="AC38" s="16"/>
      <c r="AD38" s="16">
        <f>(1763.63+73.56)*12</f>
        <v>22046.28</v>
      </c>
      <c r="AE38" s="16"/>
      <c r="AF38" s="16">
        <v>500</v>
      </c>
      <c r="AG38" s="16"/>
      <c r="AH38" s="9">
        <f t="shared" si="2"/>
        <v>126513.04999999999</v>
      </c>
      <c r="AI38" s="9">
        <f t="shared" si="3"/>
        <v>526.79999999999995</v>
      </c>
      <c r="AM38" s="24"/>
      <c r="AN38" s="24"/>
      <c r="AO38" s="24"/>
      <c r="AP38" s="24"/>
    </row>
    <row r="39" spans="1:42" x14ac:dyDescent="0.4">
      <c r="A39" s="48"/>
      <c r="B39" s="18"/>
      <c r="C39" s="8"/>
      <c r="D39" s="25">
        <v>19.25</v>
      </c>
      <c r="E39" s="30">
        <v>19134.509999999998</v>
      </c>
      <c r="F39" s="33">
        <v>750.76</v>
      </c>
      <c r="G39" s="22"/>
      <c r="H39" s="22"/>
      <c r="I39" s="31">
        <v>379</v>
      </c>
      <c r="J39" s="31"/>
      <c r="K39" s="31"/>
      <c r="L39" s="31"/>
      <c r="M39" s="32">
        <f t="shared" si="1"/>
        <v>20264.269999999997</v>
      </c>
      <c r="N39" s="16">
        <v>1737.45</v>
      </c>
      <c r="O39" s="20">
        <v>193.05</v>
      </c>
      <c r="P39" s="16">
        <f>(36.2*5)</f>
        <v>181</v>
      </c>
      <c r="Q39" s="20">
        <v>0</v>
      </c>
      <c r="R39" s="16">
        <f t="shared" si="0"/>
        <v>69.72</v>
      </c>
      <c r="S39" s="16"/>
      <c r="T39" s="16">
        <f>(5*24.35)</f>
        <v>121.75</v>
      </c>
      <c r="U39" s="16"/>
      <c r="V39" s="16"/>
      <c r="W39" s="16"/>
      <c r="X39" s="16">
        <f>(61.7*5)</f>
        <v>308.5</v>
      </c>
      <c r="Y39" s="16"/>
      <c r="Z39" s="16"/>
      <c r="AA39" s="16"/>
      <c r="AB39" s="16"/>
      <c r="AC39" s="16"/>
      <c r="AD39" s="16"/>
      <c r="AE39" s="16"/>
      <c r="AF39" s="16">
        <v>0</v>
      </c>
      <c r="AG39" s="16"/>
      <c r="AH39" s="9">
        <f t="shared" si="2"/>
        <v>22682.69</v>
      </c>
      <c r="AI39" s="9">
        <f t="shared" si="3"/>
        <v>193.05</v>
      </c>
      <c r="AM39" s="24"/>
      <c r="AN39" s="24"/>
      <c r="AO39" s="24"/>
      <c r="AP39" s="24"/>
    </row>
    <row r="40" spans="1:42" x14ac:dyDescent="0.4">
      <c r="A40" s="48"/>
      <c r="B40" s="18"/>
      <c r="C40" s="8"/>
      <c r="D40" s="25">
        <v>27.3</v>
      </c>
      <c r="E40" s="30">
        <v>54712</v>
      </c>
      <c r="F40" s="33">
        <v>16670.8</v>
      </c>
      <c r="G40" s="22"/>
      <c r="H40" s="22"/>
      <c r="I40" s="31">
        <v>379</v>
      </c>
      <c r="J40" s="31"/>
      <c r="K40" s="31"/>
      <c r="L40" s="31"/>
      <c r="M40" s="32">
        <f t="shared" si="1"/>
        <v>71761.8</v>
      </c>
      <c r="N40" s="16">
        <v>8178.72</v>
      </c>
      <c r="O40" s="20">
        <v>2783.76</v>
      </c>
      <c r="P40" s="16">
        <f>(60.2*12)</f>
        <v>722.40000000000009</v>
      </c>
      <c r="Q40" s="20">
        <v>155.28</v>
      </c>
      <c r="R40" s="16">
        <f t="shared" si="0"/>
        <v>69.72</v>
      </c>
      <c r="S40" s="16">
        <v>69.72</v>
      </c>
      <c r="T40" s="16">
        <f>(10.8)+(31.48*12)</f>
        <v>388.56</v>
      </c>
      <c r="U40" s="16">
        <f>(67.44)+(16.2)+(12)</f>
        <v>95.64</v>
      </c>
      <c r="V40" s="16"/>
      <c r="W40" s="16"/>
      <c r="X40" s="16">
        <f>(80.9*12)</f>
        <v>970.80000000000007</v>
      </c>
      <c r="Y40" s="16"/>
      <c r="Z40" s="16"/>
      <c r="AA40" s="16"/>
      <c r="AB40" s="16"/>
      <c r="AC40" s="16">
        <v>4996.7700000000004</v>
      </c>
      <c r="AD40" s="16">
        <f>(825.11+34.12)*12</f>
        <v>10310.76</v>
      </c>
      <c r="AE40" s="16"/>
      <c r="AF40" s="16">
        <v>500</v>
      </c>
      <c r="AG40" s="16"/>
      <c r="AH40" s="9">
        <f t="shared" ref="AH40:AH75" si="4">+M40+N40+P40+R40+T40+X40+AB40+AD40+AF40</f>
        <v>92902.76</v>
      </c>
      <c r="AI40" s="9">
        <f t="shared" si="3"/>
        <v>8101.17</v>
      </c>
      <c r="AM40" s="24"/>
      <c r="AN40" s="24"/>
      <c r="AO40" s="24"/>
      <c r="AP40" s="24"/>
    </row>
    <row r="41" spans="1:42" x14ac:dyDescent="0.4">
      <c r="A41" s="48"/>
      <c r="B41" s="18"/>
      <c r="C41" s="8"/>
      <c r="D41" s="25">
        <v>38.44</v>
      </c>
      <c r="E41" s="30">
        <v>77894</v>
      </c>
      <c r="F41" s="33">
        <v>24834.799999999999</v>
      </c>
      <c r="G41" s="22"/>
      <c r="H41" s="22">
        <v>2480</v>
      </c>
      <c r="I41" s="31">
        <v>379</v>
      </c>
      <c r="J41" s="31"/>
      <c r="K41" s="31"/>
      <c r="L41" s="31"/>
      <c r="M41" s="32">
        <f t="shared" si="1"/>
        <v>105587.8</v>
      </c>
      <c r="N41" s="16">
        <v>8178.72</v>
      </c>
      <c r="O41" s="20">
        <v>2783.76</v>
      </c>
      <c r="P41" s="16">
        <f>(60.2*12)</f>
        <v>722.40000000000009</v>
      </c>
      <c r="Q41" s="20">
        <v>155.28</v>
      </c>
      <c r="R41" s="16">
        <f t="shared" si="0"/>
        <v>69.72</v>
      </c>
      <c r="S41" s="16"/>
      <c r="T41" s="16">
        <f>(10.8)+(44.55*12)</f>
        <v>545.39999999999986</v>
      </c>
      <c r="U41" s="16">
        <f>(477)+(12)</f>
        <v>489</v>
      </c>
      <c r="V41" s="16"/>
      <c r="W41" s="16"/>
      <c r="X41" s="16">
        <f>+(115.55*12)</f>
        <v>1386.6</v>
      </c>
      <c r="Y41" s="16"/>
      <c r="Z41" s="16"/>
      <c r="AA41" s="16"/>
      <c r="AB41" s="16"/>
      <c r="AC41" s="16">
        <v>4208.3500000000004</v>
      </c>
      <c r="AD41" s="16">
        <f>(1872.73+78.11)*12</f>
        <v>23410.079999999998</v>
      </c>
      <c r="AE41" s="16"/>
      <c r="AF41" s="16">
        <v>500</v>
      </c>
      <c r="AG41" s="16"/>
      <c r="AH41" s="9">
        <f t="shared" si="4"/>
        <v>140400.72</v>
      </c>
      <c r="AI41" s="9">
        <f t="shared" si="3"/>
        <v>7636.3900000000012</v>
      </c>
      <c r="AM41" s="24"/>
      <c r="AN41" s="24"/>
      <c r="AO41" s="24"/>
      <c r="AP41" s="24"/>
    </row>
    <row r="42" spans="1:42" x14ac:dyDescent="0.4">
      <c r="A42" s="48"/>
      <c r="B42" s="18"/>
      <c r="C42" s="8"/>
      <c r="D42" s="25">
        <v>25.86</v>
      </c>
      <c r="E42" s="30">
        <v>52903.199999999997</v>
      </c>
      <c r="F42" s="33">
        <v>713.64</v>
      </c>
      <c r="G42" s="22"/>
      <c r="H42" s="22"/>
      <c r="I42" s="31">
        <v>379</v>
      </c>
      <c r="J42" s="31"/>
      <c r="K42" s="31"/>
      <c r="L42" s="31"/>
      <c r="M42" s="32">
        <f t="shared" si="1"/>
        <v>53995.839999999997</v>
      </c>
      <c r="N42" s="16">
        <v>12422.76</v>
      </c>
      <c r="O42" s="20">
        <v>5069.28</v>
      </c>
      <c r="P42" s="16">
        <f>(86.66*12)</f>
        <v>1039.92</v>
      </c>
      <c r="Q42" s="20">
        <v>325.92</v>
      </c>
      <c r="R42" s="16">
        <f t="shared" si="0"/>
        <v>69.72</v>
      </c>
      <c r="S42" s="16">
        <v>135.24</v>
      </c>
      <c r="T42" s="16">
        <f>(12)+(31.48*12)</f>
        <v>389.76</v>
      </c>
      <c r="U42" s="16">
        <f>(12)</f>
        <v>12</v>
      </c>
      <c r="V42" s="16"/>
      <c r="W42" s="16"/>
      <c r="X42" s="16">
        <f>(80.26*12)</f>
        <v>963.12000000000012</v>
      </c>
      <c r="Y42" s="16"/>
      <c r="Z42" s="16"/>
      <c r="AA42" s="16">
        <v>304.56</v>
      </c>
      <c r="AB42" s="16"/>
      <c r="AC42" s="16"/>
      <c r="AD42" s="16">
        <f>(818.57+33.85)*12</f>
        <v>10229.040000000001</v>
      </c>
      <c r="AE42" s="16"/>
      <c r="AF42" s="16">
        <v>500</v>
      </c>
      <c r="AG42" s="16"/>
      <c r="AH42" s="9">
        <f t="shared" si="4"/>
        <v>79610.159999999974</v>
      </c>
      <c r="AI42" s="9">
        <f t="shared" si="3"/>
        <v>5847</v>
      </c>
    </row>
    <row r="43" spans="1:42" x14ac:dyDescent="0.4">
      <c r="A43" s="48"/>
      <c r="B43" s="18"/>
      <c r="C43" s="8"/>
      <c r="D43" s="25">
        <v>19.239999999999998</v>
      </c>
      <c r="E43" s="30">
        <v>8727.65</v>
      </c>
      <c r="F43" s="33"/>
      <c r="G43" s="22"/>
      <c r="H43" s="22"/>
      <c r="I43" s="31">
        <v>379</v>
      </c>
      <c r="J43" s="31"/>
      <c r="K43" s="31"/>
      <c r="L43" s="31"/>
      <c r="M43" s="32">
        <f t="shared" si="1"/>
        <v>9106.65</v>
      </c>
      <c r="N43" s="16">
        <v>947.7</v>
      </c>
      <c r="O43" s="20">
        <v>105.3</v>
      </c>
      <c r="P43" s="16">
        <f>(36.2*2)</f>
        <v>72.400000000000006</v>
      </c>
      <c r="Q43" s="20"/>
      <c r="R43" s="16">
        <f t="shared" si="0"/>
        <v>69.72</v>
      </c>
      <c r="S43" s="16"/>
      <c r="T43" s="16">
        <f>(1)+(24.35*2)</f>
        <v>49.7</v>
      </c>
      <c r="U43" s="16">
        <f>(4.76)+(1.5)</f>
        <v>6.26</v>
      </c>
      <c r="V43" s="16"/>
      <c r="W43" s="16"/>
      <c r="X43" s="16">
        <f>(2*61.66)</f>
        <v>123.32</v>
      </c>
      <c r="Y43" s="16"/>
      <c r="Z43" s="16"/>
      <c r="AA43" s="16"/>
      <c r="AB43" s="16"/>
      <c r="AC43" s="16"/>
      <c r="AD43" s="16"/>
      <c r="AE43" s="16"/>
      <c r="AF43" s="16">
        <v>0</v>
      </c>
      <c r="AG43" s="16"/>
      <c r="AH43" s="9">
        <f t="shared" si="4"/>
        <v>10369.49</v>
      </c>
      <c r="AI43" s="9">
        <f t="shared" si="3"/>
        <v>111.56</v>
      </c>
      <c r="AM43" s="38"/>
    </row>
    <row r="44" spans="1:42" x14ac:dyDescent="0.4">
      <c r="A44" s="48"/>
      <c r="B44" s="18"/>
      <c r="C44" s="8"/>
      <c r="D44" s="25">
        <v>22.94</v>
      </c>
      <c r="E44" s="30">
        <v>47348</v>
      </c>
      <c r="F44" s="33">
        <v>3510.18</v>
      </c>
      <c r="G44" s="22">
        <v>917.6</v>
      </c>
      <c r="H44" s="22"/>
      <c r="I44" s="31">
        <v>379</v>
      </c>
      <c r="J44" s="31"/>
      <c r="K44" s="31"/>
      <c r="L44" s="31"/>
      <c r="M44" s="32">
        <f t="shared" si="1"/>
        <v>52154.78</v>
      </c>
      <c r="N44" s="16">
        <v>9042</v>
      </c>
      <c r="O44" s="20">
        <v>3248.88</v>
      </c>
      <c r="P44" s="16">
        <f>(58.54*12)</f>
        <v>702.48</v>
      </c>
      <c r="Q44" s="20">
        <v>144.24</v>
      </c>
      <c r="R44" s="16">
        <f t="shared" si="0"/>
        <v>69.72</v>
      </c>
      <c r="S44" s="16">
        <v>62.76</v>
      </c>
      <c r="T44" s="16">
        <f>(79.2)+(28.51*12)</f>
        <v>421.32</v>
      </c>
      <c r="U44" s="16">
        <v>222.36</v>
      </c>
      <c r="V44" s="16"/>
      <c r="W44" s="16">
        <v>396.72</v>
      </c>
      <c r="X44" s="16">
        <f>(72.4*12)</f>
        <v>868.80000000000007</v>
      </c>
      <c r="Y44" s="16"/>
      <c r="Z44" s="16"/>
      <c r="AA44" s="16"/>
      <c r="AB44" s="16"/>
      <c r="AC44" s="16">
        <v>4068.7</v>
      </c>
      <c r="AD44" s="16">
        <f>(1174.02+48.97)*12</f>
        <v>14675.880000000001</v>
      </c>
      <c r="AE44" s="16"/>
      <c r="AF44" s="16">
        <v>500</v>
      </c>
      <c r="AG44" s="16"/>
      <c r="AH44" s="9">
        <f t="shared" si="4"/>
        <v>78434.98000000001</v>
      </c>
      <c r="AI44" s="9">
        <f t="shared" si="3"/>
        <v>8143.6600000000008</v>
      </c>
    </row>
    <row r="45" spans="1:42" x14ac:dyDescent="0.4">
      <c r="A45" s="48"/>
      <c r="B45" s="18"/>
      <c r="C45" s="8"/>
      <c r="D45" s="25">
        <v>41.02</v>
      </c>
      <c r="E45" s="30">
        <v>79128.28</v>
      </c>
      <c r="F45" s="33">
        <v>25612.78</v>
      </c>
      <c r="G45" s="22">
        <f>(1553.2)+(1553.2)</f>
        <v>3106.4</v>
      </c>
      <c r="H45" s="22">
        <v>2400</v>
      </c>
      <c r="I45" s="31">
        <v>379</v>
      </c>
      <c r="J45" s="31"/>
      <c r="K45" s="31"/>
      <c r="L45" s="31"/>
      <c r="M45" s="32">
        <f t="shared" si="1"/>
        <v>110626.45999999999</v>
      </c>
      <c r="N45" s="16">
        <v>12422.76</v>
      </c>
      <c r="O45" s="20">
        <v>5069.28</v>
      </c>
      <c r="P45" s="16">
        <f>(58.54*12)</f>
        <v>702.48</v>
      </c>
      <c r="Q45" s="20">
        <v>144.24</v>
      </c>
      <c r="R45" s="16">
        <f t="shared" si="0"/>
        <v>69.72</v>
      </c>
      <c r="S45" s="16">
        <v>135.24</v>
      </c>
      <c r="T45" s="16">
        <f>(51.6)+(48.11*12)</f>
        <v>628.91999999999996</v>
      </c>
      <c r="U45" s="16">
        <f>(244.92)+(77.4)+(12)</f>
        <v>334.32</v>
      </c>
      <c r="V45" s="16"/>
      <c r="W45" s="16">
        <v>396.72</v>
      </c>
      <c r="X45" s="16">
        <f>(124.46*12)</f>
        <v>1493.52</v>
      </c>
      <c r="Y45" s="16"/>
      <c r="Z45" s="16"/>
      <c r="AA45" s="16"/>
      <c r="AB45" s="16"/>
      <c r="AC45" s="16">
        <v>2142.81</v>
      </c>
      <c r="AD45" s="16">
        <f>(2017.13+84.13)*12</f>
        <v>25215.120000000003</v>
      </c>
      <c r="AE45" s="16"/>
      <c r="AF45" s="16">
        <v>500</v>
      </c>
      <c r="AG45" s="16"/>
      <c r="AH45" s="9">
        <f t="shared" si="4"/>
        <v>151658.97999999998</v>
      </c>
      <c r="AI45" s="9">
        <f t="shared" si="3"/>
        <v>8222.6099999999988</v>
      </c>
    </row>
    <row r="46" spans="1:42" x14ac:dyDescent="0.4">
      <c r="A46" s="48"/>
      <c r="B46" s="18"/>
      <c r="C46" s="8"/>
      <c r="D46" s="25">
        <v>22.89</v>
      </c>
      <c r="E46" s="30">
        <v>44984.81</v>
      </c>
      <c r="F46" s="33">
        <v>6305.33</v>
      </c>
      <c r="G46" s="22"/>
      <c r="H46" s="22"/>
      <c r="I46" s="31">
        <v>379</v>
      </c>
      <c r="J46" s="31"/>
      <c r="K46" s="31"/>
      <c r="L46" s="31"/>
      <c r="M46" s="32">
        <f t="shared" si="1"/>
        <v>51669.14</v>
      </c>
      <c r="N46" s="16">
        <v>3790.8</v>
      </c>
      <c r="O46" s="20">
        <v>421.2</v>
      </c>
      <c r="P46" s="16">
        <f>(36.2*11)</f>
        <v>398.20000000000005</v>
      </c>
      <c r="Q46" s="20"/>
      <c r="R46" s="16">
        <f t="shared" si="0"/>
        <v>69.72</v>
      </c>
      <c r="S46" s="16"/>
      <c r="T46" s="16">
        <f>(11*26.73)</f>
        <v>294.03000000000003</v>
      </c>
      <c r="U46" s="16">
        <v>133.65</v>
      </c>
      <c r="V46" s="16"/>
      <c r="W46" s="16"/>
      <c r="X46" s="16">
        <f>(11*69.14)</f>
        <v>760.54</v>
      </c>
      <c r="Y46" s="16"/>
      <c r="Z46" s="16"/>
      <c r="AA46" s="16"/>
      <c r="AB46" s="16"/>
      <c r="AC46" s="16"/>
      <c r="AD46" s="16"/>
      <c r="AE46" s="16"/>
      <c r="AF46" s="16">
        <v>0</v>
      </c>
      <c r="AG46" s="16"/>
      <c r="AH46" s="9">
        <f t="shared" si="4"/>
        <v>56982.43</v>
      </c>
      <c r="AI46" s="9">
        <f t="shared" si="3"/>
        <v>554.85</v>
      </c>
    </row>
    <row r="47" spans="1:42" x14ac:dyDescent="0.4">
      <c r="A47" s="48"/>
      <c r="B47" s="18"/>
      <c r="C47" s="8"/>
      <c r="D47" s="25">
        <v>19.239999999999998</v>
      </c>
      <c r="E47" s="30">
        <v>9543.0400000000009</v>
      </c>
      <c r="F47" s="33">
        <v>14.43</v>
      </c>
      <c r="G47" s="22"/>
      <c r="H47" s="22"/>
      <c r="I47" s="31">
        <v>379</v>
      </c>
      <c r="J47" s="31"/>
      <c r="K47" s="31"/>
      <c r="L47" s="31"/>
      <c r="M47" s="32">
        <f t="shared" si="1"/>
        <v>9936.4700000000012</v>
      </c>
      <c r="N47" s="16">
        <v>0</v>
      </c>
      <c r="O47" s="20"/>
      <c r="P47" s="16">
        <f>(36.2*3)</f>
        <v>108.60000000000001</v>
      </c>
      <c r="Q47" s="20"/>
      <c r="R47" s="16">
        <f t="shared" si="0"/>
        <v>69.72</v>
      </c>
      <c r="S47" s="16"/>
      <c r="T47" s="16">
        <f>(24.35*3)</f>
        <v>73.050000000000011</v>
      </c>
      <c r="U47" s="16">
        <f>(6)</f>
        <v>6</v>
      </c>
      <c r="V47" s="16"/>
      <c r="W47" s="16"/>
      <c r="X47" s="16">
        <f>(3*61.66)</f>
        <v>184.98</v>
      </c>
      <c r="Y47" s="16"/>
      <c r="Z47" s="16"/>
      <c r="AA47" s="16"/>
      <c r="AB47" s="16"/>
      <c r="AC47" s="16"/>
      <c r="AD47" s="16"/>
      <c r="AE47" s="16"/>
      <c r="AF47" s="16">
        <v>0</v>
      </c>
      <c r="AG47" s="16"/>
      <c r="AH47" s="9">
        <f t="shared" si="4"/>
        <v>10372.82</v>
      </c>
      <c r="AI47" s="9">
        <f t="shared" si="3"/>
        <v>6</v>
      </c>
    </row>
    <row r="48" spans="1:42" x14ac:dyDescent="0.4">
      <c r="A48" s="48"/>
      <c r="B48" s="18"/>
      <c r="C48" s="8"/>
      <c r="D48" s="25">
        <v>44.05</v>
      </c>
      <c r="E48" s="30">
        <v>89789.62</v>
      </c>
      <c r="F48" s="33">
        <v>22791.57</v>
      </c>
      <c r="G48" s="22"/>
      <c r="H48" s="22">
        <v>2280</v>
      </c>
      <c r="I48" s="31">
        <v>379</v>
      </c>
      <c r="J48" s="31"/>
      <c r="K48" s="31"/>
      <c r="L48" s="31"/>
      <c r="M48" s="32">
        <f t="shared" si="1"/>
        <v>115240.19</v>
      </c>
      <c r="N48" s="16">
        <v>3790.8</v>
      </c>
      <c r="O48" s="20">
        <v>421.2</v>
      </c>
      <c r="P48" s="16">
        <f>(58.54*12)</f>
        <v>702.48</v>
      </c>
      <c r="Q48" s="20">
        <v>144.24</v>
      </c>
      <c r="R48" s="16">
        <f t="shared" si="0"/>
        <v>69.72</v>
      </c>
      <c r="S48" s="16">
        <v>62.76</v>
      </c>
      <c r="T48" s="16">
        <f>(27.6)+(52.27*12)</f>
        <v>654.84</v>
      </c>
      <c r="U48" s="16"/>
      <c r="V48" s="16"/>
      <c r="W48" s="16">
        <v>396.72</v>
      </c>
      <c r="X48" s="16">
        <f>(134.21*12)</f>
        <v>1610.52</v>
      </c>
      <c r="Y48" s="16"/>
      <c r="Z48" s="16"/>
      <c r="AA48" s="16">
        <v>804.24</v>
      </c>
      <c r="AB48" s="16"/>
      <c r="AC48" s="16">
        <v>6891.66</v>
      </c>
      <c r="AD48" s="16">
        <f>(2175.07+90.72)*12</f>
        <v>27189.48</v>
      </c>
      <c r="AE48" s="16"/>
      <c r="AF48" s="16">
        <v>500</v>
      </c>
      <c r="AG48" s="16"/>
      <c r="AH48" s="9">
        <f t="shared" si="4"/>
        <v>149758.03</v>
      </c>
      <c r="AI48" s="9">
        <f t="shared" si="3"/>
        <v>8720.82</v>
      </c>
    </row>
    <row r="49" spans="1:35" x14ac:dyDescent="0.4">
      <c r="A49" s="48"/>
      <c r="B49" s="18"/>
      <c r="C49" s="8"/>
      <c r="D49" s="25">
        <v>38.020000000000003</v>
      </c>
      <c r="E49" s="30">
        <v>78077.259999999995</v>
      </c>
      <c r="F49" s="33">
        <v>556.35</v>
      </c>
      <c r="G49" s="22"/>
      <c r="H49" s="22"/>
      <c r="I49" s="31">
        <v>379</v>
      </c>
      <c r="J49" s="31"/>
      <c r="K49" s="31"/>
      <c r="L49" s="31"/>
      <c r="M49" s="32">
        <f t="shared" si="1"/>
        <v>79012.61</v>
      </c>
      <c r="N49" s="16">
        <v>9042</v>
      </c>
      <c r="O49" s="20">
        <v>3248.88</v>
      </c>
      <c r="P49" s="16">
        <f>(58.54*12)</f>
        <v>702.48</v>
      </c>
      <c r="Q49" s="20">
        <v>144.24</v>
      </c>
      <c r="R49" s="16">
        <f t="shared" si="0"/>
        <v>69.72</v>
      </c>
      <c r="S49" s="16"/>
      <c r="T49" s="16">
        <f>(79.2)+(46.33*12)</f>
        <v>635.16000000000008</v>
      </c>
      <c r="U49" s="16">
        <f>(722.64)+(118.8)+(885.6)</f>
        <v>1727.04</v>
      </c>
      <c r="V49" s="16"/>
      <c r="W49" s="16">
        <v>396.72</v>
      </c>
      <c r="X49" s="16">
        <f>(118.88*12)</f>
        <v>1426.56</v>
      </c>
      <c r="Y49" s="16"/>
      <c r="Z49" s="16"/>
      <c r="AA49" s="16"/>
      <c r="AB49" s="16"/>
      <c r="AC49" s="16">
        <v>3931.68</v>
      </c>
      <c r="AD49" s="16">
        <f>(1926.75+80.36)*12</f>
        <v>24085.32</v>
      </c>
      <c r="AE49" s="16"/>
      <c r="AF49" s="16">
        <v>500</v>
      </c>
      <c r="AG49" s="16"/>
      <c r="AH49" s="9">
        <f t="shared" si="4"/>
        <v>115473.85</v>
      </c>
      <c r="AI49" s="9">
        <f t="shared" si="3"/>
        <v>9448.56</v>
      </c>
    </row>
    <row r="50" spans="1:35" x14ac:dyDescent="0.4">
      <c r="A50" s="48"/>
      <c r="B50" s="18"/>
      <c r="C50" s="8"/>
      <c r="D50" s="25">
        <v>25.36</v>
      </c>
      <c r="E50" s="30">
        <v>51690.400000000001</v>
      </c>
      <c r="F50" s="33">
        <v>623.9</v>
      </c>
      <c r="G50" s="22"/>
      <c r="H50" s="22"/>
      <c r="I50" s="31">
        <v>379</v>
      </c>
      <c r="J50" s="31"/>
      <c r="K50" s="31"/>
      <c r="L50" s="31"/>
      <c r="M50" s="32">
        <f t="shared" si="1"/>
        <v>52693.3</v>
      </c>
      <c r="N50" s="16">
        <v>8178.72</v>
      </c>
      <c r="O50" s="20">
        <v>2783.76</v>
      </c>
      <c r="P50" s="16">
        <f>(60.2*12)</f>
        <v>722.40000000000009</v>
      </c>
      <c r="Q50" s="20">
        <v>155.28</v>
      </c>
      <c r="R50" s="16">
        <f t="shared" si="0"/>
        <v>69.72</v>
      </c>
      <c r="S50" s="16">
        <v>69.72</v>
      </c>
      <c r="T50" s="16">
        <f>(18)+(30.29*12)</f>
        <v>381.48</v>
      </c>
      <c r="U50" s="16">
        <f>(27)+(12)</f>
        <v>39</v>
      </c>
      <c r="V50" s="16"/>
      <c r="W50" s="16"/>
      <c r="X50" s="16">
        <f>(78.14*12)</f>
        <v>937.68000000000006</v>
      </c>
      <c r="Y50" s="16"/>
      <c r="Z50" s="16"/>
      <c r="AA50" s="16">
        <v>374.4</v>
      </c>
      <c r="AB50" s="16"/>
      <c r="AC50" s="16">
        <v>523.13</v>
      </c>
      <c r="AD50" s="16">
        <f>(796.99+32.96)*12</f>
        <v>9959.4000000000015</v>
      </c>
      <c r="AE50" s="16"/>
      <c r="AF50" s="16">
        <v>500</v>
      </c>
      <c r="AG50" s="16"/>
      <c r="AH50" s="9">
        <f t="shared" si="4"/>
        <v>73442.700000000012</v>
      </c>
      <c r="AI50" s="9">
        <f t="shared" si="3"/>
        <v>3945.2900000000004</v>
      </c>
    </row>
    <row r="51" spans="1:35" x14ac:dyDescent="0.4">
      <c r="A51" s="48"/>
      <c r="B51" s="18"/>
      <c r="C51" s="8"/>
      <c r="D51" s="25">
        <v>38.32</v>
      </c>
      <c r="E51" s="30">
        <v>78301.600000000006</v>
      </c>
      <c r="F51" s="33">
        <v>1532.95</v>
      </c>
      <c r="G51" s="22"/>
      <c r="H51" s="22"/>
      <c r="I51" s="31">
        <v>379</v>
      </c>
      <c r="J51" s="31"/>
      <c r="K51" s="31"/>
      <c r="L51" s="31"/>
      <c r="M51" s="32">
        <f t="shared" si="1"/>
        <v>80213.55</v>
      </c>
      <c r="N51" s="16">
        <v>12422.76</v>
      </c>
      <c r="O51" s="20">
        <v>5069.28</v>
      </c>
      <c r="P51" s="16">
        <f>(86.66*12)</f>
        <v>1039.92</v>
      </c>
      <c r="Q51" s="20">
        <v>325.92</v>
      </c>
      <c r="R51" s="16">
        <f t="shared" si="0"/>
        <v>69.72</v>
      </c>
      <c r="S51" s="16">
        <v>135.24</v>
      </c>
      <c r="T51" s="16">
        <f>(10.8)+(46.33*12)</f>
        <v>566.76</v>
      </c>
      <c r="U51" s="16">
        <f>(16.2)+(12)</f>
        <v>28.2</v>
      </c>
      <c r="V51" s="16"/>
      <c r="W51" s="16">
        <v>497.04</v>
      </c>
      <c r="X51" s="16">
        <f>(118.66*12)</f>
        <v>1423.92</v>
      </c>
      <c r="Y51" s="16"/>
      <c r="Z51" s="16"/>
      <c r="AA51" s="16">
        <v>450.12</v>
      </c>
      <c r="AB51" s="16"/>
      <c r="AC51" s="16">
        <f>(3193.31)+(1596.68)</f>
        <v>4789.99</v>
      </c>
      <c r="AD51" s="16">
        <f>(1923.12+80.21)*12</f>
        <v>24039.96</v>
      </c>
      <c r="AE51" s="16"/>
      <c r="AF51" s="16">
        <v>500</v>
      </c>
      <c r="AG51" s="16"/>
      <c r="AH51" s="9">
        <f t="shared" si="4"/>
        <v>120276.59</v>
      </c>
      <c r="AI51" s="9">
        <f t="shared" si="3"/>
        <v>11295.79</v>
      </c>
    </row>
    <row r="52" spans="1:35" x14ac:dyDescent="0.4">
      <c r="A52" s="48"/>
      <c r="B52" s="18"/>
      <c r="C52" s="8"/>
      <c r="D52" s="25">
        <v>27.07</v>
      </c>
      <c r="E52" s="30">
        <v>55733.21</v>
      </c>
      <c r="F52" s="33">
        <v>855.92</v>
      </c>
      <c r="G52" s="22"/>
      <c r="H52" s="22"/>
      <c r="I52" s="31">
        <v>379</v>
      </c>
      <c r="J52" s="31"/>
      <c r="K52" s="31"/>
      <c r="L52" s="31"/>
      <c r="M52" s="32">
        <f t="shared" si="1"/>
        <v>56968.13</v>
      </c>
      <c r="N52" s="16">
        <v>3790.8</v>
      </c>
      <c r="O52" s="20">
        <v>421.2</v>
      </c>
      <c r="P52" s="16">
        <f>(36.2*12)</f>
        <v>434.40000000000003</v>
      </c>
      <c r="Q52" s="20"/>
      <c r="R52" s="16">
        <f t="shared" si="0"/>
        <v>69.72</v>
      </c>
      <c r="S52" s="16"/>
      <c r="T52" s="16">
        <f>(33.26*6)</f>
        <v>199.56</v>
      </c>
      <c r="U52" s="16"/>
      <c r="V52" s="16"/>
      <c r="W52" s="16">
        <v>252.12</v>
      </c>
      <c r="X52" s="16">
        <f>(85.07*6)</f>
        <v>510.41999999999996</v>
      </c>
      <c r="Y52" s="16"/>
      <c r="Z52" s="16"/>
      <c r="AA52" s="16"/>
      <c r="AB52" s="16"/>
      <c r="AC52" s="16">
        <f>(1697.74)+(2263.54)</f>
        <v>3961.2799999999997</v>
      </c>
      <c r="AD52" s="16">
        <f>(1378.69+57.5)*12</f>
        <v>17234.28</v>
      </c>
      <c r="AE52" s="16"/>
      <c r="AF52" s="16">
        <v>500</v>
      </c>
      <c r="AG52" s="16"/>
      <c r="AH52" s="9">
        <f t="shared" si="4"/>
        <v>79707.31</v>
      </c>
      <c r="AI52" s="9">
        <f t="shared" si="3"/>
        <v>4634.5999999999995</v>
      </c>
    </row>
    <row r="53" spans="1:35" x14ac:dyDescent="0.4">
      <c r="B53" s="18"/>
      <c r="C53" s="8"/>
      <c r="D53" s="25"/>
      <c r="E53" s="30"/>
      <c r="F53" s="33"/>
      <c r="G53" s="22"/>
      <c r="H53" s="22"/>
      <c r="I53" s="31"/>
      <c r="J53" s="31"/>
      <c r="K53" s="31"/>
      <c r="L53" s="31"/>
      <c r="M53" s="32">
        <f t="shared" si="1"/>
        <v>0</v>
      </c>
      <c r="N53" s="16"/>
      <c r="O53" s="20"/>
      <c r="P53" s="16"/>
      <c r="Q53" s="20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9">
        <f t="shared" si="4"/>
        <v>0</v>
      </c>
      <c r="AI53" s="9">
        <f t="shared" si="3"/>
        <v>0</v>
      </c>
    </row>
    <row r="54" spans="1:35" x14ac:dyDescent="0.4">
      <c r="B54" s="18"/>
      <c r="C54" s="8"/>
      <c r="D54" s="25"/>
      <c r="E54" s="30"/>
      <c r="F54" s="33"/>
      <c r="G54" s="22"/>
      <c r="H54" s="22"/>
      <c r="I54" s="31"/>
      <c r="J54" s="31"/>
      <c r="K54" s="31"/>
      <c r="L54" s="31"/>
      <c r="M54" s="32">
        <f t="shared" si="1"/>
        <v>0</v>
      </c>
      <c r="N54" s="16"/>
      <c r="O54" s="20"/>
      <c r="P54" s="16"/>
      <c r="Q54" s="20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9">
        <f t="shared" si="4"/>
        <v>0</v>
      </c>
      <c r="AI54" s="9">
        <f t="shared" si="3"/>
        <v>0</v>
      </c>
    </row>
    <row r="55" spans="1:35" x14ac:dyDescent="0.4">
      <c r="B55" s="18"/>
      <c r="C55" s="8"/>
      <c r="D55" s="25"/>
      <c r="E55" s="30"/>
      <c r="F55" s="33"/>
      <c r="G55" s="22"/>
      <c r="H55" s="22"/>
      <c r="I55" s="31"/>
      <c r="J55" s="31"/>
      <c r="K55" s="31"/>
      <c r="L55" s="31"/>
      <c r="M55" s="32">
        <f t="shared" si="1"/>
        <v>0</v>
      </c>
      <c r="N55" s="16"/>
      <c r="O55" s="20"/>
      <c r="P55" s="16"/>
      <c r="Q55" s="20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9">
        <f t="shared" si="4"/>
        <v>0</v>
      </c>
      <c r="AI55" s="9">
        <f t="shared" si="3"/>
        <v>0</v>
      </c>
    </row>
    <row r="56" spans="1:35" x14ac:dyDescent="0.4">
      <c r="B56" s="17"/>
      <c r="C56" s="8"/>
      <c r="D56" s="25"/>
      <c r="E56" s="30"/>
      <c r="F56" s="22"/>
      <c r="G56" s="22"/>
      <c r="H56" s="22"/>
      <c r="I56" s="31"/>
      <c r="J56" s="31"/>
      <c r="K56" s="31"/>
      <c r="L56" s="31"/>
      <c r="M56" s="32">
        <f t="shared" si="1"/>
        <v>0</v>
      </c>
      <c r="N56" s="22"/>
      <c r="O56" s="16"/>
      <c r="P56" s="22"/>
      <c r="Q56" s="22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9">
        <f t="shared" si="4"/>
        <v>0</v>
      </c>
      <c r="AI56" s="9">
        <f t="shared" si="3"/>
        <v>0</v>
      </c>
    </row>
    <row r="57" spans="1:35" x14ac:dyDescent="0.4">
      <c r="B57" s="17"/>
      <c r="C57" s="8"/>
      <c r="D57" s="25"/>
      <c r="E57" s="30"/>
      <c r="F57" s="22"/>
      <c r="G57" s="22"/>
      <c r="H57" s="22"/>
      <c r="I57" s="31"/>
      <c r="J57" s="31"/>
      <c r="K57" s="31"/>
      <c r="L57" s="31"/>
      <c r="M57" s="32">
        <f t="shared" si="1"/>
        <v>0</v>
      </c>
      <c r="N57" s="22"/>
      <c r="O57" s="16"/>
      <c r="P57" s="22"/>
      <c r="Q57" s="2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9">
        <f t="shared" si="4"/>
        <v>0</v>
      </c>
      <c r="AI57" s="9">
        <f t="shared" si="3"/>
        <v>0</v>
      </c>
    </row>
    <row r="58" spans="1:35" x14ac:dyDescent="0.4">
      <c r="B58" s="17"/>
      <c r="C58" s="8"/>
      <c r="D58" s="25"/>
      <c r="E58" s="30"/>
      <c r="F58" s="31"/>
      <c r="G58" s="22"/>
      <c r="H58" s="22"/>
      <c r="I58" s="31"/>
      <c r="J58" s="31"/>
      <c r="K58" s="31"/>
      <c r="L58" s="31"/>
      <c r="M58" s="32">
        <f t="shared" si="1"/>
        <v>0</v>
      </c>
      <c r="N58" s="16"/>
      <c r="O58" s="20"/>
      <c r="P58" s="16"/>
      <c r="Q58" s="20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9">
        <f t="shared" si="4"/>
        <v>0</v>
      </c>
      <c r="AI58" s="9">
        <f t="shared" si="3"/>
        <v>0</v>
      </c>
    </row>
    <row r="59" spans="1:35" x14ac:dyDescent="0.4">
      <c r="B59" s="17"/>
      <c r="C59" s="8"/>
      <c r="D59" s="25"/>
      <c r="E59" s="30"/>
      <c r="F59" s="31"/>
      <c r="G59" s="22"/>
      <c r="H59" s="22"/>
      <c r="I59" s="31"/>
      <c r="J59" s="31"/>
      <c r="K59" s="31"/>
      <c r="L59" s="31"/>
      <c r="M59" s="32">
        <f t="shared" si="1"/>
        <v>0</v>
      </c>
      <c r="N59" s="16"/>
      <c r="O59" s="20"/>
      <c r="P59" s="16"/>
      <c r="Q59" s="2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9">
        <f t="shared" si="4"/>
        <v>0</v>
      </c>
      <c r="AI59" s="9">
        <f t="shared" si="3"/>
        <v>0</v>
      </c>
    </row>
    <row r="60" spans="1:35" x14ac:dyDescent="0.4">
      <c r="B60" s="17"/>
      <c r="C60" s="8"/>
      <c r="D60" s="25"/>
      <c r="E60" s="30"/>
      <c r="F60" s="31"/>
      <c r="G60" s="22"/>
      <c r="H60" s="22"/>
      <c r="I60" s="31"/>
      <c r="J60" s="31"/>
      <c r="K60" s="31"/>
      <c r="L60" s="31"/>
      <c r="M60" s="32">
        <f t="shared" si="1"/>
        <v>0</v>
      </c>
      <c r="N60" s="16"/>
      <c r="O60" s="20"/>
      <c r="P60" s="16"/>
      <c r="Q60" s="20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9">
        <f t="shared" si="4"/>
        <v>0</v>
      </c>
      <c r="AI60" s="9">
        <f t="shared" si="3"/>
        <v>0</v>
      </c>
    </row>
    <row r="61" spans="1:35" x14ac:dyDescent="0.4">
      <c r="B61" s="17"/>
      <c r="C61" s="8"/>
      <c r="D61" s="26"/>
      <c r="E61" s="30"/>
      <c r="F61" s="31"/>
      <c r="G61" s="22"/>
      <c r="H61" s="22"/>
      <c r="I61" s="31"/>
      <c r="J61" s="31"/>
      <c r="K61" s="31"/>
      <c r="L61" s="31"/>
      <c r="M61" s="32">
        <f t="shared" si="1"/>
        <v>0</v>
      </c>
      <c r="N61" s="22"/>
      <c r="O61" s="16"/>
      <c r="P61" s="22"/>
      <c r="Q61" s="22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9">
        <f t="shared" si="4"/>
        <v>0</v>
      </c>
      <c r="AI61" s="9">
        <f t="shared" si="3"/>
        <v>0</v>
      </c>
    </row>
    <row r="62" spans="1:35" x14ac:dyDescent="0.4">
      <c r="B62" s="17"/>
      <c r="C62" s="8"/>
      <c r="D62" s="26"/>
      <c r="E62" s="30"/>
      <c r="F62" s="31"/>
      <c r="G62" s="22"/>
      <c r="H62" s="22"/>
      <c r="I62" s="31"/>
      <c r="J62" s="31"/>
      <c r="K62" s="31"/>
      <c r="L62" s="31"/>
      <c r="M62" s="32">
        <f t="shared" si="1"/>
        <v>0</v>
      </c>
      <c r="N62" s="22"/>
      <c r="O62" s="16"/>
      <c r="P62" s="22"/>
      <c r="Q62" s="22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9">
        <f t="shared" si="4"/>
        <v>0</v>
      </c>
      <c r="AI62" s="9">
        <f t="shared" si="3"/>
        <v>0</v>
      </c>
    </row>
    <row r="63" spans="1:35" x14ac:dyDescent="0.4">
      <c r="B63" s="17"/>
      <c r="C63" s="8"/>
      <c r="D63" s="26"/>
      <c r="E63" s="30"/>
      <c r="F63" s="31"/>
      <c r="G63" s="22"/>
      <c r="H63" s="22"/>
      <c r="I63" s="31"/>
      <c r="J63" s="31"/>
      <c r="K63" s="31"/>
      <c r="L63" s="31"/>
      <c r="M63" s="32">
        <f t="shared" si="1"/>
        <v>0</v>
      </c>
      <c r="N63" s="22"/>
      <c r="O63" s="16"/>
      <c r="P63" s="22"/>
      <c r="Q63" s="22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9">
        <f t="shared" si="4"/>
        <v>0</v>
      </c>
      <c r="AI63" s="9">
        <f t="shared" si="3"/>
        <v>0</v>
      </c>
    </row>
    <row r="64" spans="1:35" x14ac:dyDescent="0.4">
      <c r="B64" s="17"/>
      <c r="C64" s="8"/>
      <c r="D64" s="26"/>
      <c r="E64" s="30"/>
      <c r="F64" s="31"/>
      <c r="G64" s="22"/>
      <c r="H64" s="22"/>
      <c r="I64" s="31"/>
      <c r="J64" s="31"/>
      <c r="K64" s="31"/>
      <c r="L64" s="31"/>
      <c r="M64" s="32">
        <f t="shared" si="1"/>
        <v>0</v>
      </c>
      <c r="N64" s="22"/>
      <c r="O64" s="16"/>
      <c r="P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9">
        <f t="shared" si="4"/>
        <v>0</v>
      </c>
      <c r="AI64" s="9">
        <f t="shared" si="3"/>
        <v>0</v>
      </c>
    </row>
    <row r="65" spans="2:39" x14ac:dyDescent="0.4">
      <c r="B65" s="17"/>
      <c r="C65" s="8"/>
      <c r="D65" s="26"/>
      <c r="E65" s="30"/>
      <c r="F65" s="31"/>
      <c r="G65" s="22"/>
      <c r="H65" s="22"/>
      <c r="I65" s="31"/>
      <c r="J65" s="31"/>
      <c r="K65" s="31"/>
      <c r="L65" s="31"/>
      <c r="M65" s="32">
        <f t="shared" si="1"/>
        <v>0</v>
      </c>
      <c r="N65" s="22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9">
        <f t="shared" si="4"/>
        <v>0</v>
      </c>
      <c r="AI65" s="9">
        <f t="shared" si="3"/>
        <v>0</v>
      </c>
      <c r="AL65" s="37"/>
    </row>
    <row r="66" spans="2:39" x14ac:dyDescent="0.4">
      <c r="B66" s="17"/>
      <c r="C66" s="8"/>
      <c r="D66" s="26"/>
      <c r="E66" s="30"/>
      <c r="F66" s="33"/>
      <c r="G66" s="22"/>
      <c r="H66" s="22"/>
      <c r="I66" s="31"/>
      <c r="J66" s="31"/>
      <c r="K66" s="31"/>
      <c r="L66" s="31"/>
      <c r="M66" s="32">
        <f t="shared" si="1"/>
        <v>0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9">
        <f t="shared" si="4"/>
        <v>0</v>
      </c>
      <c r="AI66" s="9">
        <f t="shared" si="3"/>
        <v>0</v>
      </c>
      <c r="AM66" s="21"/>
    </row>
    <row r="67" spans="2:39" x14ac:dyDescent="0.4">
      <c r="B67" s="17"/>
      <c r="C67" s="8"/>
      <c r="D67" s="26"/>
      <c r="E67" s="30"/>
      <c r="F67" s="31"/>
      <c r="G67" s="22"/>
      <c r="H67" s="22"/>
      <c r="I67" s="31"/>
      <c r="J67" s="31"/>
      <c r="K67" s="31"/>
      <c r="L67" s="31"/>
      <c r="M67" s="32">
        <f t="shared" si="1"/>
        <v>0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9">
        <f t="shared" si="4"/>
        <v>0</v>
      </c>
      <c r="AI67" s="9">
        <f t="shared" si="3"/>
        <v>0</v>
      </c>
    </row>
    <row r="68" spans="2:39" x14ac:dyDescent="0.4">
      <c r="B68" s="18"/>
      <c r="C68" s="8"/>
      <c r="D68" s="26"/>
      <c r="E68" s="30"/>
      <c r="F68" s="31"/>
      <c r="G68" s="22"/>
      <c r="H68" s="22"/>
      <c r="I68" s="31"/>
      <c r="J68" s="31"/>
      <c r="K68" s="31"/>
      <c r="L68" s="31"/>
      <c r="M68" s="32">
        <f t="shared" si="1"/>
        <v>0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9">
        <f t="shared" si="4"/>
        <v>0</v>
      </c>
      <c r="AI68" s="9">
        <f t="shared" si="3"/>
        <v>0</v>
      </c>
    </row>
    <row r="69" spans="2:39" x14ac:dyDescent="0.4">
      <c r="B69" s="18"/>
      <c r="C69" s="8"/>
      <c r="D69" s="26"/>
      <c r="E69" s="30"/>
      <c r="F69" s="31"/>
      <c r="G69" s="22"/>
      <c r="H69" s="22"/>
      <c r="I69" s="31"/>
      <c r="J69" s="31"/>
      <c r="K69" s="31"/>
      <c r="L69" s="31"/>
      <c r="M69" s="32">
        <f t="shared" si="1"/>
        <v>0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9">
        <f t="shared" si="4"/>
        <v>0</v>
      </c>
      <c r="AI69" s="9">
        <f t="shared" si="3"/>
        <v>0</v>
      </c>
    </row>
    <row r="70" spans="2:39" x14ac:dyDescent="0.4">
      <c r="B70" s="18"/>
      <c r="C70" s="8"/>
      <c r="D70" s="26"/>
      <c r="E70" s="24"/>
      <c r="F70" s="31"/>
      <c r="G70" s="22"/>
      <c r="H70" s="22"/>
      <c r="I70" s="31"/>
      <c r="J70" s="31"/>
      <c r="K70" s="31"/>
      <c r="L70" s="31"/>
      <c r="M70" s="32">
        <f t="shared" si="1"/>
        <v>0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9">
        <f t="shared" si="4"/>
        <v>0</v>
      </c>
      <c r="AI70" s="9">
        <f t="shared" si="3"/>
        <v>0</v>
      </c>
    </row>
    <row r="71" spans="2:39" x14ac:dyDescent="0.4">
      <c r="B71" s="18"/>
      <c r="C71" s="8"/>
      <c r="D71" s="26"/>
      <c r="E71" s="31"/>
      <c r="F71" s="31"/>
      <c r="G71" s="22"/>
      <c r="H71" s="22"/>
      <c r="I71" s="31"/>
      <c r="J71" s="31"/>
      <c r="K71" s="31"/>
      <c r="L71" s="31"/>
      <c r="M71" s="32">
        <f t="shared" si="1"/>
        <v>0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9">
        <f t="shared" si="4"/>
        <v>0</v>
      </c>
      <c r="AI71" s="9">
        <f t="shared" si="3"/>
        <v>0</v>
      </c>
    </row>
    <row r="72" spans="2:39" x14ac:dyDescent="0.4">
      <c r="B72" s="18"/>
      <c r="C72" s="8"/>
      <c r="D72" s="25"/>
      <c r="E72" s="30"/>
      <c r="F72" s="33"/>
      <c r="G72" s="22"/>
      <c r="H72" s="22"/>
      <c r="I72" s="33"/>
      <c r="J72" s="33"/>
      <c r="K72" s="33"/>
      <c r="L72" s="33"/>
      <c r="M72" s="32">
        <f t="shared" ref="M72:M75" si="5">SUM(E72:L72)</f>
        <v>0</v>
      </c>
      <c r="N72" s="16"/>
      <c r="O72" s="20"/>
      <c r="P72" s="16"/>
      <c r="Q72" s="20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9">
        <f t="shared" si="4"/>
        <v>0</v>
      </c>
      <c r="AI72" s="9">
        <f t="shared" ref="AI72:AI75" si="6">+O72+Q72+S72+U72+Y72+AC72+AE72+AG72+W72+AA72</f>
        <v>0</v>
      </c>
    </row>
    <row r="73" spans="2:39" x14ac:dyDescent="0.4">
      <c r="B73" s="18"/>
      <c r="C73" s="8"/>
      <c r="D73" s="26"/>
      <c r="E73" s="33"/>
      <c r="F73" s="33"/>
      <c r="G73" s="22"/>
      <c r="H73" s="22"/>
      <c r="I73" s="31"/>
      <c r="J73" s="31"/>
      <c r="K73" s="31"/>
      <c r="L73" s="31"/>
      <c r="M73" s="32">
        <f t="shared" si="5"/>
        <v>0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9">
        <f t="shared" si="4"/>
        <v>0</v>
      </c>
      <c r="AI73" s="9">
        <f t="shared" si="6"/>
        <v>0</v>
      </c>
    </row>
    <row r="74" spans="2:39" x14ac:dyDescent="0.4">
      <c r="B74" s="18"/>
      <c r="C74" s="8"/>
      <c r="D74" s="26"/>
      <c r="E74" s="33"/>
      <c r="F74" s="33"/>
      <c r="G74" s="22"/>
      <c r="H74" s="22"/>
      <c r="I74" s="31"/>
      <c r="J74" s="31"/>
      <c r="K74" s="31"/>
      <c r="L74" s="31"/>
      <c r="M74" s="32">
        <f t="shared" si="5"/>
        <v>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9">
        <f t="shared" si="4"/>
        <v>0</v>
      </c>
      <c r="AI74" s="9">
        <f t="shared" si="6"/>
        <v>0</v>
      </c>
    </row>
    <row r="75" spans="2:39" x14ac:dyDescent="0.4">
      <c r="B75" s="11"/>
      <c r="C75" s="12"/>
      <c r="D75" s="27"/>
      <c r="E75" s="10"/>
      <c r="F75" s="10"/>
      <c r="G75" s="10"/>
      <c r="H75" s="10"/>
      <c r="I75" s="10"/>
      <c r="J75" s="10"/>
      <c r="K75" s="10"/>
      <c r="L75" s="10"/>
      <c r="M75" s="32">
        <f t="shared" si="5"/>
        <v>0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9">
        <f t="shared" si="4"/>
        <v>0</v>
      </c>
      <c r="AI75" s="9">
        <f t="shared" si="6"/>
        <v>0</v>
      </c>
    </row>
    <row r="76" spans="2:39" x14ac:dyDescent="0.4">
      <c r="B76" s="13" t="s">
        <v>8</v>
      </c>
      <c r="C76" s="14"/>
      <c r="D76" s="28"/>
      <c r="E76" s="40">
        <f t="shared" ref="E76:AI76" si="7">SUM(E7:E75)</f>
        <v>2801358.5099999993</v>
      </c>
      <c r="F76" s="40">
        <f t="shared" si="7"/>
        <v>523124.51999999996</v>
      </c>
      <c r="G76" s="40">
        <f t="shared" si="7"/>
        <v>13998.14</v>
      </c>
      <c r="H76" s="40">
        <f t="shared" si="7"/>
        <v>43000</v>
      </c>
      <c r="I76" s="40">
        <f t="shared" si="7"/>
        <v>19176</v>
      </c>
      <c r="J76" s="40">
        <f t="shared" si="7"/>
        <v>0</v>
      </c>
      <c r="K76" s="40">
        <f t="shared" si="7"/>
        <v>0</v>
      </c>
      <c r="L76" s="40">
        <f t="shared" si="7"/>
        <v>0</v>
      </c>
      <c r="M76" s="40">
        <f t="shared" si="7"/>
        <v>3400657.169999999</v>
      </c>
      <c r="N76" s="15">
        <f t="shared" si="7"/>
        <v>288032.26999999996</v>
      </c>
      <c r="O76" s="15">
        <f t="shared" si="7"/>
        <v>90166.189999999988</v>
      </c>
      <c r="P76" s="15">
        <f t="shared" si="7"/>
        <v>27532.000000000007</v>
      </c>
      <c r="Q76" s="15">
        <f t="shared" si="7"/>
        <v>4996.7400000000007</v>
      </c>
      <c r="R76" s="15">
        <f t="shared" si="7"/>
        <v>3183.8799999999974</v>
      </c>
      <c r="S76" s="35">
        <f t="shared" si="7"/>
        <v>2081.5600000000004</v>
      </c>
      <c r="T76" s="15">
        <f t="shared" si="7"/>
        <v>20158.885999999999</v>
      </c>
      <c r="U76" s="15">
        <f t="shared" si="7"/>
        <v>13043.210000000003</v>
      </c>
      <c r="V76" s="15">
        <f t="shared" si="7"/>
        <v>0</v>
      </c>
      <c r="W76" s="15">
        <f t="shared" si="7"/>
        <v>6033.0000000000009</v>
      </c>
      <c r="X76" s="15">
        <f t="shared" si="7"/>
        <v>49635.34</v>
      </c>
      <c r="Y76" s="15">
        <f>SUM(Y7:Y75)</f>
        <v>0</v>
      </c>
      <c r="Z76" s="15">
        <f t="shared" ref="Z76:AA76" si="8">SUM(Z7:Z75)</f>
        <v>0</v>
      </c>
      <c r="AA76" s="15">
        <f t="shared" si="8"/>
        <v>4500.4800000000005</v>
      </c>
      <c r="AB76" s="15">
        <f t="shared" si="7"/>
        <v>0</v>
      </c>
      <c r="AC76" s="15">
        <f t="shared" si="7"/>
        <v>143519.74</v>
      </c>
      <c r="AD76" s="15">
        <f t="shared" si="7"/>
        <v>656592.91999999981</v>
      </c>
      <c r="AE76" s="15">
        <f t="shared" si="7"/>
        <v>0</v>
      </c>
      <c r="AF76" s="15">
        <f t="shared" si="7"/>
        <v>20000</v>
      </c>
      <c r="AG76" s="15">
        <f t="shared" si="7"/>
        <v>0</v>
      </c>
      <c r="AH76" s="15">
        <f t="shared" si="7"/>
        <v>4465792.4659999991</v>
      </c>
      <c r="AI76" s="15">
        <f t="shared" si="7"/>
        <v>264340.92</v>
      </c>
    </row>
  </sheetData>
  <mergeCells count="30">
    <mergeCell ref="AF4:AG4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4:O4"/>
    <mergeCell ref="P4:Q4"/>
    <mergeCell ref="R4:S4"/>
    <mergeCell ref="T4:U4"/>
    <mergeCell ref="X4:Y4"/>
    <mergeCell ref="AB4:AC4"/>
    <mergeCell ref="AF5:AG5"/>
    <mergeCell ref="AH5:AI5"/>
    <mergeCell ref="N5:O5"/>
    <mergeCell ref="P5:Q5"/>
    <mergeCell ref="R5:S5"/>
    <mergeCell ref="T5:U5"/>
    <mergeCell ref="X5:Y5"/>
    <mergeCell ref="AB5:AC5"/>
    <mergeCell ref="AD5:AE5"/>
    <mergeCell ref="J5:J6"/>
    <mergeCell ref="K5:K6"/>
    <mergeCell ref="Z5:AA5"/>
    <mergeCell ref="V5:W5"/>
    <mergeCell ref="L5:L6"/>
  </mergeCells>
  <pageMargins left="0.7" right="0.7" top="0.75" bottom="0.75" header="0.3" footer="0.3"/>
  <ignoredErrors>
    <ignoredError sqref="N8:O18 AB7:AC19 AB57:AC60 AB20:AB56 N36:O60 N19:N35 Y7:Y60 N7:O7 M7:M75" formulaRange="1"/>
    <ignoredError sqref="AD7:AD60 AC20:AC56 O19:O35 P21:Q21 X7:X60 Q35:U35 P36:U60 S21:U21 P22:U26 Q27:U27 P28:U34 P7:U20" formulaRange="1" unlockedFormula="1"/>
    <ignoredError sqref="X61:X70 AD61:AD65 G16 G21 G32 G45 P61:U70" unlockedFormula="1"/>
    <ignoredError sqref="P27 R21 P35" formula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23D6-EBE4-4855-8BAF-B934F571F61A}">
  <dimension ref="A1:AP75"/>
  <sheetViews>
    <sheetView topLeftCell="A35" workbookViewId="0">
      <selection activeCell="C53" sqref="C53"/>
    </sheetView>
  </sheetViews>
  <sheetFormatPr defaultColWidth="9.15234375" defaultRowHeight="15.45" x14ac:dyDescent="0.4"/>
  <cols>
    <col min="1" max="1" width="14.3828125" style="3" customWidth="1"/>
    <col min="2" max="2" width="10.84375" style="3" customWidth="1"/>
    <col min="3" max="3" width="38.38281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1" width="10.69140625" style="3" customWidth="1"/>
    <col min="22" max="23" width="10" style="3" customWidth="1"/>
    <col min="24" max="24" width="9.3828125" style="3" customWidth="1"/>
    <col min="25" max="27" width="10" style="3" customWidth="1"/>
    <col min="28" max="28" width="12.53515625" style="3" customWidth="1"/>
    <col min="29" max="29" width="12.3046875" style="3" bestFit="1" customWidth="1"/>
    <col min="30" max="31" width="12.3046875" style="3" customWidth="1"/>
    <col min="32" max="32" width="9.69140625" style="3" customWidth="1"/>
    <col min="33" max="33" width="11.152343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25" customHeight="1" x14ac:dyDescent="0.4">
      <c r="B1" s="1" t="s">
        <v>18</v>
      </c>
      <c r="C1" s="2"/>
      <c r="D1" s="2"/>
      <c r="F1" s="2"/>
      <c r="G1" s="2"/>
      <c r="H1" s="2"/>
      <c r="I1" s="2"/>
      <c r="J1" s="2"/>
      <c r="K1" s="2"/>
      <c r="L1" s="2"/>
      <c r="M1" s="19"/>
      <c r="N1" s="39"/>
      <c r="O1" s="36"/>
      <c r="P1" s="23"/>
      <c r="Q1" s="23"/>
      <c r="R1" s="23"/>
      <c r="S1" s="2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45</v>
      </c>
      <c r="C2" s="2"/>
      <c r="D2" s="2"/>
      <c r="F2" s="4">
        <v>2020</v>
      </c>
      <c r="G2" s="2"/>
      <c r="H2" s="2"/>
      <c r="I2" s="2"/>
      <c r="J2" s="2"/>
      <c r="K2" s="2"/>
      <c r="L2" s="2"/>
      <c r="M2" s="2"/>
      <c r="N2" s="2"/>
      <c r="O2" s="2"/>
      <c r="P2" s="21"/>
      <c r="Q2" s="23"/>
      <c r="R2" s="23"/>
      <c r="S2" s="23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14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3"/>
      <c r="P3" s="21"/>
      <c r="Q3" s="23"/>
      <c r="R3" s="23"/>
      <c r="S3" s="2"/>
      <c r="T3" s="2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2"/>
      <c r="C4" s="5"/>
      <c r="D4" s="5"/>
      <c r="E4" s="29"/>
      <c r="F4" s="29"/>
      <c r="G4" s="29"/>
      <c r="H4" s="29"/>
      <c r="I4" s="29"/>
      <c r="J4" s="29"/>
      <c r="K4" s="29"/>
      <c r="L4" s="29"/>
      <c r="M4" s="34"/>
      <c r="N4" s="51"/>
      <c r="O4" s="51"/>
      <c r="P4" s="51"/>
      <c r="Q4" s="51"/>
      <c r="R4" s="51"/>
      <c r="S4" s="51"/>
      <c r="T4" s="51"/>
      <c r="U4" s="51"/>
      <c r="V4" s="41"/>
      <c r="W4" s="41"/>
      <c r="X4" s="51"/>
      <c r="Y4" s="51"/>
      <c r="Z4" s="41"/>
      <c r="AA4" s="41"/>
      <c r="AB4" s="51"/>
      <c r="AC4" s="51"/>
      <c r="AD4" s="41"/>
      <c r="AE4" s="41"/>
      <c r="AF4" s="51"/>
      <c r="AG4" s="51"/>
      <c r="AH4" s="6"/>
      <c r="AI4" s="6"/>
    </row>
    <row r="5" spans="1:35" ht="30" customHeight="1" x14ac:dyDescent="0.4">
      <c r="B5" s="49" t="s">
        <v>9</v>
      </c>
      <c r="C5" s="49" t="s">
        <v>31</v>
      </c>
      <c r="D5" s="49" t="s">
        <v>30</v>
      </c>
      <c r="E5" s="49" t="s">
        <v>0</v>
      </c>
      <c r="F5" s="49" t="s">
        <v>1</v>
      </c>
      <c r="G5" s="49" t="s">
        <v>20</v>
      </c>
      <c r="H5" s="49" t="s">
        <v>32</v>
      </c>
      <c r="I5" s="49" t="s">
        <v>2</v>
      </c>
      <c r="J5" s="49" t="s">
        <v>10</v>
      </c>
      <c r="K5" s="49" t="s">
        <v>38</v>
      </c>
      <c r="L5" s="49" t="s">
        <v>46</v>
      </c>
      <c r="M5" s="49" t="s">
        <v>3</v>
      </c>
      <c r="N5" s="52" t="s">
        <v>44</v>
      </c>
      <c r="O5" s="53"/>
      <c r="P5" s="52" t="s">
        <v>11</v>
      </c>
      <c r="Q5" s="53"/>
      <c r="R5" s="52" t="s">
        <v>43</v>
      </c>
      <c r="S5" s="53"/>
      <c r="T5" s="52" t="s">
        <v>4</v>
      </c>
      <c r="U5" s="53"/>
      <c r="V5" s="55" t="s">
        <v>42</v>
      </c>
      <c r="W5" s="53"/>
      <c r="X5" s="52" t="s">
        <v>21</v>
      </c>
      <c r="Y5" s="53"/>
      <c r="Z5" s="52" t="s">
        <v>41</v>
      </c>
      <c r="AA5" s="53"/>
      <c r="AB5" s="52" t="s">
        <v>5</v>
      </c>
      <c r="AC5" s="53"/>
      <c r="AD5" s="52" t="s">
        <v>37</v>
      </c>
      <c r="AE5" s="53"/>
      <c r="AF5" s="52" t="s">
        <v>22</v>
      </c>
      <c r="AG5" s="53"/>
      <c r="AH5" s="52" t="s">
        <v>6</v>
      </c>
      <c r="AI5" s="53"/>
    </row>
    <row r="6" spans="1:35" x14ac:dyDescent="0.4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7" t="s">
        <v>24</v>
      </c>
      <c r="O6" s="7" t="s">
        <v>7</v>
      </c>
      <c r="P6" s="7" t="str">
        <f>+$N$6</f>
        <v xml:space="preserve">Clark </v>
      </c>
      <c r="Q6" s="7" t="s">
        <v>7</v>
      </c>
      <c r="R6" s="7" t="str">
        <f>+$N$6</f>
        <v xml:space="preserve">Clark </v>
      </c>
      <c r="S6" s="7" t="s">
        <v>7</v>
      </c>
      <c r="T6" s="7" t="str">
        <f>+$N$6</f>
        <v xml:space="preserve">Clark </v>
      </c>
      <c r="U6" s="7" t="s">
        <v>7</v>
      </c>
      <c r="V6" s="7" t="str">
        <f>+$N$6</f>
        <v xml:space="preserve">Clark </v>
      </c>
      <c r="W6" s="7" t="s">
        <v>7</v>
      </c>
      <c r="X6" s="7" t="str">
        <f>+$N$6</f>
        <v xml:space="preserve">Clark </v>
      </c>
      <c r="Y6" s="7" t="s">
        <v>7</v>
      </c>
      <c r="Z6" s="7" t="str">
        <f>+$N$6</f>
        <v xml:space="preserve">Clark </v>
      </c>
      <c r="AA6" s="7" t="s">
        <v>7</v>
      </c>
      <c r="AB6" s="7" t="str">
        <f>+$N$6</f>
        <v xml:space="preserve">Clark </v>
      </c>
      <c r="AC6" s="7" t="s">
        <v>7</v>
      </c>
      <c r="AD6" s="7" t="str">
        <f>+$N$6</f>
        <v xml:space="preserve">Clark </v>
      </c>
      <c r="AE6" s="7" t="s">
        <v>7</v>
      </c>
      <c r="AF6" s="7" t="str">
        <f>+$N$6</f>
        <v xml:space="preserve">Clark </v>
      </c>
      <c r="AG6" s="7" t="s">
        <v>7</v>
      </c>
      <c r="AH6" s="7" t="str">
        <f>+$N$6</f>
        <v xml:space="preserve">Clark </v>
      </c>
      <c r="AI6" s="7" t="s">
        <v>7</v>
      </c>
    </row>
    <row r="7" spans="1:35" x14ac:dyDescent="0.4">
      <c r="A7" s="48"/>
      <c r="B7" s="18"/>
      <c r="C7" s="8"/>
      <c r="D7" s="25">
        <v>37.299999999999997</v>
      </c>
      <c r="E7" s="30">
        <v>79341.600000000006</v>
      </c>
      <c r="F7" s="31">
        <v>4861.83</v>
      </c>
      <c r="G7" s="22">
        <v>1492</v>
      </c>
      <c r="H7" s="22"/>
      <c r="I7" s="31">
        <v>379</v>
      </c>
      <c r="J7" s="31"/>
      <c r="K7" s="31"/>
      <c r="L7" s="31"/>
      <c r="M7" s="32">
        <f>SUM(E7:L7)</f>
        <v>86074.430000000008</v>
      </c>
      <c r="N7" s="16">
        <v>9485.52</v>
      </c>
      <c r="O7" s="20">
        <f>(48)+(2651.22)</f>
        <v>2699.22</v>
      </c>
      <c r="P7" s="16">
        <f>(86.66*11)+(58.54)</f>
        <v>1011.8</v>
      </c>
      <c r="Q7" s="20">
        <f>(298.76)+(12.02)</f>
        <v>310.77999999999997</v>
      </c>
      <c r="R7" s="16">
        <f t="shared" ref="R7:R50" si="0">(5.81*12)</f>
        <v>69.72</v>
      </c>
      <c r="S7" s="16"/>
      <c r="T7" s="16">
        <f>(27.6)+(46.89*12)</f>
        <v>590.28000000000009</v>
      </c>
      <c r="U7" s="16">
        <f>(249.48)+(41.4)+(1040.4)+(11)</f>
        <v>1342.2800000000002</v>
      </c>
      <c r="V7" s="16"/>
      <c r="W7" s="16">
        <v>252.12</v>
      </c>
      <c r="X7" s="16">
        <f>(117.22*12)</f>
        <v>1406.6399999999999</v>
      </c>
      <c r="Y7" s="16"/>
      <c r="Z7" s="16"/>
      <c r="AA7" s="16"/>
      <c r="AB7" s="16"/>
      <c r="AC7" s="16">
        <v>4210.18</v>
      </c>
      <c r="AD7" s="16">
        <f>(1383.45+76.7)*12</f>
        <v>17521.800000000003</v>
      </c>
      <c r="AE7" s="16"/>
      <c r="AF7" s="16">
        <v>500</v>
      </c>
      <c r="AG7" s="16"/>
      <c r="AH7" s="9">
        <f>+M7+N7+P7+R7+T7+X7+AB7+AD7+AF7+V7+Z7</f>
        <v>116660.19000000002</v>
      </c>
      <c r="AI7" s="9">
        <f>+O7+Q7+S7+U7+Y7+AC7+AE7+AG7+W7+AA7</f>
        <v>8814.5800000000017</v>
      </c>
    </row>
    <row r="8" spans="1:35" x14ac:dyDescent="0.4">
      <c r="A8" s="48"/>
      <c r="B8" s="18"/>
      <c r="C8" s="8"/>
      <c r="D8" s="25">
        <v>37.96</v>
      </c>
      <c r="E8" s="30">
        <v>79540.800000000003</v>
      </c>
      <c r="F8" s="31">
        <v>28165.66</v>
      </c>
      <c r="G8" s="22">
        <v>1518.4</v>
      </c>
      <c r="H8" s="22">
        <v>2640</v>
      </c>
      <c r="I8" s="33">
        <v>379</v>
      </c>
      <c r="J8" s="33"/>
      <c r="K8" s="33"/>
      <c r="L8" s="33"/>
      <c r="M8" s="32">
        <f t="shared" ref="M8:M71" si="1">SUM(E8:L8)</f>
        <v>112243.86</v>
      </c>
      <c r="N8" s="16">
        <v>13646.4</v>
      </c>
      <c r="O8" s="20">
        <v>5132.88</v>
      </c>
      <c r="P8" s="16">
        <f>(86.66*12)</f>
        <v>1039.92</v>
      </c>
      <c r="Q8" s="20">
        <v>325.92</v>
      </c>
      <c r="R8" s="16">
        <f t="shared" si="0"/>
        <v>69.72</v>
      </c>
      <c r="S8" s="16">
        <v>135.24</v>
      </c>
      <c r="T8" s="16">
        <f>(18)+(46.28*12)</f>
        <v>573.36</v>
      </c>
      <c r="U8" s="16">
        <f>(160.56)+(12)</f>
        <v>172.56</v>
      </c>
      <c r="V8" s="16"/>
      <c r="W8" s="16"/>
      <c r="X8" s="16">
        <f>(116.99*12)</f>
        <v>1403.8799999999999</v>
      </c>
      <c r="Y8" s="16"/>
      <c r="Z8" s="16"/>
      <c r="AA8" s="16"/>
      <c r="AB8" s="16"/>
      <c r="AC8" s="16">
        <v>5517.33</v>
      </c>
      <c r="AD8" s="16">
        <f>(1380.8+76.55)*12</f>
        <v>17488.199999999997</v>
      </c>
      <c r="AE8" s="16"/>
      <c r="AF8" s="16">
        <v>500</v>
      </c>
      <c r="AG8" s="16"/>
      <c r="AH8" s="9">
        <f t="shared" ref="AH8:AH71" si="2">+M8+N8+P8+R8+T8+X8+AB8+AD8+AF8+V8+Z8</f>
        <v>146965.34</v>
      </c>
      <c r="AI8" s="9">
        <f t="shared" ref="AI8:AI71" si="3">+O8+Q8+S8+U8+Y8+AC8+AE8+AG8+W8+AA8</f>
        <v>11283.93</v>
      </c>
    </row>
    <row r="9" spans="1:35" x14ac:dyDescent="0.4">
      <c r="A9" s="48"/>
      <c r="B9" s="18"/>
      <c r="C9" s="8"/>
      <c r="D9" s="25">
        <v>27</v>
      </c>
      <c r="E9" s="30">
        <v>22680</v>
      </c>
      <c r="F9" s="31">
        <v>4475.25</v>
      </c>
      <c r="G9" s="22"/>
      <c r="H9" s="22"/>
      <c r="I9" s="33">
        <v>379</v>
      </c>
      <c r="J9" s="33"/>
      <c r="K9" s="33"/>
      <c r="L9" s="33"/>
      <c r="M9" s="32">
        <f t="shared" si="1"/>
        <v>27534.25</v>
      </c>
      <c r="N9" s="16">
        <v>0</v>
      </c>
      <c r="O9" s="20"/>
      <c r="P9" s="16"/>
      <c r="Q9" s="20"/>
      <c r="R9" s="16">
        <f>(5.81*4)</f>
        <v>23.24</v>
      </c>
      <c r="S9" s="16"/>
      <c r="T9" s="16">
        <f>(2)+(34.71*4)</f>
        <v>140.84</v>
      </c>
      <c r="U9" s="16">
        <f>(13.24)+(3)</f>
        <v>16.240000000000002</v>
      </c>
      <c r="V9" s="16"/>
      <c r="W9" s="16"/>
      <c r="X9" s="16">
        <f>(86.54*4)</f>
        <v>346.16</v>
      </c>
      <c r="Y9" s="16"/>
      <c r="Z9" s="16"/>
      <c r="AA9" s="16"/>
      <c r="AB9" s="16"/>
      <c r="AC9" s="16"/>
      <c r="AD9" s="16"/>
      <c r="AE9" s="16"/>
      <c r="AF9" s="16">
        <v>0</v>
      </c>
      <c r="AG9" s="16"/>
      <c r="AH9" s="9">
        <f t="shared" si="2"/>
        <v>28044.49</v>
      </c>
      <c r="AI9" s="9">
        <f t="shared" si="3"/>
        <v>16.240000000000002</v>
      </c>
    </row>
    <row r="10" spans="1:35" x14ac:dyDescent="0.4">
      <c r="A10" s="48"/>
      <c r="B10" s="18"/>
      <c r="C10" s="8"/>
      <c r="D10" s="25">
        <v>34.75</v>
      </c>
      <c r="E10" s="30">
        <v>72019.22</v>
      </c>
      <c r="F10" s="31">
        <v>14527.69</v>
      </c>
      <c r="G10" s="22"/>
      <c r="H10" s="22">
        <v>2580</v>
      </c>
      <c r="I10" s="31">
        <v>379</v>
      </c>
      <c r="J10" s="31"/>
      <c r="K10" s="31"/>
      <c r="L10" s="31"/>
      <c r="M10" s="32">
        <f t="shared" si="1"/>
        <v>89505.91</v>
      </c>
      <c r="N10" s="16">
        <v>9485.52</v>
      </c>
      <c r="O10" s="20">
        <v>2892.24</v>
      </c>
      <c r="P10" s="16">
        <f t="shared" ref="P10" si="4">(60.2*12)</f>
        <v>722.40000000000009</v>
      </c>
      <c r="Q10" s="20">
        <v>155.28</v>
      </c>
      <c r="R10" s="16">
        <f t="shared" si="0"/>
        <v>69.72</v>
      </c>
      <c r="S10" s="16">
        <v>69.72</v>
      </c>
      <c r="T10" s="16">
        <f>(10.8)+(42.02*12)</f>
        <v>515.04</v>
      </c>
      <c r="U10" s="16">
        <f>(87.72)+(16.2)+(12)</f>
        <v>115.92</v>
      </c>
      <c r="V10" s="16"/>
      <c r="W10" s="16"/>
      <c r="X10" s="16">
        <f>(105.58*12)</f>
        <v>1266.96</v>
      </c>
      <c r="Y10" s="16"/>
      <c r="Z10" s="16"/>
      <c r="AA10" s="16">
        <v>381.72</v>
      </c>
      <c r="AB10" s="16"/>
      <c r="AC10" s="16">
        <v>4456.37</v>
      </c>
      <c r="AD10" s="16">
        <f>(784.07+43.369)*12</f>
        <v>9929.268</v>
      </c>
      <c r="AE10" s="16"/>
      <c r="AF10" s="16">
        <v>500</v>
      </c>
      <c r="AG10" s="16"/>
      <c r="AH10" s="9">
        <f t="shared" si="2"/>
        <v>111994.818</v>
      </c>
      <c r="AI10" s="9">
        <f t="shared" si="3"/>
        <v>8071.25</v>
      </c>
    </row>
    <row r="11" spans="1:35" x14ac:dyDescent="0.4">
      <c r="A11" s="48"/>
      <c r="B11" s="18"/>
      <c r="C11" s="8"/>
      <c r="D11" s="25">
        <v>33.299999999999997</v>
      </c>
      <c r="E11" s="30">
        <v>70836</v>
      </c>
      <c r="F11" s="31"/>
      <c r="G11" s="22"/>
      <c r="H11" s="22"/>
      <c r="I11" s="31">
        <v>379</v>
      </c>
      <c r="J11" s="31"/>
      <c r="K11" s="31"/>
      <c r="L11" s="31"/>
      <c r="M11" s="32">
        <f t="shared" si="1"/>
        <v>71215</v>
      </c>
      <c r="N11" s="16">
        <v>10332.120000000001</v>
      </c>
      <c r="O11" s="20">
        <v>3348</v>
      </c>
      <c r="P11" s="16">
        <f>(58.54*12)</f>
        <v>702.48</v>
      </c>
      <c r="Q11" s="20">
        <v>144.24</v>
      </c>
      <c r="R11" s="16">
        <f t="shared" si="0"/>
        <v>69.72</v>
      </c>
      <c r="S11" s="16">
        <v>62.76</v>
      </c>
      <c r="T11" s="16">
        <f>(27.6)+(41.41*12)</f>
        <v>524.52</v>
      </c>
      <c r="U11" s="16">
        <f>(110.4)+(338.4)</f>
        <v>448.79999999999995</v>
      </c>
      <c r="V11" s="16"/>
      <c r="W11" s="16"/>
      <c r="X11" s="16">
        <f>(104.65*12)</f>
        <v>1255.8000000000002</v>
      </c>
      <c r="Y11" s="16"/>
      <c r="Z11" s="16"/>
      <c r="AA11" s="16"/>
      <c r="AB11" s="16"/>
      <c r="AC11" s="16">
        <v>8500.32</v>
      </c>
      <c r="AD11" s="16">
        <f>(1235.15+68.48)*12</f>
        <v>15643.560000000001</v>
      </c>
      <c r="AE11" s="16"/>
      <c r="AF11" s="16">
        <v>500</v>
      </c>
      <c r="AG11" s="16"/>
      <c r="AH11" s="9">
        <f t="shared" si="2"/>
        <v>100243.2</v>
      </c>
      <c r="AI11" s="9">
        <f t="shared" si="3"/>
        <v>12504.119999999999</v>
      </c>
    </row>
    <row r="12" spans="1:35" x14ac:dyDescent="0.4">
      <c r="A12" s="48"/>
      <c r="B12" s="18"/>
      <c r="C12" s="8"/>
      <c r="D12" s="25">
        <v>31</v>
      </c>
      <c r="E12" s="30">
        <v>65683.199999999997</v>
      </c>
      <c r="F12" s="31">
        <v>4882.0200000000004</v>
      </c>
      <c r="G12" s="22"/>
      <c r="H12" s="22"/>
      <c r="I12" s="31">
        <v>379</v>
      </c>
      <c r="J12" s="31"/>
      <c r="K12" s="31"/>
      <c r="L12" s="31"/>
      <c r="M12" s="32">
        <f t="shared" si="1"/>
        <v>70944.22</v>
      </c>
      <c r="N12" s="16">
        <v>5183.6400000000003</v>
      </c>
      <c r="O12" s="20">
        <v>576</v>
      </c>
      <c r="P12" s="16">
        <f>36.2*12</f>
        <v>434.40000000000003</v>
      </c>
      <c r="Q12" s="20"/>
      <c r="R12" s="16">
        <f t="shared" si="0"/>
        <v>69.72</v>
      </c>
      <c r="S12" s="16"/>
      <c r="T12" s="16">
        <f>(38.37*12)</f>
        <v>460.43999999999994</v>
      </c>
      <c r="U12" s="16"/>
      <c r="V12" s="16"/>
      <c r="W12" s="16"/>
      <c r="X12" s="16">
        <f>(96.93*12)</f>
        <v>1163.1600000000001</v>
      </c>
      <c r="Y12" s="16"/>
      <c r="Z12" s="16"/>
      <c r="AA12" s="16">
        <v>358.92</v>
      </c>
      <c r="AB12" s="16"/>
      <c r="AC12" s="16">
        <v>7056.54</v>
      </c>
      <c r="AD12" s="16">
        <f>(719.8+39.84)*12</f>
        <v>9115.68</v>
      </c>
      <c r="AE12" s="16"/>
      <c r="AF12" s="16">
        <v>500</v>
      </c>
      <c r="AG12" s="16"/>
      <c r="AH12" s="9">
        <f t="shared" si="2"/>
        <v>87871.260000000009</v>
      </c>
      <c r="AI12" s="9">
        <f t="shared" si="3"/>
        <v>7991.46</v>
      </c>
    </row>
    <row r="13" spans="1:35" x14ac:dyDescent="0.4">
      <c r="A13" s="48"/>
      <c r="B13" s="18"/>
      <c r="C13" s="8"/>
      <c r="D13" s="25">
        <v>34.74</v>
      </c>
      <c r="E13" s="30">
        <v>73156.800000000003</v>
      </c>
      <c r="F13" s="31">
        <v>2034.6</v>
      </c>
      <c r="G13" s="22">
        <v>1389.6</v>
      </c>
      <c r="H13" s="22"/>
      <c r="I13" s="31">
        <v>379</v>
      </c>
      <c r="J13" s="31"/>
      <c r="K13" s="31"/>
      <c r="L13" s="31"/>
      <c r="M13" s="32">
        <f t="shared" si="1"/>
        <v>76960.000000000015</v>
      </c>
      <c r="N13" s="16">
        <v>5183.6400000000003</v>
      </c>
      <c r="O13" s="20">
        <v>576</v>
      </c>
      <c r="P13" s="16">
        <f>36.2*12</f>
        <v>434.40000000000003</v>
      </c>
      <c r="Q13" s="20"/>
      <c r="R13" s="16">
        <f t="shared" si="0"/>
        <v>69.72</v>
      </c>
      <c r="S13" s="16"/>
      <c r="T13" s="16">
        <f>(42.02*12)</f>
        <v>504.24</v>
      </c>
      <c r="U13" s="16"/>
      <c r="V13" s="16"/>
      <c r="W13" s="16"/>
      <c r="X13" s="16">
        <f>(106*12)</f>
        <v>1272</v>
      </c>
      <c r="Y13" s="16"/>
      <c r="Z13" s="16"/>
      <c r="AA13" s="16"/>
      <c r="AB13" s="16"/>
      <c r="AC13" s="16"/>
      <c r="AD13" s="16">
        <f>(1251.05+69.36)*12</f>
        <v>15844.919999999998</v>
      </c>
      <c r="AE13" s="16"/>
      <c r="AF13" s="16">
        <v>500</v>
      </c>
      <c r="AG13" s="16"/>
      <c r="AH13" s="9">
        <f t="shared" si="2"/>
        <v>100768.92000000001</v>
      </c>
      <c r="AI13" s="9">
        <f t="shared" si="3"/>
        <v>576</v>
      </c>
    </row>
    <row r="14" spans="1:35" x14ac:dyDescent="0.4">
      <c r="A14" s="48"/>
      <c r="B14" s="18"/>
      <c r="C14" s="8"/>
      <c r="D14" s="25">
        <v>25.24</v>
      </c>
      <c r="E14" s="30">
        <v>53090.400000000001</v>
      </c>
      <c r="F14" s="31">
        <v>8861.3799999999992</v>
      </c>
      <c r="G14" s="22"/>
      <c r="H14" s="22"/>
      <c r="I14" s="31">
        <v>379</v>
      </c>
      <c r="J14" s="31"/>
      <c r="K14" s="31"/>
      <c r="L14" s="31"/>
      <c r="M14" s="32">
        <f t="shared" si="1"/>
        <v>62330.78</v>
      </c>
      <c r="N14" s="16">
        <v>9485.52</v>
      </c>
      <c r="O14" s="20">
        <v>2892.24</v>
      </c>
      <c r="P14" s="16">
        <f>(60.2*12)</f>
        <v>722.40000000000009</v>
      </c>
      <c r="Q14" s="20">
        <v>155.28</v>
      </c>
      <c r="R14" s="16">
        <f t="shared" si="0"/>
        <v>69.72</v>
      </c>
      <c r="S14" s="16">
        <v>69.72</v>
      </c>
      <c r="T14" s="16">
        <f>(7.2)+(29.84*12)</f>
        <v>365.28</v>
      </c>
      <c r="U14" s="16">
        <f>(12)</f>
        <v>12</v>
      </c>
      <c r="V14" s="16"/>
      <c r="W14" s="16"/>
      <c r="X14" s="16">
        <f>(74.76*12)</f>
        <v>897.12000000000012</v>
      </c>
      <c r="Y14" s="16"/>
      <c r="Z14" s="16"/>
      <c r="AA14" s="16"/>
      <c r="AB14" s="16"/>
      <c r="AC14" s="16">
        <v>2193.6999999999998</v>
      </c>
      <c r="AD14" s="16">
        <f>(552.94+30.6)*12</f>
        <v>7002.4800000000014</v>
      </c>
      <c r="AE14" s="16"/>
      <c r="AF14" s="16">
        <v>500</v>
      </c>
      <c r="AG14" s="16"/>
      <c r="AH14" s="9">
        <f t="shared" si="2"/>
        <v>81373.299999999988</v>
      </c>
      <c r="AI14" s="9">
        <f t="shared" si="3"/>
        <v>5322.94</v>
      </c>
    </row>
    <row r="15" spans="1:35" x14ac:dyDescent="0.4">
      <c r="A15" s="48"/>
      <c r="B15" s="43"/>
      <c r="D15" s="25">
        <v>26.53</v>
      </c>
      <c r="E15" s="30">
        <v>56431.22</v>
      </c>
      <c r="F15" s="31">
        <v>99.49</v>
      </c>
      <c r="G15" s="22"/>
      <c r="H15" s="22"/>
      <c r="I15" s="31">
        <v>379</v>
      </c>
      <c r="J15" s="31"/>
      <c r="K15" s="31"/>
      <c r="L15" s="31"/>
      <c r="M15" s="32">
        <f t="shared" si="1"/>
        <v>56909.71</v>
      </c>
      <c r="N15" s="16">
        <v>10332.120000000001</v>
      </c>
      <c r="O15" s="20">
        <v>3348</v>
      </c>
      <c r="P15" s="16">
        <f>(58.54*12)</f>
        <v>702.48</v>
      </c>
      <c r="Q15" s="20">
        <v>144.24</v>
      </c>
      <c r="R15" s="16">
        <f t="shared" si="0"/>
        <v>69.72</v>
      </c>
      <c r="S15" s="16">
        <v>62.76</v>
      </c>
      <c r="T15" s="16">
        <f>(4.3*12)+(33.5*12)</f>
        <v>453.6</v>
      </c>
      <c r="U15" s="16">
        <v>332.64</v>
      </c>
      <c r="V15" s="16"/>
      <c r="W15" s="16">
        <v>396.72</v>
      </c>
      <c r="X15" s="16">
        <f>(83.37*12)</f>
        <v>1000.44</v>
      </c>
      <c r="Y15" s="16"/>
      <c r="Z15" s="16"/>
      <c r="AA15" s="16"/>
      <c r="AB15" s="16"/>
      <c r="AC15" s="16"/>
      <c r="AD15" s="16">
        <f>(983.96+54.55)*12</f>
        <v>12462.119999999999</v>
      </c>
      <c r="AE15" s="16"/>
      <c r="AF15" s="16">
        <v>500</v>
      </c>
      <c r="AG15" s="16"/>
      <c r="AH15" s="9">
        <f t="shared" si="2"/>
        <v>82430.19</v>
      </c>
      <c r="AI15" s="9">
        <f t="shared" si="3"/>
        <v>4284.3599999999997</v>
      </c>
    </row>
    <row r="16" spans="1:35" x14ac:dyDescent="0.4">
      <c r="A16" s="48"/>
      <c r="B16" s="18"/>
      <c r="C16" s="8"/>
      <c r="D16" s="25">
        <v>18.96</v>
      </c>
      <c r="E16" s="30">
        <v>18720.8</v>
      </c>
      <c r="F16" s="31">
        <v>433.93</v>
      </c>
      <c r="G16" s="22"/>
      <c r="H16" s="22"/>
      <c r="I16" s="31">
        <v>379</v>
      </c>
      <c r="J16" s="31"/>
      <c r="K16" s="31"/>
      <c r="L16" s="31"/>
      <c r="M16" s="32">
        <f t="shared" si="1"/>
        <v>19533.73</v>
      </c>
      <c r="N16" s="16">
        <v>0</v>
      </c>
      <c r="O16" s="20"/>
      <c r="P16" s="16">
        <f>(58.54*5)</f>
        <v>292.7</v>
      </c>
      <c r="Q16" s="20">
        <v>60.1</v>
      </c>
      <c r="R16" s="16">
        <f t="shared" si="0"/>
        <v>69.72</v>
      </c>
      <c r="S16" s="16">
        <v>26.15</v>
      </c>
      <c r="T16" s="16">
        <f>(5*4.3)+(5*23.75)</f>
        <v>140.25</v>
      </c>
      <c r="U16" s="16">
        <v>32.25</v>
      </c>
      <c r="V16" s="16"/>
      <c r="W16" s="16"/>
      <c r="X16" s="16">
        <f>(5*59.3)</f>
        <v>296.5</v>
      </c>
      <c r="Y16" s="16"/>
      <c r="Z16" s="16"/>
      <c r="AA16" s="16"/>
      <c r="AB16" s="16"/>
      <c r="AC16" s="16"/>
      <c r="AD16" s="16"/>
      <c r="AE16" s="16"/>
      <c r="AF16" s="16">
        <v>500</v>
      </c>
      <c r="AG16" s="16"/>
      <c r="AH16" s="9">
        <f t="shared" si="2"/>
        <v>20832.900000000001</v>
      </c>
      <c r="AI16" s="9">
        <f t="shared" si="3"/>
        <v>118.5</v>
      </c>
    </row>
    <row r="17" spans="1:35" x14ac:dyDescent="0.4">
      <c r="A17" s="48"/>
      <c r="B17" s="18"/>
      <c r="C17" s="8"/>
      <c r="D17" s="25">
        <v>41.15</v>
      </c>
      <c r="E17" s="30">
        <v>86229.6</v>
      </c>
      <c r="F17" s="31">
        <v>13243.19</v>
      </c>
      <c r="G17" s="22"/>
      <c r="H17" s="22">
        <v>3265</v>
      </c>
      <c r="I17" s="31">
        <v>379</v>
      </c>
      <c r="J17" s="31"/>
      <c r="K17" s="31"/>
      <c r="L17" s="31"/>
      <c r="M17" s="32">
        <f t="shared" si="1"/>
        <v>103116.79000000001</v>
      </c>
      <c r="N17" s="16">
        <v>5183.6400000000003</v>
      </c>
      <c r="O17" s="20">
        <v>576</v>
      </c>
      <c r="P17" s="16">
        <f>36.2*12</f>
        <v>434.40000000000003</v>
      </c>
      <c r="Q17" s="20"/>
      <c r="R17" s="16">
        <f t="shared" si="0"/>
        <v>69.72</v>
      </c>
      <c r="S17" s="16"/>
      <c r="T17" s="16">
        <f>(50.55*12)</f>
        <v>606.59999999999991</v>
      </c>
      <c r="U17" s="16"/>
      <c r="V17" s="16"/>
      <c r="W17" s="16">
        <v>252.12</v>
      </c>
      <c r="X17" s="16">
        <f>(126.83*12)</f>
        <v>1521.96</v>
      </c>
      <c r="Y17" s="16"/>
      <c r="Z17" s="16"/>
      <c r="AA17" s="16"/>
      <c r="AB17" s="16"/>
      <c r="AC17" s="16">
        <v>5136.8900000000003</v>
      </c>
      <c r="AD17" s="16">
        <f>(1496.94+82.99)*12</f>
        <v>18959.16</v>
      </c>
      <c r="AE17" s="16"/>
      <c r="AF17" s="16">
        <v>500</v>
      </c>
      <c r="AG17" s="16"/>
      <c r="AH17" s="9">
        <f t="shared" si="2"/>
        <v>130392.27000000002</v>
      </c>
      <c r="AI17" s="9">
        <f t="shared" si="3"/>
        <v>5965.01</v>
      </c>
    </row>
    <row r="18" spans="1:35" x14ac:dyDescent="0.4">
      <c r="A18" s="48"/>
      <c r="B18" s="18"/>
      <c r="C18" s="8"/>
      <c r="D18" s="25">
        <v>35.72</v>
      </c>
      <c r="E18" s="30">
        <v>75408</v>
      </c>
      <c r="F18" s="31">
        <v>13710.63</v>
      </c>
      <c r="G18" s="22">
        <v>1428.8</v>
      </c>
      <c r="H18" s="22">
        <v>3690</v>
      </c>
      <c r="I18" s="31">
        <v>379</v>
      </c>
      <c r="J18" s="31"/>
      <c r="K18" s="31"/>
      <c r="L18" s="31"/>
      <c r="M18" s="32">
        <f t="shared" si="1"/>
        <v>94616.430000000008</v>
      </c>
      <c r="N18" s="16">
        <v>5183.6400000000003</v>
      </c>
      <c r="O18" s="20">
        <v>576</v>
      </c>
      <c r="P18" s="16">
        <f>36.2*12</f>
        <v>434.40000000000003</v>
      </c>
      <c r="Q18" s="20"/>
      <c r="R18" s="16">
        <f t="shared" si="0"/>
        <v>69.72</v>
      </c>
      <c r="S18" s="16"/>
      <c r="T18" s="16">
        <f>(44.46*12)</f>
        <v>533.52</v>
      </c>
      <c r="U18" s="16">
        <v>441.48</v>
      </c>
      <c r="V18" s="16"/>
      <c r="W18" s="16">
        <v>252.12</v>
      </c>
      <c r="X18" s="16">
        <f>(111.16*12)</f>
        <v>1333.92</v>
      </c>
      <c r="Y18" s="16"/>
      <c r="Z18" s="16"/>
      <c r="AA18" s="16"/>
      <c r="AB18" s="16"/>
      <c r="AC18" s="16">
        <v>1856.18</v>
      </c>
      <c r="AD18" s="16">
        <f>(1311.94+72.74)*12</f>
        <v>16616.16</v>
      </c>
      <c r="AE18" s="16"/>
      <c r="AF18" s="16">
        <v>500</v>
      </c>
      <c r="AG18" s="16"/>
      <c r="AH18" s="9">
        <f t="shared" si="2"/>
        <v>119287.79000000001</v>
      </c>
      <c r="AI18" s="9">
        <f t="shared" si="3"/>
        <v>3125.7799999999997</v>
      </c>
    </row>
    <row r="19" spans="1:35" x14ac:dyDescent="0.4">
      <c r="A19" s="48"/>
      <c r="B19" s="18"/>
      <c r="C19" s="8"/>
      <c r="D19" s="25">
        <v>19</v>
      </c>
      <c r="E19" s="30">
        <v>23746</v>
      </c>
      <c r="F19" s="31">
        <v>42.75</v>
      </c>
      <c r="G19" s="22"/>
      <c r="H19" s="22"/>
      <c r="I19" s="31">
        <v>379</v>
      </c>
      <c r="J19" s="31"/>
      <c r="K19" s="31"/>
      <c r="L19" s="31"/>
      <c r="M19" s="32">
        <f t="shared" si="1"/>
        <v>24167.75</v>
      </c>
      <c r="N19" s="16">
        <v>2371.38</v>
      </c>
      <c r="O19" s="20">
        <v>723.06</v>
      </c>
      <c r="P19" s="16">
        <f>(60.2*3)</f>
        <v>180.60000000000002</v>
      </c>
      <c r="Q19" s="20">
        <v>25.88</v>
      </c>
      <c r="R19" s="16">
        <f t="shared" si="0"/>
        <v>69.72</v>
      </c>
      <c r="S19" s="16">
        <v>11.62</v>
      </c>
      <c r="T19" s="16">
        <f>(9.14*12)</f>
        <v>109.68</v>
      </c>
      <c r="U19" s="16">
        <f>(2.82)+(14)</f>
        <v>16.82</v>
      </c>
      <c r="V19" s="16"/>
      <c r="W19" s="16"/>
      <c r="X19" s="16">
        <f>(22.34*12)</f>
        <v>268.08</v>
      </c>
      <c r="Y19" s="16"/>
      <c r="Z19" s="16"/>
      <c r="AA19" s="16"/>
      <c r="AB19" s="16"/>
      <c r="AC19" s="16">
        <v>224.98</v>
      </c>
      <c r="AD19" s="16">
        <f>(165.93+9.18)*12</f>
        <v>2101.3200000000002</v>
      </c>
      <c r="AE19" s="16"/>
      <c r="AF19" s="16"/>
      <c r="AG19" s="16"/>
      <c r="AH19" s="9">
        <f t="shared" si="2"/>
        <v>29268.530000000002</v>
      </c>
      <c r="AI19" s="9">
        <f t="shared" si="3"/>
        <v>1002.36</v>
      </c>
    </row>
    <row r="20" spans="1:35" x14ac:dyDescent="0.4">
      <c r="A20" s="48"/>
      <c r="B20" s="18"/>
      <c r="C20" s="8"/>
      <c r="D20" s="25">
        <v>37.979999999999997</v>
      </c>
      <c r="E20" s="30">
        <v>80172</v>
      </c>
      <c r="F20" s="31"/>
      <c r="G20" s="22"/>
      <c r="H20" s="22"/>
      <c r="I20" s="31">
        <v>379</v>
      </c>
      <c r="J20" s="31"/>
      <c r="K20" s="31"/>
      <c r="L20" s="31"/>
      <c r="M20" s="32">
        <f t="shared" si="1"/>
        <v>80551</v>
      </c>
      <c r="N20" s="16">
        <v>9485.52</v>
      </c>
      <c r="O20" s="20">
        <v>2892.24</v>
      </c>
      <c r="P20" s="16">
        <f>(60.2*12)</f>
        <v>722.40000000000009</v>
      </c>
      <c r="Q20" s="20">
        <v>155.28</v>
      </c>
      <c r="R20" s="16">
        <f t="shared" si="0"/>
        <v>69.72</v>
      </c>
      <c r="S20" s="16">
        <v>69.72</v>
      </c>
      <c r="T20" s="16">
        <f>(18)+(46.89*12)</f>
        <v>580.68000000000006</v>
      </c>
      <c r="U20" s="16"/>
      <c r="V20" s="16"/>
      <c r="W20" s="16">
        <v>497.04</v>
      </c>
      <c r="X20" s="16">
        <f>(118.18*12)</f>
        <v>1418.16</v>
      </c>
      <c r="Y20" s="16"/>
      <c r="Z20" s="16"/>
      <c r="AA20" s="16"/>
      <c r="AB20" s="16"/>
      <c r="AC20" s="16">
        <f>(6413.79)+(1603.41)</f>
        <v>8017.2</v>
      </c>
      <c r="AD20" s="16">
        <f>(1394.8+77.33)*12</f>
        <v>17665.559999999998</v>
      </c>
      <c r="AE20" s="16"/>
      <c r="AF20" s="16">
        <v>500</v>
      </c>
      <c r="AG20" s="16"/>
      <c r="AH20" s="9">
        <f t="shared" si="2"/>
        <v>110993.04</v>
      </c>
      <c r="AI20" s="9">
        <f t="shared" si="3"/>
        <v>11631.48</v>
      </c>
    </row>
    <row r="21" spans="1:35" x14ac:dyDescent="0.4">
      <c r="A21" s="48"/>
      <c r="B21" s="18"/>
      <c r="C21" s="8"/>
      <c r="D21" s="25">
        <v>36.75</v>
      </c>
      <c r="E21" s="30">
        <v>61152.04</v>
      </c>
      <c r="F21" s="31"/>
      <c r="G21" s="22">
        <f>(2512.6)+(4410)</f>
        <v>6922.6</v>
      </c>
      <c r="H21" s="22"/>
      <c r="I21" s="31"/>
      <c r="J21" s="31"/>
      <c r="K21" s="31"/>
      <c r="L21" s="31"/>
      <c r="M21" s="32">
        <f t="shared" si="1"/>
        <v>68074.64</v>
      </c>
      <c r="N21" s="16">
        <v>0</v>
      </c>
      <c r="O21" s="20"/>
      <c r="P21" s="16"/>
      <c r="Q21" s="20"/>
      <c r="R21" s="16">
        <f>(5.81*9)</f>
        <v>52.29</v>
      </c>
      <c r="S21" s="16"/>
      <c r="T21" s="16">
        <f>(46.89*9)</f>
        <v>422.01</v>
      </c>
      <c r="U21" s="16"/>
      <c r="V21" s="16"/>
      <c r="W21" s="16"/>
      <c r="X21" s="16">
        <f>(117.79*9)</f>
        <v>1060.1100000000001</v>
      </c>
      <c r="Y21" s="16"/>
      <c r="Z21" s="16"/>
      <c r="AA21" s="16"/>
      <c r="AB21" s="16"/>
      <c r="AC21" s="16">
        <v>4704</v>
      </c>
      <c r="AD21" s="16">
        <f>(2780.51+77.08)*9</f>
        <v>25718.31</v>
      </c>
      <c r="AE21" s="16"/>
      <c r="AF21" s="16">
        <v>500</v>
      </c>
      <c r="AG21" s="16"/>
      <c r="AH21" s="9">
        <f t="shared" si="2"/>
        <v>95827.359999999986</v>
      </c>
      <c r="AI21" s="9">
        <f t="shared" si="3"/>
        <v>4704</v>
      </c>
    </row>
    <row r="22" spans="1:35" x14ac:dyDescent="0.4">
      <c r="A22" s="48"/>
      <c r="B22" s="18"/>
      <c r="C22" s="8"/>
      <c r="D22" s="25">
        <v>32.43</v>
      </c>
      <c r="E22" s="30">
        <v>67209.600000000006</v>
      </c>
      <c r="F22" s="31">
        <v>19126.16</v>
      </c>
      <c r="G22" s="22"/>
      <c r="H22" s="22">
        <v>4370</v>
      </c>
      <c r="I22" s="31">
        <v>379</v>
      </c>
      <c r="J22" s="31"/>
      <c r="K22" s="31"/>
      <c r="L22" s="31"/>
      <c r="M22" s="32">
        <f t="shared" si="1"/>
        <v>91084.760000000009</v>
      </c>
      <c r="N22" s="16">
        <v>5183.6400000000003</v>
      </c>
      <c r="O22" s="20">
        <v>576</v>
      </c>
      <c r="P22" s="16">
        <f>36.2*12</f>
        <v>434.40000000000003</v>
      </c>
      <c r="Q22" s="20"/>
      <c r="R22" s="16">
        <f t="shared" si="0"/>
        <v>69.72</v>
      </c>
      <c r="S22" s="16"/>
      <c r="T22" s="16">
        <f>(38.98*12)</f>
        <v>467.76</v>
      </c>
      <c r="U22" s="16"/>
      <c r="V22" s="16"/>
      <c r="W22" s="16"/>
      <c r="X22" s="16">
        <f>(98.53*12)</f>
        <v>1182.3600000000001</v>
      </c>
      <c r="Y22" s="16"/>
      <c r="Z22" s="16"/>
      <c r="AA22" s="16"/>
      <c r="AB22" s="16"/>
      <c r="AC22" s="16">
        <v>3628.25</v>
      </c>
      <c r="AD22" s="16">
        <f>(731.7+40.49)*12</f>
        <v>9266.2800000000007</v>
      </c>
      <c r="AE22" s="16"/>
      <c r="AF22" s="16">
        <v>500</v>
      </c>
      <c r="AG22" s="16"/>
      <c r="AH22" s="9">
        <f t="shared" si="2"/>
        <v>108188.92</v>
      </c>
      <c r="AI22" s="9">
        <f t="shared" si="3"/>
        <v>4204.25</v>
      </c>
    </row>
    <row r="23" spans="1:35" x14ac:dyDescent="0.4">
      <c r="A23" s="48"/>
      <c r="B23" s="18"/>
      <c r="C23" s="8"/>
      <c r="D23" s="25">
        <v>27</v>
      </c>
      <c r="E23" s="30">
        <v>22680</v>
      </c>
      <c r="F23" s="33">
        <v>3705.75</v>
      </c>
      <c r="G23" s="22"/>
      <c r="H23" s="22"/>
      <c r="I23" s="31">
        <v>379</v>
      </c>
      <c r="J23" s="31"/>
      <c r="K23" s="31"/>
      <c r="L23" s="31"/>
      <c r="M23" s="32">
        <f t="shared" si="1"/>
        <v>26764.75</v>
      </c>
      <c r="N23" s="16">
        <v>5686</v>
      </c>
      <c r="O23" s="20">
        <v>2138.6999999999998</v>
      </c>
      <c r="P23" s="16">
        <f>(58.54*4)</f>
        <v>234.16</v>
      </c>
      <c r="Q23" s="20">
        <v>48.08</v>
      </c>
      <c r="R23" s="16">
        <f t="shared" si="0"/>
        <v>69.72</v>
      </c>
      <c r="S23" s="16">
        <v>20.92</v>
      </c>
      <c r="T23" s="16">
        <f>(4*0.6)+(6*34.71)</f>
        <v>210.66</v>
      </c>
      <c r="U23" s="16">
        <f>(15.96)+(3.6)+(4)</f>
        <v>23.560000000000002</v>
      </c>
      <c r="V23" s="16"/>
      <c r="W23" s="16"/>
      <c r="X23" s="16">
        <f>(6*86.54)</f>
        <v>519.24</v>
      </c>
      <c r="Y23" s="16"/>
      <c r="Z23" s="16"/>
      <c r="AA23" s="16"/>
      <c r="AB23" s="16"/>
      <c r="AC23" s="16"/>
      <c r="AD23" s="16"/>
      <c r="AE23" s="16"/>
      <c r="AF23" s="16">
        <v>0</v>
      </c>
      <c r="AG23" s="16"/>
      <c r="AH23" s="9">
        <f t="shared" si="2"/>
        <v>33484.53</v>
      </c>
      <c r="AI23" s="9">
        <f t="shared" si="3"/>
        <v>2231.2599999999998</v>
      </c>
    </row>
    <row r="24" spans="1:35" x14ac:dyDescent="0.4">
      <c r="A24" s="48"/>
      <c r="B24" s="18"/>
      <c r="C24" s="8"/>
      <c r="D24" s="25">
        <v>27.59</v>
      </c>
      <c r="E24" s="30">
        <v>56812.02</v>
      </c>
      <c r="F24" s="33">
        <v>11886.07</v>
      </c>
      <c r="G24" s="22"/>
      <c r="H24" s="22">
        <v>1800</v>
      </c>
      <c r="I24" s="31">
        <v>379</v>
      </c>
      <c r="J24" s="31"/>
      <c r="K24" s="31"/>
      <c r="L24" s="31"/>
      <c r="M24" s="32">
        <f t="shared" si="1"/>
        <v>70877.09</v>
      </c>
      <c r="N24" s="16">
        <v>9485.52</v>
      </c>
      <c r="O24" s="20">
        <v>2892.24</v>
      </c>
      <c r="P24" s="16">
        <f>(60.2*12)</f>
        <v>722.40000000000009</v>
      </c>
      <c r="Q24" s="20">
        <v>155.28</v>
      </c>
      <c r="R24" s="16">
        <f t="shared" si="0"/>
        <v>69.72</v>
      </c>
      <c r="S24" s="16">
        <v>69.72</v>
      </c>
      <c r="T24" s="16">
        <f>(7.2)+(32.28*12)</f>
        <v>394.56</v>
      </c>
      <c r="U24" s="16">
        <f>(44.52)+(10.8)+(12)</f>
        <v>67.320000000000007</v>
      </c>
      <c r="V24" s="16"/>
      <c r="W24" s="16"/>
      <c r="X24" s="16">
        <f>(80.93*12)</f>
        <v>971.16000000000008</v>
      </c>
      <c r="Y24" s="16"/>
      <c r="Z24" s="16"/>
      <c r="AA24" s="16"/>
      <c r="AB24" s="16"/>
      <c r="AC24" s="16"/>
      <c r="AD24" s="16">
        <f>(601.03+33.26)*12</f>
        <v>7611.48</v>
      </c>
      <c r="AE24" s="16"/>
      <c r="AF24" s="16">
        <v>500</v>
      </c>
      <c r="AG24" s="16"/>
      <c r="AH24" s="9">
        <f t="shared" si="2"/>
        <v>90631.93</v>
      </c>
      <c r="AI24" s="9">
        <f t="shared" si="3"/>
        <v>3184.56</v>
      </c>
    </row>
    <row r="25" spans="1:35" x14ac:dyDescent="0.4">
      <c r="A25" s="48"/>
      <c r="B25" s="18"/>
      <c r="C25" s="8"/>
      <c r="D25" s="25">
        <v>26.54</v>
      </c>
      <c r="E25" s="30">
        <v>56452.800000000003</v>
      </c>
      <c r="F25" s="33"/>
      <c r="G25" s="22"/>
      <c r="H25" s="22"/>
      <c r="I25" s="31">
        <v>379</v>
      </c>
      <c r="J25" s="31"/>
      <c r="K25" s="31"/>
      <c r="L25" s="31"/>
      <c r="M25" s="32">
        <f t="shared" si="1"/>
        <v>56831.8</v>
      </c>
      <c r="N25" s="16">
        <v>5183.6400000000003</v>
      </c>
      <c r="O25" s="20">
        <v>576</v>
      </c>
      <c r="P25" s="16">
        <f>36.2*12</f>
        <v>434.40000000000003</v>
      </c>
      <c r="Q25" s="20"/>
      <c r="R25" s="16">
        <f t="shared" si="0"/>
        <v>69.72</v>
      </c>
      <c r="S25" s="16"/>
      <c r="T25" s="16">
        <f>(33.5*12)</f>
        <v>402</v>
      </c>
      <c r="U25" s="16"/>
      <c r="V25" s="16"/>
      <c r="W25" s="16">
        <v>252.12</v>
      </c>
      <c r="X25" s="16">
        <f>(83.4*12)</f>
        <v>1000.8000000000001</v>
      </c>
      <c r="Y25" s="16"/>
      <c r="Z25" s="16"/>
      <c r="AA25" s="16"/>
      <c r="AB25" s="16"/>
      <c r="AC25" s="16">
        <f>(1693.65)+(2258.04)</f>
        <v>3951.69</v>
      </c>
      <c r="AD25" s="16">
        <f>(984.34+54.57)*12</f>
        <v>12466.920000000002</v>
      </c>
      <c r="AE25" s="16"/>
      <c r="AF25" s="16">
        <v>500</v>
      </c>
      <c r="AG25" s="16"/>
      <c r="AH25" s="9">
        <f t="shared" si="2"/>
        <v>76889.280000000013</v>
      </c>
      <c r="AI25" s="9">
        <f t="shared" si="3"/>
        <v>4779.8100000000004</v>
      </c>
    </row>
    <row r="26" spans="1:35" x14ac:dyDescent="0.4">
      <c r="A26" s="48"/>
      <c r="B26" s="18"/>
      <c r="C26" s="8"/>
      <c r="D26" s="25">
        <v>37.43</v>
      </c>
      <c r="E26" s="30">
        <v>76690.240000000005</v>
      </c>
      <c r="F26" s="33">
        <v>40956.18</v>
      </c>
      <c r="G26" s="22">
        <v>1497.2</v>
      </c>
      <c r="H26" s="22">
        <v>4760</v>
      </c>
      <c r="I26" s="31">
        <v>379</v>
      </c>
      <c r="J26" s="31"/>
      <c r="K26" s="31"/>
      <c r="L26" s="31"/>
      <c r="M26" s="32">
        <f t="shared" si="1"/>
        <v>124282.62000000001</v>
      </c>
      <c r="N26" s="16">
        <v>10332.120000000001</v>
      </c>
      <c r="O26" s="20">
        <v>3348</v>
      </c>
      <c r="P26" s="16">
        <f>(58.54*12)</f>
        <v>702.48</v>
      </c>
      <c r="Q26" s="20">
        <v>144.24</v>
      </c>
      <c r="R26" s="16">
        <f t="shared" si="0"/>
        <v>69.72</v>
      </c>
      <c r="S26" s="16">
        <v>62.76</v>
      </c>
      <c r="T26" s="16">
        <f>(27.6)+(46.28*12)</f>
        <v>582.96</v>
      </c>
      <c r="U26" s="16">
        <f>(246.24)+(280.8)+(858.24)</f>
        <v>1385.28</v>
      </c>
      <c r="V26" s="16"/>
      <c r="W26" s="16">
        <v>396.72</v>
      </c>
      <c r="X26" s="16">
        <f>(115.9*12)</f>
        <v>1390.8000000000002</v>
      </c>
      <c r="Y26" s="16"/>
      <c r="Z26" s="16"/>
      <c r="AA26" s="16"/>
      <c r="AB26" s="16"/>
      <c r="AC26" s="16"/>
      <c r="AD26" s="16">
        <f>(1367.94+75.84)*12</f>
        <v>17325.36</v>
      </c>
      <c r="AE26" s="16"/>
      <c r="AF26" s="16">
        <v>500</v>
      </c>
      <c r="AG26" s="16"/>
      <c r="AH26" s="9">
        <f t="shared" si="2"/>
        <v>155186.06</v>
      </c>
      <c r="AI26" s="9">
        <f t="shared" si="3"/>
        <v>5337</v>
      </c>
    </row>
    <row r="27" spans="1:35" x14ac:dyDescent="0.4">
      <c r="A27" s="48"/>
      <c r="B27" s="18"/>
      <c r="C27" s="8"/>
      <c r="D27" s="25">
        <v>22.7</v>
      </c>
      <c r="E27" s="30">
        <v>48276</v>
      </c>
      <c r="F27" s="33">
        <v>367.13</v>
      </c>
      <c r="G27" s="22"/>
      <c r="H27" s="22"/>
      <c r="I27" s="31">
        <v>379</v>
      </c>
      <c r="J27" s="31"/>
      <c r="K27" s="31"/>
      <c r="L27" s="31"/>
      <c r="M27" s="32">
        <f t="shared" si="1"/>
        <v>49022.13</v>
      </c>
      <c r="N27" s="16">
        <v>5183.6400000000003</v>
      </c>
      <c r="O27" s="20">
        <v>576</v>
      </c>
      <c r="P27" s="16">
        <f>36.2*12</f>
        <v>434.40000000000003</v>
      </c>
      <c r="Q27" s="20"/>
      <c r="R27" s="16">
        <f t="shared" si="0"/>
        <v>69.72</v>
      </c>
      <c r="S27" s="16"/>
      <c r="T27" s="16">
        <f>(28.62*12)</f>
        <v>343.44</v>
      </c>
      <c r="U27" s="16"/>
      <c r="V27" s="16"/>
      <c r="W27" s="16">
        <v>252.12</v>
      </c>
      <c r="X27" s="16">
        <f>(71.32*12)</f>
        <v>855.83999999999992</v>
      </c>
      <c r="Y27" s="16"/>
      <c r="Z27" s="16"/>
      <c r="AA27" s="16">
        <v>335.28</v>
      </c>
      <c r="AB27" s="16"/>
      <c r="AC27" s="16"/>
      <c r="AD27" s="16">
        <f>(841.72+46.67)*12</f>
        <v>10660.68</v>
      </c>
      <c r="AE27" s="16"/>
      <c r="AF27" s="16">
        <v>500</v>
      </c>
      <c r="AG27" s="16"/>
      <c r="AH27" s="9">
        <f t="shared" si="2"/>
        <v>67069.850000000006</v>
      </c>
      <c r="AI27" s="9">
        <f t="shared" si="3"/>
        <v>1163.4000000000001</v>
      </c>
    </row>
    <row r="28" spans="1:35" x14ac:dyDescent="0.4">
      <c r="A28" s="48"/>
      <c r="B28" s="18"/>
      <c r="C28" s="8"/>
      <c r="D28" s="25">
        <v>37.090000000000003</v>
      </c>
      <c r="E28" s="30">
        <v>76586.399999999994</v>
      </c>
      <c r="F28" s="33"/>
      <c r="G28" s="22"/>
      <c r="H28" s="22"/>
      <c r="I28" s="31">
        <v>379</v>
      </c>
      <c r="J28" s="31"/>
      <c r="K28" s="31"/>
      <c r="L28" s="31"/>
      <c r="M28" s="32">
        <f t="shared" si="1"/>
        <v>76965.399999999994</v>
      </c>
      <c r="N28" s="16">
        <v>5183.6400000000003</v>
      </c>
      <c r="O28" s="20">
        <v>576</v>
      </c>
      <c r="P28" s="16">
        <f>36.2*12</f>
        <v>434.40000000000003</v>
      </c>
      <c r="Q28" s="20"/>
      <c r="R28" s="16">
        <f t="shared" si="0"/>
        <v>69.72</v>
      </c>
      <c r="S28" s="16"/>
      <c r="T28" s="16">
        <f>(44.46*12)</f>
        <v>533.52</v>
      </c>
      <c r="U28" s="16">
        <v>10.8</v>
      </c>
      <c r="V28" s="16"/>
      <c r="W28" s="16"/>
      <c r="X28" s="16">
        <f>(112.15*12)</f>
        <v>1345.8000000000002</v>
      </c>
      <c r="Y28" s="16"/>
      <c r="Z28" s="16"/>
      <c r="AA28" s="16"/>
      <c r="AB28" s="16"/>
      <c r="AC28" s="16">
        <v>3829.32</v>
      </c>
      <c r="AD28" s="16">
        <f>(832.86+46.09)*12</f>
        <v>10547.400000000001</v>
      </c>
      <c r="AE28" s="16"/>
      <c r="AF28" s="16">
        <v>500</v>
      </c>
      <c r="AG28" s="16"/>
      <c r="AH28" s="9">
        <f t="shared" si="2"/>
        <v>95579.88</v>
      </c>
      <c r="AI28" s="9">
        <f t="shared" si="3"/>
        <v>4416.12</v>
      </c>
    </row>
    <row r="29" spans="1:35" x14ac:dyDescent="0.4">
      <c r="A29" s="48"/>
      <c r="B29" s="18"/>
      <c r="C29" s="8"/>
      <c r="D29" s="25">
        <v>36.26</v>
      </c>
      <c r="E29" s="30">
        <v>72961.84</v>
      </c>
      <c r="F29" s="33">
        <v>26274.05</v>
      </c>
      <c r="G29" s="22"/>
      <c r="H29" s="22">
        <v>4495</v>
      </c>
      <c r="I29" s="31">
        <v>379</v>
      </c>
      <c r="J29" s="31"/>
      <c r="K29" s="31"/>
      <c r="L29" s="31"/>
      <c r="M29" s="32">
        <f t="shared" si="1"/>
        <v>104109.89</v>
      </c>
      <c r="N29" s="16">
        <v>5183.6400000000003</v>
      </c>
      <c r="O29" s="20">
        <v>576</v>
      </c>
      <c r="P29" s="16">
        <f>36.2*12</f>
        <v>434.40000000000003</v>
      </c>
      <c r="Q29" s="20"/>
      <c r="R29" s="16">
        <f t="shared" si="0"/>
        <v>69.72</v>
      </c>
      <c r="S29" s="16"/>
      <c r="T29" s="16">
        <f>(18)+(43.85*12)</f>
        <v>544.20000000000005</v>
      </c>
      <c r="U29" s="16">
        <f>(152.04)+(27)+(12)</f>
        <v>191.04</v>
      </c>
      <c r="V29" s="16"/>
      <c r="W29" s="16"/>
      <c r="X29" s="16">
        <f>(109.65*12)</f>
        <v>1315.8000000000002</v>
      </c>
      <c r="Y29" s="16"/>
      <c r="Z29" s="16"/>
      <c r="AA29" s="16"/>
      <c r="AB29" s="16"/>
      <c r="AC29" s="16">
        <v>3111.92</v>
      </c>
      <c r="AD29" s="16">
        <f>(814.3+45.07)*12</f>
        <v>10312.44</v>
      </c>
      <c r="AE29" s="16"/>
      <c r="AF29" s="16">
        <v>500</v>
      </c>
      <c r="AG29" s="16"/>
      <c r="AH29" s="9">
        <f t="shared" si="2"/>
        <v>122470.09</v>
      </c>
      <c r="AI29" s="9">
        <f t="shared" si="3"/>
        <v>3878.96</v>
      </c>
    </row>
    <row r="30" spans="1:35" x14ac:dyDescent="0.4">
      <c r="A30" s="48"/>
      <c r="B30" s="18"/>
      <c r="C30" s="8"/>
      <c r="D30" s="25">
        <v>29.53</v>
      </c>
      <c r="E30" s="30">
        <v>61869.599999999999</v>
      </c>
      <c r="F30" s="33">
        <v>1889.19</v>
      </c>
      <c r="G30" s="22"/>
      <c r="H30" s="22"/>
      <c r="I30" s="31">
        <v>379</v>
      </c>
      <c r="J30" s="31"/>
      <c r="K30" s="31"/>
      <c r="L30" s="31"/>
      <c r="M30" s="32">
        <f t="shared" si="1"/>
        <v>64137.79</v>
      </c>
      <c r="N30" s="16">
        <v>13646.4</v>
      </c>
      <c r="O30" s="20">
        <v>5132.88</v>
      </c>
      <c r="P30" s="16">
        <f>(86.66*12)</f>
        <v>1039.92</v>
      </c>
      <c r="Q30" s="20">
        <v>325.92</v>
      </c>
      <c r="R30" s="16">
        <f t="shared" si="0"/>
        <v>69.72</v>
      </c>
      <c r="S30" s="16">
        <v>135.24</v>
      </c>
      <c r="T30" s="16">
        <f>(10.8)+(36.54*12)</f>
        <v>449.28000000000003</v>
      </c>
      <c r="U30" s="16">
        <f>(76.32)+(16.2)+(12)</f>
        <v>104.52</v>
      </c>
      <c r="V30" s="16"/>
      <c r="W30" s="16"/>
      <c r="X30" s="16">
        <f>(91*12)</f>
        <v>1092</v>
      </c>
      <c r="Y30" s="16"/>
      <c r="Z30" s="16"/>
      <c r="AA30" s="16"/>
      <c r="AB30" s="16"/>
      <c r="AC30" s="16">
        <v>3825.51</v>
      </c>
      <c r="AD30" s="16">
        <f>(675.76+37.4)*12</f>
        <v>8557.92</v>
      </c>
      <c r="AE30" s="16"/>
      <c r="AF30" s="16">
        <v>500</v>
      </c>
      <c r="AG30" s="16"/>
      <c r="AH30" s="9">
        <f t="shared" si="2"/>
        <v>89493.03</v>
      </c>
      <c r="AI30" s="9">
        <f t="shared" si="3"/>
        <v>9524.07</v>
      </c>
    </row>
    <row r="31" spans="1:35" x14ac:dyDescent="0.4">
      <c r="A31" s="48"/>
      <c r="B31" s="18"/>
      <c r="C31" s="8"/>
      <c r="D31" s="25">
        <v>26.1</v>
      </c>
      <c r="E31" s="30">
        <v>55519.199999999997</v>
      </c>
      <c r="F31" s="33">
        <v>6690.02</v>
      </c>
      <c r="G31" s="22">
        <v>887.4</v>
      </c>
      <c r="H31" s="22"/>
      <c r="I31" s="31">
        <v>379</v>
      </c>
      <c r="J31" s="31"/>
      <c r="K31" s="31"/>
      <c r="L31" s="31"/>
      <c r="M31" s="32">
        <f t="shared" si="1"/>
        <v>63475.62</v>
      </c>
      <c r="N31" s="16">
        <v>10332.120000000001</v>
      </c>
      <c r="O31" s="20">
        <v>3348</v>
      </c>
      <c r="P31" s="16">
        <f>(58.54*12)</f>
        <v>702.48</v>
      </c>
      <c r="Q31" s="20">
        <v>144.24</v>
      </c>
      <c r="R31" s="16">
        <f t="shared" si="0"/>
        <v>69.72</v>
      </c>
      <c r="S31" s="16">
        <v>62.76</v>
      </c>
      <c r="T31" s="16">
        <f>(79.2)+(32.89*12)</f>
        <v>473.88</v>
      </c>
      <c r="U31" s="16">
        <v>2097.96</v>
      </c>
      <c r="V31" s="16"/>
      <c r="W31" s="16">
        <v>497.04</v>
      </c>
      <c r="X31" s="16">
        <f>(82.02*12)</f>
        <v>984.24</v>
      </c>
      <c r="Y31" s="16"/>
      <c r="Z31" s="16"/>
      <c r="AA31" s="16"/>
      <c r="AB31" s="16"/>
      <c r="AC31" s="16">
        <v>6220.95</v>
      </c>
      <c r="AD31" s="16">
        <f>(968.07+53.67)*12</f>
        <v>12260.880000000001</v>
      </c>
      <c r="AE31" s="16"/>
      <c r="AF31" s="16">
        <v>500</v>
      </c>
      <c r="AG31" s="16"/>
      <c r="AH31" s="9">
        <f t="shared" si="2"/>
        <v>88798.940000000017</v>
      </c>
      <c r="AI31" s="9">
        <f t="shared" si="3"/>
        <v>12370.95</v>
      </c>
    </row>
    <row r="32" spans="1:35" x14ac:dyDescent="0.4">
      <c r="A32" s="48"/>
      <c r="B32" s="18"/>
      <c r="C32" s="8"/>
      <c r="D32" s="25">
        <v>32.799999999999997</v>
      </c>
      <c r="E32" s="30">
        <v>69210</v>
      </c>
      <c r="F32" s="33"/>
      <c r="G32" s="22"/>
      <c r="H32" s="22"/>
      <c r="I32" s="33">
        <v>379</v>
      </c>
      <c r="J32" s="33"/>
      <c r="K32" s="33"/>
      <c r="L32" s="33"/>
      <c r="M32" s="32">
        <f t="shared" si="1"/>
        <v>69589</v>
      </c>
      <c r="N32" s="16">
        <v>5183.6400000000003</v>
      </c>
      <c r="O32" s="20">
        <v>576</v>
      </c>
      <c r="P32" s="16">
        <f>36.2*12</f>
        <v>434.40000000000003</v>
      </c>
      <c r="Q32" s="20"/>
      <c r="R32" s="16">
        <f t="shared" si="0"/>
        <v>69.72</v>
      </c>
      <c r="S32" s="16"/>
      <c r="T32" s="16">
        <f>(40.8*12)</f>
        <v>489.59999999999997</v>
      </c>
      <c r="U32" s="16">
        <v>142.80000000000001</v>
      </c>
      <c r="V32" s="16"/>
      <c r="W32" s="16">
        <v>252.12</v>
      </c>
      <c r="X32" s="16">
        <f>(103.08*12)</f>
        <v>1236.96</v>
      </c>
      <c r="Y32" s="16"/>
      <c r="Z32" s="16"/>
      <c r="AA32" s="16">
        <v>746.76</v>
      </c>
      <c r="AB32" s="16"/>
      <c r="AC32" s="16">
        <v>4152.6400000000003</v>
      </c>
      <c r="AD32" s="16"/>
      <c r="AE32" s="16"/>
      <c r="AF32" s="16">
        <v>500</v>
      </c>
      <c r="AG32" s="16"/>
      <c r="AH32" s="9">
        <f t="shared" si="2"/>
        <v>77503.320000000007</v>
      </c>
      <c r="AI32" s="9">
        <f t="shared" si="3"/>
        <v>5870.3200000000006</v>
      </c>
    </row>
    <row r="33" spans="1:42" x14ac:dyDescent="0.4">
      <c r="A33" s="48"/>
      <c r="B33" s="18"/>
      <c r="C33" s="8"/>
      <c r="D33" s="25">
        <v>30.75</v>
      </c>
      <c r="E33" s="30">
        <v>64908.04</v>
      </c>
      <c r="F33" s="33">
        <v>7792.66</v>
      </c>
      <c r="G33" s="22">
        <f>(2089.5)+(1194)</f>
        <v>3283.5</v>
      </c>
      <c r="H33" s="22"/>
      <c r="I33" s="33">
        <v>379</v>
      </c>
      <c r="J33" s="33"/>
      <c r="K33" s="33"/>
      <c r="L33" s="33"/>
      <c r="M33" s="32">
        <f t="shared" si="1"/>
        <v>76363.199999999997</v>
      </c>
      <c r="N33" s="16">
        <v>5183.6400000000003</v>
      </c>
      <c r="O33" s="20">
        <v>576</v>
      </c>
      <c r="P33" s="16">
        <f>36.2*12</f>
        <v>434.40000000000003</v>
      </c>
      <c r="Q33" s="20"/>
      <c r="R33" s="16">
        <f t="shared" si="0"/>
        <v>69.72</v>
      </c>
      <c r="S33" s="16"/>
      <c r="T33" s="16">
        <f>(38.37*12)</f>
        <v>460.43999999999994</v>
      </c>
      <c r="U33" s="16"/>
      <c r="V33" s="16"/>
      <c r="W33" s="16">
        <v>252.12</v>
      </c>
      <c r="X33" s="16">
        <f>(95.68*12)</f>
        <v>1148.1600000000001</v>
      </c>
      <c r="Y33" s="16"/>
      <c r="Z33" s="16"/>
      <c r="AA33" s="16"/>
      <c r="AB33" s="16"/>
      <c r="AC33" s="16">
        <v>3635.1</v>
      </c>
      <c r="AD33" s="16">
        <f>(1129.23+62.61)*12</f>
        <v>14302.079999999998</v>
      </c>
      <c r="AE33" s="16"/>
      <c r="AF33" s="16">
        <v>500</v>
      </c>
      <c r="AG33" s="16"/>
      <c r="AH33" s="9">
        <f t="shared" si="2"/>
        <v>98461.64</v>
      </c>
      <c r="AI33" s="9">
        <f t="shared" si="3"/>
        <v>4463.22</v>
      </c>
    </row>
    <row r="34" spans="1:42" x14ac:dyDescent="0.4">
      <c r="A34" s="48"/>
      <c r="B34" s="18"/>
      <c r="C34" s="8"/>
      <c r="D34" s="25">
        <v>28.09</v>
      </c>
      <c r="E34" s="3">
        <v>59528.56</v>
      </c>
      <c r="F34" s="3">
        <v>1011.28</v>
      </c>
      <c r="G34" s="22"/>
      <c r="I34" s="33">
        <v>379</v>
      </c>
      <c r="J34" s="33"/>
      <c r="K34" s="33"/>
      <c r="L34" s="33"/>
      <c r="M34" s="32">
        <f t="shared" si="1"/>
        <v>60918.84</v>
      </c>
      <c r="N34" s="16">
        <v>5183.6400000000003</v>
      </c>
      <c r="O34" s="20">
        <v>576</v>
      </c>
      <c r="P34" s="16">
        <f>36.2*12</f>
        <v>434.40000000000003</v>
      </c>
      <c r="Q34" s="20"/>
      <c r="R34" s="16">
        <f t="shared" si="0"/>
        <v>69.72</v>
      </c>
      <c r="S34" s="16"/>
      <c r="T34" s="16">
        <f>(2.4)+(35.93*12)</f>
        <v>433.55999999999995</v>
      </c>
      <c r="U34" s="16">
        <v>4.5</v>
      </c>
      <c r="V34" s="16"/>
      <c r="W34" s="16"/>
      <c r="X34" s="16">
        <f>(90.04*12)</f>
        <v>1080.48</v>
      </c>
      <c r="Y34" s="16"/>
      <c r="Z34" s="16"/>
      <c r="AA34" s="16"/>
      <c r="AB34" s="16"/>
      <c r="AC34" s="16">
        <v>5943.84</v>
      </c>
      <c r="AD34" s="16">
        <f>(668.62+37)*12</f>
        <v>8467.44</v>
      </c>
      <c r="AE34" s="16"/>
      <c r="AF34" s="16">
        <v>500</v>
      </c>
      <c r="AG34" s="16"/>
      <c r="AH34" s="9">
        <f t="shared" si="2"/>
        <v>77088.079999999987</v>
      </c>
      <c r="AI34" s="9">
        <f t="shared" si="3"/>
        <v>6524.34</v>
      </c>
    </row>
    <row r="35" spans="1:42" x14ac:dyDescent="0.4">
      <c r="A35" s="48"/>
      <c r="B35" s="18"/>
      <c r="C35" s="8"/>
      <c r="D35" s="25">
        <v>32.200000000000003</v>
      </c>
      <c r="E35" s="30">
        <v>64795.58</v>
      </c>
      <c r="F35" s="33">
        <v>10299.450000000001</v>
      </c>
      <c r="G35" s="22"/>
      <c r="H35" s="22">
        <v>2235</v>
      </c>
      <c r="I35" s="33">
        <v>379</v>
      </c>
      <c r="J35" s="33"/>
      <c r="K35" s="33"/>
      <c r="L35" s="33"/>
      <c r="M35" s="32">
        <f t="shared" si="1"/>
        <v>77709.03</v>
      </c>
      <c r="N35" s="16">
        <v>9485.52</v>
      </c>
      <c r="O35" s="20">
        <v>2892.24</v>
      </c>
      <c r="P35" s="16">
        <f>(60.2*12)</f>
        <v>722.40000000000009</v>
      </c>
      <c r="Q35" s="20">
        <v>155.28</v>
      </c>
      <c r="R35" s="16">
        <f t="shared" si="0"/>
        <v>69.72</v>
      </c>
      <c r="S35" s="16">
        <v>69.72</v>
      </c>
      <c r="T35" s="16">
        <f>(37.15*12)</f>
        <v>445.79999999999995</v>
      </c>
      <c r="U35" s="16">
        <f>(68.76)+(12)</f>
        <v>80.760000000000005</v>
      </c>
      <c r="V35" s="16"/>
      <c r="W35" s="16"/>
      <c r="X35" s="16">
        <f>(93.18*12)</f>
        <v>1118.1600000000001</v>
      </c>
      <c r="Y35" s="16"/>
      <c r="Z35" s="16"/>
      <c r="AA35" s="16"/>
      <c r="AB35" s="16"/>
      <c r="AC35" s="16">
        <f>(883.28)+(883.28)</f>
        <v>1766.56</v>
      </c>
      <c r="AD35" s="16">
        <f>(691.96+38.3)*12</f>
        <v>8763.119999999999</v>
      </c>
      <c r="AE35" s="16"/>
      <c r="AF35" s="16">
        <v>500</v>
      </c>
      <c r="AG35" s="16"/>
      <c r="AH35" s="9">
        <f t="shared" si="2"/>
        <v>98813.75</v>
      </c>
      <c r="AI35" s="9">
        <f t="shared" si="3"/>
        <v>4964.5599999999995</v>
      </c>
      <c r="AM35" s="24"/>
    </row>
    <row r="36" spans="1:42" x14ac:dyDescent="0.4">
      <c r="A36" s="48"/>
      <c r="B36" s="18"/>
      <c r="C36" s="8"/>
      <c r="D36" s="25">
        <v>40.11</v>
      </c>
      <c r="E36" s="30">
        <v>85310.399999999994</v>
      </c>
      <c r="F36" s="33">
        <v>2182.2600000000002</v>
      </c>
      <c r="G36" s="22"/>
      <c r="H36" s="22"/>
      <c r="I36" s="33">
        <v>379</v>
      </c>
      <c r="J36" s="33"/>
      <c r="K36" s="33"/>
      <c r="L36" s="33"/>
      <c r="M36" s="32">
        <f t="shared" si="1"/>
        <v>87871.659999999989</v>
      </c>
      <c r="N36" s="16">
        <v>5183.6400000000003</v>
      </c>
      <c r="O36" s="20">
        <v>576</v>
      </c>
      <c r="P36" s="16">
        <f>(58.54*12)</f>
        <v>702.48</v>
      </c>
      <c r="Q36" s="20">
        <v>144.24</v>
      </c>
      <c r="R36" s="16">
        <f t="shared" si="0"/>
        <v>69.72</v>
      </c>
      <c r="S36" s="16">
        <v>62.76</v>
      </c>
      <c r="T36" s="16">
        <f>(12*4.3)+(49.94*12)</f>
        <v>650.88</v>
      </c>
      <c r="U36" s="16">
        <f>(495.96)+(77.4)</f>
        <v>573.36</v>
      </c>
      <c r="V36" s="16"/>
      <c r="W36" s="16">
        <v>396.72</v>
      </c>
      <c r="X36" s="16">
        <f>(126.03*12)</f>
        <v>1512.3600000000001</v>
      </c>
      <c r="Y36" s="16"/>
      <c r="Z36" s="16"/>
      <c r="AA36" s="16"/>
      <c r="AB36" s="16"/>
      <c r="AC36" s="16">
        <v>6561.95</v>
      </c>
      <c r="AD36" s="16">
        <f>(1487.48+82.47)*12</f>
        <v>18839.400000000001</v>
      </c>
      <c r="AE36" s="16"/>
      <c r="AF36" s="16">
        <v>500</v>
      </c>
      <c r="AG36" s="16"/>
      <c r="AH36" s="9">
        <f t="shared" si="2"/>
        <v>115330.13999999998</v>
      </c>
      <c r="AI36" s="9">
        <f t="shared" si="3"/>
        <v>8315.0299999999988</v>
      </c>
      <c r="AM36" s="24"/>
    </row>
    <row r="37" spans="1:42" x14ac:dyDescent="0.4">
      <c r="A37" s="48"/>
      <c r="B37" s="18"/>
      <c r="C37" s="8"/>
      <c r="D37" s="25">
        <v>21.97</v>
      </c>
      <c r="E37" s="30">
        <v>46380</v>
      </c>
      <c r="F37" s="33">
        <v>1494.01</v>
      </c>
      <c r="G37" s="22"/>
      <c r="H37" s="22"/>
      <c r="I37" s="33">
        <v>379</v>
      </c>
      <c r="J37" s="33"/>
      <c r="K37" s="33"/>
      <c r="L37" s="33"/>
      <c r="M37" s="32">
        <f t="shared" si="1"/>
        <v>48253.01</v>
      </c>
      <c r="N37" s="16">
        <v>9485.52</v>
      </c>
      <c r="O37" s="20">
        <f>(1283.22)+(2169.18)</f>
        <v>3452.3999999999996</v>
      </c>
      <c r="P37" s="16">
        <f>(60.2*9)+(86.66*3)</f>
        <v>801.78000000000009</v>
      </c>
      <c r="Q37" s="20">
        <f>(81.48)+(116.46)</f>
        <v>197.94</v>
      </c>
      <c r="R37" s="16">
        <f t="shared" si="0"/>
        <v>69.72</v>
      </c>
      <c r="S37" s="16">
        <v>86.1</v>
      </c>
      <c r="T37" s="16">
        <f>(12)+(27.41*12)</f>
        <v>340.92</v>
      </c>
      <c r="U37" s="16">
        <f>(18)+(1480.42)</f>
        <v>1498.42</v>
      </c>
      <c r="V37" s="16"/>
      <c r="W37" s="16"/>
      <c r="X37" s="16">
        <f>(68.37*12)</f>
        <v>820.44</v>
      </c>
      <c r="Y37" s="16"/>
      <c r="Z37" s="16"/>
      <c r="AA37" s="16">
        <v>254.4</v>
      </c>
      <c r="AB37" s="16"/>
      <c r="AC37" s="16">
        <v>478.68</v>
      </c>
      <c r="AD37" s="16">
        <f>(507.71+28.1)*12</f>
        <v>6429.7199999999993</v>
      </c>
      <c r="AE37" s="16"/>
      <c r="AF37" s="16">
        <v>500</v>
      </c>
      <c r="AG37" s="16"/>
      <c r="AH37" s="9">
        <f t="shared" si="2"/>
        <v>66701.11</v>
      </c>
      <c r="AI37" s="9">
        <f t="shared" si="3"/>
        <v>5967.94</v>
      </c>
      <c r="AM37" s="24"/>
      <c r="AN37" s="24"/>
      <c r="AO37" s="24"/>
      <c r="AP37" s="24"/>
    </row>
    <row r="38" spans="1:42" x14ac:dyDescent="0.4">
      <c r="A38" s="48"/>
      <c r="B38" s="18"/>
      <c r="C38" s="8"/>
      <c r="D38" s="25">
        <v>22.17</v>
      </c>
      <c r="E38" s="30">
        <v>46795.199999999997</v>
      </c>
      <c r="F38" s="33">
        <v>276.33999999999997</v>
      </c>
      <c r="G38" s="22"/>
      <c r="H38" s="22"/>
      <c r="I38" s="31">
        <v>379</v>
      </c>
      <c r="J38" s="31"/>
      <c r="K38" s="31"/>
      <c r="L38" s="31"/>
      <c r="M38" s="32">
        <f t="shared" si="1"/>
        <v>47450.539999999994</v>
      </c>
      <c r="N38" s="16">
        <v>9485.52</v>
      </c>
      <c r="O38" s="20">
        <v>2892.24</v>
      </c>
      <c r="P38" s="16">
        <f t="shared" ref="P38:P41" si="5">(60.2*12)</f>
        <v>722.40000000000009</v>
      </c>
      <c r="Q38" s="20">
        <v>155.28</v>
      </c>
      <c r="R38" s="16">
        <f t="shared" si="0"/>
        <v>69.72</v>
      </c>
      <c r="S38" s="16">
        <v>135.24</v>
      </c>
      <c r="T38" s="16">
        <f>(7.2)+(27.41*12)</f>
        <v>336.12</v>
      </c>
      <c r="U38" s="16">
        <f>(37.8)+(10.8)+(12)</f>
        <v>60.599999999999994</v>
      </c>
      <c r="V38" s="16"/>
      <c r="W38" s="16"/>
      <c r="X38" s="16">
        <f>(68.98*12)</f>
        <v>827.76</v>
      </c>
      <c r="Y38" s="16"/>
      <c r="Z38" s="16"/>
      <c r="AA38" s="16">
        <v>256.68</v>
      </c>
      <c r="AB38" s="16"/>
      <c r="AC38" s="16">
        <v>470.81</v>
      </c>
      <c r="AD38" s="16">
        <f>(512.25+28.35)*12</f>
        <v>6487.2000000000007</v>
      </c>
      <c r="AE38" s="16"/>
      <c r="AF38" s="16">
        <v>500</v>
      </c>
      <c r="AG38" s="16"/>
      <c r="AH38" s="9">
        <f t="shared" si="2"/>
        <v>65879.260000000009</v>
      </c>
      <c r="AI38" s="9">
        <f t="shared" si="3"/>
        <v>3970.85</v>
      </c>
      <c r="AM38" s="24"/>
      <c r="AN38" s="24"/>
      <c r="AO38" s="24"/>
      <c r="AP38" s="24"/>
    </row>
    <row r="39" spans="1:42" x14ac:dyDescent="0.4">
      <c r="A39" s="48"/>
      <c r="B39" s="18"/>
      <c r="C39" s="8"/>
      <c r="D39" s="25">
        <v>33.950000000000003</v>
      </c>
      <c r="E39" s="30">
        <v>70358.399999999994</v>
      </c>
      <c r="F39" s="33">
        <v>19945.84</v>
      </c>
      <c r="G39" s="22"/>
      <c r="H39" s="22">
        <v>2805</v>
      </c>
      <c r="I39" s="31">
        <v>379</v>
      </c>
      <c r="J39" s="31"/>
      <c r="K39" s="31"/>
      <c r="L39" s="31"/>
      <c r="M39" s="32">
        <f t="shared" si="1"/>
        <v>93488.239999999991</v>
      </c>
      <c r="N39" s="16">
        <v>5183.6400000000003</v>
      </c>
      <c r="O39" s="20">
        <v>576</v>
      </c>
      <c r="P39" s="16">
        <f>36.2*12</f>
        <v>434.40000000000003</v>
      </c>
      <c r="Q39" s="20"/>
      <c r="R39" s="16">
        <f t="shared" si="0"/>
        <v>69.72</v>
      </c>
      <c r="S39" s="16"/>
      <c r="T39" s="16">
        <f>(40.8*12)</f>
        <v>489.59999999999997</v>
      </c>
      <c r="U39" s="16">
        <v>99.72</v>
      </c>
      <c r="V39" s="16"/>
      <c r="W39" s="16"/>
      <c r="X39" s="16">
        <f>(103.15*12)</f>
        <v>1237.8000000000002</v>
      </c>
      <c r="Y39" s="16"/>
      <c r="Z39" s="16"/>
      <c r="AA39" s="16"/>
      <c r="AB39" s="16"/>
      <c r="AC39" s="16"/>
      <c r="AD39" s="16">
        <f>(1217.36+67.49)*12</f>
        <v>15418.199999999999</v>
      </c>
      <c r="AE39" s="16"/>
      <c r="AF39" s="16">
        <v>500</v>
      </c>
      <c r="AG39" s="16"/>
      <c r="AH39" s="9">
        <f t="shared" si="2"/>
        <v>116821.59999999999</v>
      </c>
      <c r="AI39" s="9">
        <f t="shared" si="3"/>
        <v>675.72</v>
      </c>
      <c r="AM39" s="24"/>
      <c r="AN39" s="24"/>
      <c r="AO39" s="24"/>
      <c r="AP39" s="24"/>
    </row>
    <row r="40" spans="1:42" x14ac:dyDescent="0.4">
      <c r="A40" s="48"/>
      <c r="B40" s="18"/>
      <c r="C40" s="8"/>
      <c r="D40" s="25">
        <v>25.24</v>
      </c>
      <c r="E40" s="30">
        <v>53090.400000000001</v>
      </c>
      <c r="F40" s="33">
        <v>9307.02</v>
      </c>
      <c r="G40" s="22"/>
      <c r="H40" s="22"/>
      <c r="I40" s="31">
        <v>379</v>
      </c>
      <c r="J40" s="31"/>
      <c r="K40" s="31"/>
      <c r="L40" s="31"/>
      <c r="M40" s="32">
        <f t="shared" si="1"/>
        <v>62776.42</v>
      </c>
      <c r="N40" s="16">
        <v>9485.52</v>
      </c>
      <c r="O40" s="20">
        <v>2892.24</v>
      </c>
      <c r="P40" s="16">
        <f t="shared" si="5"/>
        <v>722.40000000000009</v>
      </c>
      <c r="Q40" s="20">
        <v>155.28</v>
      </c>
      <c r="R40" s="16">
        <f t="shared" si="0"/>
        <v>69.72</v>
      </c>
      <c r="S40" s="16">
        <v>69.72</v>
      </c>
      <c r="T40" s="16">
        <f>(10.8)+(29.84*12)</f>
        <v>368.88</v>
      </c>
      <c r="U40" s="16">
        <f>(62.28)+(16.2)+(12)</f>
        <v>90.48</v>
      </c>
      <c r="V40" s="16"/>
      <c r="W40" s="16"/>
      <c r="X40" s="16">
        <f>(74.46*12)</f>
        <v>893.52</v>
      </c>
      <c r="Y40" s="16"/>
      <c r="Z40" s="16"/>
      <c r="AA40" s="16"/>
      <c r="AB40" s="16"/>
      <c r="AC40" s="16">
        <v>2539.3200000000002</v>
      </c>
      <c r="AD40" s="16">
        <f>(552.94+30.6)*12</f>
        <v>7002.4800000000014</v>
      </c>
      <c r="AE40" s="16"/>
      <c r="AF40" s="16">
        <v>500</v>
      </c>
      <c r="AG40" s="16"/>
      <c r="AH40" s="9">
        <f t="shared" si="2"/>
        <v>81818.94</v>
      </c>
      <c r="AI40" s="9">
        <f t="shared" si="3"/>
        <v>5747.04</v>
      </c>
      <c r="AN40" s="24"/>
      <c r="AO40" s="24"/>
      <c r="AP40" s="24"/>
    </row>
    <row r="41" spans="1:42" x14ac:dyDescent="0.4">
      <c r="A41" s="48"/>
      <c r="B41" s="18"/>
      <c r="C41" s="8"/>
      <c r="D41" s="25">
        <v>36.049999999999997</v>
      </c>
      <c r="E41" s="30">
        <v>73083.199999999997</v>
      </c>
      <c r="F41" s="33">
        <v>22376.85</v>
      </c>
      <c r="G41" s="22"/>
      <c r="H41" s="22">
        <v>2630</v>
      </c>
      <c r="I41" s="31">
        <v>379</v>
      </c>
      <c r="J41" s="31"/>
      <c r="K41" s="31"/>
      <c r="L41" s="31"/>
      <c r="M41" s="32">
        <f t="shared" si="1"/>
        <v>98469.049999999988</v>
      </c>
      <c r="N41" s="16">
        <v>9485.52</v>
      </c>
      <c r="O41" s="20">
        <v>2892.24</v>
      </c>
      <c r="P41" s="16">
        <f t="shared" si="5"/>
        <v>722.40000000000009</v>
      </c>
      <c r="Q41" s="20">
        <v>155.28</v>
      </c>
      <c r="R41" s="16">
        <f t="shared" si="0"/>
        <v>69.72</v>
      </c>
      <c r="S41" s="16"/>
      <c r="T41" s="16">
        <f>(10.8)+(43.24*12)</f>
        <v>529.67999999999995</v>
      </c>
      <c r="U41" s="16">
        <f>(744)+(12)</f>
        <v>756</v>
      </c>
      <c r="V41" s="16"/>
      <c r="W41" s="16"/>
      <c r="X41" s="16">
        <f>+(108.91*12)</f>
        <v>1306.92</v>
      </c>
      <c r="Y41" s="16"/>
      <c r="Z41" s="16"/>
      <c r="AA41" s="16"/>
      <c r="AB41" s="16"/>
      <c r="AC41" s="16">
        <v>3923.6</v>
      </c>
      <c r="AD41" s="16">
        <f>(1285.46+71.27)*12</f>
        <v>16280.76</v>
      </c>
      <c r="AE41" s="16"/>
      <c r="AF41" s="16">
        <v>500</v>
      </c>
      <c r="AG41" s="16"/>
      <c r="AH41" s="9">
        <f t="shared" si="2"/>
        <v>127364.04999999997</v>
      </c>
      <c r="AI41" s="9">
        <f t="shared" si="3"/>
        <v>7727.12</v>
      </c>
      <c r="AM41" s="38"/>
      <c r="AN41" s="24"/>
      <c r="AO41" s="24"/>
      <c r="AP41" s="24"/>
    </row>
    <row r="42" spans="1:42" x14ac:dyDescent="0.4">
      <c r="A42" s="48"/>
      <c r="B42" s="18"/>
      <c r="C42" s="8"/>
      <c r="D42" s="25">
        <v>25.04</v>
      </c>
      <c r="E42" s="30">
        <v>45157.95</v>
      </c>
      <c r="F42" s="33"/>
      <c r="G42" s="22"/>
      <c r="H42" s="22"/>
      <c r="I42" s="31">
        <v>379</v>
      </c>
      <c r="J42" s="31"/>
      <c r="K42" s="31"/>
      <c r="L42" s="31"/>
      <c r="M42" s="32">
        <f t="shared" si="1"/>
        <v>45536.95</v>
      </c>
      <c r="N42" s="16">
        <v>13646.4</v>
      </c>
      <c r="O42" s="20">
        <v>5132.88</v>
      </c>
      <c r="P42" s="16">
        <f>(86.66*12)</f>
        <v>1039.92</v>
      </c>
      <c r="Q42" s="20">
        <v>325.92</v>
      </c>
      <c r="R42" s="16">
        <f t="shared" si="0"/>
        <v>69.72</v>
      </c>
      <c r="S42" s="16">
        <v>135.24</v>
      </c>
      <c r="T42" s="16">
        <f>(12)+(30.45*12)</f>
        <v>377.4</v>
      </c>
      <c r="U42" s="16">
        <f>(12)</f>
        <v>12</v>
      </c>
      <c r="V42" s="16"/>
      <c r="W42" s="16"/>
      <c r="X42" s="16">
        <f>(76.45*12)</f>
        <v>917.40000000000009</v>
      </c>
      <c r="Y42" s="16"/>
      <c r="Z42" s="16"/>
      <c r="AA42" s="16">
        <v>276.36</v>
      </c>
      <c r="AB42" s="16"/>
      <c r="AC42" s="16"/>
      <c r="AD42" s="16">
        <f>(567.7+31.42)*12</f>
        <v>7189.4400000000005</v>
      </c>
      <c r="AE42" s="16"/>
      <c r="AF42" s="16">
        <v>500</v>
      </c>
      <c r="AG42" s="16"/>
      <c r="AH42" s="9">
        <f t="shared" si="2"/>
        <v>69277.23</v>
      </c>
      <c r="AI42" s="9">
        <f t="shared" si="3"/>
        <v>5882.4</v>
      </c>
    </row>
    <row r="43" spans="1:42" x14ac:dyDescent="0.4">
      <c r="A43" s="48"/>
      <c r="B43" s="18"/>
      <c r="C43" s="8"/>
      <c r="D43" s="25">
        <v>26</v>
      </c>
      <c r="E43" s="30">
        <v>15600</v>
      </c>
      <c r="F43" s="33"/>
      <c r="G43" s="22">
        <f>(261.3)+(3679)</f>
        <v>3940.3</v>
      </c>
      <c r="H43" s="22"/>
      <c r="I43" s="31"/>
      <c r="J43" s="31"/>
      <c r="K43" s="31"/>
      <c r="L43" s="31"/>
      <c r="M43" s="32">
        <f t="shared" si="1"/>
        <v>19540.3</v>
      </c>
      <c r="N43" s="16"/>
      <c r="O43" s="20">
        <v>144</v>
      </c>
      <c r="P43" s="16">
        <f>(58.54*3)</f>
        <v>175.62</v>
      </c>
      <c r="Q43" s="20">
        <v>36.06</v>
      </c>
      <c r="R43" s="16">
        <f>(5.81*3)</f>
        <v>17.43</v>
      </c>
      <c r="S43" s="16"/>
      <c r="T43" s="16">
        <f>(19.8)+(33.5*3)</f>
        <v>120.3</v>
      </c>
      <c r="U43" s="16">
        <f>(127.38)+(29.7)+(94.4)+(3)</f>
        <v>254.48</v>
      </c>
      <c r="V43" s="16"/>
      <c r="W43" s="16">
        <v>82.84</v>
      </c>
      <c r="X43" s="16">
        <f>(83.34*3)</f>
        <v>250.02</v>
      </c>
      <c r="Y43" s="16"/>
      <c r="Z43" s="16"/>
      <c r="AA43" s="16"/>
      <c r="AB43" s="16"/>
      <c r="AC43" s="16">
        <v>2184</v>
      </c>
      <c r="AD43" s="16">
        <f>(1967.16+54.53)*3</f>
        <v>6065.07</v>
      </c>
      <c r="AE43" s="16"/>
      <c r="AF43" s="16">
        <v>500</v>
      </c>
      <c r="AG43" s="16"/>
      <c r="AH43" s="9">
        <f t="shared" si="2"/>
        <v>26668.739999999998</v>
      </c>
      <c r="AI43" s="9">
        <f t="shared" si="3"/>
        <v>2701.38</v>
      </c>
    </row>
    <row r="44" spans="1:42" x14ac:dyDescent="0.4">
      <c r="A44" s="48"/>
      <c r="B44" s="18"/>
      <c r="C44" s="8"/>
      <c r="D44" s="25">
        <v>22.6</v>
      </c>
      <c r="E44" s="30">
        <v>48076.800000000003</v>
      </c>
      <c r="F44" s="33">
        <v>951.96</v>
      </c>
      <c r="G44" s="22">
        <f>(1808)+(886.4)</f>
        <v>2694.4</v>
      </c>
      <c r="H44" s="22"/>
      <c r="I44" s="31">
        <v>379</v>
      </c>
      <c r="J44" s="31"/>
      <c r="K44" s="31"/>
      <c r="L44" s="31"/>
      <c r="M44" s="32">
        <f t="shared" si="1"/>
        <v>52102.16</v>
      </c>
      <c r="N44" s="16">
        <v>10332.120000000001</v>
      </c>
      <c r="O44" s="20">
        <v>3348</v>
      </c>
      <c r="P44" s="16">
        <f>(58.54*12)</f>
        <v>702.48</v>
      </c>
      <c r="Q44" s="20">
        <v>144.24</v>
      </c>
      <c r="R44" s="16">
        <f t="shared" si="0"/>
        <v>69.72</v>
      </c>
      <c r="S44" s="16">
        <v>62.76</v>
      </c>
      <c r="T44" s="16">
        <f>(51.6)+(28.62*12)</f>
        <v>395.04</v>
      </c>
      <c r="U44" s="16">
        <v>142.08000000000001</v>
      </c>
      <c r="V44" s="16"/>
      <c r="W44" s="16">
        <v>396.72</v>
      </c>
      <c r="X44" s="16">
        <f>(71.03*12)</f>
        <v>852.36</v>
      </c>
      <c r="Y44" s="16"/>
      <c r="Z44" s="16"/>
      <c r="AA44" s="16"/>
      <c r="AB44" s="16"/>
      <c r="AC44" s="16">
        <v>3922.22</v>
      </c>
      <c r="AD44" s="16">
        <f>(838.32+46.48)*12</f>
        <v>10617.6</v>
      </c>
      <c r="AE44" s="16"/>
      <c r="AF44" s="16">
        <v>500</v>
      </c>
      <c r="AG44" s="16"/>
      <c r="AH44" s="9">
        <f t="shared" si="2"/>
        <v>75571.48000000001</v>
      </c>
      <c r="AI44" s="9">
        <f t="shared" si="3"/>
        <v>8016.0199999999995</v>
      </c>
    </row>
    <row r="45" spans="1:42" x14ac:dyDescent="0.4">
      <c r="A45" s="48"/>
      <c r="B45" s="18"/>
      <c r="C45" s="8"/>
      <c r="D45" s="25">
        <v>38.83</v>
      </c>
      <c r="E45" s="30">
        <v>81067.199999999997</v>
      </c>
      <c r="F45" s="33">
        <v>21442.05</v>
      </c>
      <c r="G45" s="22">
        <v>2972.8</v>
      </c>
      <c r="H45" s="22">
        <v>3650</v>
      </c>
      <c r="I45" s="31">
        <v>379</v>
      </c>
      <c r="J45" s="31"/>
      <c r="K45" s="31"/>
      <c r="L45" s="31"/>
      <c r="M45" s="32">
        <f t="shared" si="1"/>
        <v>109511.05</v>
      </c>
      <c r="N45" s="16">
        <v>13646.4</v>
      </c>
      <c r="O45" s="20">
        <v>5132.88</v>
      </c>
      <c r="P45" s="16">
        <f>(58.54*2)+(86.66*10)</f>
        <v>983.68</v>
      </c>
      <c r="Q45" s="20">
        <f>(54.32)+(120.2)</f>
        <v>174.52</v>
      </c>
      <c r="R45" s="16">
        <f t="shared" si="0"/>
        <v>69.72</v>
      </c>
      <c r="S45" s="16">
        <v>135.24</v>
      </c>
      <c r="T45" s="16">
        <f>(51.6)+(47.5*12)</f>
        <v>621.6</v>
      </c>
      <c r="U45" s="16">
        <f>(235.92)+(77.4)+(12)</f>
        <v>325.32</v>
      </c>
      <c r="V45" s="16"/>
      <c r="W45" s="16">
        <v>396.72</v>
      </c>
      <c r="X45" s="16">
        <f>(119.11*12)</f>
        <v>1429.32</v>
      </c>
      <c r="Y45" s="16"/>
      <c r="Z45" s="16"/>
      <c r="AA45" s="16"/>
      <c r="AB45" s="16"/>
      <c r="AC45" s="16">
        <v>2123.1799999999998</v>
      </c>
      <c r="AD45" s="16">
        <f>(1405.77+77.94)*12</f>
        <v>17804.52</v>
      </c>
      <c r="AE45" s="16"/>
      <c r="AF45" s="16">
        <v>500</v>
      </c>
      <c r="AG45" s="16"/>
      <c r="AH45" s="9">
        <f t="shared" si="2"/>
        <v>144566.29</v>
      </c>
      <c r="AI45" s="9">
        <f t="shared" si="3"/>
        <v>8287.8599999999988</v>
      </c>
    </row>
    <row r="46" spans="1:42" x14ac:dyDescent="0.4">
      <c r="A46" s="48"/>
      <c r="B46" s="18"/>
      <c r="C46" s="8"/>
      <c r="D46" s="25">
        <v>28.56</v>
      </c>
      <c r="E46" s="30">
        <v>30087.96</v>
      </c>
      <c r="F46" s="33">
        <v>9617.58</v>
      </c>
      <c r="G46" s="22">
        <f>(1570.8)+(1527.96)</f>
        <v>3098.76</v>
      </c>
      <c r="H46" s="22">
        <v>1750</v>
      </c>
      <c r="I46" s="31"/>
      <c r="J46" s="31"/>
      <c r="K46" s="31"/>
      <c r="L46" s="31"/>
      <c r="M46" s="32">
        <f t="shared" si="1"/>
        <v>44554.3</v>
      </c>
      <c r="N46" s="16"/>
      <c r="O46" s="20">
        <v>2566.44</v>
      </c>
      <c r="P46" s="16">
        <f>(58.54*6)</f>
        <v>351.24</v>
      </c>
      <c r="Q46" s="20">
        <v>72.12</v>
      </c>
      <c r="R46" s="16">
        <f>(5.81*6)</f>
        <v>34.86</v>
      </c>
      <c r="S46" s="16">
        <v>31.38</v>
      </c>
      <c r="T46" s="16">
        <f>(3)+(35.32*6)</f>
        <v>214.92000000000002</v>
      </c>
      <c r="U46" s="16">
        <f>(20.16)+(4.5)+(6)</f>
        <v>30.66</v>
      </c>
      <c r="V46" s="16"/>
      <c r="W46" s="16"/>
      <c r="X46" s="16">
        <f>(88.88*6)</f>
        <v>533.28</v>
      </c>
      <c r="Y46" s="16"/>
      <c r="Z46" s="16"/>
      <c r="AA46" s="16"/>
      <c r="AB46" s="16"/>
      <c r="AC46" s="16"/>
      <c r="AD46" s="16">
        <f>(2098.04+58.16)*6</f>
        <v>12937.199999999999</v>
      </c>
      <c r="AE46" s="16"/>
      <c r="AF46" s="16">
        <v>500</v>
      </c>
      <c r="AG46" s="16"/>
      <c r="AH46" s="9">
        <f t="shared" si="2"/>
        <v>59125.799999999996</v>
      </c>
      <c r="AI46" s="9">
        <f t="shared" si="3"/>
        <v>2700.6</v>
      </c>
    </row>
    <row r="47" spans="1:42" x14ac:dyDescent="0.4">
      <c r="A47" s="48"/>
      <c r="B47" s="18"/>
      <c r="C47" s="8"/>
      <c r="D47" s="25">
        <v>41.87</v>
      </c>
      <c r="E47" s="30">
        <v>88053.63</v>
      </c>
      <c r="F47" s="33">
        <v>20756.8</v>
      </c>
      <c r="G47" s="22"/>
      <c r="H47" s="22">
        <v>3850</v>
      </c>
      <c r="I47" s="31">
        <v>379</v>
      </c>
      <c r="J47" s="31"/>
      <c r="K47" s="31"/>
      <c r="L47" s="31"/>
      <c r="M47" s="32">
        <f t="shared" si="1"/>
        <v>113039.43000000001</v>
      </c>
      <c r="N47" s="16">
        <v>5183.6400000000003</v>
      </c>
      <c r="O47" s="20">
        <v>576</v>
      </c>
      <c r="P47" s="16">
        <f>(58.54*12)</f>
        <v>702.48</v>
      </c>
      <c r="Q47" s="20">
        <v>144.24</v>
      </c>
      <c r="R47" s="16">
        <f t="shared" si="0"/>
        <v>69.72</v>
      </c>
      <c r="S47" s="16">
        <v>62.76</v>
      </c>
      <c r="T47" s="16">
        <f>(18)+(51.77*12)</f>
        <v>639.24</v>
      </c>
      <c r="U47" s="16"/>
      <c r="V47" s="16"/>
      <c r="W47" s="16">
        <v>396.72</v>
      </c>
      <c r="X47" s="16">
        <f>(129.65*12)</f>
        <v>1555.8000000000002</v>
      </c>
      <c r="Y47" s="16"/>
      <c r="Z47" s="16"/>
      <c r="AA47" s="16">
        <v>603.12</v>
      </c>
      <c r="AB47" s="16"/>
      <c r="AC47" s="16">
        <v>6759.6</v>
      </c>
      <c r="AD47" s="16">
        <f>(1530.22+84.84)*12</f>
        <v>19380.72</v>
      </c>
      <c r="AE47" s="16"/>
      <c r="AF47" s="16">
        <v>500</v>
      </c>
      <c r="AG47" s="16"/>
      <c r="AH47" s="9">
        <f t="shared" si="2"/>
        <v>141071.03000000003</v>
      </c>
      <c r="AI47" s="9">
        <f t="shared" si="3"/>
        <v>8542.44</v>
      </c>
    </row>
    <row r="48" spans="1:42" x14ac:dyDescent="0.4">
      <c r="A48" s="48"/>
      <c r="B48" s="18"/>
      <c r="C48" s="8"/>
      <c r="D48" s="25">
        <v>37.090000000000003</v>
      </c>
      <c r="E48" s="30">
        <v>78014.42</v>
      </c>
      <c r="F48" s="33"/>
      <c r="G48" s="22"/>
      <c r="H48" s="22"/>
      <c r="I48" s="31">
        <v>379</v>
      </c>
      <c r="J48" s="31"/>
      <c r="K48" s="31"/>
      <c r="L48" s="31"/>
      <c r="M48" s="32">
        <f t="shared" si="1"/>
        <v>78393.42</v>
      </c>
      <c r="N48" s="16">
        <v>10332.120000000001</v>
      </c>
      <c r="O48" s="20">
        <v>3348</v>
      </c>
      <c r="P48" s="16">
        <f>(58.54*12)</f>
        <v>702.48</v>
      </c>
      <c r="Q48" s="20">
        <v>144.24</v>
      </c>
      <c r="R48" s="16">
        <f t="shared" si="0"/>
        <v>69.72</v>
      </c>
      <c r="S48" s="16"/>
      <c r="T48" s="16">
        <f>(51.6)+(45.68*12)</f>
        <v>599.76</v>
      </c>
      <c r="U48" s="16">
        <f>(453.6)+(77.4)+(885.6)</f>
        <v>1416.6</v>
      </c>
      <c r="V48" s="16"/>
      <c r="W48" s="16">
        <v>396.72</v>
      </c>
      <c r="X48" s="16">
        <f>(114.88*12)</f>
        <v>1378.56</v>
      </c>
      <c r="Y48" s="16"/>
      <c r="Z48" s="16"/>
      <c r="AA48" s="16"/>
      <c r="AB48" s="16"/>
      <c r="AC48" s="16">
        <v>3900.72</v>
      </c>
      <c r="AD48" s="16">
        <f>(1355.82+75.17)*12</f>
        <v>17171.88</v>
      </c>
      <c r="AE48" s="16"/>
      <c r="AF48" s="16">
        <v>500</v>
      </c>
      <c r="AG48" s="16"/>
      <c r="AH48" s="9">
        <f t="shared" si="2"/>
        <v>109147.93999999999</v>
      </c>
      <c r="AI48" s="9">
        <f t="shared" si="3"/>
        <v>9206.2799999999988</v>
      </c>
    </row>
    <row r="49" spans="1:39" x14ac:dyDescent="0.4">
      <c r="A49" s="48"/>
      <c r="B49" s="18"/>
      <c r="C49" s="8"/>
      <c r="D49" s="25">
        <v>24.38</v>
      </c>
      <c r="E49" s="30">
        <v>50342.400000000001</v>
      </c>
      <c r="F49" s="33">
        <v>18.29</v>
      </c>
      <c r="G49" s="22"/>
      <c r="H49" s="22"/>
      <c r="I49" s="31">
        <v>379</v>
      </c>
      <c r="J49" s="31"/>
      <c r="K49" s="31"/>
      <c r="L49" s="31"/>
      <c r="M49" s="32">
        <f t="shared" si="1"/>
        <v>50739.69</v>
      </c>
      <c r="N49" s="16">
        <v>9485.52</v>
      </c>
      <c r="O49" s="20">
        <v>2892.24</v>
      </c>
      <c r="P49" s="16">
        <f>(60.2*12)</f>
        <v>722.40000000000009</v>
      </c>
      <c r="Q49" s="20">
        <v>155.28</v>
      </c>
      <c r="R49" s="16">
        <f t="shared" si="0"/>
        <v>69.72</v>
      </c>
      <c r="S49" s="16">
        <v>69.72</v>
      </c>
      <c r="T49" s="16">
        <f>(1.5)+(26.19*12)</f>
        <v>315.78000000000003</v>
      </c>
      <c r="U49" s="16">
        <f>(4.5)+(12)</f>
        <v>16.5</v>
      </c>
      <c r="V49" s="16"/>
      <c r="W49" s="16"/>
      <c r="X49" s="16">
        <v>0</v>
      </c>
      <c r="Y49" s="16"/>
      <c r="Z49" s="16"/>
      <c r="AA49" s="16">
        <v>291.48</v>
      </c>
      <c r="AB49" s="16"/>
      <c r="AC49" s="16">
        <v>503.59</v>
      </c>
      <c r="AD49" s="16">
        <f>(485.1+26.85)*12</f>
        <v>6143.4000000000005</v>
      </c>
      <c r="AE49" s="16"/>
      <c r="AF49" s="16">
        <v>500</v>
      </c>
      <c r="AG49" s="16"/>
      <c r="AH49" s="9">
        <f t="shared" si="2"/>
        <v>67976.510000000009</v>
      </c>
      <c r="AI49" s="9">
        <f t="shared" si="3"/>
        <v>3928.81</v>
      </c>
    </row>
    <row r="50" spans="1:39" x14ac:dyDescent="0.4">
      <c r="A50" s="48"/>
      <c r="B50" s="18"/>
      <c r="C50" s="8"/>
      <c r="D50" s="25">
        <v>37.020000000000003</v>
      </c>
      <c r="E50" s="30">
        <v>77863.23</v>
      </c>
      <c r="F50" s="33">
        <v>219.33</v>
      </c>
      <c r="G50" s="22"/>
      <c r="H50" s="22"/>
      <c r="I50" s="31">
        <v>379</v>
      </c>
      <c r="J50" s="31"/>
      <c r="K50" s="31"/>
      <c r="L50" s="31"/>
      <c r="M50" s="32">
        <f t="shared" si="1"/>
        <v>78461.56</v>
      </c>
      <c r="N50" s="16">
        <v>13646.4</v>
      </c>
      <c r="O50" s="20">
        <v>5132.88</v>
      </c>
      <c r="P50" s="16">
        <f>(86.66*12)</f>
        <v>1039.92</v>
      </c>
      <c r="Q50" s="20">
        <v>325.92</v>
      </c>
      <c r="R50" s="16">
        <f t="shared" si="0"/>
        <v>69.72</v>
      </c>
      <c r="S50" s="16">
        <v>135.24</v>
      </c>
      <c r="T50" s="16">
        <f>(10.8)+(45.68*12)</f>
        <v>558.95999999999992</v>
      </c>
      <c r="U50" s="16">
        <f>(16.2)+(12)</f>
        <v>28.2</v>
      </c>
      <c r="V50" s="16"/>
      <c r="W50" s="16">
        <v>497.04</v>
      </c>
      <c r="X50" s="16">
        <f>(114.65*12)</f>
        <v>1375.8000000000002</v>
      </c>
      <c r="Y50" s="16"/>
      <c r="Z50" s="16"/>
      <c r="AA50" s="16">
        <v>414.48</v>
      </c>
      <c r="AB50" s="16"/>
      <c r="AC50" s="16">
        <f>(3123.21)+(358.17)</f>
        <v>3481.38</v>
      </c>
      <c r="AD50" s="16">
        <f>(1353.19+75.02)*12</f>
        <v>17138.52</v>
      </c>
      <c r="AE50" s="16"/>
      <c r="AF50" s="16">
        <v>500</v>
      </c>
      <c r="AG50" s="16"/>
      <c r="AH50" s="9">
        <f t="shared" si="2"/>
        <v>112790.88</v>
      </c>
      <c r="AI50" s="9">
        <f t="shared" si="3"/>
        <v>10015.14</v>
      </c>
    </row>
    <row r="51" spans="1:39" x14ac:dyDescent="0.4">
      <c r="B51" s="18"/>
      <c r="C51" s="8"/>
      <c r="D51" s="25"/>
      <c r="E51" s="30"/>
      <c r="F51" s="33"/>
      <c r="G51" s="22"/>
      <c r="H51" s="22"/>
      <c r="I51" s="31"/>
      <c r="J51" s="31"/>
      <c r="K51" s="31"/>
      <c r="L51" s="31"/>
      <c r="M51" s="32">
        <f t="shared" si="1"/>
        <v>0</v>
      </c>
      <c r="N51" s="16"/>
      <c r="O51" s="20"/>
      <c r="P51" s="16"/>
      <c r="Q51" s="20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9">
        <f t="shared" si="2"/>
        <v>0</v>
      </c>
      <c r="AI51" s="9">
        <f t="shared" si="3"/>
        <v>0</v>
      </c>
    </row>
    <row r="52" spans="1:39" x14ac:dyDescent="0.4">
      <c r="B52" s="18"/>
      <c r="C52" s="8"/>
      <c r="D52" s="25"/>
      <c r="E52" s="30"/>
      <c r="F52" s="33"/>
      <c r="G52" s="22"/>
      <c r="H52" s="22"/>
      <c r="I52" s="31"/>
      <c r="J52" s="31"/>
      <c r="K52" s="31"/>
      <c r="L52" s="31"/>
      <c r="M52" s="32">
        <f t="shared" si="1"/>
        <v>0</v>
      </c>
      <c r="N52" s="16"/>
      <c r="O52" s="20"/>
      <c r="P52" s="16"/>
      <c r="Q52" s="20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9">
        <f t="shared" si="2"/>
        <v>0</v>
      </c>
      <c r="AI52" s="9">
        <f t="shared" si="3"/>
        <v>0</v>
      </c>
    </row>
    <row r="53" spans="1:39" x14ac:dyDescent="0.4">
      <c r="B53" s="18"/>
      <c r="C53" s="8"/>
      <c r="D53" s="25"/>
      <c r="E53" s="30"/>
      <c r="F53" s="33"/>
      <c r="G53" s="22"/>
      <c r="H53" s="22"/>
      <c r="I53" s="31"/>
      <c r="J53" s="31"/>
      <c r="K53" s="31"/>
      <c r="L53" s="31"/>
      <c r="M53" s="32">
        <f t="shared" si="1"/>
        <v>0</v>
      </c>
      <c r="N53" s="16"/>
      <c r="O53" s="20"/>
      <c r="P53" s="16"/>
      <c r="Q53" s="20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9">
        <f t="shared" si="2"/>
        <v>0</v>
      </c>
      <c r="AI53" s="9">
        <f t="shared" si="3"/>
        <v>0</v>
      </c>
    </row>
    <row r="54" spans="1:39" x14ac:dyDescent="0.4">
      <c r="B54" s="18"/>
      <c r="C54" s="8"/>
      <c r="D54" s="25"/>
      <c r="E54" s="30"/>
      <c r="F54" s="33"/>
      <c r="G54" s="22"/>
      <c r="H54" s="22"/>
      <c r="I54" s="31"/>
      <c r="J54" s="31"/>
      <c r="K54" s="31"/>
      <c r="L54" s="31"/>
      <c r="M54" s="32">
        <f t="shared" si="1"/>
        <v>0</v>
      </c>
      <c r="N54" s="16"/>
      <c r="O54" s="20"/>
      <c r="P54" s="16"/>
      <c r="Q54" s="20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9">
        <f t="shared" si="2"/>
        <v>0</v>
      </c>
      <c r="AI54" s="9">
        <f t="shared" si="3"/>
        <v>0</v>
      </c>
    </row>
    <row r="55" spans="1:39" x14ac:dyDescent="0.4">
      <c r="B55" s="17"/>
      <c r="C55" s="8"/>
      <c r="D55" s="25"/>
      <c r="E55" s="30"/>
      <c r="F55" s="22"/>
      <c r="G55" s="22"/>
      <c r="H55" s="22"/>
      <c r="I55" s="31"/>
      <c r="J55" s="31"/>
      <c r="K55" s="31"/>
      <c r="L55" s="31"/>
      <c r="M55" s="32">
        <f t="shared" si="1"/>
        <v>0</v>
      </c>
      <c r="N55" s="22"/>
      <c r="O55" s="16"/>
      <c r="P55" s="22"/>
      <c r="Q55" s="22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9">
        <f t="shared" si="2"/>
        <v>0</v>
      </c>
      <c r="AI55" s="9">
        <f t="shared" si="3"/>
        <v>0</v>
      </c>
    </row>
    <row r="56" spans="1:39" x14ac:dyDescent="0.4">
      <c r="B56" s="17"/>
      <c r="C56" s="8"/>
      <c r="D56" s="25"/>
      <c r="E56" s="30"/>
      <c r="F56" s="22"/>
      <c r="G56" s="22"/>
      <c r="H56" s="22"/>
      <c r="I56" s="31"/>
      <c r="J56" s="31"/>
      <c r="K56" s="31"/>
      <c r="L56" s="31"/>
      <c r="M56" s="32">
        <f t="shared" si="1"/>
        <v>0</v>
      </c>
      <c r="N56" s="22"/>
      <c r="O56" s="16"/>
      <c r="P56" s="22"/>
      <c r="Q56" s="22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9">
        <f t="shared" si="2"/>
        <v>0</v>
      </c>
      <c r="AI56" s="9">
        <f t="shared" si="3"/>
        <v>0</v>
      </c>
    </row>
    <row r="57" spans="1:39" x14ac:dyDescent="0.4">
      <c r="B57" s="17"/>
      <c r="C57" s="8"/>
      <c r="D57" s="25"/>
      <c r="E57" s="30"/>
      <c r="F57" s="31"/>
      <c r="G57" s="22"/>
      <c r="H57" s="22"/>
      <c r="I57" s="31"/>
      <c r="J57" s="31"/>
      <c r="K57" s="31"/>
      <c r="L57" s="31"/>
      <c r="M57" s="32">
        <f t="shared" si="1"/>
        <v>0</v>
      </c>
      <c r="N57" s="16"/>
      <c r="O57" s="20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9">
        <f t="shared" si="2"/>
        <v>0</v>
      </c>
      <c r="AI57" s="9">
        <f t="shared" si="3"/>
        <v>0</v>
      </c>
    </row>
    <row r="58" spans="1:39" x14ac:dyDescent="0.4">
      <c r="B58" s="17"/>
      <c r="C58" s="8"/>
      <c r="D58" s="25"/>
      <c r="E58" s="30"/>
      <c r="F58" s="31"/>
      <c r="G58" s="22"/>
      <c r="H58" s="22"/>
      <c r="I58" s="31"/>
      <c r="J58" s="31"/>
      <c r="K58" s="31"/>
      <c r="L58" s="31"/>
      <c r="M58" s="32">
        <f t="shared" si="1"/>
        <v>0</v>
      </c>
      <c r="N58" s="16"/>
      <c r="O58" s="20"/>
      <c r="P58" s="16"/>
      <c r="Q58" s="20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9">
        <f t="shared" si="2"/>
        <v>0</v>
      </c>
      <c r="AI58" s="9">
        <f t="shared" si="3"/>
        <v>0</v>
      </c>
    </row>
    <row r="59" spans="1:39" x14ac:dyDescent="0.4">
      <c r="B59" s="17"/>
      <c r="C59" s="8"/>
      <c r="D59" s="25"/>
      <c r="E59" s="30"/>
      <c r="F59" s="31"/>
      <c r="G59" s="22"/>
      <c r="H59" s="22"/>
      <c r="I59" s="31"/>
      <c r="J59" s="31"/>
      <c r="K59" s="31"/>
      <c r="L59" s="31"/>
      <c r="M59" s="32">
        <f t="shared" si="1"/>
        <v>0</v>
      </c>
      <c r="N59" s="16"/>
      <c r="O59" s="20"/>
      <c r="P59" s="16"/>
      <c r="Q59" s="2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9">
        <f t="shared" si="2"/>
        <v>0</v>
      </c>
      <c r="AI59" s="9">
        <f t="shared" si="3"/>
        <v>0</v>
      </c>
    </row>
    <row r="60" spans="1:39" x14ac:dyDescent="0.4">
      <c r="B60" s="17"/>
      <c r="C60" s="8"/>
      <c r="D60" s="26"/>
      <c r="E60" s="30"/>
      <c r="F60" s="31"/>
      <c r="G60" s="22"/>
      <c r="H60" s="22"/>
      <c r="I60" s="31"/>
      <c r="J60" s="31"/>
      <c r="K60" s="31"/>
      <c r="L60" s="31"/>
      <c r="M60" s="32">
        <f t="shared" si="1"/>
        <v>0</v>
      </c>
      <c r="N60" s="22"/>
      <c r="O60" s="16"/>
      <c r="P60" s="22"/>
      <c r="Q60" s="22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9">
        <f t="shared" si="2"/>
        <v>0</v>
      </c>
      <c r="AI60" s="9">
        <f t="shared" si="3"/>
        <v>0</v>
      </c>
    </row>
    <row r="61" spans="1:39" x14ac:dyDescent="0.4">
      <c r="B61" s="17"/>
      <c r="C61" s="8"/>
      <c r="D61" s="26"/>
      <c r="E61" s="30"/>
      <c r="F61" s="31"/>
      <c r="G61" s="22"/>
      <c r="H61" s="22"/>
      <c r="I61" s="31"/>
      <c r="J61" s="31"/>
      <c r="K61" s="31"/>
      <c r="L61" s="31"/>
      <c r="M61" s="32">
        <f t="shared" si="1"/>
        <v>0</v>
      </c>
      <c r="N61" s="22"/>
      <c r="O61" s="16"/>
      <c r="P61" s="22"/>
      <c r="Q61" s="22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9">
        <f t="shared" si="2"/>
        <v>0</v>
      </c>
      <c r="AI61" s="9">
        <f t="shared" si="3"/>
        <v>0</v>
      </c>
    </row>
    <row r="62" spans="1:39" x14ac:dyDescent="0.4">
      <c r="B62" s="17"/>
      <c r="C62" s="8"/>
      <c r="D62" s="26"/>
      <c r="E62" s="30"/>
      <c r="F62" s="31"/>
      <c r="G62" s="22"/>
      <c r="H62" s="22"/>
      <c r="I62" s="31"/>
      <c r="J62" s="31"/>
      <c r="K62" s="31"/>
      <c r="L62" s="31"/>
      <c r="M62" s="32">
        <f t="shared" si="1"/>
        <v>0</v>
      </c>
      <c r="N62" s="22"/>
      <c r="O62" s="16"/>
      <c r="P62" s="22"/>
      <c r="Q62" s="22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9">
        <f t="shared" si="2"/>
        <v>0</v>
      </c>
      <c r="AI62" s="9">
        <f t="shared" si="3"/>
        <v>0</v>
      </c>
    </row>
    <row r="63" spans="1:39" x14ac:dyDescent="0.4">
      <c r="B63" s="17"/>
      <c r="C63" s="8"/>
      <c r="D63" s="26"/>
      <c r="E63" s="30"/>
      <c r="F63" s="31"/>
      <c r="G63" s="22"/>
      <c r="H63" s="22"/>
      <c r="I63" s="31"/>
      <c r="J63" s="31"/>
      <c r="K63" s="31"/>
      <c r="L63" s="31"/>
      <c r="M63" s="32">
        <f t="shared" si="1"/>
        <v>0</v>
      </c>
      <c r="N63" s="22"/>
      <c r="O63" s="16"/>
      <c r="P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9">
        <f t="shared" si="2"/>
        <v>0</v>
      </c>
      <c r="AI63" s="9">
        <f t="shared" si="3"/>
        <v>0</v>
      </c>
    </row>
    <row r="64" spans="1:39" x14ac:dyDescent="0.4">
      <c r="B64" s="17"/>
      <c r="C64" s="8"/>
      <c r="D64" s="26"/>
      <c r="E64" s="30"/>
      <c r="F64" s="31"/>
      <c r="G64" s="22"/>
      <c r="H64" s="22"/>
      <c r="I64" s="31"/>
      <c r="J64" s="31"/>
      <c r="K64" s="31"/>
      <c r="L64" s="31"/>
      <c r="M64" s="32">
        <f t="shared" si="1"/>
        <v>0</v>
      </c>
      <c r="N64" s="22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9">
        <f t="shared" si="2"/>
        <v>0</v>
      </c>
      <c r="AI64" s="9">
        <f t="shared" si="3"/>
        <v>0</v>
      </c>
      <c r="AL64" s="37"/>
      <c r="AM64" s="21"/>
    </row>
    <row r="65" spans="2:35" x14ac:dyDescent="0.4">
      <c r="B65" s="17"/>
      <c r="C65" s="8"/>
      <c r="D65" s="26"/>
      <c r="E65" s="30"/>
      <c r="F65" s="33"/>
      <c r="G65" s="22"/>
      <c r="H65" s="22"/>
      <c r="I65" s="31"/>
      <c r="J65" s="31"/>
      <c r="K65" s="31"/>
      <c r="L65" s="31"/>
      <c r="M65" s="32">
        <f t="shared" si="1"/>
        <v>0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9">
        <f t="shared" si="2"/>
        <v>0</v>
      </c>
      <c r="AI65" s="9">
        <f t="shared" si="3"/>
        <v>0</v>
      </c>
    </row>
    <row r="66" spans="2:35" x14ac:dyDescent="0.4">
      <c r="B66" s="17"/>
      <c r="C66" s="8"/>
      <c r="D66" s="26"/>
      <c r="E66" s="30"/>
      <c r="F66" s="31"/>
      <c r="G66" s="22"/>
      <c r="H66" s="22"/>
      <c r="I66" s="31"/>
      <c r="J66" s="31"/>
      <c r="K66" s="31"/>
      <c r="L66" s="31"/>
      <c r="M66" s="32">
        <f t="shared" si="1"/>
        <v>0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9">
        <f t="shared" si="2"/>
        <v>0</v>
      </c>
      <c r="AI66" s="9">
        <f t="shared" si="3"/>
        <v>0</v>
      </c>
    </row>
    <row r="67" spans="2:35" x14ac:dyDescent="0.4">
      <c r="B67" s="18"/>
      <c r="C67" s="8"/>
      <c r="D67" s="26"/>
      <c r="E67" s="30"/>
      <c r="F67" s="31"/>
      <c r="G67" s="22"/>
      <c r="H67" s="22"/>
      <c r="I67" s="31"/>
      <c r="J67" s="31"/>
      <c r="K67" s="31"/>
      <c r="L67" s="31"/>
      <c r="M67" s="32">
        <f t="shared" si="1"/>
        <v>0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9">
        <f t="shared" si="2"/>
        <v>0</v>
      </c>
      <c r="AI67" s="9">
        <f t="shared" si="3"/>
        <v>0</v>
      </c>
    </row>
    <row r="68" spans="2:35" x14ac:dyDescent="0.4">
      <c r="B68" s="18"/>
      <c r="C68" s="8"/>
      <c r="D68" s="26"/>
      <c r="E68" s="30"/>
      <c r="F68" s="31"/>
      <c r="G68" s="22"/>
      <c r="H68" s="22"/>
      <c r="I68" s="31"/>
      <c r="J68" s="31"/>
      <c r="K68" s="31"/>
      <c r="L68" s="31"/>
      <c r="M68" s="32">
        <f t="shared" si="1"/>
        <v>0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9">
        <f t="shared" si="2"/>
        <v>0</v>
      </c>
      <c r="AI68" s="9">
        <f t="shared" si="3"/>
        <v>0</v>
      </c>
    </row>
    <row r="69" spans="2:35" x14ac:dyDescent="0.4">
      <c r="B69" s="18"/>
      <c r="C69" s="8"/>
      <c r="D69" s="26"/>
      <c r="E69" s="24"/>
      <c r="F69" s="31"/>
      <c r="G69" s="22"/>
      <c r="H69" s="22"/>
      <c r="I69" s="31"/>
      <c r="J69" s="31"/>
      <c r="K69" s="31"/>
      <c r="L69" s="31"/>
      <c r="M69" s="32">
        <f t="shared" si="1"/>
        <v>0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9">
        <f t="shared" si="2"/>
        <v>0</v>
      </c>
      <c r="AI69" s="9">
        <f t="shared" si="3"/>
        <v>0</v>
      </c>
    </row>
    <row r="70" spans="2:35" x14ac:dyDescent="0.4">
      <c r="B70" s="18"/>
      <c r="C70" s="8"/>
      <c r="D70" s="26"/>
      <c r="E70" s="31"/>
      <c r="F70" s="31"/>
      <c r="G70" s="22"/>
      <c r="H70" s="22"/>
      <c r="I70" s="31"/>
      <c r="J70" s="31"/>
      <c r="K70" s="31"/>
      <c r="L70" s="31"/>
      <c r="M70" s="32">
        <f t="shared" si="1"/>
        <v>0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9">
        <f t="shared" si="2"/>
        <v>0</v>
      </c>
      <c r="AI70" s="9">
        <f t="shared" si="3"/>
        <v>0</v>
      </c>
    </row>
    <row r="71" spans="2:35" x14ac:dyDescent="0.4">
      <c r="B71" s="18"/>
      <c r="C71" s="8"/>
      <c r="D71" s="25"/>
      <c r="E71" s="30"/>
      <c r="F71" s="33"/>
      <c r="G71" s="22"/>
      <c r="H71" s="22"/>
      <c r="I71" s="33"/>
      <c r="J71" s="33"/>
      <c r="K71" s="33"/>
      <c r="L71" s="33"/>
      <c r="M71" s="32">
        <f t="shared" si="1"/>
        <v>0</v>
      </c>
      <c r="N71" s="16"/>
      <c r="O71" s="20"/>
      <c r="P71" s="16"/>
      <c r="Q71" s="20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9">
        <f t="shared" si="2"/>
        <v>0</v>
      </c>
      <c r="AI71" s="9">
        <f t="shared" si="3"/>
        <v>0</v>
      </c>
    </row>
    <row r="72" spans="2:35" x14ac:dyDescent="0.4">
      <c r="B72" s="18"/>
      <c r="C72" s="8"/>
      <c r="D72" s="26"/>
      <c r="E72" s="33"/>
      <c r="F72" s="33"/>
      <c r="G72" s="22"/>
      <c r="H72" s="22"/>
      <c r="I72" s="31"/>
      <c r="J72" s="31"/>
      <c r="K72" s="31"/>
      <c r="L72" s="31"/>
      <c r="M72" s="32">
        <f t="shared" ref="M72:M74" si="6">SUM(E72:L72)</f>
        <v>0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9">
        <f t="shared" ref="AH72:AH74" si="7">+M72+N72+P72+R72+T72+X72+AB72+AD72+AF72+V72+Z72</f>
        <v>0</v>
      </c>
      <c r="AI72" s="9">
        <f t="shared" ref="AI72:AI74" si="8">+O72+Q72+S72+U72+Y72+AC72+AE72+AG72+W72+AA72</f>
        <v>0</v>
      </c>
    </row>
    <row r="73" spans="2:35" x14ac:dyDescent="0.4">
      <c r="B73" s="18"/>
      <c r="C73" s="8"/>
      <c r="D73" s="26"/>
      <c r="E73" s="33"/>
      <c r="F73" s="33"/>
      <c r="G73" s="22"/>
      <c r="H73" s="22"/>
      <c r="I73" s="31"/>
      <c r="J73" s="31"/>
      <c r="K73" s="31"/>
      <c r="L73" s="31"/>
      <c r="M73" s="32">
        <f t="shared" si="6"/>
        <v>0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9">
        <f t="shared" si="7"/>
        <v>0</v>
      </c>
      <c r="AI73" s="9">
        <f t="shared" si="8"/>
        <v>0</v>
      </c>
    </row>
    <row r="74" spans="2:35" x14ac:dyDescent="0.4">
      <c r="B74" s="11"/>
      <c r="C74" s="12"/>
      <c r="D74" s="27"/>
      <c r="E74" s="10"/>
      <c r="F74" s="10"/>
      <c r="G74" s="10"/>
      <c r="H74" s="10"/>
      <c r="I74" s="10"/>
      <c r="J74" s="10"/>
      <c r="K74" s="10"/>
      <c r="L74" s="10"/>
      <c r="M74" s="32">
        <f t="shared" si="6"/>
        <v>0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9">
        <f t="shared" si="7"/>
        <v>0</v>
      </c>
      <c r="AI74" s="9">
        <f t="shared" si="8"/>
        <v>0</v>
      </c>
    </row>
    <row r="75" spans="2:35" x14ac:dyDescent="0.4">
      <c r="B75" s="13" t="s">
        <v>8</v>
      </c>
      <c r="C75" s="14"/>
      <c r="D75" s="28"/>
      <c r="E75" s="40">
        <f t="shared" ref="E75:AI75" si="9">SUM(E7:E74)</f>
        <v>2660988.75</v>
      </c>
      <c r="F75" s="40">
        <f t="shared" si="9"/>
        <v>333924.69</v>
      </c>
      <c r="G75" s="40">
        <f t="shared" si="9"/>
        <v>31125.760000000002</v>
      </c>
      <c r="H75" s="40">
        <f t="shared" si="9"/>
        <v>44520</v>
      </c>
      <c r="I75" s="40">
        <f t="shared" si="9"/>
        <v>15539</v>
      </c>
      <c r="J75" s="40">
        <f t="shared" si="9"/>
        <v>0</v>
      </c>
      <c r="K75" s="40">
        <f t="shared" si="9"/>
        <v>0</v>
      </c>
      <c r="L75" s="40">
        <f t="shared" si="9"/>
        <v>0</v>
      </c>
      <c r="M75" s="40">
        <f t="shared" si="9"/>
        <v>3086098.1999999997</v>
      </c>
      <c r="N75" s="15">
        <f t="shared" si="9"/>
        <v>320377.42000000016</v>
      </c>
      <c r="O75" s="15">
        <f t="shared" si="9"/>
        <v>92146.380000000019</v>
      </c>
      <c r="P75" s="15">
        <f t="shared" si="9"/>
        <v>25959.9</v>
      </c>
      <c r="Q75" s="15">
        <f t="shared" si="9"/>
        <v>4780.6000000000013</v>
      </c>
      <c r="R75" s="15">
        <f t="shared" si="9"/>
        <v>2916.6199999999981</v>
      </c>
      <c r="S75" s="35">
        <f t="shared" si="9"/>
        <v>1914.9700000000003</v>
      </c>
      <c r="T75" s="15">
        <f t="shared" si="9"/>
        <v>19311.079999999998</v>
      </c>
      <c r="U75" s="15">
        <f t="shared" si="9"/>
        <v>12343.95</v>
      </c>
      <c r="V75" s="15">
        <f>SUM(V7:V74)</f>
        <v>0</v>
      </c>
      <c r="W75" s="15">
        <f>SUM(W7:W74)</f>
        <v>6115.8400000000011</v>
      </c>
      <c r="X75" s="15">
        <f t="shared" si="9"/>
        <v>46044.03</v>
      </c>
      <c r="Y75" s="15">
        <f t="shared" si="9"/>
        <v>0</v>
      </c>
      <c r="Z75" s="15">
        <f t="shared" si="9"/>
        <v>0</v>
      </c>
      <c r="AA75" s="15">
        <f t="shared" si="9"/>
        <v>3919.2</v>
      </c>
      <c r="AB75" s="15">
        <f t="shared" si="9"/>
        <v>0</v>
      </c>
      <c r="AC75" s="15">
        <f t="shared" si="9"/>
        <v>128788.52</v>
      </c>
      <c r="AD75" s="15">
        <f>SUM(AD7:AD74)</f>
        <v>501516.64800000004</v>
      </c>
      <c r="AE75" s="15">
        <f>SUM(AE7:AE74)</f>
        <v>0</v>
      </c>
      <c r="AF75" s="15">
        <f t="shared" si="9"/>
        <v>20500</v>
      </c>
      <c r="AG75" s="15">
        <f t="shared" si="9"/>
        <v>0</v>
      </c>
      <c r="AH75" s="15">
        <f t="shared" si="9"/>
        <v>4022723.898</v>
      </c>
      <c r="AI75" s="15">
        <f t="shared" si="9"/>
        <v>250009.46000000002</v>
      </c>
    </row>
  </sheetData>
  <mergeCells count="30">
    <mergeCell ref="X4:Y4"/>
    <mergeCell ref="Z5:AA5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4:O4"/>
    <mergeCell ref="J5:J6"/>
    <mergeCell ref="K5:K6"/>
    <mergeCell ref="V5:W5"/>
    <mergeCell ref="L5:L6"/>
    <mergeCell ref="AB4:AC4"/>
    <mergeCell ref="AD5:AE5"/>
    <mergeCell ref="AH5:AI5"/>
    <mergeCell ref="N5:O5"/>
    <mergeCell ref="P5:Q5"/>
    <mergeCell ref="R5:S5"/>
    <mergeCell ref="T5:U5"/>
    <mergeCell ref="X5:Y5"/>
    <mergeCell ref="AB5:AC5"/>
    <mergeCell ref="AF4:AG4"/>
    <mergeCell ref="AF5:AG5"/>
    <mergeCell ref="P4:Q4"/>
    <mergeCell ref="R4:S4"/>
    <mergeCell ref="T4:U4"/>
  </mergeCells>
  <pageMargins left="0.7" right="0.7" top="0.75" bottom="0.75" header="0.3" footer="0.3"/>
  <ignoredErrors>
    <ignoredError sqref="M7:M74" formulaRange="1"/>
    <ignoredError sqref="O7 O37 P7:P25 Q7:Q52 P27:P38 P40:P52 G43:G46 G33 G21 X7:X50 AC20 AC25 AC35 AC50 AD7:AD52 S46:U46 R47:U50 S43:U43 R44:U45 S21:U21 R22:U42 S9:U9 R10:U20 R7:U8" unlockedFormula="1"/>
    <ignoredError sqref="P26 P39 R9 R21 R43 R4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Heather Temple</cp:lastModifiedBy>
  <cp:lastPrinted>2025-05-16T18:52:09Z</cp:lastPrinted>
  <dcterms:created xsi:type="dcterms:W3CDTF">2023-08-27T19:57:21Z</dcterms:created>
  <dcterms:modified xsi:type="dcterms:W3CDTF">2025-09-22T14:38:38Z</dcterms:modified>
</cp:coreProperties>
</file>