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Clark/Rate Case 2025-00230/COS and Rates/"/>
    </mc:Choice>
  </mc:AlternateContent>
  <xr:revisionPtr revIDLastSave="79" documentId="8_{24B71E86-7FE8-43A7-8AFA-6D3681364FF4}" xr6:coauthVersionLast="47" xr6:coauthVersionMax="47" xr10:uidLastSave="{6FFFF39D-C363-4045-8FF8-1B1855EFD2B7}"/>
  <bookViews>
    <workbookView xWindow="-120" yWindow="-120" windowWidth="29040" windowHeight="15720" tabRatio="701" xr2:uid="{00000000-000D-0000-FFFF-FFFF00000000}"/>
  </bookViews>
  <sheets>
    <sheet name="RevReq" sheetId="35" r:id="rId1"/>
    <sheet name="Adj List" sheetId="48" r:id="rId2"/>
    <sheet name="Adj BS" sheetId="50" r:id="rId3"/>
    <sheet name="Adj IS" sheetId="36" r:id="rId4"/>
    <sheet name="1.01 FAC" sheetId="6" r:id="rId5"/>
    <sheet name="1.02 ES" sheetId="17" r:id="rId6"/>
    <sheet name="1.03 RC" sheetId="28" r:id="rId7"/>
    <sheet name="1.04 CUST" sheetId="33" r:id="rId8"/>
    <sheet name="1.05 GTCC" sheetId="31" r:id="rId9"/>
    <sheet name="1.06 NonRec" sheetId="43" r:id="rId10"/>
    <sheet name="1.07 Depr" sheetId="39" r:id="rId11"/>
    <sheet name="1.08 AdsDonat" sheetId="26" r:id="rId12"/>
    <sheet name="1.09 Dir" sheetId="53" r:id="rId13"/>
    <sheet name="1.10 Int" sheetId="29" r:id="rId14"/>
    <sheet name="1.11 Life" sheetId="54" r:id="rId15"/>
    <sheet name="1.12 Wages" sheetId="55" r:id="rId16"/>
  </sheets>
  <definedNames>
    <definedName name="_xlnm.Print_Area" localSheetId="4">'1.01 FAC'!$A$1:$H$34</definedName>
    <definedName name="_xlnm.Print_Area" localSheetId="5">'1.02 ES'!$A$1:$H$34</definedName>
    <definedName name="_xlnm.Print_Area" localSheetId="6">'1.03 RC'!$A$1:$E$26</definedName>
    <definedName name="_xlnm.Print_Area" localSheetId="7">'1.04 CUST'!$A$1:$J$59</definedName>
    <definedName name="_xlnm.Print_Area" localSheetId="8">'1.05 GTCC'!$A$1:$F$21</definedName>
    <definedName name="_xlnm.Print_Area" localSheetId="9">'1.06 NonRec'!$A$1:$E$22</definedName>
    <definedName name="_xlnm.Print_Area" localSheetId="10">'1.07 Depr'!$A$1:$J$64</definedName>
    <definedName name="_xlnm.Print_Area" localSheetId="11">'1.08 AdsDonat'!$A$1:$F$27</definedName>
    <definedName name="_xlnm.Print_Area" localSheetId="12">'1.09 Dir'!$A$1:$G$22</definedName>
    <definedName name="_xlnm.Print_Area" localSheetId="13">'1.10 Int'!$A$1:$H$49</definedName>
    <definedName name="_xlnm.Print_Area" localSheetId="14">'1.11 Life'!$A$1:$G$23</definedName>
    <definedName name="_xlnm.Print_Area" localSheetId="15">'1.12 Wages'!$A$1:$S$106</definedName>
    <definedName name="_xlnm.Print_Area" localSheetId="2">'Adj BS'!$A$1:$F$68</definedName>
    <definedName name="_xlnm.Print_Area" localSheetId="3">'Adj IS'!$A$1:$U$42</definedName>
    <definedName name="_xlnm.Print_Area" localSheetId="1">'Adj List'!$A$1:$G$19</definedName>
    <definedName name="_xlnm.Print_Area" localSheetId="0">RevReq!$A$1:$F$63</definedName>
    <definedName name="_xlnm.Print_Titles" localSheetId="7">'1.04 CUST'!$1:$11</definedName>
    <definedName name="_xlnm.Print_Titles" localSheetId="11">'1.08 AdsDonat'!$1:$7</definedName>
    <definedName name="_xlnm.Print_Titles" localSheetId="12">'1.09 Dir'!$1:$7</definedName>
    <definedName name="_xlnm.Print_Titles" localSheetId="14">'1.11 Life'!$1:$7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8" l="1"/>
  <c r="A81" i="55"/>
  <c r="A82" i="55" s="1"/>
  <c r="A83" i="55" s="1"/>
  <c r="A84" i="55" s="1"/>
  <c r="A85" i="55" s="1"/>
  <c r="A86" i="55" s="1"/>
  <c r="A87" i="55" s="1"/>
  <c r="A88" i="55" s="1"/>
  <c r="A89" i="55" s="1"/>
  <c r="A90" i="55" s="1"/>
  <c r="A91" i="55" s="1"/>
  <c r="A92" i="55" s="1"/>
  <c r="A93" i="55" s="1"/>
  <c r="A94" i="55" s="1"/>
  <c r="A95" i="55" s="1"/>
  <c r="A96" i="55" s="1"/>
  <c r="K156" i="55"/>
  <c r="K90" i="55"/>
  <c r="K87" i="55"/>
  <c r="K86" i="55"/>
  <c r="K85" i="55"/>
  <c r="K84" i="55"/>
  <c r="K83" i="55"/>
  <c r="K92" i="55" l="1"/>
  <c r="K88" i="55"/>
  <c r="K94" i="55" s="1"/>
  <c r="M83" i="55" s="1"/>
  <c r="K157" i="55" l="1"/>
  <c r="M87" i="55"/>
  <c r="M86" i="55"/>
  <c r="M85" i="55"/>
  <c r="M90" i="55"/>
  <c r="M84" i="55"/>
  <c r="M88" i="55" l="1"/>
  <c r="M92" i="55"/>
  <c r="M94" i="55" s="1"/>
  <c r="E16" i="48" l="1"/>
  <c r="A4" i="29" l="1"/>
  <c r="A3" i="29"/>
  <c r="D33" i="35"/>
  <c r="D35" i="35"/>
  <c r="H37" i="36"/>
  <c r="H35" i="36"/>
  <c r="R79" i="55"/>
  <c r="F79" i="55"/>
  <c r="A4" i="55"/>
  <c r="A3" i="55"/>
  <c r="G79" i="55"/>
  <c r="P78" i="55"/>
  <c r="O78" i="55"/>
  <c r="K78" i="55"/>
  <c r="P77" i="55"/>
  <c r="O77" i="55"/>
  <c r="K77" i="55"/>
  <c r="P76" i="55"/>
  <c r="O76" i="55"/>
  <c r="K76" i="55"/>
  <c r="P75" i="55"/>
  <c r="O75" i="55"/>
  <c r="K75" i="55"/>
  <c r="P74" i="55"/>
  <c r="O74" i="55"/>
  <c r="K74" i="55"/>
  <c r="P73" i="55"/>
  <c r="O73" i="55"/>
  <c r="K73" i="55"/>
  <c r="P72" i="55"/>
  <c r="O72" i="55"/>
  <c r="K72" i="55"/>
  <c r="P71" i="55"/>
  <c r="O71" i="55"/>
  <c r="K71" i="55"/>
  <c r="P70" i="55"/>
  <c r="O70" i="55"/>
  <c r="K70" i="55"/>
  <c r="P69" i="55"/>
  <c r="O69" i="55"/>
  <c r="K69" i="55"/>
  <c r="P68" i="55"/>
  <c r="O68" i="55"/>
  <c r="K68" i="55"/>
  <c r="P67" i="55"/>
  <c r="O67" i="55"/>
  <c r="K67" i="55"/>
  <c r="P66" i="55"/>
  <c r="O66" i="55"/>
  <c r="K66" i="55"/>
  <c r="P65" i="55"/>
  <c r="O65" i="55"/>
  <c r="K65" i="55"/>
  <c r="P64" i="55"/>
  <c r="O64" i="55"/>
  <c r="K64" i="55"/>
  <c r="P63" i="55"/>
  <c r="O63" i="55"/>
  <c r="K63" i="55"/>
  <c r="P62" i="55"/>
  <c r="O62" i="55"/>
  <c r="K62" i="55"/>
  <c r="P61" i="55"/>
  <c r="O61" i="55"/>
  <c r="K61" i="55"/>
  <c r="P60" i="55"/>
  <c r="O60" i="55"/>
  <c r="K60" i="55"/>
  <c r="P59" i="55"/>
  <c r="O59" i="55"/>
  <c r="Q59" i="55" s="1"/>
  <c r="K59" i="55"/>
  <c r="P58" i="55"/>
  <c r="O58" i="55"/>
  <c r="J58" i="55"/>
  <c r="I58" i="55"/>
  <c r="P57" i="55"/>
  <c r="O57" i="55"/>
  <c r="K57" i="55"/>
  <c r="P56" i="55"/>
  <c r="O56" i="55"/>
  <c r="K56" i="55"/>
  <c r="P55" i="55"/>
  <c r="O55" i="55"/>
  <c r="K55" i="55"/>
  <c r="P54" i="55"/>
  <c r="O54" i="55"/>
  <c r="Q54" i="55" s="1"/>
  <c r="K54" i="55"/>
  <c r="P53" i="55"/>
  <c r="O53" i="55"/>
  <c r="K53" i="55"/>
  <c r="P52" i="55"/>
  <c r="O52" i="55"/>
  <c r="K52" i="55"/>
  <c r="P51" i="55"/>
  <c r="O51" i="55"/>
  <c r="K51" i="55"/>
  <c r="P50" i="55"/>
  <c r="O50" i="55"/>
  <c r="K50" i="55"/>
  <c r="P49" i="55"/>
  <c r="O49" i="55"/>
  <c r="K49" i="55"/>
  <c r="P48" i="55"/>
  <c r="O48" i="55"/>
  <c r="K48" i="55"/>
  <c r="P47" i="55"/>
  <c r="O47" i="55"/>
  <c r="J47" i="55"/>
  <c r="I47" i="55"/>
  <c r="P46" i="55"/>
  <c r="O46" i="55"/>
  <c r="J46" i="55"/>
  <c r="I46" i="55"/>
  <c r="P45" i="55"/>
  <c r="O45" i="55"/>
  <c r="J45" i="55"/>
  <c r="I45" i="55"/>
  <c r="P44" i="55"/>
  <c r="O44" i="55"/>
  <c r="K44" i="55"/>
  <c r="P43" i="55"/>
  <c r="O43" i="55"/>
  <c r="K43" i="55"/>
  <c r="P42" i="55"/>
  <c r="O42" i="55"/>
  <c r="K42" i="55"/>
  <c r="P41" i="55"/>
  <c r="O41" i="55"/>
  <c r="K41" i="55"/>
  <c r="P40" i="55"/>
  <c r="O40" i="55"/>
  <c r="K40" i="55"/>
  <c r="P39" i="55"/>
  <c r="O39" i="55"/>
  <c r="K39" i="55"/>
  <c r="P38" i="55"/>
  <c r="O38" i="55"/>
  <c r="K38" i="55"/>
  <c r="P37" i="55"/>
  <c r="O37" i="55"/>
  <c r="K37" i="55"/>
  <c r="P36" i="55"/>
  <c r="O36" i="55"/>
  <c r="K36" i="55"/>
  <c r="P35" i="55"/>
  <c r="O35" i="55"/>
  <c r="J35" i="55"/>
  <c r="K35" i="55" s="1"/>
  <c r="P34" i="55"/>
  <c r="O34" i="55"/>
  <c r="K34" i="55"/>
  <c r="P33" i="55"/>
  <c r="O33" i="55"/>
  <c r="K33" i="55"/>
  <c r="P32" i="55"/>
  <c r="O32" i="55"/>
  <c r="K32" i="55"/>
  <c r="P31" i="55"/>
  <c r="O31" i="55"/>
  <c r="K31" i="55"/>
  <c r="P30" i="55"/>
  <c r="O30" i="55"/>
  <c r="K30" i="55"/>
  <c r="P29" i="55"/>
  <c r="O29" i="55"/>
  <c r="K29" i="55"/>
  <c r="P28" i="55"/>
  <c r="O28" i="55"/>
  <c r="J28" i="55"/>
  <c r="K28" i="55" s="1"/>
  <c r="P27" i="55"/>
  <c r="O27" i="55"/>
  <c r="K27" i="55"/>
  <c r="P26" i="55"/>
  <c r="O26" i="55"/>
  <c r="K26" i="55"/>
  <c r="P25" i="55"/>
  <c r="O25" i="55"/>
  <c r="K25" i="55"/>
  <c r="P24" i="55"/>
  <c r="O24" i="55"/>
  <c r="K24" i="55"/>
  <c r="P23" i="55"/>
  <c r="O23" i="55"/>
  <c r="Q23" i="55" s="1"/>
  <c r="K23" i="55"/>
  <c r="P22" i="55"/>
  <c r="O22" i="55"/>
  <c r="K22" i="55"/>
  <c r="P21" i="55"/>
  <c r="O21" i="55"/>
  <c r="J21" i="55"/>
  <c r="I21" i="55"/>
  <c r="P20" i="55"/>
  <c r="O20" i="55"/>
  <c r="K20" i="55"/>
  <c r="P19" i="55"/>
  <c r="O19" i="55"/>
  <c r="K19" i="55"/>
  <c r="P18" i="55"/>
  <c r="O18" i="55"/>
  <c r="Q18" i="55" s="1"/>
  <c r="K18" i="55"/>
  <c r="P17" i="55"/>
  <c r="O17" i="55"/>
  <c r="J17" i="55"/>
  <c r="K17" i="55" s="1"/>
  <c r="P16" i="55"/>
  <c r="O16" i="55"/>
  <c r="K16" i="55"/>
  <c r="A16" i="55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38" i="55" s="1"/>
  <c r="A39" i="55" s="1"/>
  <c r="A40" i="55" s="1"/>
  <c r="A41" i="55" s="1"/>
  <c r="A42" i="55" s="1"/>
  <c r="A43" i="55" s="1"/>
  <c r="A44" i="55" s="1"/>
  <c r="A45" i="55" s="1"/>
  <c r="A46" i="55" s="1"/>
  <c r="A47" i="55" s="1"/>
  <c r="A48" i="55" s="1"/>
  <c r="A49" i="55" s="1"/>
  <c r="A50" i="55" s="1"/>
  <c r="A51" i="55" s="1"/>
  <c r="A52" i="55" s="1"/>
  <c r="A53" i="55" s="1"/>
  <c r="A54" i="55" s="1"/>
  <c r="A55" i="55" s="1"/>
  <c r="A56" i="55" s="1"/>
  <c r="A57" i="55" s="1"/>
  <c r="A58" i="55" s="1"/>
  <c r="A59" i="55" s="1"/>
  <c r="A60" i="55" s="1"/>
  <c r="A61" i="55" s="1"/>
  <c r="A62" i="55" s="1"/>
  <c r="A63" i="55" s="1"/>
  <c r="A64" i="55" s="1"/>
  <c r="A65" i="55" s="1"/>
  <c r="A66" i="55" s="1"/>
  <c r="A67" i="55" s="1"/>
  <c r="A68" i="55" s="1"/>
  <c r="A69" i="55" s="1"/>
  <c r="A70" i="55" s="1"/>
  <c r="A71" i="55" s="1"/>
  <c r="A72" i="55" s="1"/>
  <c r="A73" i="55" s="1"/>
  <c r="A74" i="55" s="1"/>
  <c r="A75" i="55" s="1"/>
  <c r="A76" i="55" s="1"/>
  <c r="A77" i="55" s="1"/>
  <c r="A78" i="55" s="1"/>
  <c r="A79" i="55" s="1"/>
  <c r="A80" i="55" s="1"/>
  <c r="A97" i="55" s="1"/>
  <c r="A98" i="55" s="1"/>
  <c r="A99" i="55" s="1"/>
  <c r="A100" i="55" s="1"/>
  <c r="A101" i="55" s="1"/>
  <c r="A102" i="55" s="1"/>
  <c r="A103" i="55" s="1"/>
  <c r="A104" i="55" s="1"/>
  <c r="A105" i="55" s="1"/>
  <c r="A106" i="55" s="1"/>
  <c r="P15" i="55"/>
  <c r="O15" i="55"/>
  <c r="K15" i="55"/>
  <c r="F10" i="55"/>
  <c r="G10" i="55" s="1"/>
  <c r="Q75" i="55" l="1"/>
  <c r="Q35" i="55"/>
  <c r="Q30" i="55"/>
  <c r="Q36" i="55"/>
  <c r="S36" i="55" s="1"/>
  <c r="Q62" i="55"/>
  <c r="S62" i="55" s="1"/>
  <c r="Q58" i="55"/>
  <c r="Q22" i="55"/>
  <c r="S22" i="55" s="1"/>
  <c r="Q68" i="55"/>
  <c r="S68" i="55" s="1"/>
  <c r="Q15" i="55"/>
  <c r="S15" i="55" s="1"/>
  <c r="S18" i="55"/>
  <c r="S23" i="55"/>
  <c r="Q28" i="55"/>
  <c r="S28" i="55" s="1"/>
  <c r="Q52" i="55"/>
  <c r="Q65" i="55"/>
  <c r="S65" i="55" s="1"/>
  <c r="Q73" i="55"/>
  <c r="S73" i="55" s="1"/>
  <c r="Q51" i="55"/>
  <c r="S51" i="55" s="1"/>
  <c r="Q72" i="55"/>
  <c r="S72" i="55" s="1"/>
  <c r="Q29" i="55"/>
  <c r="S29" i="55" s="1"/>
  <c r="Q27" i="55"/>
  <c r="S27" i="55" s="1"/>
  <c r="Q40" i="55"/>
  <c r="S40" i="55" s="1"/>
  <c r="Q45" i="55"/>
  <c r="Q47" i="55"/>
  <c r="Q55" i="55"/>
  <c r="S55" i="55" s="1"/>
  <c r="Q41" i="55"/>
  <c r="S41" i="55" s="1"/>
  <c r="Q48" i="55"/>
  <c r="S48" i="55" s="1"/>
  <c r="Q56" i="55"/>
  <c r="S56" i="55" s="1"/>
  <c r="Q61" i="55"/>
  <c r="S61" i="55" s="1"/>
  <c r="Q69" i="55"/>
  <c r="S69" i="55" s="1"/>
  <c r="Q77" i="55"/>
  <c r="S77" i="55" s="1"/>
  <c r="Q19" i="55"/>
  <c r="S19" i="55" s="1"/>
  <c r="Q32" i="55"/>
  <c r="S32" i="55" s="1"/>
  <c r="Q37" i="55"/>
  <c r="S37" i="55" s="1"/>
  <c r="K45" i="55"/>
  <c r="K47" i="55"/>
  <c r="S30" i="55"/>
  <c r="K58" i="55"/>
  <c r="Q60" i="55"/>
  <c r="S60" i="55" s="1"/>
  <c r="Q76" i="55"/>
  <c r="S76" i="55" s="1"/>
  <c r="Q33" i="55"/>
  <c r="S33" i="55" s="1"/>
  <c r="Q43" i="55"/>
  <c r="S43" i="55" s="1"/>
  <c r="Q71" i="55"/>
  <c r="S71" i="55" s="1"/>
  <c r="K46" i="55"/>
  <c r="Q16" i="55"/>
  <c r="S16" i="55" s="1"/>
  <c r="Q26" i="55"/>
  <c r="S26" i="55" s="1"/>
  <c r="Q31" i="55"/>
  <c r="S31" i="55" s="1"/>
  <c r="Q34" i="55"/>
  <c r="S34" i="55" s="1"/>
  <c r="Q39" i="55"/>
  <c r="S39" i="55" s="1"/>
  <c r="Q44" i="55"/>
  <c r="S44" i="55" s="1"/>
  <c r="Q46" i="55"/>
  <c r="Q64" i="55"/>
  <c r="S64" i="55" s="1"/>
  <c r="Q49" i="55"/>
  <c r="S49" i="55" s="1"/>
  <c r="I79" i="55"/>
  <c r="Q38" i="55"/>
  <c r="S38" i="55" s="1"/>
  <c r="Q78" i="55"/>
  <c r="S78" i="55" s="1"/>
  <c r="S52" i="55"/>
  <c r="K21" i="55"/>
  <c r="Q50" i="55"/>
  <c r="S50" i="55" s="1"/>
  <c r="Q57" i="55"/>
  <c r="S57" i="55" s="1"/>
  <c r="Q67" i="55"/>
  <c r="S67" i="55" s="1"/>
  <c r="Q74" i="55"/>
  <c r="S74" i="55" s="1"/>
  <c r="S54" i="55"/>
  <c r="Q66" i="55"/>
  <c r="S66" i="55" s="1"/>
  <c r="J79" i="55"/>
  <c r="S59" i="55"/>
  <c r="Q21" i="55"/>
  <c r="S35" i="55"/>
  <c r="Q42" i="55"/>
  <c r="S42" i="55" s="1"/>
  <c r="S75" i="55"/>
  <c r="Q20" i="55"/>
  <c r="S20" i="55" s="1"/>
  <c r="Q25" i="55"/>
  <c r="S25" i="55" s="1"/>
  <c r="P79" i="55"/>
  <c r="Q17" i="55"/>
  <c r="S17" i="55" s="1"/>
  <c r="Q24" i="55"/>
  <c r="S24" i="55" s="1"/>
  <c r="Q53" i="55"/>
  <c r="S53" i="55" s="1"/>
  <c r="Q63" i="55"/>
  <c r="S63" i="55" s="1"/>
  <c r="Q70" i="55"/>
  <c r="S70" i="55" s="1"/>
  <c r="O79" i="55"/>
  <c r="S46" i="55" l="1"/>
  <c r="S21" i="55"/>
  <c r="S47" i="55"/>
  <c r="S58" i="55"/>
  <c r="S45" i="55"/>
  <c r="S79" i="55" s="1"/>
  <c r="K79" i="55"/>
  <c r="Q79" i="55"/>
  <c r="O83" i="55" l="1"/>
  <c r="O84" i="55"/>
  <c r="O86" i="55"/>
  <c r="O87" i="55"/>
  <c r="O90" i="55"/>
  <c r="O92" i="55" s="1"/>
  <c r="O85" i="55"/>
  <c r="E17" i="48"/>
  <c r="E15" i="48"/>
  <c r="E14" i="48"/>
  <c r="E13" i="48"/>
  <c r="F15" i="26"/>
  <c r="E64" i="39"/>
  <c r="F57" i="39" s="1"/>
  <c r="G57" i="39" s="1"/>
  <c r="E59" i="39"/>
  <c r="F55" i="39"/>
  <c r="G55" i="39" s="1"/>
  <c r="I48" i="39"/>
  <c r="J45" i="39"/>
  <c r="H45" i="39"/>
  <c r="I42" i="39"/>
  <c r="F41" i="39"/>
  <c r="E41" i="39"/>
  <c r="H40" i="39"/>
  <c r="H39" i="39"/>
  <c r="H38" i="39"/>
  <c r="H37" i="39"/>
  <c r="H36" i="39"/>
  <c r="H35" i="39"/>
  <c r="G34" i="39"/>
  <c r="H34" i="39" s="1"/>
  <c r="H41" i="39" s="1"/>
  <c r="J41" i="39" s="1"/>
  <c r="H33" i="39"/>
  <c r="H32" i="39"/>
  <c r="H31" i="39"/>
  <c r="H29" i="39"/>
  <c r="F27" i="39"/>
  <c r="F42" i="39" s="1"/>
  <c r="F48" i="39" s="1"/>
  <c r="E27" i="39"/>
  <c r="E42" i="39" s="1"/>
  <c r="E48" i="39" s="1"/>
  <c r="H26" i="39"/>
  <c r="H25" i="39"/>
  <c r="H24" i="39"/>
  <c r="H23" i="39"/>
  <c r="H22" i="39"/>
  <c r="H21" i="39"/>
  <c r="H20" i="39"/>
  <c r="H19" i="39"/>
  <c r="H18" i="39"/>
  <c r="H17" i="39"/>
  <c r="H16" i="39"/>
  <c r="H15" i="39"/>
  <c r="H27" i="39" s="1"/>
  <c r="H14" i="39"/>
  <c r="A13" i="39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12" i="39"/>
  <c r="O88" i="55" l="1"/>
  <c r="O94" i="55" s="1"/>
  <c r="H42" i="39"/>
  <c r="H48" i="39" s="1"/>
  <c r="J27" i="39"/>
  <c r="J42" i="39" s="1"/>
  <c r="F58" i="39"/>
  <c r="G58" i="39" s="1"/>
  <c r="F56" i="39"/>
  <c r="G56" i="39" s="1"/>
  <c r="F61" i="39"/>
  <c r="F54" i="39"/>
  <c r="G54" i="39" l="1"/>
  <c r="G59" i="39" s="1"/>
  <c r="J46" i="39" s="1"/>
  <c r="J48" i="39" s="1"/>
  <c r="F59" i="39"/>
  <c r="F62" i="39"/>
  <c r="G61" i="39"/>
  <c r="G62" i="39" s="1"/>
  <c r="G64" i="39" s="1"/>
  <c r="F64" i="39" l="1"/>
  <c r="E12" i="48" l="1"/>
  <c r="F68" i="50"/>
  <c r="G44" i="29"/>
  <c r="H44" i="29" s="1"/>
  <c r="E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G30" i="29"/>
  <c r="H30" i="29" s="1"/>
  <c r="H46" i="29" s="1"/>
  <c r="E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G16" i="29"/>
  <c r="H16" i="29" s="1"/>
  <c r="E16" i="29"/>
  <c r="H15" i="29"/>
  <c r="H14" i="29"/>
  <c r="H13" i="29"/>
  <c r="A13" i="29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H12" i="29"/>
  <c r="A12" i="29"/>
  <c r="F19" i="48" l="1"/>
  <c r="F12" i="48"/>
  <c r="G18" i="48" l="1"/>
  <c r="N23" i="36"/>
  <c r="N6" i="36"/>
  <c r="B18" i="48"/>
  <c r="A55" i="35" l="1"/>
  <c r="A56" i="35" s="1"/>
  <c r="C55" i="35"/>
  <c r="D68" i="50"/>
  <c r="F55" i="50"/>
  <c r="F25" i="17" l="1"/>
  <c r="F25" i="6"/>
  <c r="E10" i="48" l="1"/>
  <c r="D10" i="48"/>
  <c r="G25" i="33"/>
  <c r="H25" i="33"/>
  <c r="I25" i="33"/>
  <c r="F25" i="33"/>
  <c r="G55" i="33"/>
  <c r="E8" i="48"/>
  <c r="E7" i="48"/>
  <c r="E57" i="35" l="1"/>
  <c r="E41" i="35"/>
  <c r="E37" i="35"/>
  <c r="E35" i="35"/>
  <c r="E34" i="35"/>
  <c r="E33" i="35"/>
  <c r="E27" i="35"/>
  <c r="E26" i="35"/>
  <c r="E24" i="35"/>
  <c r="E19" i="35"/>
  <c r="E18" i="35"/>
  <c r="E17" i="35"/>
  <c r="E16" i="35"/>
  <c r="E15" i="35"/>
  <c r="C11" i="35"/>
  <c r="A4" i="39" l="1"/>
  <c r="A3" i="39"/>
  <c r="F61" i="50" l="1"/>
  <c r="F63" i="50"/>
  <c r="F19" i="50"/>
  <c r="F17" i="50"/>
  <c r="E21" i="50"/>
  <c r="D21" i="50"/>
  <c r="F14" i="50"/>
  <c r="E12" i="50"/>
  <c r="M6" i="36" l="1"/>
  <c r="L6" i="36"/>
  <c r="K6" i="36"/>
  <c r="J6" i="36"/>
  <c r="I6" i="36"/>
  <c r="H6" i="36"/>
  <c r="G6" i="36"/>
  <c r="F6" i="36"/>
  <c r="E6" i="36"/>
  <c r="D6" i="36"/>
  <c r="C6" i="36"/>
  <c r="U18" i="36"/>
  <c r="U19" i="36"/>
  <c r="U20" i="36"/>
  <c r="U21" i="36"/>
  <c r="U22" i="36"/>
  <c r="F41" i="35"/>
  <c r="E51" i="35"/>
  <c r="A13" i="53"/>
  <c r="A14" i="53" s="1"/>
  <c r="A15" i="53" s="1"/>
  <c r="A16" i="53" s="1"/>
  <c r="A17" i="53" s="1"/>
  <c r="A18" i="53" s="1"/>
  <c r="G15" i="54" l="1"/>
  <c r="G19" i="54" s="1"/>
  <c r="M23" i="36" s="1"/>
  <c r="A13" i="54"/>
  <c r="A14" i="54" s="1"/>
  <c r="A15" i="54" s="1"/>
  <c r="A16" i="54" s="1"/>
  <c r="A17" i="54" s="1"/>
  <c r="A18" i="54" s="1"/>
  <c r="A19" i="54" s="1"/>
  <c r="A4" i="54"/>
  <c r="A3" i="54"/>
  <c r="G14" i="53" l="1"/>
  <c r="G18" i="53" s="1"/>
  <c r="K23" i="36" s="1"/>
  <c r="A4" i="53"/>
  <c r="A3" i="53"/>
  <c r="F15" i="35" l="1"/>
  <c r="F16" i="35"/>
  <c r="F17" i="35"/>
  <c r="F18" i="35"/>
  <c r="F19" i="35"/>
  <c r="F24" i="35"/>
  <c r="F26" i="35"/>
  <c r="F27" i="35"/>
  <c r="F33" i="35"/>
  <c r="F34" i="35"/>
  <c r="F35" i="35"/>
  <c r="F37" i="35"/>
  <c r="A13" i="26" l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D15" i="43" l="1"/>
  <c r="A4" i="43"/>
  <c r="A3" i="43"/>
  <c r="D19" i="43" l="1"/>
  <c r="B1" i="36"/>
  <c r="A1" i="50"/>
  <c r="F12" i="31"/>
  <c r="F14" i="31" s="1"/>
  <c r="A4" i="31"/>
  <c r="A3" i="31"/>
  <c r="A4" i="26"/>
  <c r="A3" i="26"/>
  <c r="A5" i="33"/>
  <c r="A4" i="33"/>
  <c r="A4" i="28"/>
  <c r="A3" i="28"/>
  <c r="A5" i="17"/>
  <c r="A4" i="17"/>
  <c r="A5" i="6"/>
  <c r="A4" i="6"/>
  <c r="D10" i="35" l="1"/>
  <c r="H11" i="36"/>
  <c r="E10" i="35" l="1"/>
  <c r="F10" i="35" s="1"/>
  <c r="C14" i="17"/>
  <c r="C15" i="17" s="1"/>
  <c r="C16" i="17" s="1"/>
  <c r="C17" i="17" s="1"/>
  <c r="C18" i="17" s="1"/>
  <c r="C19" i="17" s="1"/>
  <c r="C20" i="17" s="1"/>
  <c r="C21" i="17" s="1"/>
  <c r="C22" i="17" s="1"/>
  <c r="C23" i="17" s="1"/>
  <c r="C24" i="17" s="1"/>
  <c r="C14" i="6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A1" i="48"/>
  <c r="C58" i="35" l="1"/>
  <c r="C52" i="35"/>
  <c r="C47" i="35"/>
  <c r="E58" i="35" l="1"/>
  <c r="C21" i="35"/>
  <c r="F67" i="50" l="1"/>
  <c r="F66" i="50"/>
  <c r="F62" i="50"/>
  <c r="F60" i="50"/>
  <c r="F59" i="50"/>
  <c r="F58" i="50"/>
  <c r="F56" i="50"/>
  <c r="F52" i="50"/>
  <c r="F51" i="50"/>
  <c r="F50" i="50"/>
  <c r="F49" i="50"/>
  <c r="F48" i="50"/>
  <c r="F45" i="50"/>
  <c r="F44" i="50"/>
  <c r="F43" i="50"/>
  <c r="F42" i="50"/>
  <c r="F41" i="50"/>
  <c r="F36" i="50"/>
  <c r="F35" i="50"/>
  <c r="F32" i="50"/>
  <c r="F31" i="50"/>
  <c r="F30" i="50"/>
  <c r="F29" i="50"/>
  <c r="F28" i="50"/>
  <c r="F27" i="50"/>
  <c r="F26" i="50"/>
  <c r="F25" i="50"/>
  <c r="F24" i="50"/>
  <c r="F23" i="50"/>
  <c r="F20" i="50"/>
  <c r="F18" i="50"/>
  <c r="F16" i="50"/>
  <c r="F15" i="50"/>
  <c r="F11" i="50"/>
  <c r="F9" i="50"/>
  <c r="F8" i="50"/>
  <c r="E64" i="50"/>
  <c r="E53" i="50"/>
  <c r="E46" i="50"/>
  <c r="E33" i="50"/>
  <c r="E38" i="50" s="1"/>
  <c r="D64" i="50"/>
  <c r="D53" i="50"/>
  <c r="D46" i="50"/>
  <c r="D33" i="50"/>
  <c r="E68" i="50" l="1"/>
  <c r="F21" i="50"/>
  <c r="F64" i="50"/>
  <c r="F53" i="50"/>
  <c r="F46" i="50"/>
  <c r="F33" i="50"/>
  <c r="D10" i="50"/>
  <c r="D12" i="50" s="1"/>
  <c r="D38" i="50" l="1"/>
  <c r="F10" i="50"/>
  <c r="F12" i="50" l="1"/>
  <c r="F38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D6" i="50"/>
  <c r="E6" i="50" s="1"/>
  <c r="C7" i="35"/>
  <c r="A54" i="50" l="1"/>
  <c r="A56" i="50" s="1"/>
  <c r="A57" i="50" s="1"/>
  <c r="A58" i="50" s="1"/>
  <c r="A59" i="50" s="1"/>
  <c r="A60" i="50" s="1"/>
  <c r="A61" i="50" s="1"/>
  <c r="A62" i="50" s="1"/>
  <c r="A63" i="50" s="1"/>
  <c r="A64" i="50" s="1"/>
  <c r="A65" i="50" s="1"/>
  <c r="A66" i="50" s="1"/>
  <c r="A67" i="50" s="1"/>
  <c r="A68" i="50" s="1"/>
  <c r="A55" i="50"/>
  <c r="D5" i="48"/>
  <c r="E5" i="48" s="1"/>
  <c r="F5" i="48" s="1"/>
  <c r="G5" i="48" s="1"/>
  <c r="B17" i="48"/>
  <c r="B16" i="48"/>
  <c r="B15" i="48"/>
  <c r="B14" i="48"/>
  <c r="B13" i="48"/>
  <c r="B12" i="48"/>
  <c r="B11" i="48"/>
  <c r="B10" i="48"/>
  <c r="B9" i="48"/>
  <c r="B8" i="48"/>
  <c r="E15" i="43" l="1"/>
  <c r="E19" i="43" s="1"/>
  <c r="H23" i="36" l="1"/>
  <c r="F20" i="26" l="1"/>
  <c r="U39" i="36" l="1"/>
  <c r="U37" i="36"/>
  <c r="U35" i="36"/>
  <c r="U30" i="36"/>
  <c r="U29" i="36"/>
  <c r="T44" i="36" l="1"/>
  <c r="T40" i="36"/>
  <c r="T24" i="36"/>
  <c r="T31" i="36" s="1"/>
  <c r="T45" i="36" l="1"/>
  <c r="T47" i="36" s="1"/>
  <c r="T33" i="36"/>
  <c r="T42" i="36" s="1"/>
  <c r="T48" i="36" l="1"/>
  <c r="A9" i="35" l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51" i="35" s="1"/>
  <c r="A52" i="35" s="1"/>
  <c r="A53" i="35" s="1"/>
  <c r="A54" i="35" s="1"/>
  <c r="A57" i="35" l="1"/>
  <c r="A58" i="35" s="1"/>
  <c r="A59" i="35" s="1"/>
  <c r="A60" i="35" s="1"/>
  <c r="U27" i="36"/>
  <c r="A61" i="35" l="1"/>
  <c r="A62" i="35" s="1"/>
  <c r="A63" i="35" s="1"/>
  <c r="L28" i="36" l="1"/>
  <c r="D25" i="35"/>
  <c r="E25" i="35" s="1"/>
  <c r="F25" i="35" l="1"/>
  <c r="F47" i="35" s="1"/>
  <c r="E47" i="35"/>
  <c r="I26" i="36"/>
  <c r="U26" i="36" s="1"/>
  <c r="D23" i="35"/>
  <c r="U28" i="36"/>
  <c r="E23" i="35" l="1"/>
  <c r="F23" i="35" s="1"/>
  <c r="A12" i="28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13" i="43" l="1"/>
  <c r="A14" i="43" s="1"/>
  <c r="A15" i="43" s="1"/>
  <c r="A16" i="43" s="1"/>
  <c r="A17" i="43" s="1"/>
  <c r="A18" i="43" s="1"/>
  <c r="A19" i="43" s="1"/>
  <c r="E13" i="28" l="1"/>
  <c r="R40" i="36" l="1"/>
  <c r="S40" i="36"/>
  <c r="Q40" i="36"/>
  <c r="P40" i="36"/>
  <c r="N40" i="36"/>
  <c r="M40" i="36"/>
  <c r="M46" i="36" s="1"/>
  <c r="L40" i="36"/>
  <c r="L46" i="36" s="1"/>
  <c r="K40" i="36"/>
  <c r="K46" i="36" s="1"/>
  <c r="J40" i="36"/>
  <c r="J46" i="36" s="1"/>
  <c r="I40" i="36"/>
  <c r="I46" i="36" s="1"/>
  <c r="H40" i="36"/>
  <c r="H46" i="36" s="1"/>
  <c r="F40" i="36"/>
  <c r="F46" i="36" s="1"/>
  <c r="E40" i="36"/>
  <c r="E46" i="36" s="1"/>
  <c r="D40" i="36"/>
  <c r="D46" i="36" s="1"/>
  <c r="C40" i="36"/>
  <c r="C46" i="36" s="1"/>
  <c r="P24" i="36"/>
  <c r="P31" i="36" s="1"/>
  <c r="O24" i="36"/>
  <c r="O31" i="36" s="1"/>
  <c r="L24" i="36"/>
  <c r="L31" i="36" s="1"/>
  <c r="L45" i="36" s="1"/>
  <c r="K24" i="36"/>
  <c r="K31" i="36" s="1"/>
  <c r="K45" i="36" s="1"/>
  <c r="H24" i="36"/>
  <c r="H31" i="36" s="1"/>
  <c r="H45" i="36" s="1"/>
  <c r="G24" i="36"/>
  <c r="G31" i="36" s="1"/>
  <c r="G45" i="36" s="1"/>
  <c r="P12" i="36"/>
  <c r="O12" i="36"/>
  <c r="N12" i="36"/>
  <c r="M12" i="36"/>
  <c r="L12" i="36"/>
  <c r="K12" i="36"/>
  <c r="J12" i="36"/>
  <c r="I12" i="36"/>
  <c r="H12" i="36"/>
  <c r="G12" i="36"/>
  <c r="E12" i="36"/>
  <c r="A8" i="36"/>
  <c r="A9" i="36" s="1"/>
  <c r="A10" i="36" s="1"/>
  <c r="A11" i="36" s="1"/>
  <c r="A12" i="36" s="1"/>
  <c r="A13" i="36" s="1"/>
  <c r="A14" i="36" s="1"/>
  <c r="L47" i="36" l="1"/>
  <c r="G44" i="36"/>
  <c r="K44" i="36"/>
  <c r="K47" i="36" s="1"/>
  <c r="H44" i="36"/>
  <c r="H47" i="36" s="1"/>
  <c r="L44" i="36"/>
  <c r="E44" i="36"/>
  <c r="I44" i="36"/>
  <c r="M44" i="36"/>
  <c r="P45" i="36"/>
  <c r="O44" i="36"/>
  <c r="J44" i="36"/>
  <c r="N44" i="36"/>
  <c r="G16" i="48"/>
  <c r="P44" i="36"/>
  <c r="H33" i="36"/>
  <c r="H42" i="36" s="1"/>
  <c r="L33" i="36"/>
  <c r="L42" i="36" s="1"/>
  <c r="P33" i="36"/>
  <c r="P42" i="36" s="1"/>
  <c r="A15" i="36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G33" i="36"/>
  <c r="K33" i="36"/>
  <c r="K42" i="36" s="1"/>
  <c r="O33" i="36"/>
  <c r="H48" i="36" l="1"/>
  <c r="G15" i="48"/>
  <c r="G12" i="48"/>
  <c r="L48" i="36"/>
  <c r="P47" i="36"/>
  <c r="P48" i="36" s="1"/>
  <c r="K48" i="36"/>
  <c r="A34" i="36"/>
  <c r="A35" i="36" s="1"/>
  <c r="A37" i="36" s="1"/>
  <c r="A38" i="36" s="1"/>
  <c r="A39" i="36" s="1"/>
  <c r="A40" i="36" s="1"/>
  <c r="A41" i="36" s="1"/>
  <c r="A42" i="36" s="1"/>
  <c r="C29" i="35" l="1"/>
  <c r="J44" i="33"/>
  <c r="G56" i="33"/>
  <c r="F39" i="33" s="1"/>
  <c r="G35" i="33"/>
  <c r="H35" i="33"/>
  <c r="I35" i="33"/>
  <c r="F35" i="33"/>
  <c r="C53" i="35" l="1"/>
  <c r="C48" i="35"/>
  <c r="C31" i="35"/>
  <c r="C42" i="35" s="1"/>
  <c r="G39" i="33"/>
  <c r="C39" i="35" l="1"/>
  <c r="H39" i="33"/>
  <c r="C49" i="35" l="1"/>
  <c r="C54" i="35"/>
  <c r="C44" i="35"/>
  <c r="C43" i="35"/>
  <c r="I39" i="33"/>
  <c r="C60" i="35" l="1"/>
  <c r="G27" i="33"/>
  <c r="H27" i="33"/>
  <c r="I30" i="33"/>
  <c r="F27" i="33"/>
  <c r="F30" i="33" l="1"/>
  <c r="F31" i="33" s="1"/>
  <c r="F40" i="33" s="1"/>
  <c r="H30" i="33"/>
  <c r="H31" i="33" s="1"/>
  <c r="G30" i="33"/>
  <c r="G31" i="33" s="1"/>
  <c r="I27" i="33"/>
  <c r="I31" i="33" s="1"/>
  <c r="H40" i="33" l="1"/>
  <c r="H36" i="33"/>
  <c r="G36" i="33"/>
  <c r="G40" i="33"/>
  <c r="J31" i="33"/>
  <c r="F36" i="33"/>
  <c r="I36" i="33"/>
  <c r="I40" i="33"/>
  <c r="E15" i="28"/>
  <c r="E17" i="28" s="1"/>
  <c r="E21" i="28" s="1"/>
  <c r="E23" i="28" s="1"/>
  <c r="E9" i="48" s="1"/>
  <c r="E19" i="48" l="1"/>
  <c r="D20" i="35"/>
  <c r="E23" i="36"/>
  <c r="G9" i="48"/>
  <c r="M24" i="36"/>
  <c r="M31" i="36" s="1"/>
  <c r="J40" i="33"/>
  <c r="J36" i="33"/>
  <c r="F18" i="31"/>
  <c r="F24" i="26"/>
  <c r="F46" i="33" l="1"/>
  <c r="F48" i="33" s="1"/>
  <c r="U11" i="36" s="1"/>
  <c r="G46" i="33"/>
  <c r="G48" i="33" s="1"/>
  <c r="U16" i="36" s="1"/>
  <c r="F15" i="36"/>
  <c r="G17" i="48"/>
  <c r="M45" i="36"/>
  <c r="M47" i="36" s="1"/>
  <c r="E24" i="36"/>
  <c r="E31" i="36" s="1"/>
  <c r="F11" i="48"/>
  <c r="S24" i="36"/>
  <c r="S31" i="36" s="1"/>
  <c r="N24" i="36"/>
  <c r="N31" i="36" s="1"/>
  <c r="M33" i="36"/>
  <c r="M42" i="36" s="1"/>
  <c r="I24" i="36"/>
  <c r="J46" i="33" l="1"/>
  <c r="J48" i="33" s="1"/>
  <c r="U15" i="36"/>
  <c r="F24" i="36"/>
  <c r="F31" i="36" s="1"/>
  <c r="F45" i="36" s="1"/>
  <c r="F9" i="36"/>
  <c r="G10" i="48"/>
  <c r="J23" i="36"/>
  <c r="G11" i="48"/>
  <c r="G38" i="36"/>
  <c r="D36" i="35"/>
  <c r="E36" i="35" s="1"/>
  <c r="E45" i="36"/>
  <c r="E47" i="36" s="1"/>
  <c r="E33" i="36"/>
  <c r="E42" i="36" s="1"/>
  <c r="G14" i="48"/>
  <c r="S45" i="36"/>
  <c r="I31" i="36"/>
  <c r="I45" i="36" s="1"/>
  <c r="I47" i="36" s="1"/>
  <c r="S12" i="36"/>
  <c r="N45" i="36"/>
  <c r="N47" i="36" s="1"/>
  <c r="N33" i="36"/>
  <c r="N42" i="36" s="1"/>
  <c r="M48" i="36"/>
  <c r="O40" i="36"/>
  <c r="O45" i="36" s="1"/>
  <c r="E20" i="35" l="1"/>
  <c r="F20" i="35" s="1"/>
  <c r="U9" i="36"/>
  <c r="F12" i="36"/>
  <c r="G40" i="36"/>
  <c r="U40" i="36" s="1"/>
  <c r="U38" i="36"/>
  <c r="E48" i="36"/>
  <c r="F36" i="35"/>
  <c r="F25" i="48"/>
  <c r="J24" i="36"/>
  <c r="J31" i="36" s="1"/>
  <c r="U23" i="36"/>
  <c r="I33" i="36"/>
  <c r="S44" i="36"/>
  <c r="S47" i="36" s="1"/>
  <c r="S33" i="36"/>
  <c r="S42" i="36" s="1"/>
  <c r="N48" i="36"/>
  <c r="O42" i="36"/>
  <c r="O47" i="36"/>
  <c r="F33" i="36" l="1"/>
  <c r="F42" i="36" s="1"/>
  <c r="F44" i="36"/>
  <c r="F47" i="36" s="1"/>
  <c r="F28" i="48"/>
  <c r="J45" i="36"/>
  <c r="J47" i="36" s="1"/>
  <c r="J33" i="36"/>
  <c r="J42" i="36" s="1"/>
  <c r="G46" i="36"/>
  <c r="G42" i="36"/>
  <c r="W40" i="36"/>
  <c r="G13" i="48"/>
  <c r="I42" i="36"/>
  <c r="S48" i="36"/>
  <c r="O48" i="36"/>
  <c r="F48" i="36" l="1"/>
  <c r="F29" i="48"/>
  <c r="J48" i="36"/>
  <c r="U46" i="36"/>
  <c r="W46" i="36" s="1"/>
  <c r="G47" i="36"/>
  <c r="G48" i="36" s="1"/>
  <c r="F26" i="48"/>
  <c r="E52" i="35"/>
  <c r="I48" i="36"/>
  <c r="H25" i="17" l="1"/>
  <c r="H27" i="17" s="1"/>
  <c r="H31" i="17" s="1"/>
  <c r="F27" i="17"/>
  <c r="F31" i="17" s="1"/>
  <c r="D8" i="48" s="1"/>
  <c r="H25" i="6"/>
  <c r="H27" i="6" s="1"/>
  <c r="H31" i="6" s="1"/>
  <c r="C17" i="36" s="1"/>
  <c r="C24" i="36" s="1"/>
  <c r="C31" i="36" s="1"/>
  <c r="C45" i="36" s="1"/>
  <c r="F27" i="6"/>
  <c r="F31" i="6" s="1"/>
  <c r="D7" i="48" l="1"/>
  <c r="R12" i="36"/>
  <c r="R44" i="36" s="1"/>
  <c r="D10" i="36"/>
  <c r="D12" i="36" s="1"/>
  <c r="D44" i="36" s="1"/>
  <c r="R24" i="36"/>
  <c r="R31" i="36" s="1"/>
  <c r="R33" i="36" s="1"/>
  <c r="R42" i="36" s="1"/>
  <c r="Q24" i="36"/>
  <c r="Q12" i="36"/>
  <c r="C10" i="36" l="1"/>
  <c r="C12" i="36" s="1"/>
  <c r="C44" i="36" s="1"/>
  <c r="C47" i="36" s="1"/>
  <c r="G7" i="48"/>
  <c r="D19" i="48"/>
  <c r="D9" i="35"/>
  <c r="E9" i="35" s="1"/>
  <c r="D17" i="36"/>
  <c r="D14" i="35"/>
  <c r="E14" i="35" s="1"/>
  <c r="R45" i="36"/>
  <c r="G8" i="48"/>
  <c r="R47" i="36"/>
  <c r="R48" i="36" s="1"/>
  <c r="Q31" i="36"/>
  <c r="Q33" i="36" s="1"/>
  <c r="Q44" i="36"/>
  <c r="G19" i="48" l="1"/>
  <c r="C33" i="36"/>
  <c r="C42" i="36" s="1"/>
  <c r="C48" i="36" s="1"/>
  <c r="U10" i="36"/>
  <c r="U12" i="36"/>
  <c r="D28" i="48" s="1"/>
  <c r="D11" i="35"/>
  <c r="F14" i="35"/>
  <c r="F21" i="35" s="1"/>
  <c r="F29" i="35" s="1"/>
  <c r="D21" i="35"/>
  <c r="D29" i="35" s="1"/>
  <c r="D24" i="36"/>
  <c r="U17" i="36"/>
  <c r="U44" i="36"/>
  <c r="Q42" i="36"/>
  <c r="Q45" i="36"/>
  <c r="F48" i="35" l="1"/>
  <c r="D25" i="48"/>
  <c r="D26" i="48"/>
  <c r="D29" i="48"/>
  <c r="D31" i="35"/>
  <c r="E25" i="48"/>
  <c r="E26" i="48" s="1"/>
  <c r="W44" i="36"/>
  <c r="D31" i="36"/>
  <c r="U24" i="36"/>
  <c r="W12" i="36"/>
  <c r="E11" i="35"/>
  <c r="Q47" i="36"/>
  <c r="D39" i="35" l="1"/>
  <c r="G25" i="48" s="1"/>
  <c r="G26" i="48" s="1"/>
  <c r="D45" i="36"/>
  <c r="D33" i="36"/>
  <c r="U31" i="36"/>
  <c r="Q48" i="36"/>
  <c r="D42" i="36" l="1"/>
  <c r="U42" i="36" s="1"/>
  <c r="U33" i="36"/>
  <c r="D47" i="36"/>
  <c r="U45" i="36"/>
  <c r="W45" i="36" s="1"/>
  <c r="W31" i="36"/>
  <c r="E28" i="48"/>
  <c r="E29" i="48" s="1"/>
  <c r="E21" i="35"/>
  <c r="D48" i="36" l="1"/>
  <c r="U47" i="36"/>
  <c r="W42" i="36"/>
  <c r="G28" i="48"/>
  <c r="G29" i="48" s="1"/>
  <c r="E29" i="35"/>
  <c r="E48" i="35" l="1"/>
  <c r="U48" i="36"/>
  <c r="W47" i="36"/>
  <c r="E53" i="35"/>
  <c r="E31" i="35"/>
  <c r="E39" i="35" l="1"/>
  <c r="E42" i="35"/>
  <c r="E43" i="35" l="1"/>
  <c r="E44" i="35"/>
  <c r="E49" i="35"/>
  <c r="E54" i="35"/>
  <c r="E60" i="35"/>
  <c r="B7" i="48"/>
  <c r="H62" i="35" l="1"/>
  <c r="E55" i="35"/>
  <c r="E63" i="35"/>
  <c r="F9" i="35"/>
  <c r="F11" i="35" s="1"/>
  <c r="F31" i="35" l="1"/>
  <c r="F42" i="35" l="1"/>
  <c r="F39" i="35"/>
  <c r="F62" i="35" s="1"/>
  <c r="F49" i="35" l="1"/>
  <c r="F44" i="35"/>
  <c r="F43" i="35"/>
  <c r="F63" i="35"/>
</calcChain>
</file>

<file path=xl/sharedStrings.xml><?xml version="1.0" encoding="utf-8"?>
<sst xmlns="http://schemas.openxmlformats.org/spreadsheetml/2006/main" count="684" uniqueCount="420">
  <si>
    <t>Line</t>
  </si>
  <si>
    <t>Description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</si>
  <si>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</si>
  <si>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</si>
  <si>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</si>
  <si>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</si>
  <si>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</si>
  <si>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</si>
  <si>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</si>
  <si>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</si>
  <si>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</si>
  <si>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</si>
  <si>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</si>
  <si>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</si>
  <si>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TOTAL</t>
  </si>
  <si>
    <t>Adjustment</t>
  </si>
  <si>
    <t>Year</t>
  </si>
  <si>
    <t>Month</t>
  </si>
  <si>
    <t>(1)</t>
  </si>
  <si>
    <t>(3)</t>
  </si>
  <si>
    <t>(2)</t>
  </si>
  <si>
    <t>#</t>
  </si>
  <si>
    <t>Subtotal</t>
  </si>
  <si>
    <t>Revenue</t>
  </si>
  <si>
    <t>Expense</t>
  </si>
  <si>
    <t>(4)</t>
  </si>
  <si>
    <t>Reference Schedule:  1.02</t>
  </si>
  <si>
    <t>Reference Schedule:  1.01</t>
  </si>
  <si>
    <t>Reference Schedule:  1.08</t>
  </si>
  <si>
    <t>Depreciation</t>
  </si>
  <si>
    <t>Donations</t>
  </si>
  <si>
    <t>Rate Case Expenses</t>
  </si>
  <si>
    <t>G&amp;T Capital Credits</t>
  </si>
  <si>
    <t xml:space="preserve">Revenue </t>
  </si>
  <si>
    <t>Total Cost of Electric Service</t>
  </si>
  <si>
    <t>Non-Operating Margins - Interest</t>
  </si>
  <si>
    <t>Non-Operating Margins - Other</t>
  </si>
  <si>
    <t>Test Year Amount</t>
  </si>
  <si>
    <t>Pro Forma Year Amount</t>
  </si>
  <si>
    <t>This adjustment removes the FAC revenues and expenses from the test period.</t>
  </si>
  <si>
    <t>This adjustment removes the Envionmental Surcharge revenues and expenses from the test period.</t>
  </si>
  <si>
    <t>Item</t>
  </si>
  <si>
    <t>Account</t>
  </si>
  <si>
    <t>Total Amount</t>
  </si>
  <si>
    <t>Amortization Period (Years)</t>
  </si>
  <si>
    <t>Total</t>
  </si>
  <si>
    <t>Annual Amortization Amount</t>
  </si>
  <si>
    <t>This adjustment estimates the rate case costs amortized over a 3 year period, consistent with standard Commission practice.</t>
  </si>
  <si>
    <t>This adjustment removes the G&amp;T Capital Credits from the test period, consistent with Commission practice.</t>
  </si>
  <si>
    <t>East Kentucky Power Cooperative</t>
  </si>
  <si>
    <t>Year-End Customers</t>
  </si>
  <si>
    <t>(5)</t>
  </si>
  <si>
    <t>(6)</t>
  </si>
  <si>
    <t>(7)</t>
  </si>
  <si>
    <t>(8)</t>
  </si>
  <si>
    <t>Average</t>
  </si>
  <si>
    <t>Total kWh</t>
  </si>
  <si>
    <t>Average kWh</t>
  </si>
  <si>
    <t>Year-End kWh Adjustment</t>
  </si>
  <si>
    <t>Current Base Rate Revenue</t>
  </si>
  <si>
    <t>Average Revenue per kWh</t>
  </si>
  <si>
    <t>Year End Revenue Adj</t>
  </si>
  <si>
    <t>Revenue Adjustment</t>
  </si>
  <si>
    <t>Expense Adjustment</t>
  </si>
  <si>
    <t>Year End Expense Adj</t>
  </si>
  <si>
    <t>Total Purchased Power Expense</t>
  </si>
  <si>
    <t>Less Environmental Surcharge</t>
  </si>
  <si>
    <t>Less Fuel Adjustment Clause</t>
  </si>
  <si>
    <t>Adjusted Purchased Power Expense</t>
  </si>
  <si>
    <t>Total Purchased Power kWh</t>
  </si>
  <si>
    <t>End of Period Increase over Avg</t>
  </si>
  <si>
    <t>For Expense Adjustment:</t>
  </si>
  <si>
    <t>Avg Adj Purchase Exp per kWh</t>
  </si>
  <si>
    <t>Net Rev</t>
  </si>
  <si>
    <t>Interest on LTD</t>
  </si>
  <si>
    <t>TIER</t>
  </si>
  <si>
    <t>GTCC</t>
  </si>
  <si>
    <t>Operating Revenues</t>
  </si>
  <si>
    <t>Operating Expenses:</t>
  </si>
  <si>
    <t>Purchased Power</t>
  </si>
  <si>
    <t>Distribution Operations</t>
  </si>
  <si>
    <t>Distribution Maintenance</t>
  </si>
  <si>
    <t>Customer Accounts</t>
  </si>
  <si>
    <t>Customer Service</t>
  </si>
  <si>
    <t>Sales Expense</t>
  </si>
  <si>
    <t>A&amp;G</t>
  </si>
  <si>
    <t>Total O&amp;M Expense</t>
  </si>
  <si>
    <t xml:space="preserve">Depreciation </t>
  </si>
  <si>
    <t>Taxes - Other</t>
  </si>
  <si>
    <t>Interest - Other</t>
  </si>
  <si>
    <t>Other Deductions</t>
  </si>
  <si>
    <t>Utility Operating Margins</t>
  </si>
  <si>
    <t>Other Capital Credits</t>
  </si>
  <si>
    <t>Net Margins</t>
  </si>
  <si>
    <t>TIER excluding GTCC</t>
  </si>
  <si>
    <t>OTIER</t>
  </si>
  <si>
    <t>Rate</t>
  </si>
  <si>
    <t>Operating Revenues:</t>
  </si>
  <si>
    <t xml:space="preserve">        FAC &amp; ES</t>
  </si>
  <si>
    <t>Services</t>
  </si>
  <si>
    <t>Total Revenues</t>
  </si>
  <si>
    <t xml:space="preserve">        Base Rates</t>
  </si>
  <si>
    <t xml:space="preserve">    Total Operating Expenses</t>
  </si>
  <si>
    <t>Total Non-Operating Margins</t>
  </si>
  <si>
    <t>Interest on Long Term Debt</t>
  </si>
  <si>
    <t>Interest Expense - Other</t>
  </si>
  <si>
    <t>Base Rates</t>
  </si>
  <si>
    <t>FAC &amp; ES</t>
  </si>
  <si>
    <t>Other Electric Revenue</t>
  </si>
  <si>
    <t>Distribution - Operations</t>
  </si>
  <si>
    <t>Distribution - Maintenance</t>
  </si>
  <si>
    <t>Consumer Accounts</t>
  </si>
  <si>
    <t>Sales</t>
  </si>
  <si>
    <t>Administrative and General</t>
  </si>
  <si>
    <t>Consulting - Catalyst Consulting LLC</t>
  </si>
  <si>
    <t>Actual Test Yr</t>
  </si>
  <si>
    <t>Pro Forma Test Yr</t>
  </si>
  <si>
    <t>Expense Adj</t>
  </si>
  <si>
    <t>Revenue Adj</t>
  </si>
  <si>
    <t>Net Adj</t>
  </si>
  <si>
    <t>Check</t>
  </si>
  <si>
    <t>Reference Schedule:  1.05</t>
  </si>
  <si>
    <t>Reference Schedule:  1.04</t>
  </si>
  <si>
    <t>Reference Schedule:  1.03</t>
  </si>
  <si>
    <t>Reference Schedule:  1.09</t>
  </si>
  <si>
    <t>Reference Schedule:  1.10</t>
  </si>
  <si>
    <t>Environmental Surcharge</t>
  </si>
  <si>
    <t xml:space="preserve">Fuel Adjustment Clause </t>
  </si>
  <si>
    <t>Stores</t>
  </si>
  <si>
    <t>Transportation</t>
  </si>
  <si>
    <t>Meters</t>
  </si>
  <si>
    <t>Administrative &amp; General</t>
  </si>
  <si>
    <t>580-589</t>
  </si>
  <si>
    <t>Operations</t>
  </si>
  <si>
    <t>590-598</t>
  </si>
  <si>
    <t>Maintenance</t>
  </si>
  <si>
    <t>901-905</t>
  </si>
  <si>
    <t>920-935</t>
  </si>
  <si>
    <t>Type of Debt Issued</t>
  </si>
  <si>
    <t>CFC Loans</t>
  </si>
  <si>
    <t>Total Adjustment</t>
  </si>
  <si>
    <t>Pro Forma Adj</t>
  </si>
  <si>
    <t>A</t>
  </si>
  <si>
    <t>B</t>
  </si>
  <si>
    <t>Alloc</t>
  </si>
  <si>
    <t>Labor $</t>
  </si>
  <si>
    <t>Test Yr Ending Bal</t>
  </si>
  <si>
    <t>Normalized Expense</t>
  </si>
  <si>
    <t>Test Year Expense</t>
  </si>
  <si>
    <t>Acct #</t>
  </si>
  <si>
    <t>Fully Depr Items</t>
  </si>
  <si>
    <t>Distribution Plant</t>
  </si>
  <si>
    <t>Station equipment</t>
  </si>
  <si>
    <t>Poles, towers &amp; fixtures</t>
  </si>
  <si>
    <t>Overhead conductors &amp; devices</t>
  </si>
  <si>
    <t>Underground conduit</t>
  </si>
  <si>
    <t>Underground conductor &amp; devices</t>
  </si>
  <si>
    <t>Line transformers</t>
  </si>
  <si>
    <t>Installations on customer premises</t>
  </si>
  <si>
    <t>Land</t>
  </si>
  <si>
    <t>Structures and improvements</t>
  </si>
  <si>
    <t>Office furn and eqt</t>
  </si>
  <si>
    <t>Tools, shop and garage</t>
  </si>
  <si>
    <t>Laboratory</t>
  </si>
  <si>
    <t>Power operated</t>
  </si>
  <si>
    <t>Communications</t>
  </si>
  <si>
    <t>Miscellaneous</t>
  </si>
  <si>
    <t>General Plant</t>
  </si>
  <si>
    <t>Transporation Charged to Clearing</t>
  </si>
  <si>
    <t>Allocation of Clearing to O&amp;M</t>
  </si>
  <si>
    <t>Depr $</t>
  </si>
  <si>
    <t>Distribution &amp; General Subtotal</t>
  </si>
  <si>
    <t>Total Operating Revenue</t>
  </si>
  <si>
    <t>Total Sales of Electric Energy</t>
  </si>
  <si>
    <t>Cash Receipts from Lenders</t>
  </si>
  <si>
    <t>Pro Forma Amount</t>
  </si>
  <si>
    <t>Donations, Promotional Advertising, &amp; Dues</t>
  </si>
  <si>
    <t>Variance</t>
  </si>
  <si>
    <t>Summary of Pro Forma Adjustments</t>
  </si>
  <si>
    <t>Fuel Adjustment Clause</t>
  </si>
  <si>
    <t>Non-Operating Income</t>
  </si>
  <si>
    <t>Net Margin</t>
  </si>
  <si>
    <t>This adjustment adjusts the test year expenses and revenues to reflect the number of customers at the end of the test year.</t>
  </si>
  <si>
    <t>Reference Schedule</t>
  </si>
  <si>
    <t>Summary of Adjustments to Test Year Statement of Operations</t>
  </si>
  <si>
    <t>Summary of Adjustments to Test Year Balance Sheet</t>
  </si>
  <si>
    <t>Assets and Other Debits</t>
  </si>
  <si>
    <t>Total Utility Plant in Service</t>
  </si>
  <si>
    <t>Construction Work in Progress</t>
  </si>
  <si>
    <t>Total Utility Plant</t>
  </si>
  <si>
    <t>Accum Provision for Depr and Amort</t>
  </si>
  <si>
    <t>Net Utility Plant</t>
  </si>
  <si>
    <t>Investment in Assoc Org - Patr Capital</t>
  </si>
  <si>
    <t>Investment in Assoc Org - Other Gen Fnd</t>
  </si>
  <si>
    <t>Investment in Assoc Org - Non Gen Fnd</t>
  </si>
  <si>
    <t>Other Investment</t>
  </si>
  <si>
    <t>Total Other Prop &amp; Investments</t>
  </si>
  <si>
    <t>Cash - General Funds</t>
  </si>
  <si>
    <t>Cash - Construction Fund Trust</t>
  </si>
  <si>
    <t>Special Deposits</t>
  </si>
  <si>
    <t>Temporary Investments</t>
  </si>
  <si>
    <t>Accts Receivable - Other (Net)</t>
  </si>
  <si>
    <t>Accts Receivable - Sales Energy (Net)</t>
  </si>
  <si>
    <t>Renewable Energy Credits</t>
  </si>
  <si>
    <t>Material &amp; Supplies - Elec &amp; Other</t>
  </si>
  <si>
    <t>Prepayments</t>
  </si>
  <si>
    <t>Other Current &amp; Accr Assets</t>
  </si>
  <si>
    <t>Total Current &amp; Accr Assets</t>
  </si>
  <si>
    <t>Other Regulatory Assets</t>
  </si>
  <si>
    <t>Other Deferred Debits</t>
  </si>
  <si>
    <t>Total Assets &amp; Other Debits</t>
  </si>
  <si>
    <t>Liabilities &amp; Other Credits</t>
  </si>
  <si>
    <t>Memberships</t>
  </si>
  <si>
    <t>Patronage Capital</t>
  </si>
  <si>
    <t>Operating Margins - Current Year</t>
  </si>
  <si>
    <t>Non-Operating Margins</t>
  </si>
  <si>
    <t>Other Margins &amp; Equities</t>
  </si>
  <si>
    <t>Total Margins &amp; Equities</t>
  </si>
  <si>
    <t>Long Term Debt - RUS (Net)</t>
  </si>
  <si>
    <t>Long Term Debt - FFB - RUS GUAR</t>
  </si>
  <si>
    <t>Long Term Debt - Other - RUS GUAR</t>
  </si>
  <si>
    <t>Long Term Debt - Other (Net)</t>
  </si>
  <si>
    <t>Long Term Debt - RUS -Econ Dev - Net</t>
  </si>
  <si>
    <t>Total Long Term Debt</t>
  </si>
  <si>
    <t>Accum Operating Provisions</t>
  </si>
  <si>
    <t>Notes Payable</t>
  </si>
  <si>
    <t>Accounts Payable</t>
  </si>
  <si>
    <t>Consumer Deposits</t>
  </si>
  <si>
    <t>Other Current &amp; Accr Liabilities</t>
  </si>
  <si>
    <t>Total Current &amp; Accr Liabilities</t>
  </si>
  <si>
    <t>Regulatory Liabilities</t>
  </si>
  <si>
    <t>Other Deferred Credits</t>
  </si>
  <si>
    <t>Total Liabilities &amp; Other Credits</t>
  </si>
  <si>
    <t>Pro Forma Adjs</t>
  </si>
  <si>
    <t>Statement of Operations &amp; Revenue Requirement</t>
  </si>
  <si>
    <t>Income(Loss) from Equity Investments</t>
  </si>
  <si>
    <t>29a</t>
  </si>
  <si>
    <t>Income(Loss) from Equity Invstmts</t>
  </si>
  <si>
    <t>CLARK ENERGY COOPERATIVE</t>
  </si>
  <si>
    <t>Target TIER</t>
  </si>
  <si>
    <t>Margins at Target TIER</t>
  </si>
  <si>
    <t>Revenue Requirement</t>
  </si>
  <si>
    <t>Revenue Deficiency (Excess)</t>
  </si>
  <si>
    <t>Target OTIER</t>
  </si>
  <si>
    <t>Margins at Target OTIER</t>
  </si>
  <si>
    <t xml:space="preserve">Permissible Increase </t>
  </si>
  <si>
    <t>Life Insurance Premiums</t>
  </si>
  <si>
    <t>GS Rate C</t>
  </si>
  <si>
    <t>Res Rate R</t>
  </si>
  <si>
    <t>GS Rate L</t>
  </si>
  <si>
    <t>Pub Rate E</t>
  </si>
  <si>
    <t xml:space="preserve">Test Period </t>
  </si>
  <si>
    <t>Non-Recurring Items</t>
  </si>
  <si>
    <t>This adjustment adjusts revenues and expenses to remove any non-recurring items.</t>
  </si>
  <si>
    <t>Street Lighting / signal systems</t>
  </si>
  <si>
    <t>Depreciation Expense Normalization</t>
  </si>
  <si>
    <t>KY Living Magazine</t>
  </si>
  <si>
    <t>Misc Expense</t>
  </si>
  <si>
    <t>Member Education</t>
  </si>
  <si>
    <t>Membership Dues</t>
  </si>
  <si>
    <t>Misc Advertising Expense</t>
  </si>
  <si>
    <t>Annual Meeting - Prizes/Shirts</t>
  </si>
  <si>
    <t>Advertising &amp; Donations</t>
  </si>
  <si>
    <t>Actual Test Year</t>
  </si>
  <si>
    <t>Automated Meter Reading</t>
  </si>
  <si>
    <t>AMI/TS2 Modules</t>
  </si>
  <si>
    <t>RF Metering</t>
  </si>
  <si>
    <t>Computer/equipment</t>
  </si>
  <si>
    <t>Computer software</t>
  </si>
  <si>
    <t>Directors Expense</t>
  </si>
  <si>
    <t>Interest</t>
  </si>
  <si>
    <t xml:space="preserve">CFC LTD/Interest Accrual </t>
  </si>
  <si>
    <t>FBB Loans</t>
  </si>
  <si>
    <t>FFB Quarterly Payment</t>
  </si>
  <si>
    <t>Actual       Amount</t>
  </si>
  <si>
    <t>Pro Forma Date</t>
  </si>
  <si>
    <t>Actual        Date</t>
  </si>
  <si>
    <t>Year-End Customer Normalization</t>
  </si>
  <si>
    <t>This adjustment removes charitable donations, promotional advertising expenses, and other applicable items from the revenue requirement consistent with standard Commission practices.</t>
  </si>
  <si>
    <t>930.40-50</t>
  </si>
  <si>
    <t>A+B</t>
  </si>
  <si>
    <t>Balance Sheet Accounts</t>
  </si>
  <si>
    <t>Life Insurance Premiums - spouses</t>
  </si>
  <si>
    <t>Life Insurance Premiums - employees</t>
  </si>
  <si>
    <t>Intangible Plant</t>
  </si>
  <si>
    <t>This adjustment normalizes depreciation expenses by replacing test year actual expenses with test year end balances, less any fully depreciated items, at approved depreciation rates.</t>
  </si>
  <si>
    <t>907-912</t>
  </si>
  <si>
    <t>Capital</t>
  </si>
  <si>
    <t>Director Expenses</t>
  </si>
  <si>
    <t>This adjustment removes certain Director expenses from the revenue requirement consistent with the Commission Orders in Case No. 2018-00407.</t>
  </si>
  <si>
    <t>Pro Forma Adjustments</t>
  </si>
  <si>
    <t>Checks</t>
  </si>
  <si>
    <t>Sum from Rev Req page</t>
  </si>
  <si>
    <t>Sum from Adj IS page</t>
  </si>
  <si>
    <t>Var from Adj List</t>
  </si>
  <si>
    <t>Non Oper Adj</t>
  </si>
  <si>
    <t xml:space="preserve">Reference Schedule &gt;     </t>
  </si>
  <si>
    <t xml:space="preserve">Item  &gt;     </t>
  </si>
  <si>
    <t>Proposed Rates</t>
  </si>
  <si>
    <t>Increase $</t>
  </si>
  <si>
    <t>Increase %</t>
  </si>
  <si>
    <t>Investment in Subsidiary Companies</t>
  </si>
  <si>
    <t>Investment in Economic Development Projects</t>
  </si>
  <si>
    <t>Special Funds</t>
  </si>
  <si>
    <t>Current Maturities LTD</t>
  </si>
  <si>
    <t>Director Elections</t>
  </si>
  <si>
    <t>Reference Schedule:  1.06</t>
  </si>
  <si>
    <t>Reference Schedule:  1.07</t>
  </si>
  <si>
    <t>Reference Schedule:  1.11</t>
  </si>
  <si>
    <t>Test Year Total Amount</t>
  </si>
  <si>
    <t>For the 12 Months Ended December 31, 2024</t>
  </si>
  <si>
    <t>Legal - Honaker Law Firm</t>
  </si>
  <si>
    <t>Booked balance</t>
  </si>
  <si>
    <t>Booked Balance</t>
  </si>
  <si>
    <t>Less DLC &amp; Other Charges</t>
  </si>
  <si>
    <t>Obligations Under Capital Leases-Noncurrent</t>
  </si>
  <si>
    <t>Current Maturities LTD - Capital Leases</t>
  </si>
  <si>
    <t>Associated Increase %</t>
  </si>
  <si>
    <t>At</t>
  </si>
  <si>
    <t>Percentage Cap on Increase %</t>
  </si>
  <si>
    <t>Percentage Cap Increase Amount $</t>
  </si>
  <si>
    <t>Wages</t>
  </si>
  <si>
    <t>Acct 923 - Design Fee</t>
  </si>
  <si>
    <t>Acct 421 - ERC Tax Credit</t>
  </si>
  <si>
    <t>Acct 419 - Interest ERC Tax Credit</t>
  </si>
  <si>
    <t>RUS Loans</t>
  </si>
  <si>
    <t>Interest Accrued/RUS</t>
  </si>
  <si>
    <t xml:space="preserve">This adjustment normalizes the interest on Long-Term Debt.  Test year cost of debt is adjusted to 2025 debt payment schedule for each loan.  </t>
  </si>
  <si>
    <t>The regulation calls for the removal of Life Insurance premiums above the lesser of employee salary or $50,000 per employee from the revenue requirement.  In this case for simplicity Clark Energy has removed all life insurance premiums from the revenue requirement.</t>
  </si>
  <si>
    <t>Wages &amp; Salaries</t>
  </si>
  <si>
    <t>Hours Worked</t>
  </si>
  <si>
    <t>Actual Test Year Wages</t>
  </si>
  <si>
    <t>2025 Wage Rate</t>
  </si>
  <si>
    <t>Pro Forma Wages at 2,080 Hours</t>
  </si>
  <si>
    <t>Pro Forma Adjustment</t>
  </si>
  <si>
    <t>ID</t>
  </si>
  <si>
    <t>Regular</t>
  </si>
  <si>
    <t>Overtime</t>
  </si>
  <si>
    <t>Wage</t>
  </si>
  <si>
    <t>Normalized Wages</t>
  </si>
  <si>
    <t>@ 2,080 Hours</t>
  </si>
  <si>
    <t>Employee ID</t>
  </si>
  <si>
    <t>Reg Hrs</t>
  </si>
  <si>
    <t>OT Hrs</t>
  </si>
  <si>
    <t>Current</t>
  </si>
  <si>
    <t>C</t>
  </si>
  <si>
    <t>D</t>
  </si>
  <si>
    <t>E</t>
  </si>
  <si>
    <t>F</t>
  </si>
  <si>
    <t>G</t>
  </si>
  <si>
    <t>H</t>
  </si>
  <si>
    <t>Notes</t>
  </si>
  <si>
    <t>Began employment with Clark during 2025.</t>
  </si>
  <si>
    <t>Part-time employee must work less than 1,000 hours.</t>
  </si>
  <si>
    <t>Bonus pay not included.</t>
  </si>
  <si>
    <t>Out of office during a significant portion of 2024 due to health.</t>
  </si>
  <si>
    <t>Began employment with Clark during 2024.</t>
  </si>
  <si>
    <t>Retired in 2024.</t>
  </si>
  <si>
    <t>Terminated employment during 2024.</t>
  </si>
  <si>
    <t>Reference Schedule: 1.12</t>
  </si>
  <si>
    <t>Seasonal</t>
  </si>
  <si>
    <t>Act ID</t>
  </si>
  <si>
    <t>Labor Expense Summary</t>
  </si>
  <si>
    <t>901-903</t>
  </si>
  <si>
    <t>908-910</t>
  </si>
  <si>
    <t>907-910</t>
  </si>
  <si>
    <t>Total Expense Adj</t>
  </si>
  <si>
    <t>Non-Expense Accounts (Balance Sheet)</t>
  </si>
  <si>
    <t>GL Acct</t>
  </si>
  <si>
    <t>GL Account Description</t>
  </si>
  <si>
    <t>Tot Amt</t>
  </si>
  <si>
    <t>CONSTRUCTION WIP</t>
  </si>
  <si>
    <t>RETIREMENT WIP</t>
  </si>
  <si>
    <t>STORM ASSISTANCE RECEIVABLE</t>
  </si>
  <si>
    <t>STORES EXPENSE</t>
  </si>
  <si>
    <t>TRANSPORTATION EXPENSE</t>
  </si>
  <si>
    <t>ACCRUAL-PAYROLL/CHRISTMAS GIFT</t>
  </si>
  <si>
    <t>ACCRUED LIABILITIES/VACATION</t>
  </si>
  <si>
    <t>ACCRUED LIABILITIES-SICK LEAVE</t>
  </si>
  <si>
    <t>SUBSIDIARIES/PROPANE EXPENSES</t>
  </si>
  <si>
    <t>OPERATION:SUPERVISION:ENGINEER</t>
  </si>
  <si>
    <t>OVERHEAD LINE EXPENSE</t>
  </si>
  <si>
    <t>LINE EXPENSE/TROUBLE CALLS</t>
  </si>
  <si>
    <t>OVERHEAD EQUIP/INSPECTION</t>
  </si>
  <si>
    <t>METER EXPENSE</t>
  </si>
  <si>
    <t>ROUTINE METER CHANGES</t>
  </si>
  <si>
    <t>CONSUMER INSTALLATION EXPENSE</t>
  </si>
  <si>
    <t>MISCELLANEOUS DISTRIBUTION EX</t>
  </si>
  <si>
    <t>MAPPING/DATABASE</t>
  </si>
  <si>
    <t>POLE ATTACHMENT/MAKE-READY/ADMIN</t>
  </si>
  <si>
    <t>GPS EXPENSE</t>
  </si>
  <si>
    <t>MAINTENANCE:SUPERVISION:ENG</t>
  </si>
  <si>
    <t>MAINTENANCE OVERHEAD LINES</t>
  </si>
  <si>
    <t>OUTAGES/REG AND OT</t>
  </si>
  <si>
    <t>REST TIME/MANDANTORY REST</t>
  </si>
  <si>
    <t>STANDBY COMPENSATION/NO OUTAGES</t>
  </si>
  <si>
    <t>TRAINING EXPENSE</t>
  </si>
  <si>
    <t>R/WAY-SERVICE ORDERS</t>
  </si>
  <si>
    <t>R/WAY MANAGEMENT</t>
  </si>
  <si>
    <t>R/WAY/CLARK EMPLOYEES</t>
  </si>
  <si>
    <t>MAINTENANCE MISC DISTRIB PLANT</t>
  </si>
  <si>
    <t>SUPERVISION CONSUMER ACCOUNTS</t>
  </si>
  <si>
    <t>METER READING EXPENSE</t>
  </si>
  <si>
    <t>AMR OPERATING EXPENSES</t>
  </si>
  <si>
    <t>CUSTOMER RECORD/COLLECTION EX</t>
  </si>
  <si>
    <t>SUPERVISION/CUSTOMER SERVICE</t>
  </si>
  <si>
    <t>CUSTOMER ASSISTANCE EXPENSE</t>
  </si>
  <si>
    <t>CUST ASSISTANCE EXP/E AUDITS/CONSULTS</t>
  </si>
  <si>
    <t>INFORMATION EXP/SAFETY TRAILER DEMOS</t>
  </si>
  <si>
    <t>DEMONSTRATING/SELLING EXPENSE</t>
  </si>
  <si>
    <t>ADMINISTRATIVE/GENERAL SALARY</t>
  </si>
  <si>
    <t>SAFETY/SAFETY DIRECTOR EXPENSES</t>
  </si>
  <si>
    <t>EMPLOYEE PENSIONS &amp; BENEFITS</t>
  </si>
  <si>
    <t>MISC GENERAL EX/ANNUAL MEETING</t>
  </si>
  <si>
    <t>MAINTENANCE GENERAL PLANT</t>
  </si>
  <si>
    <t>This adjustment normalizes actual test year labor to latest wages rates and headcount.</t>
  </si>
  <si>
    <t>*</t>
  </si>
  <si>
    <t>&lt; Capitalized</t>
  </si>
  <si>
    <t>&lt; Expensed</t>
  </si>
  <si>
    <t>Revised PSC1-16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</si>
</sst>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0_);_(&quot;$&quot;* \(#,##0.00000\);_(&quot;$&quot;* &quot;-&quot;??_);_(@_)"/>
    <numFmt numFmtId="167" formatCode="_(* #,##0.00000_);_(* \(#,##0.00000\);_(* &quot;-&quot;??_);_(@_)"/>
    <numFmt numFmtId="168" formatCode="0.0%"/>
    <numFmt numFmtId="169" formatCode="\(#\)"/>
    <numFmt numFmtId="170" formatCode="_(* #,##0.0_);_(* \(#,##0.0\);_(* &quot;-&quot;??_);_(@_)"/>
    <numFmt numFmtId="171" formatCode="m/d/yy;@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2"/>
      <name val="P-TIMES"/>
    </font>
    <font>
      <sz val="11"/>
      <name val="P-TIMES"/>
    </font>
    <font>
      <u/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0"/>
      <color theme="1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7" fillId="0" borderId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</cellStyleXfs>
  <cellXfs count="29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4" fillId="0" borderId="0" xfId="3" applyFont="1" applyAlignment="1">
      <alignment horizontal="right"/>
    </xf>
    <xf numFmtId="0" fontId="5" fillId="0" borderId="0" xfId="3" applyFont="1"/>
    <xf numFmtId="0" fontId="4" fillId="0" borderId="0" xfId="3" applyFont="1"/>
    <xf numFmtId="0" fontId="6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64" fontId="5" fillId="0" borderId="0" xfId="1" applyNumberFormat="1" applyFont="1"/>
    <xf numFmtId="0" fontId="5" fillId="0" borderId="0" xfId="0" applyFont="1" applyAlignment="1">
      <alignment horizontal="left"/>
    </xf>
    <xf numFmtId="0" fontId="5" fillId="0" borderId="3" xfId="0" applyFont="1" applyBorder="1"/>
    <xf numFmtId="164" fontId="5" fillId="0" borderId="3" xfId="1" applyNumberFormat="1" applyFont="1" applyBorder="1"/>
    <xf numFmtId="164" fontId="5" fillId="0" borderId="0" xfId="1" applyNumberFormat="1" applyFont="1" applyBorder="1"/>
    <xf numFmtId="164" fontId="5" fillId="0" borderId="0" xfId="1" applyNumberFormat="1" applyFont="1" applyFill="1" applyBorder="1"/>
    <xf numFmtId="0" fontId="5" fillId="0" borderId="2" xfId="0" applyFont="1" applyBorder="1"/>
    <xf numFmtId="164" fontId="5" fillId="0" borderId="2" xfId="0" applyNumberFormat="1" applyFont="1" applyBorder="1"/>
    <xf numFmtId="164" fontId="5" fillId="0" borderId="2" xfId="1" applyNumberFormat="1" applyFont="1" applyBorder="1"/>
    <xf numFmtId="165" fontId="5" fillId="0" borderId="0" xfId="2" applyNumberFormat="1" applyFont="1"/>
    <xf numFmtId="165" fontId="5" fillId="0" borderId="0" xfId="2" applyNumberFormat="1" applyFont="1" applyFill="1"/>
    <xf numFmtId="0" fontId="9" fillId="0" borderId="0" xfId="0" applyFont="1"/>
    <xf numFmtId="43" fontId="5" fillId="0" borderId="0" xfId="2" applyFont="1"/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165" fontId="5" fillId="0" borderId="0" xfId="2" applyNumberFormat="1" applyFont="1" applyBorder="1"/>
    <xf numFmtId="0" fontId="2" fillId="0" borderId="0" xfId="0" applyFont="1" applyAlignment="1">
      <alignment horizontal="left" vertical="center"/>
    </xf>
    <xf numFmtId="0" fontId="4" fillId="0" borderId="0" xfId="0" applyFont="1"/>
    <xf numFmtId="0" fontId="5" fillId="0" borderId="4" xfId="0" applyFont="1" applyBorder="1"/>
    <xf numFmtId="0" fontId="2" fillId="0" borderId="4" xfId="0" applyFont="1" applyBorder="1" applyAlignment="1">
      <alignment horizontal="center"/>
    </xf>
    <xf numFmtId="164" fontId="5" fillId="0" borderId="4" xfId="1" applyNumberFormat="1" applyFont="1" applyBorder="1"/>
    <xf numFmtId="164" fontId="5" fillId="0" borderId="3" xfId="1" applyNumberFormat="1" applyFont="1" applyFill="1" applyBorder="1"/>
    <xf numFmtId="165" fontId="2" fillId="0" borderId="0" xfId="2" applyNumberFormat="1" applyFont="1" applyFill="1"/>
    <xf numFmtId="2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64" fontId="2" fillId="0" borderId="0" xfId="1" applyNumberFormat="1" applyFont="1" applyBorder="1" applyProtection="1"/>
    <xf numFmtId="168" fontId="2" fillId="0" borderId="0" xfId="5" applyNumberFormat="1" applyFont="1" applyBorder="1" applyProtection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169" fontId="2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4" fillId="0" borderId="0" xfId="0" applyFont="1" applyAlignment="1">
      <alignment horizontal="left"/>
    </xf>
    <xf numFmtId="164" fontId="2" fillId="0" borderId="0" xfId="1" applyNumberFormat="1" applyFont="1" applyBorder="1" applyAlignment="1" applyProtection="1">
      <alignment horizontal="center"/>
    </xf>
    <xf numFmtId="0" fontId="2" fillId="0" borderId="3" xfId="0" applyFont="1" applyBorder="1"/>
    <xf numFmtId="168" fontId="2" fillId="0" borderId="2" xfId="5" applyNumberFormat="1" applyFont="1" applyBorder="1" applyProtection="1"/>
    <xf numFmtId="0" fontId="14" fillId="0" borderId="0" xfId="0" applyFont="1" applyAlignment="1">
      <alignment horizontal="right" wrapText="1"/>
    </xf>
    <xf numFmtId="41" fontId="2" fillId="0" borderId="0" xfId="0" applyNumberFormat="1" applyFont="1"/>
    <xf numFmtId="164" fontId="2" fillId="0" borderId="7" xfId="1" applyNumberFormat="1" applyFont="1" applyBorder="1" applyAlignment="1" applyProtection="1">
      <alignment horizontal="center"/>
    </xf>
    <xf numFmtId="10" fontId="2" fillId="0" borderId="0" xfId="0" applyNumberFormat="1" applyFont="1"/>
    <xf numFmtId="165" fontId="5" fillId="0" borderId="2" xfId="2" applyNumberFormat="1" applyFont="1" applyBorder="1"/>
    <xf numFmtId="37" fontId="7" fillId="0" borderId="0" xfId="4" applyNumberFormat="1" applyFont="1"/>
    <xf numFmtId="0" fontId="5" fillId="0" borderId="1" xfId="0" applyFont="1" applyBorder="1"/>
    <xf numFmtId="165" fontId="2" fillId="0" borderId="2" xfId="2" applyNumberFormat="1" applyFont="1" applyFill="1" applyBorder="1"/>
    <xf numFmtId="165" fontId="5" fillId="0" borderId="3" xfId="0" applyNumberFormat="1" applyFont="1" applyBorder="1"/>
    <xf numFmtId="0" fontId="5" fillId="0" borderId="0" xfId="0" applyFont="1" applyAlignment="1">
      <alignment vertical="center"/>
    </xf>
    <xf numFmtId="169" fontId="2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2" fillId="0" borderId="3" xfId="2" applyNumberFormat="1" applyFont="1" applyFill="1" applyBorder="1"/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" fillId="0" borderId="0" xfId="4" applyFont="1" applyAlignment="1">
      <alignment horizontal="centerContinuous"/>
    </xf>
    <xf numFmtId="0" fontId="7" fillId="0" borderId="0" xfId="4" applyFont="1" applyAlignment="1">
      <alignment horizontal="right"/>
    </xf>
    <xf numFmtId="0" fontId="7" fillId="0" borderId="0" xfId="4" applyFont="1"/>
    <xf numFmtId="0" fontId="12" fillId="0" borderId="0" xfId="4" applyFont="1"/>
    <xf numFmtId="0" fontId="7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2" fontId="7" fillId="0" borderId="0" xfId="4" applyNumberFormat="1" applyFont="1" applyAlignment="1">
      <alignment horizontal="center"/>
    </xf>
    <xf numFmtId="0" fontId="13" fillId="0" borderId="0" xfId="4" applyFont="1" applyAlignment="1">
      <alignment horizontal="centerContinuous"/>
    </xf>
    <xf numFmtId="0" fontId="7" fillId="0" borderId="1" xfId="4" applyFont="1" applyBorder="1" applyAlignment="1">
      <alignment horizontal="center" wrapText="1"/>
    </xf>
    <xf numFmtId="0" fontId="12" fillId="0" borderId="1" xfId="4" applyFont="1" applyBorder="1" applyAlignment="1">
      <alignment horizontal="center" wrapText="1"/>
    </xf>
    <xf numFmtId="0" fontId="13" fillId="0" borderId="0" xfId="4" applyFont="1"/>
    <xf numFmtId="165" fontId="7" fillId="0" borderId="0" xfId="2" applyNumberFormat="1" applyFont="1" applyFill="1"/>
    <xf numFmtId="37" fontId="7" fillId="0" borderId="1" xfId="4" applyNumberFormat="1" applyFont="1" applyBorder="1"/>
    <xf numFmtId="0" fontId="7" fillId="0" borderId="5" xfId="4" applyFont="1" applyBorder="1"/>
    <xf numFmtId="37" fontId="7" fillId="0" borderId="5" xfId="4" applyNumberFormat="1" applyFont="1" applyBorder="1"/>
    <xf numFmtId="37" fontId="7" fillId="0" borderId="0" xfId="4" applyNumberFormat="1" applyFont="1" applyAlignment="1">
      <alignment horizontal="right"/>
    </xf>
    <xf numFmtId="0" fontId="7" fillId="0" borderId="6" xfId="4" applyFont="1" applyBorder="1"/>
    <xf numFmtId="37" fontId="7" fillId="0" borderId="6" xfId="4" applyNumberFormat="1" applyFont="1" applyBorder="1"/>
    <xf numFmtId="0" fontId="19" fillId="0" borderId="0" xfId="4" applyFont="1" applyAlignment="1">
      <alignment horizontal="centerContinuous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5" fontId="5" fillId="0" borderId="2" xfId="2" applyNumberFormat="1" applyFont="1" applyBorder="1" applyAlignment="1">
      <alignment vertical="center"/>
    </xf>
    <xf numFmtId="168" fontId="2" fillId="0" borderId="0" xfId="5" applyNumberFormat="1" applyFont="1" applyFill="1" applyBorder="1" applyProtection="1"/>
    <xf numFmtId="168" fontId="2" fillId="0" borderId="3" xfId="5" applyNumberFormat="1" applyFont="1" applyFill="1" applyBorder="1" applyProtection="1"/>
    <xf numFmtId="0" fontId="15" fillId="0" borderId="1" xfId="0" applyFont="1" applyBorder="1" applyAlignment="1">
      <alignment horizontal="center"/>
    </xf>
    <xf numFmtId="169" fontId="15" fillId="0" borderId="1" xfId="0" quotePrefix="1" applyNumberFormat="1" applyFont="1" applyBorder="1" applyAlignment="1">
      <alignment horizontal="center"/>
    </xf>
    <xf numFmtId="0" fontId="18" fillId="0" borderId="0" xfId="0" applyFont="1"/>
    <xf numFmtId="165" fontId="2" fillId="0" borderId="0" xfId="2" applyNumberFormat="1" applyFont="1" applyProtection="1"/>
    <xf numFmtId="0" fontId="20" fillId="0" borderId="0" xfId="0" applyFont="1" applyAlignment="1">
      <alignment horizontal="left"/>
    </xf>
    <xf numFmtId="0" fontId="20" fillId="0" borderId="0" xfId="0" applyFont="1"/>
    <xf numFmtId="165" fontId="4" fillId="0" borderId="0" xfId="2" applyNumberFormat="1" applyFont="1" applyFill="1" applyAlignment="1"/>
    <xf numFmtId="165" fontId="4" fillId="0" borderId="0" xfId="2" applyNumberFormat="1" applyFont="1" applyFill="1" applyAlignment="1">
      <alignment horizontal="center"/>
    </xf>
    <xf numFmtId="165" fontId="2" fillId="0" borderId="3" xfId="2" applyNumberFormat="1" applyFont="1" applyBorder="1" applyProtection="1"/>
    <xf numFmtId="165" fontId="0" fillId="0" borderId="0" xfId="2" applyNumberFormat="1" applyFont="1" applyFill="1"/>
    <xf numFmtId="165" fontId="2" fillId="0" borderId="0" xfId="2" applyNumberFormat="1" applyFont="1" applyFill="1" applyProtection="1"/>
    <xf numFmtId="165" fontId="2" fillId="0" borderId="0" xfId="2" applyNumberFormat="1" applyFont="1" applyBorder="1" applyProtection="1"/>
    <xf numFmtId="165" fontId="2" fillId="0" borderId="2" xfId="2" applyNumberFormat="1" applyFont="1" applyBorder="1" applyProtection="1"/>
    <xf numFmtId="0" fontId="15" fillId="0" borderId="0" xfId="0" applyFont="1"/>
    <xf numFmtId="165" fontId="21" fillId="0" borderId="0" xfId="0" applyNumberFormat="1" applyFont="1"/>
    <xf numFmtId="165" fontId="2" fillId="0" borderId="8" xfId="2" applyNumberFormat="1" applyFont="1" applyFill="1" applyBorder="1"/>
    <xf numFmtId="43" fontId="2" fillId="0" borderId="0" xfId="2" applyFont="1" applyFill="1"/>
    <xf numFmtId="0" fontId="21" fillId="0" borderId="0" xfId="0" applyFont="1"/>
    <xf numFmtId="10" fontId="2" fillId="0" borderId="0" xfId="5" applyNumberFormat="1" applyFont="1" applyFill="1"/>
    <xf numFmtId="165" fontId="2" fillId="0" borderId="3" xfId="0" applyNumberFormat="1" applyFont="1" applyBorder="1"/>
    <xf numFmtId="0" fontId="22" fillId="0" borderId="0" xfId="0" applyFont="1"/>
    <xf numFmtId="0" fontId="15" fillId="0" borderId="0" xfId="0" applyFont="1" applyAlignment="1">
      <alignment horizontal="center" wrapText="1"/>
    </xf>
    <xf numFmtId="164" fontId="2" fillId="0" borderId="3" xfId="1" applyNumberFormat="1" applyFont="1" applyBorder="1" applyAlignment="1" applyProtection="1">
      <alignment horizontal="center"/>
    </xf>
    <xf numFmtId="164" fontId="2" fillId="0" borderId="2" xfId="1" applyNumberFormat="1" applyFont="1" applyBorder="1" applyAlignment="1" applyProtection="1">
      <alignment horizontal="center"/>
    </xf>
    <xf numFmtId="0" fontId="15" fillId="0" borderId="0" xfId="0" applyFont="1" applyAlignment="1">
      <alignment horizontal="center"/>
    </xf>
    <xf numFmtId="43" fontId="2" fillId="0" borderId="0" xfId="2" applyFont="1" applyBorder="1" applyAlignment="1" applyProtection="1">
      <alignment horizontal="left"/>
    </xf>
    <xf numFmtId="43" fontId="2" fillId="0" borderId="0" xfId="2" applyFont="1" applyBorder="1" applyAlignment="1" applyProtection="1">
      <alignment horizontal="center"/>
    </xf>
    <xf numFmtId="164" fontId="5" fillId="0" borderId="0" xfId="0" applyNumberFormat="1" applyFont="1"/>
    <xf numFmtId="43" fontId="2" fillId="0" borderId="8" xfId="2" applyFont="1" applyBorder="1" applyAlignment="1" applyProtection="1">
      <alignment horizontal="left"/>
    </xf>
    <xf numFmtId="0" fontId="2" fillId="0" borderId="8" xfId="0" applyFont="1" applyBorder="1"/>
    <xf numFmtId="41" fontId="2" fillId="0" borderId="8" xfId="0" applyNumberFormat="1" applyFont="1" applyBorder="1"/>
    <xf numFmtId="10" fontId="2" fillId="0" borderId="8" xfId="0" applyNumberFormat="1" applyFont="1" applyBorder="1"/>
    <xf numFmtId="17" fontId="5" fillId="0" borderId="0" xfId="0" applyNumberFormat="1" applyFont="1"/>
    <xf numFmtId="165" fontId="2" fillId="0" borderId="0" xfId="2" applyNumberFormat="1" applyFont="1" applyFill="1" applyAlignment="1">
      <alignment horizontal="right"/>
    </xf>
    <xf numFmtId="43" fontId="2" fillId="2" borderId="0" xfId="2" applyFont="1" applyFill="1"/>
    <xf numFmtId="165" fontId="2" fillId="2" borderId="0" xfId="2" applyNumberFormat="1" applyFont="1" applyFill="1"/>
    <xf numFmtId="165" fontId="2" fillId="2" borderId="3" xfId="0" applyNumberFormat="1" applyFont="1" applyFill="1" applyBorder="1"/>
    <xf numFmtId="0" fontId="7" fillId="0" borderId="1" xfId="4" applyFont="1" applyBorder="1" applyAlignment="1">
      <alignment horizontal="right" vertical="center"/>
    </xf>
    <xf numFmtId="37" fontId="5" fillId="0" borderId="0" xfId="0" applyNumberFormat="1" applyFont="1"/>
    <xf numFmtId="164" fontId="2" fillId="0" borderId="0" xfId="1" applyNumberFormat="1" applyFont="1" applyFill="1" applyBorder="1"/>
    <xf numFmtId="0" fontId="23" fillId="0" borderId="0" xfId="0" applyFont="1" applyAlignment="1">
      <alignment horizontal="right"/>
    </xf>
    <xf numFmtId="165" fontId="5" fillId="0" borderId="0" xfId="0" applyNumberFormat="1" applyFont="1"/>
    <xf numFmtId="43" fontId="21" fillId="0" borderId="0" xfId="2" applyFont="1" applyFill="1"/>
    <xf numFmtId="0" fontId="24" fillId="0" borderId="0" xfId="0" applyFont="1"/>
    <xf numFmtId="0" fontId="14" fillId="0" borderId="0" xfId="0" applyFont="1"/>
    <xf numFmtId="43" fontId="21" fillId="0" borderId="0" xfId="0" applyNumberFormat="1" applyFont="1"/>
    <xf numFmtId="10" fontId="2" fillId="0" borderId="0" xfId="0" applyNumberFormat="1" applyFont="1" applyAlignment="1">
      <alignment horizontal="right"/>
    </xf>
    <xf numFmtId="0" fontId="21" fillId="0" borderId="0" xfId="0" applyFont="1" applyAlignment="1">
      <alignment horizontal="center"/>
    </xf>
    <xf numFmtId="164" fontId="2" fillId="0" borderId="0" xfId="1" applyNumberFormat="1" applyFont="1" applyFill="1"/>
    <xf numFmtId="165" fontId="2" fillId="2" borderId="0" xfId="0" applyNumberFormat="1" applyFont="1" applyFill="1"/>
    <xf numFmtId="0" fontId="2" fillId="2" borderId="0" xfId="0" applyFont="1" applyFill="1"/>
    <xf numFmtId="165" fontId="2" fillId="0" borderId="3" xfId="2" applyNumberFormat="1" applyFont="1" applyBorder="1"/>
    <xf numFmtId="165" fontId="2" fillId="0" borderId="0" xfId="2" applyNumberFormat="1" applyFont="1" applyBorder="1"/>
    <xf numFmtId="164" fontId="2" fillId="0" borderId="0" xfId="1" applyNumberFormat="1" applyFont="1" applyBorder="1"/>
    <xf numFmtId="165" fontId="2" fillId="0" borderId="0" xfId="0" applyNumberFormat="1" applyFont="1"/>
    <xf numFmtId="164" fontId="2" fillId="0" borderId="0" xfId="1" applyNumberFormat="1" applyFont="1"/>
    <xf numFmtId="166" fontId="2" fillId="0" borderId="0" xfId="1" applyNumberFormat="1" applyFont="1" applyBorder="1"/>
    <xf numFmtId="167" fontId="2" fillId="0" borderId="0" xfId="2" applyNumberFormat="1" applyFont="1" applyBorder="1"/>
    <xf numFmtId="164" fontId="2" fillId="0" borderId="4" xfId="1" applyNumberFormat="1" applyFont="1" applyBorder="1"/>
    <xf numFmtId="0" fontId="2" fillId="0" borderId="4" xfId="0" applyFont="1" applyBorder="1"/>
    <xf numFmtId="164" fontId="15" fillId="0" borderId="1" xfId="1" applyNumberFormat="1" applyFont="1" applyBorder="1" applyAlignment="1">
      <alignment horizontal="right"/>
    </xf>
    <xf numFmtId="164" fontId="2" fillId="0" borderId="0" xfId="0" applyNumberFormat="1" applyFont="1"/>
    <xf numFmtId="164" fontId="2" fillId="0" borderId="2" xfId="1" applyNumberFormat="1" applyFont="1" applyBorder="1"/>
    <xf numFmtId="0" fontId="15" fillId="0" borderId="1" xfId="0" applyFont="1" applyBorder="1"/>
    <xf numFmtId="0" fontId="15" fillId="0" borderId="0" xfId="3" applyFont="1" applyAlignment="1">
      <alignment horizontal="right"/>
    </xf>
    <xf numFmtId="0" fontId="2" fillId="0" borderId="0" xfId="3" applyFont="1"/>
    <xf numFmtId="0" fontId="2" fillId="0" borderId="1" xfId="0" quotePrefix="1" applyFont="1" applyBorder="1" applyAlignment="1">
      <alignment horizontal="center"/>
    </xf>
    <xf numFmtId="0" fontId="2" fillId="0" borderId="0" xfId="0" applyFont="1" applyAlignment="1">
      <alignment horizontal="left"/>
    </xf>
    <xf numFmtId="41" fontId="2" fillId="2" borderId="0" xfId="0" applyNumberFormat="1" applyFont="1" applyFill="1"/>
    <xf numFmtId="164" fontId="2" fillId="2" borderId="0" xfId="1" applyNumberFormat="1" applyFont="1" applyFill="1" applyBorder="1"/>
    <xf numFmtId="10" fontId="2" fillId="0" borderId="0" xfId="5" applyNumberFormat="1" applyFont="1"/>
    <xf numFmtId="0" fontId="2" fillId="0" borderId="3" xfId="0" applyFont="1" applyBorder="1" applyAlignment="1">
      <alignment horizontal="right"/>
    </xf>
    <xf numFmtId="41" fontId="2" fillId="0" borderId="3" xfId="0" applyNumberFormat="1" applyFont="1" applyBorder="1"/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right"/>
    </xf>
    <xf numFmtId="164" fontId="2" fillId="0" borderId="8" xfId="1" applyNumberFormat="1" applyFont="1" applyBorder="1"/>
    <xf numFmtId="41" fontId="2" fillId="0" borderId="2" xfId="0" applyNumberFormat="1" applyFont="1" applyBorder="1"/>
    <xf numFmtId="41" fontId="15" fillId="0" borderId="2" xfId="0" applyNumberFormat="1" applyFont="1" applyBorder="1"/>
    <xf numFmtId="0" fontId="2" fillId="0" borderId="0" xfId="0" applyFont="1" applyAlignment="1">
      <alignment horizontal="center" vertical="top"/>
    </xf>
    <xf numFmtId="44" fontId="2" fillId="0" borderId="0" xfId="1" applyFont="1"/>
    <xf numFmtId="44" fontId="2" fillId="0" borderId="3" xfId="1" applyFont="1" applyFill="1" applyBorder="1"/>
    <xf numFmtId="44" fontId="2" fillId="0" borderId="0" xfId="0" applyNumberFormat="1" applyFont="1"/>
    <xf numFmtId="44" fontId="2" fillId="0" borderId="2" xfId="1" applyFont="1" applyBorder="1"/>
    <xf numFmtId="164" fontId="2" fillId="0" borderId="3" xfId="1" applyNumberFormat="1" applyFont="1" applyFill="1" applyBorder="1"/>
    <xf numFmtId="164" fontId="25" fillId="0" borderId="0" xfId="1" applyNumberFormat="1" applyFont="1"/>
    <xf numFmtId="170" fontId="2" fillId="0" borderId="0" xfId="2" applyNumberFormat="1" applyFont="1" applyBorder="1"/>
    <xf numFmtId="165" fontId="2" fillId="0" borderId="0" xfId="2" applyNumberFormat="1" applyFont="1"/>
    <xf numFmtId="10" fontId="27" fillId="0" borderId="0" xfId="5" applyNumberFormat="1" applyFont="1" applyFill="1"/>
    <xf numFmtId="43" fontId="2" fillId="0" borderId="0" xfId="2" applyFont="1"/>
    <xf numFmtId="165" fontId="26" fillId="0" borderId="0" xfId="2" applyNumberFormat="1" applyFont="1"/>
    <xf numFmtId="164" fontId="5" fillId="0" borderId="1" xfId="1" applyNumberFormat="1" applyFont="1" applyBorder="1"/>
    <xf numFmtId="165" fontId="0" fillId="0" borderId="0" xfId="0" applyNumberFormat="1"/>
    <xf numFmtId="164" fontId="2" fillId="0" borderId="0" xfId="1" applyNumberFormat="1" applyFont="1" applyFill="1" applyAlignment="1">
      <alignment horizontal="center" wrapText="1"/>
    </xf>
    <xf numFmtId="164" fontId="2" fillId="0" borderId="1" xfId="1" quotePrefix="1" applyNumberFormat="1" applyFont="1" applyFill="1" applyBorder="1" applyAlignment="1">
      <alignment horizontal="center"/>
    </xf>
    <xf numFmtId="168" fontId="2" fillId="0" borderId="0" xfId="5" applyNumberFormat="1" applyFont="1" applyFill="1"/>
    <xf numFmtId="164" fontId="2" fillId="0" borderId="21" xfId="1" applyNumberFormat="1" applyFont="1" applyFill="1" applyBorder="1" applyAlignment="1">
      <alignment horizontal="center" wrapText="1"/>
    </xf>
    <xf numFmtId="164" fontId="2" fillId="0" borderId="27" xfId="1" applyNumberFormat="1" applyFont="1" applyFill="1" applyBorder="1" applyAlignment="1">
      <alignment horizontal="center"/>
    </xf>
    <xf numFmtId="1" fontId="2" fillId="0" borderId="0" xfId="2" applyNumberFormat="1" applyFont="1" applyFill="1" applyAlignment="1">
      <alignment horizontal="center"/>
    </xf>
    <xf numFmtId="44" fontId="2" fillId="0" borderId="0" xfId="1" applyFont="1" applyFill="1"/>
    <xf numFmtId="41" fontId="2" fillId="0" borderId="0" xfId="2" applyNumberFormat="1" applyFont="1" applyFill="1"/>
    <xf numFmtId="43" fontId="2" fillId="0" borderId="3" xfId="2" applyFont="1" applyFill="1" applyBorder="1" applyAlignment="1">
      <alignment vertical="center"/>
    </xf>
    <xf numFmtId="164" fontId="2" fillId="0" borderId="3" xfId="1" applyNumberFormat="1" applyFont="1" applyFill="1" applyBorder="1" applyAlignment="1">
      <alignment vertical="center"/>
    </xf>
    <xf numFmtId="44" fontId="2" fillId="0" borderId="3" xfId="1" applyFont="1" applyFill="1" applyBorder="1" applyAlignment="1">
      <alignment vertical="center"/>
    </xf>
    <xf numFmtId="0" fontId="2" fillId="0" borderId="0" xfId="9" applyFont="1" applyFill="1" applyAlignment="1">
      <alignment horizontal="left"/>
    </xf>
    <xf numFmtId="0" fontId="2" fillId="0" borderId="0" xfId="9" applyFont="1" applyFill="1"/>
    <xf numFmtId="0" fontId="2" fillId="0" borderId="0" xfId="9" applyFont="1" applyFill="1" applyAlignment="1">
      <alignment horizontal="center"/>
    </xf>
    <xf numFmtId="0" fontId="2" fillId="0" borderId="0" xfId="10" applyFont="1" applyFill="1" applyAlignment="1">
      <alignment horizontal="center" wrapText="1"/>
    </xf>
    <xf numFmtId="0" fontId="2" fillId="0" borderId="0" xfId="10" applyFont="1" applyFill="1"/>
    <xf numFmtId="0" fontId="2" fillId="0" borderId="0" xfId="9" applyFont="1" applyFill="1" applyAlignment="1">
      <alignment horizontal="center" wrapText="1"/>
    </xf>
    <xf numFmtId="164" fontId="2" fillId="0" borderId="0" xfId="10" applyNumberFormat="1" applyFont="1" applyFill="1" applyAlignment="1">
      <alignment horizontal="center" wrapText="1"/>
    </xf>
    <xf numFmtId="0" fontId="2" fillId="0" borderId="0" xfId="10" applyFont="1" applyFill="1" applyAlignment="1">
      <alignment horizontal="center"/>
    </xf>
    <xf numFmtId="0" fontId="2" fillId="0" borderId="0" xfId="3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2" fillId="0" borderId="14" xfId="0" applyFont="1" applyBorder="1" applyAlignment="1">
      <alignment horizontal="center" wrapText="1"/>
    </xf>
    <xf numFmtId="0" fontId="2" fillId="0" borderId="17" xfId="0" applyFont="1" applyBorder="1"/>
    <xf numFmtId="0" fontId="2" fillId="0" borderId="18" xfId="0" applyFont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71" fontId="2" fillId="0" borderId="0" xfId="0" applyNumberFormat="1" applyFont="1" applyAlignment="1">
      <alignment horizontal="center"/>
    </xf>
    <xf numFmtId="0" fontId="2" fillId="0" borderId="26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2" fillId="0" borderId="0" xfId="0" applyNumberFormat="1" applyFont="1"/>
    <xf numFmtId="43" fontId="2" fillId="0" borderId="0" xfId="0" applyNumberFormat="1" applyFont="1"/>
    <xf numFmtId="0" fontId="2" fillId="0" borderId="0" xfId="11" applyFont="1" applyFill="1" applyAlignment="1">
      <alignment horizontal="center"/>
    </xf>
    <xf numFmtId="43" fontId="2" fillId="0" borderId="0" xfId="11" applyNumberFormat="1" applyFont="1" applyFill="1"/>
    <xf numFmtId="164" fontId="2" fillId="0" borderId="0" xfId="11" applyNumberFormat="1" applyFont="1" applyFill="1"/>
    <xf numFmtId="0" fontId="2" fillId="0" borderId="0" xfId="11" applyFont="1" applyFill="1" applyAlignment="1">
      <alignment horizontal="center" wrapText="1"/>
    </xf>
    <xf numFmtId="44" fontId="2" fillId="0" borderId="0" xfId="11" applyNumberFormat="1" applyFont="1" applyFill="1"/>
    <xf numFmtId="165" fontId="2" fillId="0" borderId="0" xfId="11" applyNumberFormat="1" applyFont="1" applyFill="1"/>
    <xf numFmtId="43" fontId="15" fillId="0" borderId="0" xfId="2" applyFont="1" applyFill="1" applyBorder="1"/>
    <xf numFmtId="41" fontId="15" fillId="0" borderId="0" xfId="2" applyNumberFormat="1" applyFont="1" applyFill="1" applyBorder="1"/>
    <xf numFmtId="38" fontId="15" fillId="0" borderId="0" xfId="2" applyNumberFormat="1" applyFont="1" applyFill="1" applyBorder="1"/>
    <xf numFmtId="164" fontId="15" fillId="0" borderId="0" xfId="1" applyNumberFormat="1" applyFont="1" applyFill="1" applyBorder="1"/>
    <xf numFmtId="0" fontId="2" fillId="0" borderId="0" xfId="0" applyFont="1" applyAlignment="1">
      <alignment vertical="center"/>
    </xf>
    <xf numFmtId="0" fontId="26" fillId="0" borderId="0" xfId="9" applyFont="1" applyFill="1" applyAlignment="1">
      <alignment horizontal="center"/>
    </xf>
    <xf numFmtId="169" fontId="26" fillId="0" borderId="1" xfId="0" quotePrefix="1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/>
    <xf numFmtId="0" fontId="26" fillId="0" borderId="0" xfId="11" applyFont="1" applyFill="1"/>
    <xf numFmtId="0" fontId="26" fillId="0" borderId="0" xfId="11" applyNumberFormat="1" applyFont="1" applyFill="1"/>
    <xf numFmtId="164" fontId="2" fillId="0" borderId="7" xfId="1" applyNumberFormat="1" applyFont="1" applyFill="1" applyBorder="1"/>
    <xf numFmtId="165" fontId="2" fillId="0" borderId="0" xfId="2" applyNumberFormat="1" applyFont="1" applyFill="1" applyAlignment="1">
      <alignment horizontal="center"/>
    </xf>
    <xf numFmtId="10" fontId="2" fillId="0" borderId="0" xfId="5" applyNumberFormat="1" applyFont="1" applyFill="1" applyBorder="1" applyProtection="1"/>
    <xf numFmtId="168" fontId="2" fillId="0" borderId="0" xfId="0" applyNumberFormat="1" applyFont="1"/>
    <xf numFmtId="164" fontId="2" fillId="0" borderId="0" xfId="1" applyNumberFormat="1" applyFont="1" applyFill="1" applyBorder="1" applyProtection="1"/>
    <xf numFmtId="164" fontId="2" fillId="0" borderId="7" xfId="1" applyNumberFormat="1" applyFont="1" applyFill="1" applyBorder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164" fontId="2" fillId="0" borderId="3" xfId="1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19" fillId="0" borderId="0" xfId="4" applyFont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15" fillId="0" borderId="0" xfId="3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quotePrefix="1" applyFont="1" applyBorder="1" applyAlignment="1">
      <alignment horizontal="left" wrapText="1"/>
    </xf>
    <xf numFmtId="0" fontId="2" fillId="0" borderId="20" xfId="0" quotePrefix="1" applyFont="1" applyBorder="1" applyAlignment="1">
      <alignment horizontal="left" wrapText="1"/>
    </xf>
    <xf numFmtId="0" fontId="2" fillId="0" borderId="1" xfId="9" applyFont="1" applyFill="1" applyBorder="1" applyAlignment="1">
      <alignment horizontal="center"/>
    </xf>
    <xf numFmtId="0" fontId="2" fillId="0" borderId="0" xfId="10" applyFont="1" applyFill="1" applyAlignment="1">
      <alignment horizontal="center" wrapText="1"/>
    </xf>
    <xf numFmtId="0" fontId="2" fillId="0" borderId="1" xfId="10" applyFont="1" applyFill="1" applyBorder="1" applyAlignment="1">
      <alignment horizont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/>
    <xf numFmtId="0" fontId="14" fillId="0" borderId="0" xfId="0" applyFont="1" applyAlignment="1">
      <alignment horizontal="center"/>
    </xf>
    <xf numFmtId="4" fontId="5" fillId="0" borderId="0" xfId="0" applyNumberFormat="1" applyFont="1"/>
    <xf numFmtId="0" fontId="2" fillId="6" borderId="0" xfId="0" applyFont="1" applyFill="1" applyAlignment="1">
      <alignment horizontal="left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4" fillId="6" borderId="0" xfId="0" applyFont="1" applyFill="1" applyAlignment="1">
      <alignment horizontal="left"/>
    </xf>
    <xf numFmtId="0" fontId="14" fillId="6" borderId="0" xfId="0" applyFont="1" applyFill="1" applyAlignment="1">
      <alignment horizontal="right" wrapText="1"/>
    </xf>
    <xf numFmtId="0" fontId="2" fillId="6" borderId="0" xfId="0" applyFont="1" applyFill="1" applyAlignment="1">
      <alignment horizontal="left" vertical="top"/>
    </xf>
    <xf numFmtId="0" fontId="2" fillId="6" borderId="0" xfId="0" applyFont="1" applyFill="1" applyAlignment="1">
      <alignment horizontal="right"/>
    </xf>
    <xf numFmtId="164" fontId="2" fillId="6" borderId="0" xfId="1" applyNumberFormat="1" applyFont="1" applyFill="1" applyBorder="1" applyProtection="1"/>
    <xf numFmtId="168" fontId="2" fillId="6" borderId="0" xfId="5" applyNumberFormat="1" applyFont="1" applyFill="1" applyBorder="1" applyProtection="1"/>
    <xf numFmtId="164" fontId="2" fillId="6" borderId="0" xfId="0" applyNumberFormat="1" applyFont="1" applyFill="1"/>
    <xf numFmtId="0" fontId="2" fillId="6" borderId="3" xfId="0" applyFont="1" applyFill="1" applyBorder="1" applyAlignment="1">
      <alignment horizontal="center"/>
    </xf>
    <xf numFmtId="0" fontId="15" fillId="6" borderId="3" xfId="0" applyFont="1" applyFill="1" applyBorder="1"/>
    <xf numFmtId="0" fontId="2" fillId="6" borderId="3" xfId="0" applyFont="1" applyFill="1" applyBorder="1"/>
    <xf numFmtId="164" fontId="2" fillId="6" borderId="3" xfId="1" applyNumberFormat="1" applyFont="1" applyFill="1" applyBorder="1" applyAlignment="1" applyProtection="1">
      <alignment horizontal="center"/>
    </xf>
    <xf numFmtId="168" fontId="2" fillId="6" borderId="3" xfId="5" applyNumberFormat="1" applyFont="1" applyFill="1" applyBorder="1" applyProtection="1"/>
    <xf numFmtId="164" fontId="15" fillId="6" borderId="8" xfId="0" applyNumberFormat="1" applyFont="1" applyFill="1" applyBorder="1"/>
    <xf numFmtId="164" fontId="2" fillId="6" borderId="0" xfId="1" applyNumberFormat="1" applyFont="1" applyFill="1" applyBorder="1" applyAlignment="1" applyProtection="1">
      <alignment horizontal="center"/>
    </xf>
    <xf numFmtId="164" fontId="2" fillId="6" borderId="3" xfId="0" applyNumberFormat="1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/>
    <xf numFmtId="164" fontId="2" fillId="6" borderId="2" xfId="1" applyNumberFormat="1" applyFont="1" applyFill="1" applyBorder="1" applyAlignment="1" applyProtection="1">
      <alignment horizontal="center"/>
    </xf>
    <xf numFmtId="168" fontId="2" fillId="6" borderId="2" xfId="5" applyNumberFormat="1" applyFont="1" applyFill="1" applyBorder="1" applyProtection="1"/>
    <xf numFmtId="164" fontId="2" fillId="6" borderId="2" xfId="1" applyNumberFormat="1" applyFont="1" applyFill="1" applyBorder="1" applyAlignment="1" applyProtection="1"/>
    <xf numFmtId="165" fontId="2" fillId="6" borderId="0" xfId="2" applyNumberFormat="1" applyFont="1" applyFill="1"/>
    <xf numFmtId="0" fontId="5" fillId="6" borderId="0" xfId="0" applyFont="1" applyFill="1"/>
    <xf numFmtId="0" fontId="22" fillId="6" borderId="0" xfId="0" applyFont="1" applyFill="1" applyAlignment="1">
      <alignment horizontal="right"/>
    </xf>
    <xf numFmtId="0" fontId="31" fillId="6" borderId="0" xfId="0" applyFont="1" applyFill="1" applyAlignment="1">
      <alignment horizontal="right"/>
    </xf>
  </cellXfs>
  <cellStyles count="12">
    <cellStyle name="Bad" xfId="10" builtinId="27"/>
    <cellStyle name="Comma" xfId="2" builtinId="3"/>
    <cellStyle name="Comma 2" xfId="6" xr:uid="{00000000-0005-0000-0000-000001000000}"/>
    <cellStyle name="Currency" xfId="1" builtinId="4"/>
    <cellStyle name="Currency 2" xfId="7" xr:uid="{00000000-0005-0000-0000-000003000000}"/>
    <cellStyle name="Good" xfId="9" builtinId="26"/>
    <cellStyle name="Neutral" xfId="11" builtinId="28"/>
    <cellStyle name="Normal" xfId="0" builtinId="0"/>
    <cellStyle name="Normal 2" xfId="3" xr:uid="{00000000-0005-0000-0000-000005000000}"/>
    <cellStyle name="Normal 3" xfId="4" xr:uid="{00000000-0005-0000-0000-000006000000}"/>
    <cellStyle name="Normal 4" xfId="8" xr:uid="{00000000-0005-0000-0000-000007000000}"/>
    <cellStyle name="Percent" xfId="5" builtinId="5"/>
  </cellStyles>
  <dxfs count="16"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0000CC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  <pageSetUpPr fitToPage="1"/>
  </sheetPr>
  <dimension ref="A1:K84"/>
  <sheetViews>
    <sheetView tabSelected="1" view="pageBreakPreview" zoomScaleNormal="100" zoomScaleSheetLayoutView="100" workbookViewId="0">
      <selection activeCell="J26" sqref="J26"/>
    </sheetView>
  </sheetViews>
  <sheetFormatPr defaultRowHeight="15"/>
  <cols>
    <col min="1" max="1" width="4.5703125" style="138" customWidth="1"/>
    <col min="2" max="2" width="31.42578125" style="108" customWidth="1"/>
    <col min="3" max="3" width="12.42578125" style="108" customWidth="1"/>
    <col min="4" max="4" width="13.140625" style="108" customWidth="1"/>
    <col min="5" max="6" width="13.42578125" style="108" customWidth="1"/>
    <col min="7" max="7" width="9.140625" style="108"/>
    <col min="8" max="9" width="14.28515625" style="108" bestFit="1" customWidth="1"/>
    <col min="10" max="10" width="9.140625" style="108"/>
    <col min="11" max="11" width="11.5703125" style="108" bestFit="1" customWidth="1"/>
    <col min="12" max="16384" width="9.140625" style="108"/>
  </cols>
  <sheetData>
    <row r="1" spans="1:11">
      <c r="A1" s="104" t="s">
        <v>238</v>
      </c>
      <c r="B1" s="104"/>
      <c r="C1" s="104"/>
      <c r="D1" s="104"/>
      <c r="E1" s="104"/>
      <c r="F1" s="297" t="s">
        <v>419</v>
      </c>
      <c r="H1" s="133"/>
    </row>
    <row r="2" spans="1:11">
      <c r="A2" s="104" t="s">
        <v>234</v>
      </c>
      <c r="B2" s="104"/>
      <c r="C2" s="104"/>
      <c r="D2" s="104"/>
      <c r="E2" s="104"/>
      <c r="F2" s="104"/>
      <c r="H2" s="133"/>
    </row>
    <row r="3" spans="1:11">
      <c r="A3" s="104" t="s">
        <v>310</v>
      </c>
      <c r="B3" s="104"/>
      <c r="C3" s="104"/>
      <c r="D3" s="104"/>
      <c r="E3" s="104"/>
      <c r="F3" s="104"/>
      <c r="H3" s="133"/>
    </row>
    <row r="4" spans="1:11">
      <c r="A4" s="115"/>
      <c r="B4" s="2"/>
      <c r="C4" s="2"/>
      <c r="D4" s="2"/>
      <c r="E4" s="2"/>
      <c r="F4" s="2"/>
      <c r="H4" s="133"/>
    </row>
    <row r="5" spans="1:11">
      <c r="A5" s="1"/>
      <c r="B5" s="2"/>
      <c r="C5" s="115">
        <v>2024</v>
      </c>
      <c r="D5" s="115"/>
      <c r="E5" s="115"/>
      <c r="F5" s="115" t="s">
        <v>318</v>
      </c>
      <c r="H5" s="133"/>
    </row>
    <row r="6" spans="1:11" ht="26.25">
      <c r="A6" s="115" t="s">
        <v>0</v>
      </c>
      <c r="B6" s="115" t="s">
        <v>1</v>
      </c>
      <c r="C6" s="112" t="s">
        <v>263</v>
      </c>
      <c r="D6" s="112" t="s">
        <v>290</v>
      </c>
      <c r="E6" s="112" t="s">
        <v>116</v>
      </c>
      <c r="F6" s="112" t="s">
        <v>298</v>
      </c>
      <c r="H6" s="133"/>
    </row>
    <row r="7" spans="1:11" s="134" customFormat="1">
      <c r="A7" s="91" t="s">
        <v>21</v>
      </c>
      <c r="B7" s="92">
        <v>1</v>
      </c>
      <c r="C7" s="92">
        <f>B7+1</f>
        <v>2</v>
      </c>
      <c r="D7" s="92" t="s">
        <v>25</v>
      </c>
      <c r="E7" s="92" t="s">
        <v>51</v>
      </c>
      <c r="F7" s="92" t="s">
        <v>52</v>
      </c>
      <c r="G7" s="108"/>
      <c r="H7" s="133"/>
      <c r="I7" s="108"/>
    </row>
    <row r="8" spans="1:11">
      <c r="A8" s="1">
        <v>1</v>
      </c>
      <c r="B8" s="135" t="s">
        <v>77</v>
      </c>
      <c r="C8" s="105"/>
      <c r="D8" s="105"/>
      <c r="E8" s="105"/>
      <c r="F8" s="105"/>
      <c r="H8" s="133"/>
    </row>
    <row r="9" spans="1:11">
      <c r="A9" s="1">
        <f>A8+1</f>
        <v>2</v>
      </c>
      <c r="B9" s="2" t="s">
        <v>173</v>
      </c>
      <c r="C9" s="36">
        <v>56421579</v>
      </c>
      <c r="D9" s="36">
        <f>'Adj List'!D7+'Adj List'!D8+'Adj List'!D10</f>
        <v>-8388140.3399999999</v>
      </c>
      <c r="E9" s="36">
        <f>C9+D9</f>
        <v>48033438.659999996</v>
      </c>
      <c r="F9" s="36">
        <f>E9+E62</f>
        <v>50854517.609999999</v>
      </c>
      <c r="H9" s="133"/>
    </row>
    <row r="10" spans="1:11">
      <c r="A10" s="1">
        <f t="shared" ref="A10:A63" si="0">A9+1</f>
        <v>3</v>
      </c>
      <c r="B10" s="2" t="s">
        <v>108</v>
      </c>
      <c r="C10" s="36">
        <v>1380275</v>
      </c>
      <c r="D10" s="36">
        <f>'Adj List'!D12</f>
        <v>0</v>
      </c>
      <c r="E10" s="36">
        <f>C10+D10</f>
        <v>1380275</v>
      </c>
      <c r="F10" s="36">
        <f>E10</f>
        <v>1380275</v>
      </c>
    </row>
    <row r="11" spans="1:11">
      <c r="A11" s="1">
        <f t="shared" si="0"/>
        <v>4</v>
      </c>
      <c r="B11" s="50" t="s">
        <v>172</v>
      </c>
      <c r="C11" s="64">
        <f>C9+C10</f>
        <v>57801854</v>
      </c>
      <c r="D11" s="64">
        <f>SUM(D9:D10)</f>
        <v>-8388140.3399999999</v>
      </c>
      <c r="E11" s="64">
        <f>SUM(E9:E10)</f>
        <v>49413713.659999996</v>
      </c>
      <c r="F11" s="64">
        <f>SUM(F9:F10)</f>
        <v>52234792.609999999</v>
      </c>
      <c r="H11" s="136"/>
      <c r="I11" s="136"/>
      <c r="K11" s="105"/>
    </row>
    <row r="12" spans="1:11">
      <c r="A12" s="1">
        <f t="shared" si="0"/>
        <v>5</v>
      </c>
      <c r="B12" s="2"/>
      <c r="C12" s="36"/>
      <c r="D12" s="36"/>
      <c r="E12" s="36"/>
      <c r="F12" s="36"/>
      <c r="H12" s="136"/>
    </row>
    <row r="13" spans="1:11">
      <c r="A13" s="1">
        <f t="shared" si="0"/>
        <v>6</v>
      </c>
      <c r="B13" s="135" t="s">
        <v>78</v>
      </c>
      <c r="C13" s="36"/>
      <c r="D13" s="36"/>
      <c r="E13" s="36"/>
      <c r="F13" s="36"/>
    </row>
    <row r="14" spans="1:11">
      <c r="A14" s="1">
        <f t="shared" si="0"/>
        <v>7</v>
      </c>
      <c r="B14" s="2" t="s">
        <v>79</v>
      </c>
      <c r="C14" s="36">
        <v>39166969</v>
      </c>
      <c r="D14" s="36">
        <f>'Adj List'!E7+'Adj List'!E8+'Adj List'!E10</f>
        <v>-8480807.7899999991</v>
      </c>
      <c r="E14" s="36">
        <f t="shared" ref="E14:E20" si="1">C14+D14</f>
        <v>30686161.210000001</v>
      </c>
      <c r="F14" s="36">
        <f>E14</f>
        <v>30686161.210000001</v>
      </c>
    </row>
    <row r="15" spans="1:11">
      <c r="A15" s="1">
        <f t="shared" si="0"/>
        <v>8</v>
      </c>
      <c r="B15" s="2" t="s">
        <v>80</v>
      </c>
      <c r="C15" s="36">
        <v>2353738</v>
      </c>
      <c r="D15" s="36">
        <v>0</v>
      </c>
      <c r="E15" s="36">
        <f t="shared" si="1"/>
        <v>2353738</v>
      </c>
      <c r="F15" s="36">
        <f t="shared" ref="F15:F20" si="2">E15</f>
        <v>2353738</v>
      </c>
    </row>
    <row r="16" spans="1:11">
      <c r="A16" s="1">
        <f t="shared" si="0"/>
        <v>9</v>
      </c>
      <c r="B16" s="2" t="s">
        <v>81</v>
      </c>
      <c r="C16" s="36">
        <v>4847953</v>
      </c>
      <c r="D16" s="36">
        <v>0</v>
      </c>
      <c r="E16" s="36">
        <f t="shared" si="1"/>
        <v>4847953</v>
      </c>
      <c r="F16" s="36">
        <f t="shared" si="2"/>
        <v>4847953</v>
      </c>
    </row>
    <row r="17" spans="1:9">
      <c r="A17" s="1">
        <f t="shared" si="0"/>
        <v>10</v>
      </c>
      <c r="B17" s="2" t="s">
        <v>82</v>
      </c>
      <c r="C17" s="36">
        <v>1533365</v>
      </c>
      <c r="D17" s="36">
        <v>0</v>
      </c>
      <c r="E17" s="36">
        <f t="shared" si="1"/>
        <v>1533365</v>
      </c>
      <c r="F17" s="36">
        <f t="shared" si="2"/>
        <v>1533365</v>
      </c>
    </row>
    <row r="18" spans="1:9">
      <c r="A18" s="1">
        <f t="shared" si="0"/>
        <v>11</v>
      </c>
      <c r="B18" s="2" t="s">
        <v>83</v>
      </c>
      <c r="C18" s="36">
        <v>319402</v>
      </c>
      <c r="D18" s="36">
        <v>0</v>
      </c>
      <c r="E18" s="36">
        <f t="shared" si="1"/>
        <v>319402</v>
      </c>
      <c r="F18" s="36">
        <f t="shared" si="2"/>
        <v>319402</v>
      </c>
    </row>
    <row r="19" spans="1:9">
      <c r="A19" s="1">
        <f t="shared" si="0"/>
        <v>12</v>
      </c>
      <c r="B19" s="2" t="s">
        <v>84</v>
      </c>
      <c r="C19" s="36">
        <v>9218</v>
      </c>
      <c r="D19" s="36">
        <v>0</v>
      </c>
      <c r="E19" s="36">
        <f t="shared" si="1"/>
        <v>9218</v>
      </c>
      <c r="F19" s="36">
        <f t="shared" si="2"/>
        <v>9218</v>
      </c>
    </row>
    <row r="20" spans="1:9">
      <c r="A20" s="1">
        <f t="shared" si="0"/>
        <v>13</v>
      </c>
      <c r="B20" s="2" t="s">
        <v>85</v>
      </c>
      <c r="C20" s="36">
        <v>1924438</v>
      </c>
      <c r="D20" s="295">
        <f>'Adj List'!E9+'Adj List'!E12+'Adj List'!E14+'Adj List'!E15+'Adj List'!E17+'Adj List'!E18</f>
        <v>-101013.31737060187</v>
      </c>
      <c r="E20" s="36">
        <f t="shared" si="1"/>
        <v>1823424.6826293981</v>
      </c>
      <c r="F20" s="36">
        <f t="shared" si="2"/>
        <v>1823424.6826293981</v>
      </c>
    </row>
    <row r="21" spans="1:9">
      <c r="A21" s="1">
        <f t="shared" si="0"/>
        <v>14</v>
      </c>
      <c r="B21" s="50" t="s">
        <v>86</v>
      </c>
      <c r="C21" s="64">
        <f>SUM(C14:C20)</f>
        <v>50155083</v>
      </c>
      <c r="D21" s="64">
        <f>SUM(D14:D20)</f>
        <v>-8581821.1073706001</v>
      </c>
      <c r="E21" s="64">
        <f>SUM(E14:E20)</f>
        <v>41573261.8926294</v>
      </c>
      <c r="F21" s="64">
        <f>SUM(F14:F20)</f>
        <v>41573261.8926294</v>
      </c>
    </row>
    <row r="22" spans="1:9">
      <c r="A22" s="1">
        <f t="shared" si="0"/>
        <v>15</v>
      </c>
      <c r="C22" s="36"/>
      <c r="D22" s="36"/>
      <c r="E22" s="36"/>
      <c r="F22" s="36"/>
      <c r="I22" s="105"/>
    </row>
    <row r="23" spans="1:9">
      <c r="A23" s="1">
        <f t="shared" si="0"/>
        <v>16</v>
      </c>
      <c r="B23" s="2" t="s">
        <v>87</v>
      </c>
      <c r="C23" s="36">
        <v>6305895</v>
      </c>
      <c r="D23" s="36">
        <f>'Adj List'!E13</f>
        <v>120318.50999999982</v>
      </c>
      <c r="E23" s="36">
        <f>C23+D23</f>
        <v>6426213.5099999998</v>
      </c>
      <c r="F23" s="36">
        <f>E23</f>
        <v>6426213.5099999998</v>
      </c>
    </row>
    <row r="24" spans="1:9">
      <c r="A24" s="1">
        <f t="shared" si="0"/>
        <v>17</v>
      </c>
      <c r="B24" s="2" t="s">
        <v>88</v>
      </c>
      <c r="C24" s="36">
        <v>54082</v>
      </c>
      <c r="D24" s="36">
        <v>0</v>
      </c>
      <c r="E24" s="36">
        <f>C24+D24</f>
        <v>54082</v>
      </c>
      <c r="F24" s="36">
        <f t="shared" ref="F24:F27" si="3">E24</f>
        <v>54082</v>
      </c>
    </row>
    <row r="25" spans="1:9">
      <c r="A25" s="1">
        <f t="shared" si="0"/>
        <v>18</v>
      </c>
      <c r="B25" s="2" t="s">
        <v>74</v>
      </c>
      <c r="C25" s="36">
        <v>2057808</v>
      </c>
      <c r="D25" s="36">
        <f>'Adj List'!E16</f>
        <v>328721.63000000006</v>
      </c>
      <c r="E25" s="36">
        <f>C25+D25</f>
        <v>2386529.63</v>
      </c>
      <c r="F25" s="36">
        <f t="shared" si="3"/>
        <v>2386529.63</v>
      </c>
    </row>
    <row r="26" spans="1:9">
      <c r="A26" s="1">
        <f t="shared" si="0"/>
        <v>19</v>
      </c>
      <c r="B26" s="2" t="s">
        <v>89</v>
      </c>
      <c r="C26" s="36">
        <v>348806</v>
      </c>
      <c r="D26" s="36">
        <v>0</v>
      </c>
      <c r="E26" s="36">
        <f>C26+D26</f>
        <v>348806</v>
      </c>
      <c r="F26" s="36">
        <f t="shared" si="3"/>
        <v>348806</v>
      </c>
    </row>
    <row r="27" spans="1:9">
      <c r="A27" s="1">
        <f t="shared" si="0"/>
        <v>20</v>
      </c>
      <c r="B27" s="2" t="s">
        <v>90</v>
      </c>
      <c r="C27" s="36">
        <v>44961</v>
      </c>
      <c r="D27" s="36">
        <v>0</v>
      </c>
      <c r="E27" s="36">
        <f>C27+D27</f>
        <v>44961</v>
      </c>
      <c r="F27" s="36">
        <f t="shared" si="3"/>
        <v>44961</v>
      </c>
    </row>
    <row r="28" spans="1:9">
      <c r="A28" s="1">
        <f t="shared" si="0"/>
        <v>21</v>
      </c>
      <c r="C28" s="36"/>
      <c r="D28" s="36"/>
      <c r="E28" s="36"/>
      <c r="F28" s="36"/>
    </row>
    <row r="29" spans="1:9">
      <c r="A29" s="1">
        <f t="shared" si="0"/>
        <v>22</v>
      </c>
      <c r="B29" s="120" t="s">
        <v>34</v>
      </c>
      <c r="C29" s="106">
        <f>SUM(C21:C27)</f>
        <v>58966635</v>
      </c>
      <c r="D29" s="106">
        <f>SUM(D21:D27)</f>
        <v>-8132780.9673706004</v>
      </c>
      <c r="E29" s="106">
        <f>SUM(E21:E27)</f>
        <v>50833854.0326294</v>
      </c>
      <c r="F29" s="106">
        <f>SUM(F21:F27)</f>
        <v>50833854.0326294</v>
      </c>
      <c r="H29" s="105"/>
      <c r="I29" s="105"/>
    </row>
    <row r="30" spans="1:9">
      <c r="A30" s="1">
        <f t="shared" si="0"/>
        <v>23</v>
      </c>
      <c r="C30" s="36"/>
      <c r="D30" s="36"/>
      <c r="E30" s="36"/>
      <c r="F30" s="36"/>
    </row>
    <row r="31" spans="1:9" ht="15.75" thickBot="1">
      <c r="A31" s="1">
        <f t="shared" si="0"/>
        <v>24</v>
      </c>
      <c r="B31" s="3" t="s">
        <v>91</v>
      </c>
      <c r="C31" s="59">
        <f>C11-C29</f>
        <v>-1164781</v>
      </c>
      <c r="D31" s="59">
        <f>D11-D29</f>
        <v>-255359.37262939941</v>
      </c>
      <c r="E31" s="59">
        <f>E11-E29</f>
        <v>-1420140.3726294041</v>
      </c>
      <c r="F31" s="59">
        <f>F11-F29</f>
        <v>1400938.5773705989</v>
      </c>
      <c r="H31" s="105"/>
    </row>
    <row r="32" spans="1:9" ht="15.75" thickTop="1">
      <c r="A32" s="1">
        <f t="shared" si="0"/>
        <v>25</v>
      </c>
      <c r="C32" s="36"/>
      <c r="D32" s="36"/>
      <c r="E32" s="36"/>
      <c r="F32" s="36"/>
    </row>
    <row r="33" spans="1:6">
      <c r="A33" s="1">
        <f t="shared" si="0"/>
        <v>26</v>
      </c>
      <c r="B33" s="2" t="s">
        <v>35</v>
      </c>
      <c r="C33" s="36">
        <v>66346</v>
      </c>
      <c r="D33" s="36">
        <f>'1.06 NonRec'!D14</f>
        <v>29883.919999999998</v>
      </c>
      <c r="E33" s="36">
        <f>C33+D33</f>
        <v>96229.92</v>
      </c>
      <c r="F33" s="36">
        <f>E33</f>
        <v>96229.92</v>
      </c>
    </row>
    <row r="34" spans="1:6">
      <c r="A34" s="1">
        <f t="shared" si="0"/>
        <v>27</v>
      </c>
      <c r="B34" s="2" t="s">
        <v>235</v>
      </c>
      <c r="C34" s="36">
        <v>290776</v>
      </c>
      <c r="D34" s="36"/>
      <c r="E34" s="36">
        <f>C34+D34</f>
        <v>290776</v>
      </c>
      <c r="F34" s="36">
        <f t="shared" ref="F34:F37" si="4">E34</f>
        <v>290776</v>
      </c>
    </row>
    <row r="35" spans="1:6">
      <c r="A35" s="1">
        <f t="shared" si="0"/>
        <v>28</v>
      </c>
      <c r="B35" s="2" t="s">
        <v>36</v>
      </c>
      <c r="C35" s="36">
        <v>251755</v>
      </c>
      <c r="D35" s="36">
        <f>'1.06 NonRec'!D13</f>
        <v>185651.93</v>
      </c>
      <c r="E35" s="36">
        <f>C35+D35</f>
        <v>437406.93</v>
      </c>
      <c r="F35" s="36">
        <f t="shared" si="4"/>
        <v>437406.93</v>
      </c>
    </row>
    <row r="36" spans="1:6">
      <c r="A36" s="1">
        <f t="shared" si="0"/>
        <v>29</v>
      </c>
      <c r="B36" s="2" t="s">
        <v>32</v>
      </c>
      <c r="C36" s="36">
        <v>268537</v>
      </c>
      <c r="D36" s="36">
        <f>'Adj List'!F11</f>
        <v>-268537</v>
      </c>
      <c r="E36" s="36">
        <f>C36+D36</f>
        <v>0</v>
      </c>
      <c r="F36" s="124">
        <f t="shared" si="4"/>
        <v>0</v>
      </c>
    </row>
    <row r="37" spans="1:6">
      <c r="A37" s="1">
        <f t="shared" si="0"/>
        <v>30</v>
      </c>
      <c r="B37" s="2" t="s">
        <v>92</v>
      </c>
      <c r="C37" s="36">
        <v>189549</v>
      </c>
      <c r="D37" s="36">
        <v>0</v>
      </c>
      <c r="E37" s="36">
        <f>C37+D37</f>
        <v>189549</v>
      </c>
      <c r="F37" s="36">
        <f t="shared" si="4"/>
        <v>189549</v>
      </c>
    </row>
    <row r="38" spans="1:6">
      <c r="A38" s="1">
        <f t="shared" si="0"/>
        <v>31</v>
      </c>
      <c r="B38" s="2"/>
      <c r="C38" s="36"/>
      <c r="D38" s="36"/>
      <c r="E38" s="36"/>
      <c r="F38" s="36"/>
    </row>
    <row r="39" spans="1:6" ht="15.75" thickBot="1">
      <c r="A39" s="1">
        <f t="shared" si="0"/>
        <v>32</v>
      </c>
      <c r="B39" s="3" t="s">
        <v>93</v>
      </c>
      <c r="C39" s="59">
        <f>C31+SUM(C33:C37)</f>
        <v>-97818</v>
      </c>
      <c r="D39" s="59">
        <f>D31+SUM(D33:D37)</f>
        <v>-308360.52262939943</v>
      </c>
      <c r="E39" s="59">
        <f>E31+SUM(E33:E37)</f>
        <v>-406178.52262940409</v>
      </c>
      <c r="F39" s="59">
        <f>F31+SUM(F33:F37)</f>
        <v>2414900.427370599</v>
      </c>
    </row>
    <row r="40" spans="1:6" ht="15.75" thickTop="1">
      <c r="A40" s="1">
        <f t="shared" si="0"/>
        <v>33</v>
      </c>
      <c r="B40" s="2"/>
      <c r="C40" s="36"/>
      <c r="D40" s="36"/>
      <c r="E40" s="36"/>
      <c r="F40" s="36"/>
    </row>
    <row r="41" spans="1:6">
      <c r="A41" s="1">
        <f t="shared" si="0"/>
        <v>34</v>
      </c>
      <c r="B41" s="2" t="s">
        <v>174</v>
      </c>
      <c r="C41" s="36">
        <v>0</v>
      </c>
      <c r="D41" s="36">
        <v>0</v>
      </c>
      <c r="E41" s="36">
        <f>C41+D41</f>
        <v>0</v>
      </c>
      <c r="F41" s="36">
        <f t="shared" ref="F41" si="5">D41+E41</f>
        <v>0</v>
      </c>
    </row>
    <row r="42" spans="1:6">
      <c r="A42" s="1">
        <f t="shared" si="0"/>
        <v>35</v>
      </c>
      <c r="B42" s="2" t="s">
        <v>95</v>
      </c>
      <c r="C42" s="107">
        <f>(C31+C41+C25)/C25</f>
        <v>0.43397003024577607</v>
      </c>
      <c r="D42" s="125"/>
      <c r="E42" s="107">
        <f>(E31+E41+E25)/E25</f>
        <v>0.40493495040771643</v>
      </c>
      <c r="F42" s="107">
        <f>(F31+F41+F25)/F25</f>
        <v>1.5870191426747964</v>
      </c>
    </row>
    <row r="43" spans="1:6">
      <c r="A43" s="1">
        <f t="shared" si="0"/>
        <v>36</v>
      </c>
      <c r="B43" s="2" t="s">
        <v>75</v>
      </c>
      <c r="C43" s="107">
        <f>(C39+C25)/C25</f>
        <v>0.95246495299853051</v>
      </c>
      <c r="D43" s="125"/>
      <c r="E43" s="107">
        <f>(E39+E25)/E25</f>
        <v>0.82980369590910796</v>
      </c>
      <c r="F43" s="107">
        <f>(F39+F25)/F25</f>
        <v>2.0118878881761879</v>
      </c>
    </row>
    <row r="44" spans="1:6">
      <c r="A44" s="1">
        <f t="shared" si="0"/>
        <v>37</v>
      </c>
      <c r="B44" s="2" t="s">
        <v>94</v>
      </c>
      <c r="C44" s="107">
        <f>(C25+C39-C36)/C25</f>
        <v>0.82196832746300919</v>
      </c>
      <c r="D44" s="125"/>
      <c r="E44" s="107">
        <f>(E25+E39-E36)/E25</f>
        <v>0.82980369590910796</v>
      </c>
      <c r="F44" s="107">
        <f>(F25+F39-F36)/F25</f>
        <v>2.0118878881761879</v>
      </c>
    </row>
    <row r="45" spans="1:6" ht="14.25" customHeight="1">
      <c r="A45" s="1">
        <f t="shared" si="0"/>
        <v>38</v>
      </c>
      <c r="B45" s="2"/>
    </row>
    <row r="46" spans="1:6" hidden="1">
      <c r="A46" s="1"/>
      <c r="B46" s="2" t="s">
        <v>239</v>
      </c>
      <c r="C46" s="107">
        <v>2</v>
      </c>
      <c r="D46" s="107"/>
      <c r="E46" s="107">
        <v>3</v>
      </c>
      <c r="F46" s="107">
        <v>4</v>
      </c>
    </row>
    <row r="47" spans="1:6" hidden="1">
      <c r="A47" s="1"/>
      <c r="B47" s="2" t="s">
        <v>240</v>
      </c>
      <c r="C47" s="36">
        <f>C46*C25-C25</f>
        <v>2057808</v>
      </c>
      <c r="D47" s="36"/>
      <c r="E47" s="36">
        <f>E46*E25-E25</f>
        <v>4773059.26</v>
      </c>
      <c r="F47" s="36">
        <f>F46*F25-F25</f>
        <v>7159588.8899999997</v>
      </c>
    </row>
    <row r="48" spans="1:6" hidden="1">
      <c r="A48" s="1"/>
      <c r="B48" s="2" t="s">
        <v>241</v>
      </c>
      <c r="C48" s="36">
        <f>C29+C47</f>
        <v>61024443</v>
      </c>
      <c r="D48" s="36"/>
      <c r="E48" s="36">
        <f>E29+E47</f>
        <v>55606913.292629398</v>
      </c>
      <c r="F48" s="36">
        <f>F29+F47</f>
        <v>57993442.922629401</v>
      </c>
    </row>
    <row r="49" spans="1:8" hidden="1">
      <c r="A49" s="1"/>
      <c r="B49" s="2" t="s">
        <v>242</v>
      </c>
      <c r="C49" s="36">
        <f>C47-C39</f>
        <v>2155626</v>
      </c>
      <c r="D49" s="36"/>
      <c r="E49" s="36">
        <f>E47-E39</f>
        <v>5179237.7826294042</v>
      </c>
      <c r="F49" s="36">
        <f>F47-F39</f>
        <v>4744688.4626294002</v>
      </c>
    </row>
    <row r="50" spans="1:8" hidden="1">
      <c r="A50" s="1"/>
      <c r="B50" s="2"/>
      <c r="C50" s="36"/>
      <c r="D50" s="36"/>
      <c r="E50" s="36"/>
      <c r="F50" s="36"/>
    </row>
    <row r="51" spans="1:8">
      <c r="A51" s="1">
        <f>A45+1</f>
        <v>39</v>
      </c>
      <c r="B51" s="2" t="s">
        <v>243</v>
      </c>
      <c r="C51" s="107">
        <v>1.85</v>
      </c>
      <c r="D51" s="125"/>
      <c r="E51" s="107">
        <f>C51</f>
        <v>1.85</v>
      </c>
      <c r="F51" s="125"/>
    </row>
    <row r="52" spans="1:8">
      <c r="A52" s="1">
        <f t="shared" si="0"/>
        <v>40</v>
      </c>
      <c r="B52" s="2" t="s">
        <v>244</v>
      </c>
      <c r="C52" s="36">
        <f>C51*C25-C25-C41+SUM(C33:C37)</f>
        <v>2816099.8000000003</v>
      </c>
      <c r="D52" s="126"/>
      <c r="E52" s="36">
        <f>E51*E25-E25-E41+SUM(E33:E37)</f>
        <v>3042512.0354999998</v>
      </c>
      <c r="F52" s="126"/>
    </row>
    <row r="53" spans="1:8">
      <c r="A53" s="1">
        <f t="shared" si="0"/>
        <v>41</v>
      </c>
      <c r="B53" s="2" t="s">
        <v>241</v>
      </c>
      <c r="C53" s="36">
        <f>C29+C52</f>
        <v>61782734.799999997</v>
      </c>
      <c r="D53" s="126"/>
      <c r="E53" s="36">
        <f>E29+E52</f>
        <v>53876366.068129398</v>
      </c>
      <c r="F53" s="126"/>
    </row>
    <row r="54" spans="1:8">
      <c r="A54" s="1">
        <f t="shared" si="0"/>
        <v>42</v>
      </c>
      <c r="B54" s="2" t="s">
        <v>242</v>
      </c>
      <c r="C54" s="36">
        <f>C52-C39</f>
        <v>2913917.8000000003</v>
      </c>
      <c r="D54" s="126"/>
      <c r="E54" s="36">
        <f>E52-E39</f>
        <v>3448690.5581294037</v>
      </c>
      <c r="F54" s="126"/>
    </row>
    <row r="55" spans="1:8">
      <c r="A55" s="1">
        <f t="shared" si="0"/>
        <v>43</v>
      </c>
      <c r="B55" s="2" t="s">
        <v>317</v>
      </c>
      <c r="C55" s="109">
        <f>C54/C9</f>
        <v>5.1645449341288382E-2</v>
      </c>
      <c r="D55" s="126"/>
      <c r="E55" s="109">
        <f>E54/C9</f>
        <v>6.1123609428396244E-2</v>
      </c>
      <c r="F55" s="126"/>
    </row>
    <row r="56" spans="1:8">
      <c r="A56" s="1">
        <f t="shared" si="0"/>
        <v>44</v>
      </c>
      <c r="C56" s="178"/>
      <c r="D56" s="36"/>
      <c r="F56" s="36"/>
    </row>
    <row r="57" spans="1:8">
      <c r="A57" s="1">
        <f t="shared" si="0"/>
        <v>45</v>
      </c>
      <c r="B57" s="2" t="s">
        <v>319</v>
      </c>
      <c r="C57" s="109">
        <v>0.05</v>
      </c>
      <c r="D57" s="126"/>
      <c r="E57" s="109">
        <f>C57</f>
        <v>0.05</v>
      </c>
      <c r="F57" s="126"/>
    </row>
    <row r="58" spans="1:8">
      <c r="A58" s="1">
        <f t="shared" si="0"/>
        <v>46</v>
      </c>
      <c r="B58" s="2" t="s">
        <v>320</v>
      </c>
      <c r="C58" s="36">
        <f>C57*C9</f>
        <v>2821078.95</v>
      </c>
      <c r="D58" s="126"/>
      <c r="E58" s="36">
        <f>C58</f>
        <v>2821078.95</v>
      </c>
      <c r="F58" s="126"/>
    </row>
    <row r="59" spans="1:8">
      <c r="A59" s="1">
        <f t="shared" si="0"/>
        <v>47</v>
      </c>
    </row>
    <row r="60" spans="1:8">
      <c r="A60" s="1">
        <f t="shared" si="0"/>
        <v>48</v>
      </c>
      <c r="B60" s="50" t="s">
        <v>245</v>
      </c>
      <c r="C60" s="110">
        <f>MIN(C58,C54)</f>
        <v>2821078.95</v>
      </c>
      <c r="D60" s="127"/>
      <c r="E60" s="110">
        <f>MIN(E58,E54)</f>
        <v>2821078.95</v>
      </c>
      <c r="F60" s="127"/>
    </row>
    <row r="61" spans="1:8">
      <c r="A61" s="1">
        <f t="shared" si="0"/>
        <v>49</v>
      </c>
      <c r="B61" s="111"/>
    </row>
    <row r="62" spans="1:8">
      <c r="A62" s="1">
        <f t="shared" si="0"/>
        <v>50</v>
      </c>
      <c r="B62" s="2" t="s">
        <v>299</v>
      </c>
      <c r="E62" s="242">
        <v>2821078.95</v>
      </c>
      <c r="F62" s="130">
        <f>F39-E39</f>
        <v>2821078.950000003</v>
      </c>
      <c r="H62" s="105">
        <f>E54-E62</f>
        <v>627611.60812940355</v>
      </c>
    </row>
    <row r="63" spans="1:8">
      <c r="A63" s="1">
        <f t="shared" si="0"/>
        <v>51</v>
      </c>
      <c r="B63" s="2" t="s">
        <v>300</v>
      </c>
      <c r="E63" s="137">
        <f>E62/C9</f>
        <v>0.05</v>
      </c>
      <c r="F63" s="55">
        <f>F62/C9</f>
        <v>5.0000000000000051E-2</v>
      </c>
    </row>
    <row r="65" spans="1:6">
      <c r="E65" s="105"/>
      <c r="F65" s="105"/>
    </row>
    <row r="67" spans="1:6">
      <c r="C67" s="131"/>
    </row>
    <row r="71" spans="1:6" ht="30.75" customHeight="1">
      <c r="A71" s="115"/>
      <c r="B71" s="112"/>
      <c r="C71" s="112"/>
      <c r="D71" s="112"/>
      <c r="E71" s="112"/>
      <c r="F71" s="112"/>
    </row>
    <row r="72" spans="1:6">
      <c r="A72" s="1"/>
      <c r="B72" s="2"/>
      <c r="C72" s="146"/>
      <c r="D72" s="146"/>
      <c r="E72" s="146"/>
      <c r="F72" s="146"/>
    </row>
    <row r="73" spans="1:6">
      <c r="A73" s="1"/>
      <c r="B73" s="2"/>
      <c r="C73" s="146"/>
      <c r="D73" s="146"/>
      <c r="E73" s="146"/>
      <c r="F73" s="146"/>
    </row>
    <row r="74" spans="1:6">
      <c r="A74" s="1"/>
      <c r="B74" s="2"/>
      <c r="C74" s="146"/>
      <c r="D74" s="146"/>
      <c r="E74" s="146"/>
      <c r="F74" s="146"/>
    </row>
    <row r="75" spans="1:6">
      <c r="A75" s="1"/>
      <c r="B75" s="2"/>
      <c r="C75" s="146"/>
      <c r="D75" s="146"/>
      <c r="E75" s="146"/>
      <c r="F75" s="146"/>
    </row>
    <row r="76" spans="1:6">
      <c r="A76" s="1"/>
      <c r="B76" s="2"/>
      <c r="C76" s="179"/>
      <c r="D76" s="179"/>
      <c r="E76" s="179"/>
      <c r="F76" s="179"/>
    </row>
    <row r="77" spans="1:6">
      <c r="A77" s="1"/>
      <c r="B77" s="2"/>
      <c r="C77" s="179"/>
      <c r="D77" s="179"/>
      <c r="E77" s="179"/>
      <c r="F77" s="179"/>
    </row>
    <row r="78" spans="1:6">
      <c r="A78" s="1"/>
      <c r="B78" s="2"/>
      <c r="C78" s="146"/>
      <c r="D78" s="146"/>
      <c r="E78" s="146"/>
      <c r="F78" s="146"/>
    </row>
    <row r="79" spans="1:6">
      <c r="A79" s="1"/>
      <c r="B79" s="2"/>
      <c r="C79" s="146"/>
      <c r="D79" s="146"/>
      <c r="E79" s="146"/>
      <c r="F79" s="146"/>
    </row>
    <row r="80" spans="1:6">
      <c r="A80" s="1"/>
      <c r="B80" s="2"/>
      <c r="C80" s="161"/>
      <c r="D80" s="161"/>
      <c r="E80" s="161"/>
      <c r="F80" s="161"/>
    </row>
    <row r="81" spans="1:6">
      <c r="A81" s="1"/>
      <c r="B81" s="2"/>
      <c r="C81" s="161"/>
      <c r="D81" s="161"/>
      <c r="E81" s="161"/>
      <c r="F81" s="161"/>
    </row>
    <row r="82" spans="1:6">
      <c r="A82" s="1"/>
      <c r="B82" s="2"/>
      <c r="C82" s="146"/>
      <c r="D82" s="146"/>
      <c r="E82" s="146"/>
      <c r="F82" s="146"/>
    </row>
    <row r="83" spans="1:6">
      <c r="A83" s="1"/>
      <c r="B83" s="2"/>
      <c r="C83" s="146"/>
      <c r="D83" s="146"/>
      <c r="E83" s="146"/>
      <c r="F83" s="139"/>
    </row>
    <row r="84" spans="1:6">
      <c r="A84" s="1"/>
      <c r="B84" s="2"/>
      <c r="C84" s="161"/>
      <c r="D84" s="161"/>
      <c r="E84" s="161"/>
      <c r="F84" s="161"/>
    </row>
  </sheetData>
  <printOptions horizontalCentered="1"/>
  <pageMargins left="0.7" right="0.7" top="0.75" bottom="0.75" header="0.3" footer="0.3"/>
  <pageSetup scale="80" orientation="portrait" r:id="rId1"/>
  <headerFooter>
    <oddFooter>&amp;R&amp;"Times New Roman,Regular"&amp;12Exhibit JW-2
Page &amp;P of &amp;N</oddFooter>
  </headerFooter>
  <ignoredErrors>
    <ignoredError sqref="C44 F42 F9" evalError="1"/>
    <ignoredError sqref="E21 E29 E31" formula="1"/>
    <ignoredError sqref="D7 E7:F7 J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pageSetUpPr fitToPage="1"/>
  </sheetPr>
  <dimension ref="A1:H22"/>
  <sheetViews>
    <sheetView view="pageBreakPreview" zoomScaleNormal="100" zoomScaleSheetLayoutView="100" workbookViewId="0">
      <selection activeCell="D12" sqref="D12:E14"/>
    </sheetView>
  </sheetViews>
  <sheetFormatPr defaultRowHeight="12.75"/>
  <cols>
    <col min="1" max="1" width="5.85546875" style="11" customWidth="1"/>
    <col min="2" max="2" width="2.28515625" style="11" customWidth="1"/>
    <col min="3" max="3" width="34.42578125" style="11" customWidth="1"/>
    <col min="4" max="4" width="10.7109375" style="11" customWidth="1"/>
    <col min="5" max="5" width="10.85546875" style="11" customWidth="1"/>
    <col min="6" max="6" width="5.85546875" style="11" customWidth="1"/>
    <col min="7" max="7" width="15.28515625" style="11" customWidth="1"/>
    <col min="8" max="8" width="15.7109375" style="11" customWidth="1"/>
    <col min="9" max="16384" width="9.140625" style="11"/>
  </cols>
  <sheetData>
    <row r="1" spans="1:8">
      <c r="E1" s="5" t="s">
        <v>306</v>
      </c>
    </row>
    <row r="2" spans="1:8" ht="20.25" customHeight="1">
      <c r="H2" s="5"/>
    </row>
    <row r="3" spans="1:8">
      <c r="A3" s="252" t="str">
        <f>RevReq!A1</f>
        <v>CLARK ENERGY COOPERATIVE</v>
      </c>
      <c r="B3" s="252"/>
      <c r="C3" s="252"/>
      <c r="D3" s="252"/>
      <c r="E3" s="252"/>
      <c r="F3" s="7"/>
      <c r="G3" s="7"/>
      <c r="H3" s="7"/>
    </row>
    <row r="4" spans="1:8">
      <c r="A4" s="252" t="str">
        <f>RevReq!A3</f>
        <v>For the 12 Months Ended December 31, 2024</v>
      </c>
      <c r="B4" s="252"/>
      <c r="C4" s="252"/>
      <c r="D4" s="252"/>
      <c r="E4" s="252"/>
      <c r="F4" s="7"/>
      <c r="G4" s="7"/>
      <c r="H4" s="7"/>
    </row>
    <row r="6" spans="1:8" s="6" customFormat="1" ht="15" customHeight="1">
      <c r="A6" s="253" t="s">
        <v>252</v>
      </c>
      <c r="B6" s="253"/>
      <c r="C6" s="253"/>
      <c r="D6" s="253"/>
      <c r="E6" s="253"/>
      <c r="F6" s="8"/>
      <c r="G6" s="8"/>
      <c r="H6" s="8"/>
    </row>
    <row r="8" spans="1:8">
      <c r="A8" s="10" t="s">
        <v>0</v>
      </c>
      <c r="C8" s="10" t="s">
        <v>41</v>
      </c>
      <c r="D8" s="10" t="s">
        <v>23</v>
      </c>
      <c r="E8" s="10" t="s">
        <v>24</v>
      </c>
      <c r="F8" s="10"/>
    </row>
    <row r="9" spans="1:8">
      <c r="A9" s="12" t="s">
        <v>21</v>
      </c>
      <c r="C9" s="13" t="s">
        <v>18</v>
      </c>
      <c r="D9" s="13" t="s">
        <v>20</v>
      </c>
      <c r="E9" s="13" t="s">
        <v>19</v>
      </c>
      <c r="F9" s="10"/>
    </row>
    <row r="10" spans="1:8">
      <c r="A10" s="10"/>
      <c r="F10" s="10"/>
    </row>
    <row r="11" spans="1:8">
      <c r="A11" s="10"/>
      <c r="C11" s="2"/>
      <c r="F11" s="10"/>
    </row>
    <row r="12" spans="1:8">
      <c r="A12" s="10">
        <v>1</v>
      </c>
      <c r="C12" s="2" t="s">
        <v>322</v>
      </c>
      <c r="D12" s="243">
        <v>0</v>
      </c>
      <c r="E12" s="243">
        <v>77500</v>
      </c>
      <c r="F12" s="10"/>
    </row>
    <row r="13" spans="1:8">
      <c r="A13" s="10">
        <f t="shared" ref="A13:A19" si="0">A12+1</f>
        <v>2</v>
      </c>
      <c r="C13" s="2" t="s">
        <v>323</v>
      </c>
      <c r="D13" s="243">
        <v>185651.93</v>
      </c>
      <c r="E13" s="243">
        <v>0</v>
      </c>
      <c r="F13" s="10"/>
    </row>
    <row r="14" spans="1:8">
      <c r="A14" s="10">
        <f t="shared" si="0"/>
        <v>3</v>
      </c>
      <c r="C14" s="2" t="s">
        <v>324</v>
      </c>
      <c r="D14" s="243">
        <v>29883.919999999998</v>
      </c>
      <c r="E14" s="243">
        <v>0</v>
      </c>
      <c r="F14" s="10"/>
    </row>
    <row r="15" spans="1:8">
      <c r="A15" s="10">
        <f t="shared" si="0"/>
        <v>4</v>
      </c>
      <c r="C15" s="4" t="s">
        <v>309</v>
      </c>
      <c r="D15" s="60">
        <f>SUM(D12:D14)</f>
        <v>215535.84999999998</v>
      </c>
      <c r="E15" s="60">
        <f>SUM(E12:E14)</f>
        <v>77500</v>
      </c>
      <c r="F15" s="10"/>
    </row>
    <row r="16" spans="1:8">
      <c r="A16" s="10">
        <f t="shared" si="0"/>
        <v>5</v>
      </c>
      <c r="C16" s="1"/>
      <c r="D16" s="132"/>
      <c r="E16" s="132"/>
      <c r="F16" s="10"/>
    </row>
    <row r="17" spans="1:8">
      <c r="A17" s="10">
        <f t="shared" si="0"/>
        <v>6</v>
      </c>
      <c r="C17" s="1" t="s">
        <v>38</v>
      </c>
      <c r="D17" s="132">
        <v>0</v>
      </c>
      <c r="E17" s="132">
        <v>0</v>
      </c>
      <c r="F17" s="10"/>
    </row>
    <row r="18" spans="1:8">
      <c r="A18" s="10">
        <f t="shared" si="0"/>
        <v>7</v>
      </c>
      <c r="D18" s="2"/>
      <c r="E18" s="2"/>
      <c r="F18" s="10"/>
    </row>
    <row r="19" spans="1:8" ht="13.5" thickBot="1">
      <c r="A19" s="10">
        <f t="shared" si="0"/>
        <v>8</v>
      </c>
      <c r="C19" s="3" t="s">
        <v>15</v>
      </c>
      <c r="D19" s="56">
        <f>D17-D15</f>
        <v>-215535.84999999998</v>
      </c>
      <c r="E19" s="56">
        <f>E17-E15</f>
        <v>-77500</v>
      </c>
      <c r="F19" s="10"/>
    </row>
    <row r="20" spans="1:8" ht="13.5" thickTop="1">
      <c r="F20" s="10"/>
    </row>
    <row r="22" spans="1:8" ht="30" customHeight="1">
      <c r="C22" s="254" t="s">
        <v>253</v>
      </c>
      <c r="D22" s="254"/>
      <c r="E22" s="254"/>
      <c r="F22" s="9"/>
      <c r="G22" s="9"/>
      <c r="H22" s="9"/>
    </row>
  </sheetData>
  <mergeCells count="4">
    <mergeCell ref="C22:E22"/>
    <mergeCell ref="A4:E4"/>
    <mergeCell ref="A3:E3"/>
    <mergeCell ref="A6:E6"/>
  </mergeCells>
  <printOptions horizontalCentered="1"/>
  <pageMargins left="1" right="0.75" top="0.75" bottom="0.5" header="0.5" footer="0.5"/>
  <pageSetup orientation="portrait" r:id="rId1"/>
  <headerFooter alignWithMargins="0">
    <oddFooter>&amp;RRevised Exhibit JW-2
Page &amp;P of &amp;N</oddFooter>
  </headerFooter>
  <ignoredErrors>
    <ignoredError sqref="C9 D9:E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pageSetUpPr fitToPage="1"/>
  </sheetPr>
  <dimension ref="A1:Y65"/>
  <sheetViews>
    <sheetView view="pageBreakPreview" topLeftCell="A31" zoomScaleNormal="100" zoomScaleSheetLayoutView="100" workbookViewId="0">
      <selection activeCell="E56" sqref="E56"/>
    </sheetView>
  </sheetViews>
  <sheetFormatPr defaultRowHeight="12.75"/>
  <cols>
    <col min="1" max="1" width="5.85546875" style="2" customWidth="1"/>
    <col min="2" max="2" width="2.28515625" style="2" customWidth="1"/>
    <col min="3" max="3" width="9.28515625" style="2" customWidth="1"/>
    <col min="4" max="4" width="30.5703125" style="2" bestFit="1" customWidth="1"/>
    <col min="5" max="5" width="12.28515625" style="2" customWidth="1"/>
    <col min="6" max="9" width="10.28515625" style="2" bestFit="1" customWidth="1"/>
    <col min="10" max="10" width="11.5703125" style="2" customWidth="1"/>
    <col min="11" max="16384" width="9.140625" style="2"/>
  </cols>
  <sheetData>
    <row r="1" spans="1:13">
      <c r="G1" s="155"/>
      <c r="J1" s="155" t="s">
        <v>307</v>
      </c>
    </row>
    <row r="2" spans="1:13" ht="20.25" customHeight="1">
      <c r="G2" s="155"/>
    </row>
    <row r="3" spans="1:13">
      <c r="A3" s="255" t="str">
        <f>RevReq!A1</f>
        <v>CLARK ENERGY COOPERATIVE</v>
      </c>
      <c r="B3" s="255"/>
      <c r="C3" s="255"/>
      <c r="D3" s="255"/>
      <c r="E3" s="255"/>
      <c r="F3" s="255"/>
      <c r="G3" s="255"/>
      <c r="H3" s="255"/>
      <c r="I3" s="255"/>
      <c r="J3" s="255"/>
    </row>
    <row r="4" spans="1:13">
      <c r="A4" s="255" t="str">
        <f>RevReq!A3</f>
        <v>For the 12 Months Ended December 31, 2024</v>
      </c>
      <c r="B4" s="255"/>
      <c r="C4" s="255"/>
      <c r="D4" s="255"/>
      <c r="E4" s="255"/>
      <c r="F4" s="255"/>
      <c r="G4" s="255"/>
      <c r="H4" s="255"/>
      <c r="I4" s="255"/>
      <c r="J4" s="255"/>
    </row>
    <row r="6" spans="1:13" s="156" customFormat="1" ht="15" customHeight="1">
      <c r="A6" s="253" t="s">
        <v>29</v>
      </c>
      <c r="B6" s="253"/>
      <c r="C6" s="253"/>
      <c r="D6" s="253"/>
      <c r="E6" s="253"/>
      <c r="F6" s="253"/>
      <c r="G6" s="253"/>
      <c r="H6" s="253"/>
      <c r="I6" s="253"/>
      <c r="J6" s="253"/>
    </row>
    <row r="8" spans="1:13" s="44" customFormat="1" ht="38.25" customHeight="1">
      <c r="A8" s="44" t="s">
        <v>0</v>
      </c>
      <c r="C8" s="44" t="s">
        <v>149</v>
      </c>
      <c r="D8" s="44" t="s">
        <v>1</v>
      </c>
      <c r="E8" s="44" t="s">
        <v>146</v>
      </c>
      <c r="F8" s="44" t="s">
        <v>150</v>
      </c>
      <c r="G8" s="44" t="s">
        <v>96</v>
      </c>
      <c r="H8" s="44" t="s">
        <v>147</v>
      </c>
      <c r="I8" s="44" t="s">
        <v>148</v>
      </c>
      <c r="J8" s="44" t="s">
        <v>141</v>
      </c>
    </row>
    <row r="9" spans="1:13">
      <c r="A9" s="45" t="s">
        <v>21</v>
      </c>
      <c r="B9" s="1"/>
      <c r="C9" s="157" t="s">
        <v>18</v>
      </c>
      <c r="D9" s="157" t="s">
        <v>20</v>
      </c>
      <c r="E9" s="157" t="s">
        <v>19</v>
      </c>
      <c r="F9" s="157" t="s">
        <v>25</v>
      </c>
      <c r="G9" s="157" t="s">
        <v>51</v>
      </c>
      <c r="H9" s="157" t="s">
        <v>52</v>
      </c>
      <c r="I9" s="157" t="s">
        <v>53</v>
      </c>
      <c r="J9" s="157" t="s">
        <v>54</v>
      </c>
    </row>
    <row r="10" spans="1:13">
      <c r="A10" s="1"/>
      <c r="B10" s="1"/>
    </row>
    <row r="11" spans="1:13">
      <c r="A11" s="1">
        <v>1</v>
      </c>
      <c r="B11" s="1"/>
      <c r="C11" s="48" t="s">
        <v>151</v>
      </c>
    </row>
    <row r="12" spans="1:13">
      <c r="A12" s="1">
        <f>A10+1</f>
        <v>1</v>
      </c>
      <c r="B12" s="1"/>
      <c r="C12" s="117">
        <v>301</v>
      </c>
      <c r="D12" s="2" t="s">
        <v>284</v>
      </c>
      <c r="E12" s="53">
        <v>183</v>
      </c>
    </row>
    <row r="13" spans="1:13">
      <c r="A13" s="1">
        <f>A11+1</f>
        <v>2</v>
      </c>
      <c r="B13" s="1"/>
      <c r="C13" s="117">
        <v>360</v>
      </c>
      <c r="D13" s="2" t="s">
        <v>159</v>
      </c>
      <c r="E13" s="53">
        <v>304008</v>
      </c>
      <c r="F13" s="53"/>
      <c r="G13" s="244"/>
      <c r="H13" s="53"/>
      <c r="I13" s="53"/>
      <c r="J13" s="53"/>
    </row>
    <row r="14" spans="1:13">
      <c r="A14" s="1">
        <f t="shared" ref="A14:A64" si="0">A13+1</f>
        <v>3</v>
      </c>
      <c r="B14" s="1"/>
      <c r="C14" s="117">
        <v>362</v>
      </c>
      <c r="D14" s="2" t="s">
        <v>152</v>
      </c>
      <c r="E14" s="53">
        <v>251911</v>
      </c>
      <c r="F14" s="53">
        <v>0</v>
      </c>
      <c r="G14" s="244">
        <v>6.6720000000000002E-2</v>
      </c>
      <c r="H14" s="53">
        <f t="shared" ref="H14:H26" si="1">ROUND(((+E14-F14)*G14),2)</f>
        <v>16807.5</v>
      </c>
      <c r="I14" s="159"/>
      <c r="J14" s="160"/>
      <c r="M14" s="161"/>
    </row>
    <row r="15" spans="1:13">
      <c r="A15" s="1">
        <f t="shared" si="0"/>
        <v>4</v>
      </c>
      <c r="B15" s="1"/>
      <c r="C15" s="117">
        <v>364</v>
      </c>
      <c r="D15" s="2" t="s">
        <v>153</v>
      </c>
      <c r="E15" s="53">
        <v>42349394.700000003</v>
      </c>
      <c r="F15" s="53">
        <v>0</v>
      </c>
      <c r="G15" s="244">
        <v>3.7320000000000006E-2</v>
      </c>
      <c r="H15" s="53">
        <f t="shared" si="1"/>
        <v>1580479.41</v>
      </c>
      <c r="I15" s="159"/>
      <c r="J15" s="160"/>
      <c r="M15" s="161"/>
    </row>
    <row r="16" spans="1:13">
      <c r="A16" s="1">
        <f t="shared" si="0"/>
        <v>5</v>
      </c>
      <c r="B16" s="1"/>
      <c r="C16" s="117">
        <v>365</v>
      </c>
      <c r="D16" s="2" t="s">
        <v>154</v>
      </c>
      <c r="E16" s="53">
        <v>45652367.520000003</v>
      </c>
      <c r="F16" s="53">
        <v>0</v>
      </c>
      <c r="G16" s="244">
        <v>5.0519999999999995E-2</v>
      </c>
      <c r="H16" s="53">
        <f t="shared" si="1"/>
        <v>2306357.61</v>
      </c>
      <c r="I16" s="159"/>
      <c r="J16" s="160"/>
      <c r="M16" s="161"/>
    </row>
    <row r="17" spans="1:16">
      <c r="A17" s="1">
        <f t="shared" si="0"/>
        <v>6</v>
      </c>
      <c r="B17" s="1"/>
      <c r="C17" s="117">
        <v>366</v>
      </c>
      <c r="D17" s="2" t="s">
        <v>155</v>
      </c>
      <c r="E17" s="53">
        <v>2816770.05</v>
      </c>
      <c r="F17" s="53">
        <v>0</v>
      </c>
      <c r="G17" s="244">
        <v>3.0960000000000001E-2</v>
      </c>
      <c r="H17" s="53">
        <f t="shared" si="1"/>
        <v>87207.2</v>
      </c>
      <c r="I17" s="159"/>
      <c r="J17" s="160"/>
      <c r="M17" s="161"/>
    </row>
    <row r="18" spans="1:16">
      <c r="A18" s="1">
        <f t="shared" si="0"/>
        <v>7</v>
      </c>
      <c r="B18" s="1"/>
      <c r="C18" s="117">
        <v>367</v>
      </c>
      <c r="D18" s="2" t="s">
        <v>156</v>
      </c>
      <c r="E18" s="53">
        <v>8786682.5399999991</v>
      </c>
      <c r="F18" s="53">
        <v>0</v>
      </c>
      <c r="G18" s="244">
        <v>4.1880000000000001E-2</v>
      </c>
      <c r="H18" s="53">
        <f t="shared" si="1"/>
        <v>367986.26</v>
      </c>
      <c r="I18" s="159"/>
      <c r="J18" s="160"/>
      <c r="M18" s="161"/>
    </row>
    <row r="19" spans="1:16">
      <c r="A19" s="1">
        <f t="shared" si="0"/>
        <v>8</v>
      </c>
      <c r="B19" s="1"/>
      <c r="C19" s="117">
        <v>368</v>
      </c>
      <c r="D19" s="2" t="s">
        <v>157</v>
      </c>
      <c r="E19" s="53">
        <v>20872508.68</v>
      </c>
      <c r="F19" s="53">
        <v>0</v>
      </c>
      <c r="G19" s="244">
        <v>3.0360000000000002E-2</v>
      </c>
      <c r="H19" s="53">
        <f t="shared" si="1"/>
        <v>633689.36</v>
      </c>
      <c r="I19" s="159"/>
      <c r="J19" s="160"/>
      <c r="M19" s="161"/>
    </row>
    <row r="20" spans="1:16">
      <c r="A20" s="1">
        <f t="shared" si="0"/>
        <v>9</v>
      </c>
      <c r="C20" s="117">
        <v>369</v>
      </c>
      <c r="D20" s="2" t="s">
        <v>99</v>
      </c>
      <c r="E20" s="53">
        <v>16337277.960000001</v>
      </c>
      <c r="F20" s="53">
        <v>0</v>
      </c>
      <c r="G20" s="244">
        <v>2.3760000000000003E-2</v>
      </c>
      <c r="H20" s="53">
        <f t="shared" si="1"/>
        <v>388173.72</v>
      </c>
      <c r="I20" s="159"/>
      <c r="J20" s="160"/>
      <c r="M20" s="161"/>
    </row>
    <row r="21" spans="1:16">
      <c r="A21" s="1">
        <f t="shared" si="0"/>
        <v>10</v>
      </c>
      <c r="C21" s="117">
        <v>370</v>
      </c>
      <c r="D21" s="2" t="s">
        <v>130</v>
      </c>
      <c r="E21" s="53">
        <v>277868.82</v>
      </c>
      <c r="F21" s="53">
        <v>0</v>
      </c>
      <c r="G21" s="244">
        <v>6.6720000000000002E-2</v>
      </c>
      <c r="H21" s="53">
        <f t="shared" si="1"/>
        <v>18539.41</v>
      </c>
      <c r="I21" s="159"/>
      <c r="J21" s="160"/>
      <c r="M21" s="161"/>
    </row>
    <row r="22" spans="1:16">
      <c r="A22" s="1">
        <f t="shared" si="0"/>
        <v>11</v>
      </c>
      <c r="C22" s="117">
        <v>370.1</v>
      </c>
      <c r="D22" s="2" t="s">
        <v>264</v>
      </c>
      <c r="E22" s="53">
        <v>0</v>
      </c>
      <c r="F22" s="53">
        <v>0</v>
      </c>
      <c r="G22" s="244">
        <v>6.6720000000000002E-2</v>
      </c>
      <c r="H22" s="53">
        <f t="shared" si="1"/>
        <v>0</v>
      </c>
      <c r="I22" s="159"/>
      <c r="J22" s="160"/>
      <c r="M22" s="161"/>
    </row>
    <row r="23" spans="1:16">
      <c r="A23" s="1">
        <f t="shared" si="0"/>
        <v>12</v>
      </c>
      <c r="C23" s="117">
        <v>370.4</v>
      </c>
      <c r="D23" s="2" t="s">
        <v>265</v>
      </c>
      <c r="E23" s="53">
        <v>0</v>
      </c>
      <c r="F23" s="53">
        <v>0</v>
      </c>
      <c r="G23" s="244">
        <v>6.6720000000000002E-2</v>
      </c>
      <c r="H23" s="53">
        <f t="shared" si="1"/>
        <v>0</v>
      </c>
      <c r="I23" s="159"/>
      <c r="J23" s="160"/>
      <c r="M23" s="161"/>
    </row>
    <row r="24" spans="1:16">
      <c r="A24" s="1">
        <f t="shared" si="0"/>
        <v>13</v>
      </c>
      <c r="C24" s="117">
        <v>370.5</v>
      </c>
      <c r="D24" s="2" t="s">
        <v>266</v>
      </c>
      <c r="E24" s="53">
        <v>6894550.7000000002</v>
      </c>
      <c r="F24" s="53">
        <v>0</v>
      </c>
      <c r="G24" s="244">
        <v>6.6720000000000002E-2</v>
      </c>
      <c r="H24" s="53">
        <f t="shared" si="1"/>
        <v>460004.42</v>
      </c>
      <c r="I24" s="159"/>
      <c r="J24" s="160"/>
      <c r="M24" s="161"/>
    </row>
    <row r="25" spans="1:16">
      <c r="A25" s="1">
        <f t="shared" si="0"/>
        <v>14</v>
      </c>
      <c r="C25" s="117">
        <v>371</v>
      </c>
      <c r="D25" s="2" t="s">
        <v>158</v>
      </c>
      <c r="E25" s="53">
        <v>3935154.81</v>
      </c>
      <c r="F25" s="53">
        <v>0</v>
      </c>
      <c r="G25" s="244">
        <v>6.0720000000000003E-2</v>
      </c>
      <c r="H25" s="53">
        <f t="shared" si="1"/>
        <v>238942.6</v>
      </c>
      <c r="I25" s="159"/>
      <c r="J25" s="160"/>
      <c r="M25" s="161"/>
    </row>
    <row r="26" spans="1:16">
      <c r="A26" s="1">
        <f t="shared" si="0"/>
        <v>15</v>
      </c>
      <c r="C26" s="117">
        <v>373</v>
      </c>
      <c r="D26" s="2" t="s">
        <v>254</v>
      </c>
      <c r="E26" s="53">
        <v>1096322.5600000001</v>
      </c>
      <c r="F26" s="53">
        <v>0</v>
      </c>
      <c r="G26" s="244">
        <v>7.3319999999999996E-2</v>
      </c>
      <c r="H26" s="53">
        <f t="shared" si="1"/>
        <v>80382.37</v>
      </c>
      <c r="I26" s="159"/>
      <c r="J26" s="160"/>
      <c r="M26" s="161"/>
    </row>
    <row r="27" spans="1:16">
      <c r="A27" s="1">
        <f t="shared" si="0"/>
        <v>16</v>
      </c>
      <c r="D27" s="162" t="s">
        <v>22</v>
      </c>
      <c r="E27" s="163">
        <f>SUM(E12:E26)</f>
        <v>149575000.34</v>
      </c>
      <c r="F27" s="163">
        <f>SUM(F14:F26)</f>
        <v>0</v>
      </c>
      <c r="G27" s="163"/>
      <c r="H27" s="163">
        <f>SUM(H14:H26)</f>
        <v>6178569.8599999994</v>
      </c>
      <c r="I27" s="163">
        <v>6041566.3099999996</v>
      </c>
      <c r="J27" s="163">
        <f>H27-I27</f>
        <v>137003.54999999981</v>
      </c>
    </row>
    <row r="28" spans="1:16">
      <c r="A28" s="1">
        <f t="shared" si="0"/>
        <v>17</v>
      </c>
    </row>
    <row r="29" spans="1:16">
      <c r="A29" s="1">
        <f t="shared" si="0"/>
        <v>18</v>
      </c>
      <c r="C29" s="48" t="s">
        <v>167</v>
      </c>
      <c r="H29" s="2">
        <f>0.833*12</f>
        <v>9.9959999999999987</v>
      </c>
    </row>
    <row r="30" spans="1:16">
      <c r="A30" s="1">
        <f t="shared" si="0"/>
        <v>19</v>
      </c>
      <c r="C30" s="116">
        <v>389</v>
      </c>
      <c r="D30" s="2" t="s">
        <v>159</v>
      </c>
      <c r="E30" s="53">
        <v>16614.25</v>
      </c>
      <c r="F30" s="53"/>
      <c r="G30" s="245"/>
      <c r="H30" s="53"/>
      <c r="I30" s="53"/>
      <c r="J30" s="144"/>
    </row>
    <row r="31" spans="1:16">
      <c r="A31" s="1">
        <f t="shared" si="0"/>
        <v>20</v>
      </c>
      <c r="C31" s="116">
        <v>390</v>
      </c>
      <c r="D31" s="2" t="s">
        <v>160</v>
      </c>
      <c r="E31" s="53">
        <v>3988553.54</v>
      </c>
      <c r="F31" s="53">
        <v>0</v>
      </c>
      <c r="G31" s="55">
        <v>1.992E-2</v>
      </c>
      <c r="H31" s="53">
        <f>ROUND(((+E31-F31)*G31),2)</f>
        <v>79451.990000000005</v>
      </c>
      <c r="I31" s="159"/>
      <c r="J31" s="160"/>
      <c r="M31" s="161"/>
    </row>
    <row r="32" spans="1:16">
      <c r="A32" s="1">
        <f t="shared" si="0"/>
        <v>21</v>
      </c>
      <c r="C32" s="116">
        <v>391</v>
      </c>
      <c r="D32" s="2" t="s">
        <v>161</v>
      </c>
      <c r="E32" s="53">
        <v>430019.13</v>
      </c>
      <c r="F32" s="53">
        <v>295895.49</v>
      </c>
      <c r="G32" s="55">
        <v>7.0000000000000007E-2</v>
      </c>
      <c r="H32" s="53">
        <f t="shared" ref="H32:H39" si="2">ROUND(((+E32-F32)*G32),2)</f>
        <v>9388.65</v>
      </c>
      <c r="I32" s="159"/>
      <c r="J32" s="160"/>
      <c r="M32" s="161"/>
      <c r="P32" s="161"/>
    </row>
    <row r="33" spans="1:16">
      <c r="A33" s="1">
        <f t="shared" si="0"/>
        <v>22</v>
      </c>
      <c r="C33" s="116">
        <v>391.01</v>
      </c>
      <c r="D33" s="2" t="s">
        <v>267</v>
      </c>
      <c r="E33" s="53">
        <v>1267892.81</v>
      </c>
      <c r="F33" s="53">
        <v>906406.91</v>
      </c>
      <c r="G33" s="55">
        <v>0.15959999999999999</v>
      </c>
      <c r="H33" s="53">
        <f t="shared" si="2"/>
        <v>57693.15</v>
      </c>
      <c r="I33" s="159"/>
      <c r="J33" s="160"/>
      <c r="M33" s="161"/>
      <c r="P33" s="161"/>
    </row>
    <row r="34" spans="1:16">
      <c r="A34" s="1">
        <f t="shared" si="0"/>
        <v>23</v>
      </c>
      <c r="C34" s="116">
        <v>391.02</v>
      </c>
      <c r="D34" s="2" t="s">
        <v>268</v>
      </c>
      <c r="E34" s="53">
        <v>629428.75</v>
      </c>
      <c r="F34" s="53">
        <v>601175.19999999995</v>
      </c>
      <c r="G34" s="55">
        <f>1/5</f>
        <v>0.2</v>
      </c>
      <c r="H34" s="53">
        <f t="shared" si="2"/>
        <v>5650.71</v>
      </c>
      <c r="I34" s="159"/>
      <c r="J34" s="160"/>
      <c r="M34" s="161"/>
      <c r="P34" s="161"/>
    </row>
    <row r="35" spans="1:16">
      <c r="A35" s="1">
        <f t="shared" si="0"/>
        <v>24</v>
      </c>
      <c r="C35" s="116">
        <v>393</v>
      </c>
      <c r="D35" s="2" t="s">
        <v>128</v>
      </c>
      <c r="E35" s="53">
        <v>153538.07999999999</v>
      </c>
      <c r="F35" s="53">
        <v>100799.37</v>
      </c>
      <c r="G35" s="55">
        <v>0.06</v>
      </c>
      <c r="H35" s="53">
        <f t="shared" si="2"/>
        <v>3164.32</v>
      </c>
      <c r="I35" s="159"/>
      <c r="J35" s="160"/>
      <c r="M35" s="161"/>
    </row>
    <row r="36" spans="1:16">
      <c r="A36" s="1">
        <f t="shared" si="0"/>
        <v>25</v>
      </c>
      <c r="C36" s="116">
        <v>394</v>
      </c>
      <c r="D36" s="2" t="s">
        <v>162</v>
      </c>
      <c r="E36" s="53">
        <v>429136.45</v>
      </c>
      <c r="F36" s="53">
        <v>281002.12</v>
      </c>
      <c r="G36" s="55">
        <v>0.06</v>
      </c>
      <c r="H36" s="53">
        <f t="shared" si="2"/>
        <v>8888.06</v>
      </c>
      <c r="I36" s="159"/>
      <c r="J36" s="160"/>
      <c r="M36" s="161"/>
    </row>
    <row r="37" spans="1:16">
      <c r="A37" s="1">
        <f t="shared" si="0"/>
        <v>26</v>
      </c>
      <c r="C37" s="116">
        <v>395</v>
      </c>
      <c r="D37" s="2" t="s">
        <v>163</v>
      </c>
      <c r="E37" s="53">
        <v>187769.9</v>
      </c>
      <c r="F37" s="53">
        <v>98644.9</v>
      </c>
      <c r="G37" s="55">
        <v>0.06</v>
      </c>
      <c r="H37" s="53">
        <f t="shared" si="2"/>
        <v>5347.5</v>
      </c>
      <c r="I37" s="159"/>
      <c r="J37" s="160"/>
      <c r="M37" s="161"/>
    </row>
    <row r="38" spans="1:16">
      <c r="A38" s="1">
        <f t="shared" si="0"/>
        <v>27</v>
      </c>
      <c r="C38" s="116">
        <v>396</v>
      </c>
      <c r="D38" s="2" t="s">
        <v>164</v>
      </c>
      <c r="E38" s="53">
        <v>172264.24</v>
      </c>
      <c r="F38" s="53">
        <v>151742.37</v>
      </c>
      <c r="G38" s="55">
        <v>0.12</v>
      </c>
      <c r="H38" s="53">
        <f t="shared" si="2"/>
        <v>2462.62</v>
      </c>
      <c r="I38" s="159"/>
      <c r="J38" s="160"/>
      <c r="M38" s="161"/>
    </row>
    <row r="39" spans="1:16">
      <c r="A39" s="1">
        <f t="shared" si="0"/>
        <v>28</v>
      </c>
      <c r="C39" s="116">
        <v>397</v>
      </c>
      <c r="D39" s="2" t="s">
        <v>165</v>
      </c>
      <c r="E39" s="53">
        <v>899615.32</v>
      </c>
      <c r="F39" s="53">
        <v>459223.69</v>
      </c>
      <c r="G39" s="55">
        <v>8.0400000000000013E-2</v>
      </c>
      <c r="H39" s="53">
        <f t="shared" si="2"/>
        <v>35407.49</v>
      </c>
      <c r="I39" s="159"/>
      <c r="J39" s="160"/>
      <c r="M39" s="161"/>
    </row>
    <row r="40" spans="1:16">
      <c r="A40" s="1">
        <f t="shared" si="0"/>
        <v>29</v>
      </c>
      <c r="C40" s="116">
        <v>398</v>
      </c>
      <c r="D40" s="2" t="s">
        <v>166</v>
      </c>
      <c r="E40" s="53">
        <v>942321</v>
      </c>
      <c r="F40" s="53">
        <v>560720.39</v>
      </c>
      <c r="G40" s="55">
        <v>0.1</v>
      </c>
      <c r="H40" s="53">
        <f>ROUND(((+E40-F40)*G40),2)</f>
        <v>38160.06</v>
      </c>
      <c r="I40" s="159"/>
      <c r="J40" s="160"/>
      <c r="M40" s="161"/>
    </row>
    <row r="41" spans="1:16">
      <c r="A41" s="1">
        <f t="shared" si="0"/>
        <v>30</v>
      </c>
      <c r="D41" s="162" t="s">
        <v>22</v>
      </c>
      <c r="E41" s="163">
        <f>SUM(E30:E40)</f>
        <v>9117153.4700000025</v>
      </c>
      <c r="F41" s="163">
        <f>SUM(F30:F40)</f>
        <v>3455610.44</v>
      </c>
      <c r="G41" s="163"/>
      <c r="H41" s="163">
        <f>SUM(H30:H40)</f>
        <v>245614.55</v>
      </c>
      <c r="I41" s="163">
        <v>264328.61</v>
      </c>
      <c r="J41" s="163">
        <f>H41-I41</f>
        <v>-18714.059999999998</v>
      </c>
    </row>
    <row r="42" spans="1:16">
      <c r="A42" s="1">
        <f t="shared" si="0"/>
        <v>31</v>
      </c>
      <c r="C42" s="120" t="s">
        <v>142</v>
      </c>
      <c r="D42" s="164" t="s">
        <v>171</v>
      </c>
      <c r="E42" s="121">
        <f>E27+E41</f>
        <v>158692153.81</v>
      </c>
      <c r="F42" s="121">
        <f>F27+F41</f>
        <v>3455610.44</v>
      </c>
      <c r="G42" s="121"/>
      <c r="H42" s="121">
        <f>H27+H41</f>
        <v>6424184.4099999992</v>
      </c>
      <c r="I42" s="121">
        <f>I27+I41</f>
        <v>6305894.9199999999</v>
      </c>
      <c r="J42" s="121">
        <f>J27+J41</f>
        <v>118289.48999999982</v>
      </c>
    </row>
    <row r="43" spans="1:16">
      <c r="A43" s="1">
        <f t="shared" si="0"/>
        <v>32</v>
      </c>
      <c r="D43" s="165"/>
      <c r="E43" s="53"/>
      <c r="F43" s="53"/>
      <c r="G43" s="53"/>
      <c r="H43" s="53"/>
      <c r="I43" s="53"/>
      <c r="J43" s="53"/>
    </row>
    <row r="44" spans="1:16">
      <c r="A44" s="1">
        <f t="shared" si="0"/>
        <v>33</v>
      </c>
      <c r="C44" s="48" t="s">
        <v>168</v>
      </c>
      <c r="E44" s="53"/>
      <c r="F44" s="53"/>
      <c r="G44" s="53"/>
      <c r="H44" s="53"/>
      <c r="I44" s="53"/>
      <c r="J44" s="53"/>
    </row>
    <row r="45" spans="1:16">
      <c r="A45" s="1">
        <f t="shared" si="0"/>
        <v>34</v>
      </c>
      <c r="C45" s="116">
        <v>392</v>
      </c>
      <c r="D45" s="2" t="s">
        <v>129</v>
      </c>
      <c r="E45" s="53">
        <v>4526292.45</v>
      </c>
      <c r="F45" s="53">
        <v>1806561.7</v>
      </c>
      <c r="G45" s="55">
        <v>0.156</v>
      </c>
      <c r="H45" s="53">
        <f>ROUND(((+E45-F45)*G45),2)</f>
        <v>424278</v>
      </c>
      <c r="I45" s="53">
        <v>420789.84</v>
      </c>
      <c r="J45" s="144">
        <f>H45-I45</f>
        <v>3488.1599999999744</v>
      </c>
      <c r="M45" s="161"/>
    </row>
    <row r="46" spans="1:16">
      <c r="A46" s="1">
        <f t="shared" si="0"/>
        <v>35</v>
      </c>
      <c r="C46" s="119" t="s">
        <v>143</v>
      </c>
      <c r="D46" s="120" t="s">
        <v>169</v>
      </c>
      <c r="E46" s="121"/>
      <c r="F46" s="121"/>
      <c r="G46" s="122"/>
      <c r="H46" s="121"/>
      <c r="I46" s="121"/>
      <c r="J46" s="166">
        <f>G59</f>
        <v>2029.02</v>
      </c>
      <c r="M46" s="161"/>
    </row>
    <row r="47" spans="1:16">
      <c r="A47" s="1">
        <f t="shared" si="0"/>
        <v>36</v>
      </c>
    </row>
    <row r="48" spans="1:16" ht="13.5" thickBot="1">
      <c r="A48" s="1">
        <f t="shared" si="0"/>
        <v>37</v>
      </c>
      <c r="C48" s="3" t="s">
        <v>280</v>
      </c>
      <c r="D48" s="3" t="s">
        <v>14</v>
      </c>
      <c r="E48" s="167">
        <f>E42+E45</f>
        <v>163218446.25999999</v>
      </c>
      <c r="F48" s="167">
        <f>F42+F45</f>
        <v>5262172.1399999997</v>
      </c>
      <c r="G48" s="3"/>
      <c r="H48" s="167">
        <f>H42+H45</f>
        <v>6848462.4099999992</v>
      </c>
      <c r="I48" s="167">
        <f>I42+I45</f>
        <v>6726684.7599999998</v>
      </c>
      <c r="J48" s="168">
        <f>J46+J42</f>
        <v>120318.50999999982</v>
      </c>
    </row>
    <row r="49" spans="1:25" ht="13.5" thickTop="1">
      <c r="A49" s="1">
        <f t="shared" si="0"/>
        <v>38</v>
      </c>
    </row>
    <row r="50" spans="1:25" ht="29.25" customHeight="1">
      <c r="A50" s="169">
        <f t="shared" si="0"/>
        <v>39</v>
      </c>
      <c r="B50" s="47"/>
      <c r="C50" s="256" t="s">
        <v>285</v>
      </c>
      <c r="D50" s="256"/>
      <c r="E50" s="256"/>
      <c r="F50" s="256"/>
      <c r="G50" s="256"/>
      <c r="H50" s="256"/>
      <c r="I50" s="256"/>
      <c r="J50" s="256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>
      <c r="A51" s="1">
        <f t="shared" si="0"/>
        <v>40</v>
      </c>
    </row>
    <row r="52" spans="1:25">
      <c r="A52" s="1">
        <f t="shared" si="0"/>
        <v>41</v>
      </c>
      <c r="C52" s="48" t="s">
        <v>169</v>
      </c>
      <c r="D52" s="1"/>
      <c r="E52" s="52" t="s">
        <v>145</v>
      </c>
      <c r="F52" s="52" t="s">
        <v>144</v>
      </c>
      <c r="G52" s="52" t="s">
        <v>170</v>
      </c>
    </row>
    <row r="53" spans="1:25">
      <c r="A53" s="1">
        <f t="shared" si="0"/>
        <v>42</v>
      </c>
      <c r="D53" s="1"/>
    </row>
    <row r="54" spans="1:25">
      <c r="A54" s="1">
        <f t="shared" si="0"/>
        <v>43</v>
      </c>
      <c r="C54" s="1" t="s">
        <v>132</v>
      </c>
      <c r="D54" s="2" t="s">
        <v>133</v>
      </c>
      <c r="E54" s="246">
        <v>374838.4</v>
      </c>
      <c r="F54" s="89">
        <f>E54/E$64</f>
        <v>0.10804611657614659</v>
      </c>
      <c r="G54" s="42">
        <f>ROUND(F54*$J$45,2)</f>
        <v>376.88</v>
      </c>
    </row>
    <row r="55" spans="1:25">
      <c r="A55" s="1">
        <f t="shared" si="0"/>
        <v>44</v>
      </c>
      <c r="C55" s="1" t="s">
        <v>134</v>
      </c>
      <c r="D55" s="2" t="s">
        <v>135</v>
      </c>
      <c r="E55" s="246">
        <v>877785.5</v>
      </c>
      <c r="F55" s="89">
        <f t="shared" ref="F55:F58" si="3">E55/E$64</f>
        <v>0.25301920630824137</v>
      </c>
      <c r="G55" s="42">
        <f>ROUND(F55*$J$45,2)</f>
        <v>882.57</v>
      </c>
    </row>
    <row r="56" spans="1:25">
      <c r="A56" s="1">
        <f t="shared" si="0"/>
        <v>45</v>
      </c>
      <c r="C56" s="1" t="s">
        <v>136</v>
      </c>
      <c r="D56" s="2" t="s">
        <v>111</v>
      </c>
      <c r="E56" s="246">
        <v>359864</v>
      </c>
      <c r="F56" s="89">
        <f t="shared" si="3"/>
        <v>0.10372978781138328</v>
      </c>
      <c r="G56" s="42">
        <f>ROUND(F56*$J$45,2)</f>
        <v>361.83</v>
      </c>
    </row>
    <row r="57" spans="1:25">
      <c r="A57" s="1">
        <f t="shared" si="0"/>
        <v>46</v>
      </c>
      <c r="C57" s="1" t="s">
        <v>286</v>
      </c>
      <c r="D57" s="2" t="s">
        <v>83</v>
      </c>
      <c r="E57" s="246">
        <v>122974.07</v>
      </c>
      <c r="F57" s="89">
        <f t="shared" si="3"/>
        <v>3.5446930472073326E-2</v>
      </c>
      <c r="G57" s="42">
        <f>ROUND(F57*$J$45,2)</f>
        <v>123.64</v>
      </c>
    </row>
    <row r="58" spans="1:25">
      <c r="A58" s="1">
        <f t="shared" si="0"/>
        <v>47</v>
      </c>
      <c r="C58" s="1" t="s">
        <v>137</v>
      </c>
      <c r="D58" s="2" t="s">
        <v>131</v>
      </c>
      <c r="E58" s="246">
        <v>282563.48</v>
      </c>
      <c r="F58" s="89">
        <f t="shared" si="3"/>
        <v>8.1448129914762357E-2</v>
      </c>
      <c r="G58" s="42">
        <f>ROUND(F58*$J$45,2)</f>
        <v>284.10000000000002</v>
      </c>
    </row>
    <row r="59" spans="1:25">
      <c r="A59" s="1">
        <f t="shared" si="0"/>
        <v>48</v>
      </c>
      <c r="C59" s="4"/>
      <c r="D59" s="50" t="s">
        <v>22</v>
      </c>
      <c r="E59" s="247">
        <f>SUM(E54:E58)</f>
        <v>2018025.45</v>
      </c>
      <c r="F59" s="90">
        <f>SUM(F54:F58)</f>
        <v>0.58169017108260701</v>
      </c>
      <c r="G59" s="54">
        <f>SUM(G54:G58)</f>
        <v>2029.02</v>
      </c>
    </row>
    <row r="60" spans="1:25">
      <c r="A60" s="1">
        <f t="shared" si="0"/>
        <v>49</v>
      </c>
      <c r="C60" s="1"/>
      <c r="E60" s="248"/>
      <c r="F60" s="89"/>
      <c r="G60" s="49"/>
    </row>
    <row r="61" spans="1:25">
      <c r="A61" s="1">
        <f t="shared" si="0"/>
        <v>50</v>
      </c>
      <c r="C61" s="1" t="s">
        <v>287</v>
      </c>
      <c r="D61" s="2" t="s">
        <v>281</v>
      </c>
      <c r="E61" s="246">
        <v>1451219.09</v>
      </c>
      <c r="F61" s="89">
        <f>E61/E$64</f>
        <v>0.4183098289173931</v>
      </c>
      <c r="G61" s="42">
        <f>ROUND(F61*$J$45,2)</f>
        <v>1459.13</v>
      </c>
    </row>
    <row r="62" spans="1:25">
      <c r="A62" s="1">
        <f t="shared" si="0"/>
        <v>51</v>
      </c>
      <c r="C62" s="4"/>
      <c r="D62" s="50" t="s">
        <v>22</v>
      </c>
      <c r="E62" s="249"/>
      <c r="F62" s="90">
        <f>SUM(F61:F61)</f>
        <v>0.4183098289173931</v>
      </c>
      <c r="G62" s="113">
        <f>SUM(G61:G61)</f>
        <v>1459.13</v>
      </c>
    </row>
    <row r="63" spans="1:25">
      <c r="A63" s="1">
        <f t="shared" si="0"/>
        <v>52</v>
      </c>
      <c r="C63" s="1"/>
      <c r="E63" s="248"/>
      <c r="F63" s="43"/>
      <c r="G63" s="49"/>
    </row>
    <row r="64" spans="1:25" ht="13.5" thickBot="1">
      <c r="A64" s="1">
        <f t="shared" si="0"/>
        <v>53</v>
      </c>
      <c r="C64" s="41"/>
      <c r="D64" s="3" t="s">
        <v>45</v>
      </c>
      <c r="E64" s="114">
        <f>E61+E59</f>
        <v>3469244.54</v>
      </c>
      <c r="F64" s="51">
        <f>F59+F62</f>
        <v>1</v>
      </c>
      <c r="G64" s="114">
        <f>G62+G59</f>
        <v>3488.15</v>
      </c>
    </row>
    <row r="65" s="2" customFormat="1" ht="13.5" thickTop="1"/>
  </sheetData>
  <mergeCells count="4">
    <mergeCell ref="C50:J50"/>
    <mergeCell ref="A3:J3"/>
    <mergeCell ref="A4:J4"/>
    <mergeCell ref="A6:J6"/>
  </mergeCells>
  <printOptions horizontalCentered="1"/>
  <pageMargins left="1" right="0.75" top="0.75" bottom="0.5" header="0.5" footer="0.5"/>
  <pageSetup scale="76" orientation="portrait" r:id="rId1"/>
  <headerFooter alignWithMargins="0">
    <oddFooter>&amp;RRevised Exhibit JW-2
Page &amp;P of &amp;N</oddFooter>
  </headerFooter>
  <ignoredErrors>
    <ignoredError sqref="C9:J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27"/>
  <sheetViews>
    <sheetView view="pageBreakPreview" zoomScaleNormal="100" zoomScaleSheetLayoutView="100" workbookViewId="0">
      <selection activeCell="L24" sqref="L24"/>
    </sheetView>
  </sheetViews>
  <sheetFormatPr defaultRowHeight="12.75"/>
  <cols>
    <col min="1" max="1" width="5.85546875" style="11" customWidth="1"/>
    <col min="2" max="2" width="3.28515625" style="11" customWidth="1"/>
    <col min="3" max="3" width="12.5703125" style="11" customWidth="1"/>
    <col min="4" max="4" width="17.28515625" style="11" customWidth="1"/>
    <col min="5" max="5" width="10.140625" style="11" bestFit="1" customWidth="1"/>
    <col min="6" max="6" width="16.7109375" style="2" customWidth="1"/>
    <col min="7" max="7" width="12.140625" style="11" customWidth="1"/>
    <col min="8" max="8" width="12" style="11" customWidth="1"/>
    <col min="9" max="15" width="9.140625" style="11"/>
    <col min="16" max="16" width="16.7109375" style="11" bestFit="1" customWidth="1"/>
    <col min="17" max="16384" width="9.140625" style="11"/>
  </cols>
  <sheetData>
    <row r="1" spans="1:9">
      <c r="F1" s="155" t="s">
        <v>28</v>
      </c>
    </row>
    <row r="2" spans="1:9" ht="20.25" customHeight="1">
      <c r="H2" s="5"/>
    </row>
    <row r="3" spans="1:9">
      <c r="A3" s="252" t="str">
        <f>RevReq!A1</f>
        <v>CLARK ENERGY COOPERATIVE</v>
      </c>
      <c r="B3" s="252"/>
      <c r="C3" s="252"/>
      <c r="D3" s="252"/>
      <c r="E3" s="252"/>
      <c r="F3" s="252"/>
      <c r="G3" s="7"/>
      <c r="H3" s="7"/>
    </row>
    <row r="4" spans="1:9">
      <c r="A4" s="252" t="str">
        <f>RevReq!A3</f>
        <v>For the 12 Months Ended December 31, 2024</v>
      </c>
      <c r="B4" s="252"/>
      <c r="C4" s="252"/>
      <c r="D4" s="252"/>
      <c r="E4" s="252"/>
      <c r="F4" s="252"/>
      <c r="G4" s="7"/>
      <c r="H4" s="7"/>
    </row>
    <row r="6" spans="1:9" s="6" customFormat="1" ht="15" customHeight="1">
      <c r="A6" s="253" t="s">
        <v>176</v>
      </c>
      <c r="B6" s="253"/>
      <c r="C6" s="253"/>
      <c r="D6" s="253"/>
      <c r="E6" s="253"/>
      <c r="F6" s="253"/>
      <c r="G6" s="11"/>
      <c r="H6" s="8"/>
    </row>
    <row r="7" spans="1:9">
      <c r="A7" s="2"/>
      <c r="B7" s="2"/>
      <c r="C7" s="2"/>
      <c r="D7" s="2"/>
      <c r="E7" s="2"/>
    </row>
    <row r="8" spans="1:9">
      <c r="A8" s="10" t="s">
        <v>0</v>
      </c>
      <c r="C8" s="10" t="s">
        <v>41</v>
      </c>
      <c r="E8" s="10" t="s">
        <v>42</v>
      </c>
      <c r="F8" s="1" t="s">
        <v>24</v>
      </c>
    </row>
    <row r="9" spans="1:9">
      <c r="A9" s="12" t="s">
        <v>21</v>
      </c>
      <c r="C9" s="13" t="s">
        <v>18</v>
      </c>
      <c r="D9" s="58"/>
      <c r="E9" s="13" t="s">
        <v>20</v>
      </c>
      <c r="F9" s="157" t="s">
        <v>19</v>
      </c>
    </row>
    <row r="10" spans="1:9">
      <c r="A10" s="10"/>
    </row>
    <row r="11" spans="1:9">
      <c r="A11" s="10"/>
      <c r="C11" s="2"/>
    </row>
    <row r="12" spans="1:9">
      <c r="A12" s="10">
        <v>1</v>
      </c>
      <c r="C12" s="2" t="s">
        <v>30</v>
      </c>
      <c r="E12" s="37">
        <v>426.1</v>
      </c>
      <c r="F12" s="189">
        <v>11867.76</v>
      </c>
    </row>
    <row r="13" spans="1:9">
      <c r="A13" s="10">
        <f>A12+1</f>
        <v>2</v>
      </c>
      <c r="C13" s="11" t="s">
        <v>260</v>
      </c>
      <c r="E13" s="37">
        <v>930.1</v>
      </c>
      <c r="F13" s="189">
        <v>0</v>
      </c>
    </row>
    <row r="14" spans="1:9">
      <c r="A14" s="10">
        <f t="shared" ref="A14:A24" si="0">A13+1</f>
        <v>3</v>
      </c>
      <c r="C14" s="11" t="s">
        <v>257</v>
      </c>
      <c r="E14" s="37">
        <v>930.2</v>
      </c>
      <c r="F14" s="189">
        <v>32632.94</v>
      </c>
    </row>
    <row r="15" spans="1:9">
      <c r="A15" s="10">
        <f t="shared" si="0"/>
        <v>4</v>
      </c>
      <c r="C15" s="11" t="s">
        <v>261</v>
      </c>
      <c r="E15" s="37">
        <v>930.21</v>
      </c>
      <c r="F15" s="189">
        <f>748.65+242.5+3327.5+1471.78</f>
        <v>5790.4299999999994</v>
      </c>
    </row>
    <row r="16" spans="1:9">
      <c r="A16" s="10">
        <f t="shared" si="0"/>
        <v>5</v>
      </c>
      <c r="C16" s="11" t="s">
        <v>305</v>
      </c>
      <c r="E16" s="37">
        <v>930.22</v>
      </c>
      <c r="F16" s="189">
        <v>0</v>
      </c>
      <c r="I16" s="26"/>
    </row>
    <row r="17" spans="1:9">
      <c r="A17" s="10">
        <f t="shared" si="0"/>
        <v>6</v>
      </c>
      <c r="C17" s="11" t="s">
        <v>258</v>
      </c>
      <c r="E17" s="37">
        <v>930.23</v>
      </c>
      <c r="F17" s="189">
        <v>17844.560000000001</v>
      </c>
      <c r="I17" s="26"/>
    </row>
    <row r="18" spans="1:9">
      <c r="A18" s="10">
        <f t="shared" si="0"/>
        <v>7</v>
      </c>
      <c r="C18" s="11" t="s">
        <v>259</v>
      </c>
      <c r="E18" s="37">
        <v>930.24</v>
      </c>
      <c r="F18" s="189">
        <v>5103.54</v>
      </c>
      <c r="I18" s="26"/>
    </row>
    <row r="19" spans="1:9">
      <c r="A19" s="10">
        <f t="shared" si="0"/>
        <v>8</v>
      </c>
      <c r="C19" s="11" t="s">
        <v>256</v>
      </c>
      <c r="E19" s="37">
        <v>930.25</v>
      </c>
      <c r="F19" s="189">
        <v>125188.37</v>
      </c>
      <c r="I19" s="26"/>
    </row>
    <row r="20" spans="1:9">
      <c r="A20" s="10">
        <f t="shared" si="0"/>
        <v>9</v>
      </c>
      <c r="C20" s="50" t="s">
        <v>37</v>
      </c>
      <c r="D20" s="16"/>
      <c r="E20" s="50"/>
      <c r="F20" s="171">
        <f>SUM(F12:F19)</f>
        <v>198427.59999999998</v>
      </c>
      <c r="I20" s="26"/>
    </row>
    <row r="21" spans="1:9">
      <c r="A21" s="10">
        <f t="shared" si="0"/>
        <v>10</v>
      </c>
      <c r="C21" s="2"/>
      <c r="E21" s="2"/>
      <c r="F21" s="172"/>
    </row>
    <row r="22" spans="1:9">
      <c r="A22" s="10">
        <f t="shared" si="0"/>
        <v>11</v>
      </c>
      <c r="C22" s="2" t="s">
        <v>38</v>
      </c>
      <c r="F22" s="170">
        <v>0</v>
      </c>
    </row>
    <row r="23" spans="1:9">
      <c r="A23" s="10">
        <f t="shared" si="0"/>
        <v>12</v>
      </c>
      <c r="C23" s="2"/>
      <c r="F23" s="172"/>
    </row>
    <row r="24" spans="1:9" ht="13.5" thickBot="1">
      <c r="A24" s="10">
        <f t="shared" si="0"/>
        <v>13</v>
      </c>
      <c r="C24" s="3" t="s">
        <v>15</v>
      </c>
      <c r="D24" s="20"/>
      <c r="E24" s="20"/>
      <c r="F24" s="173">
        <f>ROUND(F22-F20,2)</f>
        <v>-198427.6</v>
      </c>
    </row>
    <row r="25" spans="1:9" ht="13.5" thickTop="1">
      <c r="E25" s="10"/>
    </row>
    <row r="27" spans="1:9" ht="42" customHeight="1">
      <c r="B27" s="254" t="s">
        <v>278</v>
      </c>
      <c r="C27" s="254"/>
      <c r="D27" s="254"/>
      <c r="E27" s="254"/>
      <c r="F27" s="254"/>
      <c r="G27" s="9"/>
      <c r="H27" s="9"/>
    </row>
  </sheetData>
  <mergeCells count="4">
    <mergeCell ref="A6:F6"/>
    <mergeCell ref="B27:F27"/>
    <mergeCell ref="A3:F3"/>
    <mergeCell ref="A4:F4"/>
  </mergeCells>
  <printOptions horizontalCentered="1"/>
  <pageMargins left="1" right="0.75" top="0.75" bottom="0.5" header="0.5" footer="0.5"/>
  <pageSetup fitToHeight="4" orientation="portrait" r:id="rId1"/>
  <headerFooter alignWithMargins="0">
    <oddFooter>&amp;RRevised Exhibit JW-2
Page &amp;P of &amp;N</oddFooter>
  </headerFooter>
  <ignoredErrors>
    <ignoredError sqref="C9:D9 E9:F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1"/>
  <sheetViews>
    <sheetView view="pageBreakPreview" zoomScaleNormal="100" zoomScaleSheetLayoutView="100" workbookViewId="0">
      <selection activeCell="G12" sqref="G12"/>
    </sheetView>
  </sheetViews>
  <sheetFormatPr defaultRowHeight="12.75"/>
  <cols>
    <col min="1" max="1" width="5.85546875" style="11" customWidth="1"/>
    <col min="2" max="2" width="2.28515625" style="11" customWidth="1"/>
    <col min="3" max="3" width="3.5703125" style="11" customWidth="1"/>
    <col min="4" max="4" width="18.7109375" style="11" customWidth="1"/>
    <col min="5" max="5" width="17.28515625" style="11" customWidth="1"/>
    <col min="6" max="6" width="10.140625" style="11" bestFit="1" customWidth="1"/>
    <col min="7" max="7" width="20.85546875" style="2" customWidth="1"/>
    <col min="8" max="8" width="12.140625" style="11" customWidth="1"/>
    <col min="9" max="9" width="12" style="11" customWidth="1"/>
    <col min="10" max="16" width="9.140625" style="11"/>
    <col min="17" max="17" width="16.7109375" style="11" bestFit="1" customWidth="1"/>
    <col min="18" max="16384" width="9.140625" style="11"/>
  </cols>
  <sheetData>
    <row r="1" spans="1:10">
      <c r="G1" s="155" t="s">
        <v>124</v>
      </c>
    </row>
    <row r="2" spans="1:10" ht="20.25" customHeight="1">
      <c r="I2" s="5"/>
    </row>
    <row r="3" spans="1:10">
      <c r="A3" s="252" t="str">
        <f>RevReq!A1</f>
        <v>CLARK ENERGY COOPERATIVE</v>
      </c>
      <c r="B3" s="252"/>
      <c r="C3" s="252"/>
      <c r="D3" s="252"/>
      <c r="E3" s="252"/>
      <c r="F3" s="252"/>
      <c r="G3" s="252"/>
      <c r="H3" s="7"/>
      <c r="I3" s="7"/>
    </row>
    <row r="4" spans="1:10">
      <c r="A4" s="252" t="str">
        <f>RevReq!A3</f>
        <v>For the 12 Months Ended December 31, 2024</v>
      </c>
      <c r="B4" s="252"/>
      <c r="C4" s="252"/>
      <c r="D4" s="252"/>
      <c r="E4" s="252"/>
      <c r="F4" s="252"/>
      <c r="G4" s="252"/>
      <c r="H4" s="7"/>
      <c r="I4" s="7"/>
    </row>
    <row r="6" spans="1:10" s="6" customFormat="1" ht="15" customHeight="1">
      <c r="A6" s="253" t="s">
        <v>269</v>
      </c>
      <c r="B6" s="253"/>
      <c r="C6" s="253"/>
      <c r="D6" s="253"/>
      <c r="E6" s="253"/>
      <c r="F6" s="253"/>
      <c r="G6" s="253"/>
      <c r="H6" s="11"/>
      <c r="I6" s="8"/>
    </row>
    <row r="8" spans="1:10">
      <c r="A8" s="10" t="s">
        <v>0</v>
      </c>
      <c r="D8" s="10" t="s">
        <v>41</v>
      </c>
      <c r="F8" s="10" t="s">
        <v>42</v>
      </c>
      <c r="G8" s="1" t="s">
        <v>24</v>
      </c>
    </row>
    <row r="9" spans="1:10">
      <c r="A9" s="12" t="s">
        <v>21</v>
      </c>
      <c r="D9" s="13" t="s">
        <v>18</v>
      </c>
      <c r="E9" s="58"/>
      <c r="F9" s="13" t="s">
        <v>20</v>
      </c>
      <c r="G9" s="157" t="s">
        <v>19</v>
      </c>
    </row>
    <row r="10" spans="1:10">
      <c r="A10" s="10"/>
    </row>
    <row r="11" spans="1:10">
      <c r="A11" s="10"/>
      <c r="D11" s="2"/>
    </row>
    <row r="12" spans="1:10">
      <c r="A12" s="10">
        <v>1</v>
      </c>
      <c r="D12" s="2" t="s">
        <v>288</v>
      </c>
      <c r="E12" s="123"/>
      <c r="F12" s="37" t="s">
        <v>279</v>
      </c>
      <c r="G12" s="139">
        <v>10800</v>
      </c>
    </row>
    <row r="13" spans="1:10">
      <c r="A13" s="10">
        <f>A12+1</f>
        <v>2</v>
      </c>
      <c r="D13" s="2"/>
      <c r="E13" s="123"/>
      <c r="F13" s="37"/>
      <c r="G13" s="146"/>
    </row>
    <row r="14" spans="1:10">
      <c r="A14" s="10">
        <f t="shared" ref="A14:A18" si="0">A13+1</f>
        <v>3</v>
      </c>
      <c r="D14" s="50" t="s">
        <v>37</v>
      </c>
      <c r="E14" s="16"/>
      <c r="F14" s="50"/>
      <c r="G14" s="174">
        <f>SUM(G12:G13)</f>
        <v>10800</v>
      </c>
      <c r="J14" s="26"/>
    </row>
    <row r="15" spans="1:10">
      <c r="A15" s="10">
        <f t="shared" si="0"/>
        <v>4</v>
      </c>
      <c r="D15" s="2"/>
      <c r="F15" s="2"/>
    </row>
    <row r="16" spans="1:10">
      <c r="A16" s="10">
        <f t="shared" si="0"/>
        <v>5</v>
      </c>
      <c r="D16" s="2" t="s">
        <v>38</v>
      </c>
      <c r="G16" s="146">
        <v>0</v>
      </c>
    </row>
    <row r="17" spans="1:9">
      <c r="A17" s="10">
        <f t="shared" si="0"/>
        <v>6</v>
      </c>
      <c r="D17" s="2"/>
    </row>
    <row r="18" spans="1:9" ht="13.5" thickBot="1">
      <c r="A18" s="10">
        <f t="shared" si="0"/>
        <v>7</v>
      </c>
      <c r="D18" s="3" t="s">
        <v>15</v>
      </c>
      <c r="E18" s="20"/>
      <c r="F18" s="20"/>
      <c r="G18" s="153">
        <f>ROUND(G16-G14,2)</f>
        <v>-10800</v>
      </c>
    </row>
    <row r="19" spans="1:9" ht="13.5" thickTop="1">
      <c r="F19" s="10"/>
    </row>
    <row r="21" spans="1:9" ht="30" customHeight="1">
      <c r="C21" s="254" t="s">
        <v>289</v>
      </c>
      <c r="D21" s="254"/>
      <c r="E21" s="254"/>
      <c r="F21" s="254"/>
      <c r="G21" s="254"/>
      <c r="H21" s="9"/>
      <c r="I21" s="9"/>
    </row>
  </sheetData>
  <mergeCells count="4">
    <mergeCell ref="A6:G6"/>
    <mergeCell ref="C21:G21"/>
    <mergeCell ref="A3:G3"/>
    <mergeCell ref="A4:G4"/>
  </mergeCells>
  <printOptions horizontalCentered="1"/>
  <pageMargins left="1" right="0.75" top="0.75" bottom="0.5" header="0.5" footer="0.5"/>
  <pageSetup orientation="portrait" r:id="rId1"/>
  <headerFooter alignWithMargins="0">
    <oddFooter>&amp;RRevised Exhibit JW-2
Page &amp;P of &amp;N</oddFooter>
  </headerFooter>
  <ignoredErrors>
    <ignoredError sqref="D9:G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H49"/>
  <sheetViews>
    <sheetView view="pageBreakPreview" topLeftCell="A34" zoomScaleNormal="85" zoomScaleSheetLayoutView="100" workbookViewId="0">
      <selection activeCell="L7" sqref="L7"/>
    </sheetView>
  </sheetViews>
  <sheetFormatPr defaultRowHeight="12.75"/>
  <cols>
    <col min="1" max="1" width="5.85546875" style="11" customWidth="1"/>
    <col min="2" max="2" width="2.28515625" style="10" customWidth="1"/>
    <col min="3" max="3" width="24.140625" style="11" customWidth="1"/>
    <col min="4" max="4" width="10.85546875" style="11" customWidth="1"/>
    <col min="5" max="5" width="13.42578125" style="11" bestFit="1" customWidth="1"/>
    <col min="6" max="6" width="12.7109375" style="11" customWidth="1"/>
    <col min="7" max="7" width="11.85546875" style="11" customWidth="1"/>
    <col min="8" max="8" width="10.42578125" style="11" customWidth="1"/>
    <col min="9" max="16384" width="9.140625" style="11"/>
  </cols>
  <sheetData>
    <row r="1" spans="1:8">
      <c r="E1" s="5"/>
      <c r="H1" s="5" t="s">
        <v>125</v>
      </c>
    </row>
    <row r="2" spans="1:8" ht="13.5" customHeight="1">
      <c r="E2" s="5"/>
      <c r="F2" s="5"/>
    </row>
    <row r="3" spans="1:8">
      <c r="A3" s="252" t="str">
        <f>RevReq!A1</f>
        <v>CLARK ENERGY COOPERATIVE</v>
      </c>
      <c r="B3" s="252"/>
      <c r="C3" s="252"/>
      <c r="D3" s="252"/>
      <c r="E3" s="252"/>
      <c r="F3" s="252"/>
      <c r="G3" s="252"/>
      <c r="H3" s="252"/>
    </row>
    <row r="4" spans="1:8">
      <c r="A4" s="252" t="str">
        <f>RevReq!A3</f>
        <v>For the 12 Months Ended December 31, 2024</v>
      </c>
      <c r="B4" s="252"/>
      <c r="C4" s="252"/>
      <c r="D4" s="252"/>
      <c r="E4" s="252"/>
      <c r="F4" s="252"/>
      <c r="G4" s="252"/>
      <c r="H4" s="252"/>
    </row>
    <row r="6" spans="1:8" s="6" customFormat="1" ht="15" customHeight="1">
      <c r="A6" s="253" t="s">
        <v>104</v>
      </c>
      <c r="B6" s="253"/>
      <c r="C6" s="253"/>
      <c r="D6" s="253"/>
      <c r="E6" s="253"/>
      <c r="F6" s="253"/>
      <c r="G6" s="253"/>
      <c r="H6" s="253"/>
    </row>
    <row r="8" spans="1:8" s="28" customFormat="1" ht="38.25" customHeight="1">
      <c r="A8" s="28" t="s">
        <v>0</v>
      </c>
      <c r="C8" s="28" t="s">
        <v>138</v>
      </c>
      <c r="D8" s="28" t="s">
        <v>276</v>
      </c>
      <c r="E8" s="28" t="s">
        <v>274</v>
      </c>
      <c r="F8" s="28" t="s">
        <v>275</v>
      </c>
      <c r="G8" s="28" t="s">
        <v>175</v>
      </c>
      <c r="H8" s="28" t="s">
        <v>141</v>
      </c>
    </row>
    <row r="9" spans="1:8">
      <c r="A9" s="12" t="s">
        <v>21</v>
      </c>
      <c r="C9" s="13" t="s">
        <v>18</v>
      </c>
      <c r="D9" s="13" t="s">
        <v>20</v>
      </c>
      <c r="E9" s="13" t="s">
        <v>19</v>
      </c>
      <c r="F9" s="13" t="s">
        <v>25</v>
      </c>
      <c r="G9" s="13" t="s">
        <v>51</v>
      </c>
      <c r="H9" s="13" t="s">
        <v>52</v>
      </c>
    </row>
    <row r="10" spans="1:8">
      <c r="A10" s="10"/>
    </row>
    <row r="11" spans="1:8">
      <c r="A11" s="10">
        <v>1</v>
      </c>
      <c r="C11" s="38" t="s">
        <v>272</v>
      </c>
    </row>
    <row r="12" spans="1:8">
      <c r="A12" s="10">
        <f>A11+1</f>
        <v>2</v>
      </c>
      <c r="C12" s="15" t="s">
        <v>273</v>
      </c>
      <c r="D12" s="39">
        <v>45382</v>
      </c>
      <c r="E12" s="14">
        <v>379429.17</v>
      </c>
      <c r="F12" s="39">
        <v>45747</v>
      </c>
      <c r="G12" s="118">
        <v>401117.39</v>
      </c>
      <c r="H12" s="18">
        <f>G12-E12</f>
        <v>21688.22000000003</v>
      </c>
    </row>
    <row r="13" spans="1:8">
      <c r="A13" s="10">
        <f t="shared" ref="A13:A46" si="0">A12+1</f>
        <v>3</v>
      </c>
      <c r="C13" s="15" t="s">
        <v>273</v>
      </c>
      <c r="D13" s="39">
        <v>45473</v>
      </c>
      <c r="E13" s="14">
        <v>379573.57</v>
      </c>
      <c r="F13" s="39">
        <v>45838</v>
      </c>
      <c r="G13" s="118">
        <v>401049.26</v>
      </c>
      <c r="H13" s="18">
        <f t="shared" ref="H13:H43" si="1">G13-E13</f>
        <v>21475.690000000002</v>
      </c>
    </row>
    <row r="14" spans="1:8">
      <c r="A14" s="10">
        <f t="shared" si="0"/>
        <v>4</v>
      </c>
      <c r="C14" s="15" t="s">
        <v>273</v>
      </c>
      <c r="D14" s="39">
        <v>45565</v>
      </c>
      <c r="E14" s="14">
        <v>375503.47</v>
      </c>
      <c r="F14" s="39">
        <v>45930</v>
      </c>
      <c r="G14" s="118">
        <v>401257.85</v>
      </c>
      <c r="H14" s="18">
        <f t="shared" si="1"/>
        <v>25754.380000000005</v>
      </c>
    </row>
    <row r="15" spans="1:8">
      <c r="A15" s="10">
        <f t="shared" si="0"/>
        <v>5</v>
      </c>
      <c r="C15" s="15" t="s">
        <v>273</v>
      </c>
      <c r="D15" s="39">
        <v>45657</v>
      </c>
      <c r="E15" s="14">
        <v>413378.05</v>
      </c>
      <c r="F15" s="39">
        <v>46022</v>
      </c>
      <c r="G15" s="118">
        <v>396842.38</v>
      </c>
      <c r="H15" s="18">
        <f t="shared" si="1"/>
        <v>-16535.669999999984</v>
      </c>
    </row>
    <row r="16" spans="1:8">
      <c r="A16" s="10">
        <f t="shared" si="0"/>
        <v>6</v>
      </c>
      <c r="C16" s="15"/>
      <c r="D16" s="1"/>
      <c r="E16" s="17">
        <f>SUM(E12:E15)</f>
        <v>1547884.26</v>
      </c>
      <c r="F16" s="1"/>
      <c r="G16" s="17">
        <f>SUM(G12:G15)</f>
        <v>1600266.88</v>
      </c>
      <c r="H16" s="17">
        <f t="shared" si="1"/>
        <v>52382.619999999879</v>
      </c>
    </row>
    <row r="17" spans="1:8">
      <c r="A17" s="10">
        <f t="shared" si="0"/>
        <v>7</v>
      </c>
      <c r="C17" s="38" t="s">
        <v>139</v>
      </c>
      <c r="D17" s="1"/>
      <c r="E17" s="14"/>
      <c r="F17" s="1"/>
      <c r="H17" s="18">
        <f t="shared" si="1"/>
        <v>0</v>
      </c>
    </row>
    <row r="18" spans="1:8">
      <c r="A18" s="10">
        <f t="shared" si="0"/>
        <v>8</v>
      </c>
      <c r="C18" s="15" t="s">
        <v>271</v>
      </c>
      <c r="D18" s="39">
        <v>45322</v>
      </c>
      <c r="E18" s="14">
        <v>13884</v>
      </c>
      <c r="F18" s="39">
        <v>45688</v>
      </c>
      <c r="G18" s="118">
        <v>11660</v>
      </c>
      <c r="H18" s="18">
        <f t="shared" si="1"/>
        <v>-2224</v>
      </c>
    </row>
    <row r="19" spans="1:8">
      <c r="A19" s="10">
        <f t="shared" si="0"/>
        <v>9</v>
      </c>
      <c r="C19" s="15" t="s">
        <v>271</v>
      </c>
      <c r="D19" s="39">
        <v>45351</v>
      </c>
      <c r="E19" s="18">
        <v>16547.34</v>
      </c>
      <c r="F19" s="39">
        <v>45716</v>
      </c>
      <c r="G19" s="118">
        <v>11522</v>
      </c>
      <c r="H19" s="18">
        <f t="shared" si="1"/>
        <v>-5025.34</v>
      </c>
    </row>
    <row r="20" spans="1:8">
      <c r="A20" s="10">
        <f t="shared" si="0"/>
        <v>10</v>
      </c>
      <c r="C20" s="15" t="s">
        <v>271</v>
      </c>
      <c r="D20" s="39">
        <v>45382</v>
      </c>
      <c r="E20" s="18">
        <v>13469</v>
      </c>
      <c r="F20" s="39">
        <v>45747</v>
      </c>
      <c r="G20" s="118">
        <v>11239</v>
      </c>
      <c r="H20" s="18">
        <f t="shared" si="1"/>
        <v>-2230</v>
      </c>
    </row>
    <row r="21" spans="1:8">
      <c r="A21" s="10">
        <f t="shared" si="0"/>
        <v>11</v>
      </c>
      <c r="C21" s="15" t="s">
        <v>271</v>
      </c>
      <c r="D21" s="39">
        <v>45412</v>
      </c>
      <c r="E21" s="18">
        <v>13330</v>
      </c>
      <c r="F21" s="39">
        <v>45777</v>
      </c>
      <c r="G21" s="118">
        <v>11101</v>
      </c>
      <c r="H21" s="18">
        <f t="shared" si="1"/>
        <v>-2229</v>
      </c>
    </row>
    <row r="22" spans="1:8">
      <c r="A22" s="10">
        <f t="shared" si="0"/>
        <v>12</v>
      </c>
      <c r="C22" s="15" t="s">
        <v>271</v>
      </c>
      <c r="D22" s="39">
        <v>45443</v>
      </c>
      <c r="E22" s="18">
        <v>13192</v>
      </c>
      <c r="F22" s="39">
        <v>45808</v>
      </c>
      <c r="G22" s="118">
        <v>10962</v>
      </c>
      <c r="H22" s="18">
        <f t="shared" si="1"/>
        <v>-2230</v>
      </c>
    </row>
    <row r="23" spans="1:8">
      <c r="A23" s="10">
        <f t="shared" si="0"/>
        <v>13</v>
      </c>
      <c r="C23" s="15" t="s">
        <v>271</v>
      </c>
      <c r="D23" s="39">
        <v>45473</v>
      </c>
      <c r="E23" s="18">
        <v>12914</v>
      </c>
      <c r="F23" s="39">
        <v>45838</v>
      </c>
      <c r="G23" s="118">
        <v>10678</v>
      </c>
      <c r="H23" s="18">
        <f t="shared" si="1"/>
        <v>-2236</v>
      </c>
    </row>
    <row r="24" spans="1:8">
      <c r="A24" s="10">
        <f t="shared" si="0"/>
        <v>14</v>
      </c>
      <c r="C24" s="15" t="s">
        <v>271</v>
      </c>
      <c r="D24" s="39">
        <v>45504</v>
      </c>
      <c r="E24" s="18">
        <v>12775</v>
      </c>
      <c r="F24" s="39">
        <v>45869</v>
      </c>
      <c r="G24" s="118">
        <v>10549</v>
      </c>
      <c r="H24" s="18">
        <f t="shared" si="1"/>
        <v>-2226</v>
      </c>
    </row>
    <row r="25" spans="1:8">
      <c r="A25" s="10">
        <f t="shared" si="0"/>
        <v>15</v>
      </c>
      <c r="C25" s="15" t="s">
        <v>271</v>
      </c>
      <c r="D25" s="39">
        <v>45535</v>
      </c>
      <c r="E25" s="18">
        <v>12637</v>
      </c>
      <c r="F25" s="39">
        <v>45900</v>
      </c>
      <c r="G25" s="118">
        <v>10401</v>
      </c>
      <c r="H25" s="18">
        <f t="shared" si="1"/>
        <v>-2236</v>
      </c>
    </row>
    <row r="26" spans="1:8">
      <c r="A26" s="10">
        <f t="shared" si="0"/>
        <v>16</v>
      </c>
      <c r="C26" s="15" t="s">
        <v>271</v>
      </c>
      <c r="D26" s="39">
        <v>45565</v>
      </c>
      <c r="E26" s="18">
        <v>12357</v>
      </c>
      <c r="F26" s="39">
        <v>45930</v>
      </c>
      <c r="G26" s="118">
        <v>10116</v>
      </c>
      <c r="H26" s="18">
        <f t="shared" si="1"/>
        <v>-2241</v>
      </c>
    </row>
    <row r="27" spans="1:8">
      <c r="A27" s="10">
        <f t="shared" si="0"/>
        <v>17</v>
      </c>
      <c r="C27" s="15" t="s">
        <v>271</v>
      </c>
      <c r="D27" s="39">
        <v>45596</v>
      </c>
      <c r="E27" s="18">
        <v>12218</v>
      </c>
      <c r="F27" s="39">
        <v>45961</v>
      </c>
      <c r="G27" s="118">
        <v>9977</v>
      </c>
      <c r="H27" s="18">
        <f t="shared" si="1"/>
        <v>-2241</v>
      </c>
    </row>
    <row r="28" spans="1:8">
      <c r="A28" s="10">
        <f t="shared" si="0"/>
        <v>18</v>
      </c>
      <c r="C28" s="15" t="s">
        <v>271</v>
      </c>
      <c r="D28" s="39">
        <v>45626</v>
      </c>
      <c r="E28" s="18">
        <v>12080</v>
      </c>
      <c r="F28" s="39">
        <v>45991</v>
      </c>
      <c r="G28" s="118">
        <v>9839</v>
      </c>
      <c r="H28" s="18">
        <f t="shared" si="1"/>
        <v>-2241</v>
      </c>
    </row>
    <row r="29" spans="1:8">
      <c r="A29" s="10">
        <f t="shared" si="0"/>
        <v>19</v>
      </c>
      <c r="C29" s="15" t="s">
        <v>271</v>
      </c>
      <c r="D29" s="39">
        <v>45657</v>
      </c>
      <c r="E29" s="18">
        <v>22420.14</v>
      </c>
      <c r="F29" s="39">
        <v>46022</v>
      </c>
      <c r="G29" s="118">
        <v>9552</v>
      </c>
      <c r="H29" s="18">
        <f t="shared" si="1"/>
        <v>-12868.14</v>
      </c>
    </row>
    <row r="30" spans="1:8">
      <c r="A30" s="10">
        <f t="shared" si="0"/>
        <v>20</v>
      </c>
      <c r="C30" s="15"/>
      <c r="D30" s="39"/>
      <c r="E30" s="17">
        <f>SUM(E18:E29)</f>
        <v>167823.47999999998</v>
      </c>
      <c r="F30" s="39"/>
      <c r="G30" s="17">
        <f>SUM(G18:G29)</f>
        <v>127596</v>
      </c>
      <c r="H30" s="17">
        <f>G30-E30</f>
        <v>-40227.479999999981</v>
      </c>
    </row>
    <row r="31" spans="1:8">
      <c r="A31" s="10">
        <f t="shared" si="0"/>
        <v>21</v>
      </c>
      <c r="C31" s="38" t="s">
        <v>325</v>
      </c>
      <c r="D31" s="39"/>
      <c r="E31" s="18"/>
      <c r="F31" s="39"/>
      <c r="G31" s="18"/>
      <c r="H31" s="18"/>
    </row>
    <row r="32" spans="1:8">
      <c r="A32" s="10">
        <f t="shared" si="0"/>
        <v>22</v>
      </c>
      <c r="C32" s="15" t="s">
        <v>326</v>
      </c>
      <c r="D32" s="39">
        <v>45322</v>
      </c>
      <c r="E32" s="18">
        <v>11495.13</v>
      </c>
      <c r="F32" s="39">
        <v>45688</v>
      </c>
      <c r="G32" s="18">
        <v>43735.22</v>
      </c>
      <c r="H32" s="18">
        <f t="shared" si="1"/>
        <v>32240.090000000004</v>
      </c>
    </row>
    <row r="33" spans="1:8">
      <c r="A33" s="10">
        <f t="shared" si="0"/>
        <v>23</v>
      </c>
      <c r="C33" s="15" t="s">
        <v>326</v>
      </c>
      <c r="D33" s="39">
        <v>45351</v>
      </c>
      <c r="E33" s="18">
        <v>23677.16</v>
      </c>
      <c r="F33" s="39">
        <v>45716</v>
      </c>
      <c r="G33" s="18">
        <v>39458.14</v>
      </c>
      <c r="H33" s="18">
        <f t="shared" si="1"/>
        <v>15780.98</v>
      </c>
    </row>
    <row r="34" spans="1:8">
      <c r="A34" s="10">
        <f t="shared" si="0"/>
        <v>24</v>
      </c>
      <c r="C34" s="15" t="s">
        <v>326</v>
      </c>
      <c r="D34" s="39">
        <v>45382</v>
      </c>
      <c r="E34" s="18">
        <v>21062.240000000002</v>
      </c>
      <c r="F34" s="39">
        <v>45747</v>
      </c>
      <c r="G34" s="18">
        <v>43621.32</v>
      </c>
      <c r="H34" s="18">
        <f t="shared" si="1"/>
        <v>22559.079999999998</v>
      </c>
    </row>
    <row r="35" spans="1:8" ht="15" customHeight="1">
      <c r="A35" s="10">
        <f t="shared" si="0"/>
        <v>25</v>
      </c>
      <c r="C35" s="15" t="s">
        <v>326</v>
      </c>
      <c r="D35" s="39">
        <v>45412</v>
      </c>
      <c r="E35" s="18">
        <v>21736.62</v>
      </c>
      <c r="F35" s="39">
        <v>45777</v>
      </c>
      <c r="G35" s="18">
        <v>51807.07</v>
      </c>
      <c r="H35" s="18">
        <f t="shared" si="1"/>
        <v>30070.45</v>
      </c>
    </row>
    <row r="36" spans="1:8" ht="28.5" customHeight="1">
      <c r="A36" s="10">
        <f t="shared" si="0"/>
        <v>26</v>
      </c>
      <c r="C36" s="15" t="s">
        <v>326</v>
      </c>
      <c r="D36" s="39">
        <v>45443</v>
      </c>
      <c r="E36" s="18">
        <v>21057.34</v>
      </c>
      <c r="F36" s="39">
        <v>45808</v>
      </c>
      <c r="G36" s="18">
        <v>53465.94</v>
      </c>
      <c r="H36" s="18">
        <f t="shared" si="1"/>
        <v>32408.600000000002</v>
      </c>
    </row>
    <row r="37" spans="1:8">
      <c r="A37" s="10">
        <f t="shared" si="0"/>
        <v>27</v>
      </c>
      <c r="C37" s="15" t="s">
        <v>326</v>
      </c>
      <c r="D37" s="39">
        <v>45473</v>
      </c>
      <c r="E37" s="18">
        <v>32233.82</v>
      </c>
      <c r="F37" s="39">
        <v>45838</v>
      </c>
      <c r="G37" s="18">
        <v>51697.75</v>
      </c>
      <c r="H37" s="18">
        <f t="shared" si="1"/>
        <v>19463.93</v>
      </c>
    </row>
    <row r="38" spans="1:8">
      <c r="A38" s="10">
        <f t="shared" si="0"/>
        <v>28</v>
      </c>
      <c r="C38" s="15" t="s">
        <v>326</v>
      </c>
      <c r="D38" s="39">
        <v>45504</v>
      </c>
      <c r="E38" s="18">
        <v>30559.61</v>
      </c>
      <c r="F38" s="39">
        <v>45869</v>
      </c>
      <c r="G38" s="18">
        <v>53352.51</v>
      </c>
      <c r="H38" s="18">
        <f t="shared" si="1"/>
        <v>22792.9</v>
      </c>
    </row>
    <row r="39" spans="1:8">
      <c r="A39" s="10">
        <f t="shared" si="0"/>
        <v>29</v>
      </c>
      <c r="C39" s="15" t="s">
        <v>326</v>
      </c>
      <c r="D39" s="39">
        <v>45535</v>
      </c>
      <c r="E39" s="18">
        <v>28707.51</v>
      </c>
      <c r="F39" s="39">
        <v>45900</v>
      </c>
      <c r="G39" s="18">
        <v>74815.27</v>
      </c>
      <c r="H39" s="18">
        <f t="shared" si="1"/>
        <v>46107.760000000009</v>
      </c>
    </row>
    <row r="40" spans="1:8">
      <c r="A40" s="10">
        <f t="shared" si="0"/>
        <v>30</v>
      </c>
      <c r="C40" s="15" t="s">
        <v>326</v>
      </c>
      <c r="D40" s="39">
        <v>45565</v>
      </c>
      <c r="E40" s="18">
        <v>36428.76</v>
      </c>
      <c r="F40" s="39">
        <v>45930</v>
      </c>
      <c r="G40" s="18">
        <v>62082.49</v>
      </c>
      <c r="H40" s="18">
        <f t="shared" si="1"/>
        <v>25653.729999999996</v>
      </c>
    </row>
    <row r="41" spans="1:8">
      <c r="A41" s="10">
        <f t="shared" si="0"/>
        <v>31</v>
      </c>
      <c r="C41" s="15" t="s">
        <v>326</v>
      </c>
      <c r="D41" s="39">
        <v>45596</v>
      </c>
      <c r="E41" s="18">
        <v>35005.81</v>
      </c>
      <c r="F41" s="39">
        <v>45961</v>
      </c>
      <c r="G41" s="18">
        <v>64067.49</v>
      </c>
      <c r="H41" s="18">
        <f t="shared" si="1"/>
        <v>29061.68</v>
      </c>
    </row>
    <row r="42" spans="1:8">
      <c r="A42" s="10">
        <f t="shared" si="0"/>
        <v>32</v>
      </c>
      <c r="C42" s="15" t="s">
        <v>326</v>
      </c>
      <c r="D42" s="39">
        <v>45626</v>
      </c>
      <c r="E42" s="18">
        <v>33876.6</v>
      </c>
      <c r="F42" s="39">
        <v>45991</v>
      </c>
      <c r="G42" s="18">
        <v>61925.68</v>
      </c>
      <c r="H42" s="18">
        <f t="shared" si="1"/>
        <v>28049.08</v>
      </c>
    </row>
    <row r="43" spans="1:8">
      <c r="A43" s="10">
        <f t="shared" si="0"/>
        <v>33</v>
      </c>
      <c r="C43" s="15" t="s">
        <v>326</v>
      </c>
      <c r="D43" s="39">
        <v>45657</v>
      </c>
      <c r="E43" s="181">
        <v>51526.7</v>
      </c>
      <c r="F43" s="39">
        <v>46022</v>
      </c>
      <c r="G43" s="181">
        <v>63904.91</v>
      </c>
      <c r="H43" s="181">
        <f t="shared" si="1"/>
        <v>12378.210000000006</v>
      </c>
    </row>
    <row r="44" spans="1:8">
      <c r="A44" s="10">
        <f t="shared" si="0"/>
        <v>34</v>
      </c>
      <c r="C44" s="15"/>
      <c r="D44" s="39"/>
      <c r="E44" s="18">
        <f>SUM(E32:E43)</f>
        <v>347367.3</v>
      </c>
      <c r="F44" s="39"/>
      <c r="G44" s="18">
        <f>SUM(G32:G43)</f>
        <v>663933.79000000015</v>
      </c>
      <c r="H44" s="18">
        <f>G44-E44</f>
        <v>316566.49000000017</v>
      </c>
    </row>
    <row r="45" spans="1:8">
      <c r="A45" s="10">
        <f t="shared" si="0"/>
        <v>35</v>
      </c>
      <c r="C45" s="15"/>
      <c r="D45" s="1"/>
      <c r="E45" s="14"/>
    </row>
    <row r="46" spans="1:8" ht="13.5" thickBot="1">
      <c r="A46" s="10">
        <f t="shared" si="0"/>
        <v>36</v>
      </c>
      <c r="C46" s="40" t="s">
        <v>140</v>
      </c>
      <c r="D46" s="41"/>
      <c r="E46" s="22"/>
      <c r="F46" s="22"/>
      <c r="G46" s="20"/>
      <c r="H46" s="21">
        <f>H30+H16+H44</f>
        <v>328721.63000000006</v>
      </c>
    </row>
    <row r="47" spans="1:8" ht="13.5" thickTop="1">
      <c r="A47" s="10"/>
      <c r="C47" s="15"/>
      <c r="D47" s="1"/>
      <c r="E47" s="14"/>
      <c r="F47" s="14"/>
    </row>
    <row r="49" spans="3:8" ht="35.25" customHeight="1">
      <c r="C49" s="254" t="s">
        <v>327</v>
      </c>
      <c r="D49" s="254"/>
      <c r="E49" s="254"/>
      <c r="F49" s="254"/>
      <c r="G49" s="254"/>
      <c r="H49" s="254"/>
    </row>
  </sheetData>
  <mergeCells count="4">
    <mergeCell ref="A3:H3"/>
    <mergeCell ref="A4:H4"/>
    <mergeCell ref="A6:H6"/>
    <mergeCell ref="C49:H49"/>
  </mergeCells>
  <printOptions horizontalCentered="1"/>
  <pageMargins left="1" right="0.75" top="0.75" bottom="0.5" header="0.5" footer="0.5"/>
  <pageSetup scale="94" orientation="portrait" r:id="rId1"/>
  <headerFooter alignWithMargins="0">
    <oddFooter>&amp;RRevised Exhibit JW-2
Page &amp;P of &amp;N</oddFooter>
  </headerFooter>
  <ignoredErrors>
    <ignoredError sqref="C9:H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2"/>
  <sheetViews>
    <sheetView view="pageBreakPreview" zoomScaleNormal="100" zoomScaleSheetLayoutView="100" workbookViewId="0">
      <selection activeCell="C22" sqref="C22:G22"/>
    </sheetView>
  </sheetViews>
  <sheetFormatPr defaultRowHeight="12.75"/>
  <cols>
    <col min="1" max="1" width="5.85546875" style="11" customWidth="1"/>
    <col min="2" max="2" width="2.28515625" style="11" customWidth="1"/>
    <col min="3" max="3" width="3.5703125" style="11" customWidth="1"/>
    <col min="4" max="4" width="16.140625" style="11" customWidth="1"/>
    <col min="5" max="5" width="17.28515625" style="11" customWidth="1"/>
    <col min="6" max="6" width="10.140625" style="11" bestFit="1" customWidth="1"/>
    <col min="7" max="7" width="16" style="2" customWidth="1"/>
    <col min="8" max="8" width="12.140625" style="11" customWidth="1"/>
    <col min="9" max="9" width="12" style="11" customWidth="1"/>
    <col min="10" max="16" width="9.140625" style="11"/>
    <col min="17" max="17" width="16.7109375" style="11" bestFit="1" customWidth="1"/>
    <col min="18" max="16384" width="9.140625" style="11"/>
  </cols>
  <sheetData>
    <row r="1" spans="1:10">
      <c r="G1" s="155" t="s">
        <v>308</v>
      </c>
    </row>
    <row r="2" spans="1:10" ht="20.25" customHeight="1">
      <c r="I2" s="5"/>
    </row>
    <row r="3" spans="1:10">
      <c r="A3" s="252" t="str">
        <f>RevReq!A1</f>
        <v>CLARK ENERGY COOPERATIVE</v>
      </c>
      <c r="B3" s="252"/>
      <c r="C3" s="252"/>
      <c r="D3" s="252"/>
      <c r="E3" s="252"/>
      <c r="F3" s="252"/>
      <c r="G3" s="252"/>
      <c r="H3" s="7"/>
      <c r="I3" s="7"/>
    </row>
    <row r="4" spans="1:10">
      <c r="A4" s="252" t="str">
        <f>RevReq!A3</f>
        <v>For the 12 Months Ended December 31, 2024</v>
      </c>
      <c r="B4" s="252"/>
      <c r="C4" s="252"/>
      <c r="D4" s="252"/>
      <c r="E4" s="252"/>
      <c r="F4" s="252"/>
      <c r="G4" s="252"/>
      <c r="H4" s="7"/>
      <c r="I4" s="7"/>
    </row>
    <row r="6" spans="1:10" s="6" customFormat="1" ht="15" customHeight="1">
      <c r="A6" s="253" t="s">
        <v>246</v>
      </c>
      <c r="B6" s="253"/>
      <c r="C6" s="253"/>
      <c r="D6" s="253"/>
      <c r="E6" s="253"/>
      <c r="F6" s="253"/>
      <c r="G6" s="253"/>
      <c r="H6" s="11"/>
      <c r="I6" s="8"/>
    </row>
    <row r="8" spans="1:10">
      <c r="A8" s="10" t="s">
        <v>0</v>
      </c>
      <c r="D8" s="10" t="s">
        <v>41</v>
      </c>
      <c r="F8" s="10" t="s">
        <v>42</v>
      </c>
      <c r="G8" s="1" t="s">
        <v>24</v>
      </c>
    </row>
    <row r="9" spans="1:10">
      <c r="A9" s="12" t="s">
        <v>21</v>
      </c>
      <c r="D9" s="13" t="s">
        <v>18</v>
      </c>
      <c r="E9" s="58"/>
      <c r="F9" s="13" t="s">
        <v>20</v>
      </c>
      <c r="G9" s="157" t="s">
        <v>19</v>
      </c>
    </row>
    <row r="10" spans="1:10">
      <c r="A10" s="10"/>
    </row>
    <row r="11" spans="1:10">
      <c r="A11" s="10"/>
      <c r="D11" s="2"/>
    </row>
    <row r="12" spans="1:10">
      <c r="A12" s="10">
        <v>1</v>
      </c>
      <c r="D12" s="2" t="s">
        <v>283</v>
      </c>
      <c r="F12" s="37"/>
      <c r="G12" s="139">
        <v>30748.51</v>
      </c>
    </row>
    <row r="13" spans="1:10">
      <c r="A13" s="10">
        <f>A12+1</f>
        <v>2</v>
      </c>
      <c r="D13" s="11" t="s">
        <v>282</v>
      </c>
      <c r="F13" s="37"/>
      <c r="G13" s="139">
        <v>994.4</v>
      </c>
    </row>
    <row r="14" spans="1:10">
      <c r="A14" s="10">
        <f t="shared" ref="A14:A19" si="0">A13+1</f>
        <v>3</v>
      </c>
      <c r="F14" s="37"/>
      <c r="G14" s="146"/>
    </row>
    <row r="15" spans="1:10">
      <c r="A15" s="10">
        <f t="shared" si="0"/>
        <v>4</v>
      </c>
      <c r="D15" s="50" t="s">
        <v>37</v>
      </c>
      <c r="E15" s="16"/>
      <c r="F15" s="50"/>
      <c r="G15" s="174">
        <f>SUM(G12:G14)</f>
        <v>31742.91</v>
      </c>
      <c r="J15" s="26"/>
    </row>
    <row r="16" spans="1:10">
      <c r="A16" s="10">
        <f t="shared" si="0"/>
        <v>5</v>
      </c>
      <c r="D16" s="2"/>
      <c r="F16" s="2"/>
    </row>
    <row r="17" spans="1:9">
      <c r="A17" s="10">
        <f t="shared" si="0"/>
        <v>6</v>
      </c>
      <c r="D17" s="2" t="s">
        <v>38</v>
      </c>
      <c r="G17" s="146">
        <v>0</v>
      </c>
    </row>
    <row r="18" spans="1:9">
      <c r="A18" s="10">
        <f t="shared" si="0"/>
        <v>7</v>
      </c>
      <c r="D18" s="2"/>
    </row>
    <row r="19" spans="1:9" ht="13.5" thickBot="1">
      <c r="A19" s="10">
        <f t="shared" si="0"/>
        <v>8</v>
      </c>
      <c r="D19" s="3" t="s">
        <v>15</v>
      </c>
      <c r="E19" s="20"/>
      <c r="F19" s="20"/>
      <c r="G19" s="153">
        <f>ROUND(G17-G15,2)</f>
        <v>-31742.91</v>
      </c>
    </row>
    <row r="20" spans="1:9" ht="13.5" thickTop="1">
      <c r="F20" s="10"/>
    </row>
    <row r="22" spans="1:9" ht="56.25" customHeight="1">
      <c r="C22" s="254" t="s">
        <v>328</v>
      </c>
      <c r="D22" s="254"/>
      <c r="E22" s="254"/>
      <c r="F22" s="254"/>
      <c r="G22" s="254"/>
      <c r="H22" s="9"/>
      <c r="I22" s="9"/>
    </row>
  </sheetData>
  <mergeCells count="4">
    <mergeCell ref="A6:G6"/>
    <mergeCell ref="C22:G22"/>
    <mergeCell ref="A3:G3"/>
    <mergeCell ref="A4:G4"/>
  </mergeCells>
  <printOptions horizontalCentered="1"/>
  <pageMargins left="1" right="0.75" top="0.75" bottom="0.5" header="0.5" footer="0.5"/>
  <pageSetup fitToHeight="4" orientation="portrait" r:id="rId1"/>
  <headerFooter alignWithMargins="0">
    <oddFooter>&amp;RRevised Exhibit JW-2
Page &amp;P of &amp;N</oddFooter>
  </headerFooter>
  <ignoredErrors>
    <ignoredError sqref="D9:G9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2734-742B-4009-89CA-3B66D61752D6}">
  <sheetPr>
    <tabColor theme="9" tint="0.79998168889431442"/>
    <pageSetUpPr fitToPage="1"/>
  </sheetPr>
  <dimension ref="A1:AH157"/>
  <sheetViews>
    <sheetView view="pageBreakPreview" zoomScaleNormal="100" zoomScaleSheetLayoutView="100" workbookViewId="0">
      <pane xSplit="4" ySplit="10" topLeftCell="E76" activePane="bottomRight" state="frozen"/>
      <selection pane="topRight" activeCell="E1" sqref="E1"/>
      <selection pane="bottomLeft" activeCell="A11" sqref="A11"/>
      <selection pane="bottomRight" activeCell="S2" sqref="S2"/>
    </sheetView>
  </sheetViews>
  <sheetFormatPr defaultRowHeight="12.75"/>
  <cols>
    <col min="1" max="1" width="5.85546875" style="158" customWidth="1"/>
    <col min="2" max="2" width="2.5703125" style="2" customWidth="1"/>
    <col min="3" max="3" width="7.42578125" style="1" hidden="1" customWidth="1"/>
    <col min="4" max="5" width="7.42578125" style="1" customWidth="1"/>
    <col min="6" max="6" width="11.140625" style="2" customWidth="1"/>
    <col min="7" max="7" width="11.7109375" style="2" customWidth="1"/>
    <col min="8" max="8" width="1.28515625" style="2" customWidth="1"/>
    <col min="9" max="10" width="14.42578125" style="2" customWidth="1"/>
    <col min="11" max="11" width="13.7109375" style="2" customWidth="1"/>
    <col min="12" max="12" width="3.5703125" style="2" customWidth="1"/>
    <col min="13" max="13" width="11.28515625" style="2" customWidth="1"/>
    <col min="14" max="14" width="0.85546875" style="2" customWidth="1"/>
    <col min="15" max="15" width="11.5703125" style="2" bestFit="1" customWidth="1"/>
    <col min="16" max="16" width="10.140625" style="2" customWidth="1"/>
    <col min="17" max="17" width="11.5703125" style="139" bestFit="1" customWidth="1"/>
    <col min="18" max="18" width="1" style="2" customWidth="1"/>
    <col min="19" max="19" width="11.5703125" style="2" customWidth="1"/>
    <col min="20" max="20" width="5.42578125" style="1" bestFit="1" customWidth="1"/>
    <col min="21" max="16384" width="9.140625" style="2"/>
  </cols>
  <sheetData>
    <row r="1" spans="1:34">
      <c r="S1" s="155" t="s">
        <v>359</v>
      </c>
    </row>
    <row r="2" spans="1:34">
      <c r="I2" s="155"/>
      <c r="S2" s="297" t="s">
        <v>419</v>
      </c>
    </row>
    <row r="3" spans="1:34">
      <c r="A3" s="255" t="str">
        <f>RevReq!A1</f>
        <v>CLARK ENERGY COOPERATIVE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</row>
    <row r="4" spans="1:34">
      <c r="A4" s="255" t="str">
        <f>RevReq!A3</f>
        <v>For the 12 Months Ended December 31, 2024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</row>
    <row r="6" spans="1:34" s="156" customFormat="1">
      <c r="A6" s="253" t="s">
        <v>329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02"/>
    </row>
    <row r="7" spans="1:34">
      <c r="R7" s="156"/>
    </row>
    <row r="8" spans="1:34">
      <c r="A8" s="194"/>
      <c r="B8" s="195"/>
      <c r="C8" s="235" t="s">
        <v>361</v>
      </c>
      <c r="D8" s="194"/>
      <c r="E8" s="196"/>
      <c r="F8" s="264" t="s">
        <v>330</v>
      </c>
      <c r="G8" s="264"/>
      <c r="H8" s="195"/>
      <c r="I8" s="264" t="s">
        <v>331</v>
      </c>
      <c r="J8" s="264"/>
      <c r="K8" s="264"/>
      <c r="L8" s="1"/>
      <c r="M8" s="265" t="s">
        <v>332</v>
      </c>
      <c r="N8" s="198"/>
      <c r="O8" s="266" t="s">
        <v>333</v>
      </c>
      <c r="P8" s="266"/>
      <c r="Q8" s="266"/>
      <c r="R8" s="198"/>
      <c r="S8" s="265" t="s">
        <v>334</v>
      </c>
    </row>
    <row r="9" spans="1:34" s="1" customFormat="1" ht="33" customHeight="1">
      <c r="A9" s="194" t="s">
        <v>0</v>
      </c>
      <c r="B9" s="196"/>
      <c r="C9" s="235" t="s">
        <v>335</v>
      </c>
      <c r="D9" s="196" t="s">
        <v>335</v>
      </c>
      <c r="E9" s="196"/>
      <c r="F9" s="199" t="s">
        <v>336</v>
      </c>
      <c r="G9" s="199" t="s">
        <v>337</v>
      </c>
      <c r="H9" s="196"/>
      <c r="I9" s="199" t="s">
        <v>336</v>
      </c>
      <c r="J9" s="199" t="s">
        <v>337</v>
      </c>
      <c r="K9" s="199" t="s">
        <v>45</v>
      </c>
      <c r="L9" s="44"/>
      <c r="M9" s="265"/>
      <c r="N9" s="197"/>
      <c r="O9" s="197" t="s">
        <v>336</v>
      </c>
      <c r="P9" s="197" t="s">
        <v>337</v>
      </c>
      <c r="Q9" s="200" t="s">
        <v>45</v>
      </c>
      <c r="R9" s="201"/>
      <c r="S9" s="265"/>
      <c r="T9" s="183"/>
    </row>
    <row r="10" spans="1:34">
      <c r="A10" s="203" t="s">
        <v>21</v>
      </c>
      <c r="C10" s="236">
        <v>1</v>
      </c>
      <c r="D10" s="46">
        <v>1</v>
      </c>
      <c r="F10" s="46">
        <f>C10+1</f>
        <v>2</v>
      </c>
      <c r="G10" s="46">
        <f>F10+1</f>
        <v>3</v>
      </c>
      <c r="H10" s="1"/>
      <c r="I10" s="46"/>
      <c r="J10" s="46"/>
      <c r="K10" s="46"/>
      <c r="L10" s="44"/>
      <c r="M10" s="46"/>
      <c r="N10" s="44"/>
      <c r="O10" s="46"/>
      <c r="P10" s="46"/>
      <c r="Q10" s="184"/>
      <c r="R10" s="202"/>
      <c r="S10" s="46"/>
    </row>
    <row r="11" spans="1:34">
      <c r="C11" s="237"/>
      <c r="H11" s="1"/>
      <c r="L11" s="44"/>
      <c r="N11" s="44"/>
      <c r="R11" s="202"/>
    </row>
    <row r="12" spans="1:34" ht="13.5" hidden="1" thickTop="1">
      <c r="C12" s="237"/>
      <c r="G12" s="204"/>
      <c r="H12" s="204"/>
      <c r="I12" s="205" t="s">
        <v>331</v>
      </c>
      <c r="J12" s="206"/>
      <c r="K12" s="207"/>
      <c r="L12" s="44"/>
      <c r="M12" s="44" t="s">
        <v>338</v>
      </c>
      <c r="N12" s="44"/>
      <c r="O12" s="257" t="s">
        <v>339</v>
      </c>
      <c r="P12" s="258"/>
      <c r="Q12" s="259"/>
      <c r="R12" s="202"/>
      <c r="AF12" s="185"/>
      <c r="AH12" s="185"/>
    </row>
    <row r="13" spans="1:34" ht="14.25" hidden="1" thickTop="1" thickBot="1">
      <c r="C13" s="238"/>
      <c r="D13" s="39"/>
      <c r="E13" s="39"/>
      <c r="F13" s="260" t="s">
        <v>330</v>
      </c>
      <c r="G13" s="261"/>
      <c r="H13" s="1"/>
      <c r="I13" s="209"/>
      <c r="K13" s="210"/>
      <c r="L13" s="44"/>
      <c r="M13" s="44" t="s">
        <v>96</v>
      </c>
      <c r="N13" s="44"/>
      <c r="O13" s="262" t="s">
        <v>340</v>
      </c>
      <c r="P13" s="263"/>
      <c r="Q13" s="186"/>
      <c r="R13" s="202"/>
      <c r="U13" s="1"/>
      <c r="W13" s="1"/>
      <c r="X13" s="1"/>
      <c r="Y13" s="1"/>
      <c r="Z13" s="1"/>
      <c r="AA13" s="1"/>
      <c r="AB13" s="1"/>
      <c r="AF13" s="185"/>
      <c r="AH13" s="185"/>
    </row>
    <row r="14" spans="1:34" s="1" customFormat="1" ht="13.5" hidden="1" thickBot="1">
      <c r="A14" s="158"/>
      <c r="C14" s="237" t="s">
        <v>341</v>
      </c>
      <c r="F14" s="211" t="s">
        <v>342</v>
      </c>
      <c r="G14" s="212" t="s">
        <v>343</v>
      </c>
      <c r="H14" s="208"/>
      <c r="I14" s="211" t="s">
        <v>336</v>
      </c>
      <c r="J14" s="213" t="s">
        <v>337</v>
      </c>
      <c r="K14" s="214" t="s">
        <v>45</v>
      </c>
      <c r="L14" s="44"/>
      <c r="M14" s="215" t="s">
        <v>344</v>
      </c>
      <c r="N14" s="44"/>
      <c r="O14" s="216" t="s">
        <v>336</v>
      </c>
      <c r="P14" s="216" t="s">
        <v>337</v>
      </c>
      <c r="Q14" s="187" t="s">
        <v>45</v>
      </c>
      <c r="R14" s="202"/>
      <c r="T14" s="39"/>
      <c r="U14" s="39"/>
      <c r="V14" s="2"/>
      <c r="W14" s="39"/>
      <c r="X14" s="39"/>
      <c r="Y14" s="39"/>
      <c r="Z14" s="39"/>
      <c r="AA14" s="39"/>
      <c r="AB14" s="39"/>
      <c r="AE14" s="188"/>
      <c r="AG14" s="217"/>
    </row>
    <row r="15" spans="1:34">
      <c r="A15" s="158">
        <v>1</v>
      </c>
      <c r="C15" s="239">
        <v>40</v>
      </c>
      <c r="D15" s="2">
        <v>1001</v>
      </c>
      <c r="F15" s="107">
        <v>2080</v>
      </c>
      <c r="G15" s="107">
        <v>524.79999999999995</v>
      </c>
      <c r="H15" s="107"/>
      <c r="I15" s="139">
        <v>67774.399999999994</v>
      </c>
      <c r="J15" s="139">
        <v>25949.98</v>
      </c>
      <c r="K15" s="139">
        <f t="shared" ref="K15:K46" si="0">SUM(I15:J15)</f>
        <v>93724.37999999999</v>
      </c>
      <c r="L15" s="44"/>
      <c r="M15" s="189">
        <v>37.75</v>
      </c>
      <c r="N15" s="44"/>
      <c r="O15" s="139">
        <f>M15*2080</f>
        <v>78520</v>
      </c>
      <c r="P15" s="139">
        <f>(M15*1.5)*G15</f>
        <v>29716.799999999996</v>
      </c>
      <c r="Q15" s="139">
        <f>O15+P15</f>
        <v>108236.79999999999</v>
      </c>
      <c r="R15" s="202"/>
      <c r="S15" s="139">
        <f>Q15-K15</f>
        <v>14512.419999999998</v>
      </c>
    </row>
    <row r="16" spans="1:34">
      <c r="A16" s="158">
        <f>A15+1</f>
        <v>2</v>
      </c>
      <c r="C16" s="239">
        <v>79</v>
      </c>
      <c r="D16" s="2">
        <v>1002</v>
      </c>
      <c r="F16" s="107">
        <v>2080</v>
      </c>
      <c r="G16" s="107">
        <v>0</v>
      </c>
      <c r="H16" s="107"/>
      <c r="I16" s="139">
        <v>104002</v>
      </c>
      <c r="J16" s="139">
        <v>0</v>
      </c>
      <c r="K16" s="139">
        <f t="shared" si="0"/>
        <v>104002</v>
      </c>
      <c r="L16" s="44"/>
      <c r="M16" s="189">
        <v>53.51</v>
      </c>
      <c r="N16" s="44"/>
      <c r="O16" s="139">
        <f t="shared" ref="O16:O77" si="1">M16*2080</f>
        <v>111300.8</v>
      </c>
      <c r="P16" s="139">
        <f t="shared" ref="P16:P78" si="2">(M16*1.5)*G16</f>
        <v>0</v>
      </c>
      <c r="Q16" s="139">
        <f t="shared" ref="Q16:Q78" si="3">O16+P16</f>
        <v>111300.8</v>
      </c>
      <c r="R16" s="202"/>
      <c r="S16" s="139">
        <f t="shared" ref="S16:S78" si="4">Q16-K16</f>
        <v>7298.8000000000029</v>
      </c>
    </row>
    <row r="17" spans="1:21">
      <c r="A17" s="158">
        <f t="shared" ref="A17:A81" si="5">A16+1</f>
        <v>3</v>
      </c>
      <c r="C17" s="239">
        <v>494</v>
      </c>
      <c r="D17" s="2">
        <v>1003</v>
      </c>
      <c r="F17" s="107">
        <v>2080</v>
      </c>
      <c r="G17" s="107">
        <v>0</v>
      </c>
      <c r="H17" s="107"/>
      <c r="I17" s="139">
        <v>228728.95999999999</v>
      </c>
      <c r="J17" s="139">
        <f>(G17*39.2)*1.5</f>
        <v>0</v>
      </c>
      <c r="K17" s="139">
        <f t="shared" si="0"/>
        <v>228728.95999999999</v>
      </c>
      <c r="L17" s="44" t="s">
        <v>345</v>
      </c>
      <c r="M17" s="189">
        <v>114.46</v>
      </c>
      <c r="N17" s="44"/>
      <c r="O17" s="139">
        <f t="shared" si="1"/>
        <v>238076.79999999999</v>
      </c>
      <c r="P17" s="139">
        <f t="shared" si="2"/>
        <v>0</v>
      </c>
      <c r="Q17" s="139">
        <f t="shared" si="3"/>
        <v>238076.79999999999</v>
      </c>
      <c r="R17" s="202"/>
      <c r="S17" s="139">
        <f>Q17-K17</f>
        <v>9347.8399999999965</v>
      </c>
    </row>
    <row r="18" spans="1:21">
      <c r="A18" s="158">
        <f t="shared" si="5"/>
        <v>4</v>
      </c>
      <c r="C18" s="239">
        <v>755</v>
      </c>
      <c r="D18" s="2">
        <v>1004</v>
      </c>
      <c r="F18" s="107">
        <v>2080</v>
      </c>
      <c r="G18" s="107">
        <v>183.5</v>
      </c>
      <c r="H18" s="107"/>
      <c r="I18" s="139">
        <v>86410.8</v>
      </c>
      <c r="J18" s="139">
        <v>11519.93</v>
      </c>
      <c r="K18" s="139">
        <f t="shared" si="0"/>
        <v>97930.73000000001</v>
      </c>
      <c r="L18" s="44"/>
      <c r="M18" s="189">
        <v>42.39</v>
      </c>
      <c r="N18" s="44"/>
      <c r="O18" s="139">
        <f t="shared" si="1"/>
        <v>88171.199999999997</v>
      </c>
      <c r="P18" s="139">
        <f t="shared" si="2"/>
        <v>11667.8475</v>
      </c>
      <c r="Q18" s="139">
        <f t="shared" si="3"/>
        <v>99839.047500000001</v>
      </c>
      <c r="R18" s="202"/>
      <c r="S18" s="139">
        <f t="shared" si="4"/>
        <v>1908.3174999999901</v>
      </c>
    </row>
    <row r="19" spans="1:21">
      <c r="A19" s="158">
        <f t="shared" si="5"/>
        <v>5</v>
      </c>
      <c r="C19" s="239">
        <v>864</v>
      </c>
      <c r="D19" s="2">
        <v>1005</v>
      </c>
      <c r="F19" s="107">
        <v>2080</v>
      </c>
      <c r="G19" s="107">
        <v>198.5</v>
      </c>
      <c r="H19" s="107"/>
      <c r="I19" s="139">
        <v>50570.41</v>
      </c>
      <c r="J19" s="139">
        <v>7327.67</v>
      </c>
      <c r="K19" s="139">
        <f t="shared" si="0"/>
        <v>57898.080000000002</v>
      </c>
      <c r="L19" s="44"/>
      <c r="M19" s="189">
        <v>25.05</v>
      </c>
      <c r="N19" s="44"/>
      <c r="O19" s="139">
        <f t="shared" si="1"/>
        <v>52104</v>
      </c>
      <c r="P19" s="139">
        <f t="shared" si="2"/>
        <v>7458.6375000000007</v>
      </c>
      <c r="Q19" s="139">
        <f t="shared" si="3"/>
        <v>59562.637499999997</v>
      </c>
      <c r="R19" s="202"/>
      <c r="S19" s="139">
        <f t="shared" si="4"/>
        <v>1664.5574999999953</v>
      </c>
    </row>
    <row r="20" spans="1:21">
      <c r="A20" s="158">
        <f t="shared" si="5"/>
        <v>6</v>
      </c>
      <c r="C20" s="239">
        <v>953</v>
      </c>
      <c r="D20" s="2">
        <v>1006</v>
      </c>
      <c r="F20" s="107">
        <v>2080</v>
      </c>
      <c r="G20" s="107">
        <v>488</v>
      </c>
      <c r="H20" s="107"/>
      <c r="I20" s="139">
        <v>99259.199999999997</v>
      </c>
      <c r="J20" s="139">
        <v>35004.15</v>
      </c>
      <c r="K20" s="139">
        <f t="shared" si="0"/>
        <v>134263.35</v>
      </c>
      <c r="L20" s="44"/>
      <c r="M20" s="189">
        <v>49.05</v>
      </c>
      <c r="N20" s="44"/>
      <c r="O20" s="139">
        <f t="shared" si="1"/>
        <v>102024</v>
      </c>
      <c r="P20" s="139">
        <f t="shared" si="2"/>
        <v>35904.599999999991</v>
      </c>
      <c r="Q20" s="139">
        <f t="shared" si="3"/>
        <v>137928.59999999998</v>
      </c>
      <c r="R20" s="202"/>
      <c r="S20" s="139">
        <f t="shared" si="4"/>
        <v>3665.2499999999709</v>
      </c>
    </row>
    <row r="21" spans="1:21">
      <c r="A21" s="158">
        <f t="shared" si="5"/>
        <v>7</v>
      </c>
      <c r="C21" s="240">
        <v>1088</v>
      </c>
      <c r="D21" s="2">
        <v>1007</v>
      </c>
      <c r="E21" s="224"/>
      <c r="F21" s="225"/>
      <c r="G21" s="225"/>
      <c r="H21" s="225"/>
      <c r="I21" s="226">
        <f>F21*33.65</f>
        <v>0</v>
      </c>
      <c r="J21" s="226">
        <f>(G21*33.65)*1.5</f>
        <v>0</v>
      </c>
      <c r="K21" s="226">
        <f t="shared" si="0"/>
        <v>0</v>
      </c>
      <c r="L21" s="227" t="s">
        <v>142</v>
      </c>
      <c r="M21" s="228">
        <v>35.97</v>
      </c>
      <c r="N21" s="227"/>
      <c r="O21" s="226">
        <f>M21*1480</f>
        <v>53235.6</v>
      </c>
      <c r="P21" s="226">
        <f t="shared" si="2"/>
        <v>0</v>
      </c>
      <c r="Q21" s="226">
        <f t="shared" si="3"/>
        <v>53235.6</v>
      </c>
      <c r="R21" s="224"/>
      <c r="S21" s="226">
        <f t="shared" si="4"/>
        <v>53235.6</v>
      </c>
      <c r="U21" s="218"/>
    </row>
    <row r="22" spans="1:21">
      <c r="A22" s="158">
        <f t="shared" si="5"/>
        <v>8</v>
      </c>
      <c r="C22" s="239">
        <v>1158</v>
      </c>
      <c r="D22" s="2">
        <v>1008</v>
      </c>
      <c r="F22" s="107">
        <v>2080</v>
      </c>
      <c r="G22" s="107">
        <v>39.5</v>
      </c>
      <c r="H22" s="107"/>
      <c r="I22" s="139">
        <v>59047.61</v>
      </c>
      <c r="J22" s="139">
        <v>1730.36</v>
      </c>
      <c r="K22" s="139">
        <f t="shared" si="0"/>
        <v>60777.97</v>
      </c>
      <c r="L22" s="44"/>
      <c r="M22" s="189">
        <v>31.63</v>
      </c>
      <c r="N22" s="44"/>
      <c r="O22" s="139">
        <f t="shared" si="1"/>
        <v>65790.399999999994</v>
      </c>
      <c r="P22" s="139">
        <f t="shared" si="2"/>
        <v>1874.0775000000001</v>
      </c>
      <c r="Q22" s="139">
        <f t="shared" si="3"/>
        <v>67664.477499999994</v>
      </c>
      <c r="R22" s="202"/>
      <c r="S22" s="139">
        <f t="shared" si="4"/>
        <v>6886.5074999999924</v>
      </c>
    </row>
    <row r="23" spans="1:21">
      <c r="A23" s="158">
        <f t="shared" si="5"/>
        <v>9</v>
      </c>
      <c r="C23" s="239">
        <v>1287</v>
      </c>
      <c r="D23" s="2">
        <v>1009</v>
      </c>
      <c r="F23" s="107">
        <v>2080</v>
      </c>
      <c r="G23" s="107">
        <v>331.5</v>
      </c>
      <c r="H23" s="107"/>
      <c r="I23" s="139">
        <v>83501.600000000006</v>
      </c>
      <c r="J23" s="139">
        <v>20053.84</v>
      </c>
      <c r="K23" s="139">
        <f t="shared" si="0"/>
        <v>103555.44</v>
      </c>
      <c r="L23" s="44"/>
      <c r="M23" s="189">
        <v>41.36</v>
      </c>
      <c r="N23" s="44"/>
      <c r="O23" s="139">
        <f t="shared" si="1"/>
        <v>86028.800000000003</v>
      </c>
      <c r="P23" s="139">
        <f t="shared" si="2"/>
        <v>20566.259999999998</v>
      </c>
      <c r="Q23" s="139">
        <f t="shared" si="3"/>
        <v>106595.06</v>
      </c>
      <c r="R23" s="202"/>
      <c r="S23" s="139">
        <f t="shared" si="4"/>
        <v>3039.6199999999953</v>
      </c>
    </row>
    <row r="24" spans="1:21">
      <c r="A24" s="158">
        <f t="shared" si="5"/>
        <v>10</v>
      </c>
      <c r="C24" s="239">
        <v>1598</v>
      </c>
      <c r="D24" s="2">
        <v>1010</v>
      </c>
      <c r="F24" s="107">
        <v>2080</v>
      </c>
      <c r="G24" s="107">
        <v>0</v>
      </c>
      <c r="H24" s="107"/>
      <c r="I24" s="139">
        <v>142432.4</v>
      </c>
      <c r="J24" s="139">
        <v>0</v>
      </c>
      <c r="K24" s="139">
        <f t="shared" si="0"/>
        <v>142432.4</v>
      </c>
      <c r="L24" s="44"/>
      <c r="M24" s="189">
        <v>71.540000000000006</v>
      </c>
      <c r="N24" s="44"/>
      <c r="O24" s="139">
        <f t="shared" si="1"/>
        <v>148803.20000000001</v>
      </c>
      <c r="P24" s="139">
        <f t="shared" si="2"/>
        <v>0</v>
      </c>
      <c r="Q24" s="139">
        <f t="shared" si="3"/>
        <v>148803.20000000001</v>
      </c>
      <c r="R24" s="202"/>
      <c r="S24" s="139">
        <f t="shared" si="4"/>
        <v>6370.8000000000175</v>
      </c>
    </row>
    <row r="25" spans="1:21">
      <c r="A25" s="158">
        <f t="shared" si="5"/>
        <v>11</v>
      </c>
      <c r="B25" s="2" t="s">
        <v>346</v>
      </c>
      <c r="C25" s="239">
        <v>1836</v>
      </c>
      <c r="D25" s="2">
        <v>1011</v>
      </c>
      <c r="F25" s="107">
        <v>1115.6500000000001</v>
      </c>
      <c r="G25" s="107">
        <v>79.5</v>
      </c>
      <c r="H25" s="107"/>
      <c r="I25" s="139">
        <v>49322.89</v>
      </c>
      <c r="J25" s="139">
        <v>5272.04</v>
      </c>
      <c r="K25" s="139">
        <f t="shared" si="0"/>
        <v>54594.93</v>
      </c>
      <c r="L25" s="44"/>
      <c r="M25" s="189">
        <v>44.21</v>
      </c>
      <c r="N25" s="44"/>
      <c r="O25" s="139">
        <f>M25*1840</f>
        <v>81346.400000000009</v>
      </c>
      <c r="P25" s="139">
        <f t="shared" si="2"/>
        <v>5272.0424999999996</v>
      </c>
      <c r="Q25" s="139">
        <f t="shared" si="3"/>
        <v>86618.442500000005</v>
      </c>
      <c r="R25" s="202"/>
      <c r="S25" s="139">
        <f t="shared" si="4"/>
        <v>32023.512500000004</v>
      </c>
    </row>
    <row r="26" spans="1:21">
      <c r="A26" s="158">
        <f t="shared" si="5"/>
        <v>12</v>
      </c>
      <c r="C26" s="239">
        <v>1990</v>
      </c>
      <c r="D26" s="2">
        <v>1012</v>
      </c>
      <c r="F26" s="107">
        <v>2080</v>
      </c>
      <c r="G26" s="107">
        <v>39</v>
      </c>
      <c r="H26" s="107"/>
      <c r="I26" s="139">
        <v>76766.8</v>
      </c>
      <c r="J26" s="139">
        <v>2187.9</v>
      </c>
      <c r="K26" s="139">
        <f t="shared" si="0"/>
        <v>78954.7</v>
      </c>
      <c r="L26" s="44"/>
      <c r="M26" s="189">
        <v>37.659999999999997</v>
      </c>
      <c r="N26" s="44"/>
      <c r="O26" s="139">
        <f t="shared" si="1"/>
        <v>78332.799999999988</v>
      </c>
      <c r="P26" s="139">
        <f t="shared" si="2"/>
        <v>2203.1099999999997</v>
      </c>
      <c r="Q26" s="139">
        <f t="shared" si="3"/>
        <v>80535.909999999989</v>
      </c>
      <c r="R26" s="202"/>
      <c r="S26" s="139">
        <f t="shared" si="4"/>
        <v>1581.2099999999919</v>
      </c>
    </row>
    <row r="27" spans="1:21">
      <c r="A27" s="158">
        <f t="shared" si="5"/>
        <v>13</v>
      </c>
      <c r="C27" s="239">
        <v>2324</v>
      </c>
      <c r="D27" s="2">
        <v>1013</v>
      </c>
      <c r="F27" s="107">
        <v>2040</v>
      </c>
      <c r="G27" s="107">
        <v>706</v>
      </c>
      <c r="H27" s="107"/>
      <c r="I27" s="139">
        <v>80785.2</v>
      </c>
      <c r="J27" s="139">
        <v>42301.97</v>
      </c>
      <c r="K27" s="139">
        <f t="shared" si="0"/>
        <v>123087.17</v>
      </c>
      <c r="L27" s="44"/>
      <c r="M27" s="189">
        <v>41.12</v>
      </c>
      <c r="N27" s="44"/>
      <c r="O27" s="139">
        <f t="shared" si="1"/>
        <v>85529.599999999991</v>
      </c>
      <c r="P27" s="139">
        <f t="shared" si="2"/>
        <v>43546.079999999994</v>
      </c>
      <c r="Q27" s="139">
        <f t="shared" si="3"/>
        <v>129075.68</v>
      </c>
      <c r="R27" s="202"/>
      <c r="S27" s="139">
        <f t="shared" si="4"/>
        <v>5988.5099999999948</v>
      </c>
    </row>
    <row r="28" spans="1:21">
      <c r="A28" s="158">
        <f t="shared" si="5"/>
        <v>14</v>
      </c>
      <c r="C28" s="239">
        <v>2506</v>
      </c>
      <c r="D28" s="2">
        <v>1014</v>
      </c>
      <c r="F28" s="107">
        <v>2080</v>
      </c>
      <c r="G28" s="107">
        <v>0</v>
      </c>
      <c r="H28" s="107"/>
      <c r="I28" s="139">
        <v>149526.79999999999</v>
      </c>
      <c r="J28" s="139">
        <f>(G28*45.59)*1.5</f>
        <v>0</v>
      </c>
      <c r="K28" s="139">
        <f t="shared" si="0"/>
        <v>149526.79999999999</v>
      </c>
      <c r="L28" s="44"/>
      <c r="M28" s="189">
        <v>74.239999999999995</v>
      </c>
      <c r="N28" s="44"/>
      <c r="O28" s="139">
        <f t="shared" si="1"/>
        <v>154419.19999999998</v>
      </c>
      <c r="P28" s="139">
        <f t="shared" si="2"/>
        <v>0</v>
      </c>
      <c r="Q28" s="139">
        <f t="shared" si="3"/>
        <v>154419.19999999998</v>
      </c>
      <c r="R28" s="202"/>
      <c r="S28" s="139">
        <f t="shared" si="4"/>
        <v>4892.3999999999942</v>
      </c>
    </row>
    <row r="29" spans="1:21">
      <c r="A29" s="158">
        <f t="shared" si="5"/>
        <v>15</v>
      </c>
      <c r="C29" s="239">
        <v>2509</v>
      </c>
      <c r="D29" s="2">
        <v>1015</v>
      </c>
      <c r="F29" s="107">
        <v>2080</v>
      </c>
      <c r="G29" s="107">
        <v>171</v>
      </c>
      <c r="H29" s="107"/>
      <c r="I29" s="139">
        <v>82204.800000000003</v>
      </c>
      <c r="J29" s="139">
        <v>9976.7199999999993</v>
      </c>
      <c r="K29" s="139">
        <f t="shared" si="0"/>
        <v>92181.52</v>
      </c>
      <c r="L29" s="44"/>
      <c r="M29" s="189">
        <v>41.1</v>
      </c>
      <c r="N29" s="44"/>
      <c r="O29" s="139">
        <f t="shared" si="1"/>
        <v>85488</v>
      </c>
      <c r="P29" s="139">
        <f t="shared" si="2"/>
        <v>10542.150000000001</v>
      </c>
      <c r="Q29" s="139">
        <f t="shared" si="3"/>
        <v>96030.15</v>
      </c>
      <c r="R29" s="202"/>
      <c r="S29" s="139">
        <f t="shared" si="4"/>
        <v>3848.6299999999901</v>
      </c>
    </row>
    <row r="30" spans="1:21">
      <c r="A30" s="158">
        <f t="shared" si="5"/>
        <v>16</v>
      </c>
      <c r="C30" s="239">
        <v>2571</v>
      </c>
      <c r="D30" s="2">
        <v>1016</v>
      </c>
      <c r="F30" s="107">
        <v>2080</v>
      </c>
      <c r="G30" s="107">
        <v>262.5</v>
      </c>
      <c r="H30" s="107"/>
      <c r="I30" s="139">
        <v>82436</v>
      </c>
      <c r="J30" s="139">
        <v>15660.08</v>
      </c>
      <c r="K30" s="139">
        <f t="shared" si="0"/>
        <v>98096.08</v>
      </c>
      <c r="L30" s="44"/>
      <c r="M30" s="189">
        <v>40.64</v>
      </c>
      <c r="N30" s="44"/>
      <c r="O30" s="139">
        <f t="shared" si="1"/>
        <v>84531.199999999997</v>
      </c>
      <c r="P30" s="139">
        <f t="shared" si="2"/>
        <v>16002</v>
      </c>
      <c r="Q30" s="139">
        <f t="shared" si="3"/>
        <v>100533.2</v>
      </c>
      <c r="R30" s="202"/>
      <c r="S30" s="139">
        <f t="shared" si="4"/>
        <v>2437.1199999999953</v>
      </c>
    </row>
    <row r="31" spans="1:21">
      <c r="A31" s="158">
        <f t="shared" si="5"/>
        <v>17</v>
      </c>
      <c r="C31" s="239">
        <v>2602</v>
      </c>
      <c r="D31" s="2">
        <v>1017</v>
      </c>
      <c r="F31" s="107">
        <v>2080</v>
      </c>
      <c r="G31" s="107">
        <v>0</v>
      </c>
      <c r="H31" s="107"/>
      <c r="I31" s="139">
        <v>114905.60000000001</v>
      </c>
      <c r="J31" s="139">
        <v>0</v>
      </c>
      <c r="K31" s="139">
        <f t="shared" si="0"/>
        <v>114905.60000000001</v>
      </c>
      <c r="L31" s="44"/>
      <c r="M31" s="189">
        <v>58.77</v>
      </c>
      <c r="N31" s="44"/>
      <c r="O31" s="139">
        <f t="shared" si="1"/>
        <v>122241.60000000001</v>
      </c>
      <c r="P31" s="139">
        <f t="shared" si="2"/>
        <v>0</v>
      </c>
      <c r="Q31" s="139">
        <f t="shared" si="3"/>
        <v>122241.60000000001</v>
      </c>
      <c r="R31" s="202"/>
      <c r="S31" s="139">
        <f t="shared" si="4"/>
        <v>7336</v>
      </c>
    </row>
    <row r="32" spans="1:21">
      <c r="A32" s="158">
        <f t="shared" si="5"/>
        <v>18</v>
      </c>
      <c r="C32" s="239">
        <v>2669</v>
      </c>
      <c r="D32" s="2">
        <v>1018</v>
      </c>
      <c r="F32" s="107">
        <v>2080</v>
      </c>
      <c r="G32" s="107">
        <v>363</v>
      </c>
      <c r="H32" s="107"/>
      <c r="I32" s="139">
        <v>75551.199999999997</v>
      </c>
      <c r="J32" s="139">
        <v>19790.59</v>
      </c>
      <c r="K32" s="139">
        <f t="shared" si="0"/>
        <v>95341.79</v>
      </c>
      <c r="L32" s="44"/>
      <c r="M32" s="189">
        <v>39.1</v>
      </c>
      <c r="N32" s="44"/>
      <c r="O32" s="139">
        <f t="shared" si="1"/>
        <v>81328</v>
      </c>
      <c r="P32" s="139">
        <f t="shared" si="2"/>
        <v>21289.95</v>
      </c>
      <c r="Q32" s="139">
        <f t="shared" si="3"/>
        <v>102617.95</v>
      </c>
      <c r="R32" s="202"/>
      <c r="S32" s="139">
        <f t="shared" si="4"/>
        <v>7276.1600000000035</v>
      </c>
    </row>
    <row r="33" spans="1:19" s="1" customFormat="1">
      <c r="A33" s="158">
        <f t="shared" si="5"/>
        <v>19</v>
      </c>
      <c r="B33" s="2"/>
      <c r="C33" s="239">
        <v>2968</v>
      </c>
      <c r="D33" s="2">
        <v>1019</v>
      </c>
      <c r="F33" s="107">
        <v>2080</v>
      </c>
      <c r="G33" s="107">
        <v>11</v>
      </c>
      <c r="H33" s="107"/>
      <c r="I33" s="139">
        <v>45580</v>
      </c>
      <c r="J33" s="139">
        <v>368.94</v>
      </c>
      <c r="K33" s="139">
        <f t="shared" si="0"/>
        <v>45948.94</v>
      </c>
      <c r="L33" s="44"/>
      <c r="M33" s="189">
        <v>22.36</v>
      </c>
      <c r="N33" s="44"/>
      <c r="O33" s="139">
        <f t="shared" si="1"/>
        <v>46508.799999999996</v>
      </c>
      <c r="P33" s="139">
        <f t="shared" si="2"/>
        <v>368.94</v>
      </c>
      <c r="Q33" s="139">
        <f t="shared" si="3"/>
        <v>46877.74</v>
      </c>
      <c r="R33" s="202"/>
      <c r="S33" s="139">
        <f t="shared" si="4"/>
        <v>928.79999999999563</v>
      </c>
    </row>
    <row r="34" spans="1:19" s="1" customFormat="1">
      <c r="A34" s="158">
        <f t="shared" si="5"/>
        <v>20</v>
      </c>
      <c r="B34" s="2" t="s">
        <v>347</v>
      </c>
      <c r="C34" s="239">
        <v>2987</v>
      </c>
      <c r="D34" s="2">
        <v>1020</v>
      </c>
      <c r="F34" s="107">
        <v>720</v>
      </c>
      <c r="G34" s="107">
        <v>61.3</v>
      </c>
      <c r="H34" s="107"/>
      <c r="I34" s="139">
        <v>15408</v>
      </c>
      <c r="J34" s="139">
        <v>1967.73</v>
      </c>
      <c r="K34" s="139">
        <f t="shared" si="0"/>
        <v>17375.73</v>
      </c>
      <c r="L34" s="44"/>
      <c r="M34" s="189">
        <v>21.4</v>
      </c>
      <c r="N34" s="44"/>
      <c r="O34" s="139">
        <f t="shared" si="1"/>
        <v>44512</v>
      </c>
      <c r="P34" s="139">
        <f t="shared" si="2"/>
        <v>1967.7299999999996</v>
      </c>
      <c r="Q34" s="139">
        <f t="shared" si="3"/>
        <v>46479.729999999996</v>
      </c>
      <c r="R34" s="202"/>
      <c r="S34" s="139">
        <f t="shared" si="4"/>
        <v>29103.999999999996</v>
      </c>
    </row>
    <row r="35" spans="1:19" s="1" customFormat="1">
      <c r="A35" s="158">
        <f t="shared" si="5"/>
        <v>21</v>
      </c>
      <c r="B35" s="2"/>
      <c r="C35" s="239">
        <v>3185</v>
      </c>
      <c r="D35" s="2">
        <v>1021</v>
      </c>
      <c r="F35" s="107">
        <v>2080</v>
      </c>
      <c r="G35" s="107">
        <v>0</v>
      </c>
      <c r="H35" s="107"/>
      <c r="I35" s="139">
        <v>114354.8</v>
      </c>
      <c r="J35" s="139">
        <f>(G35*45.59)*1.5</f>
        <v>0</v>
      </c>
      <c r="K35" s="139">
        <f t="shared" si="0"/>
        <v>114354.8</v>
      </c>
      <c r="L35" s="44"/>
      <c r="M35" s="189">
        <v>59.9</v>
      </c>
      <c r="N35" s="44"/>
      <c r="O35" s="139">
        <f t="shared" si="1"/>
        <v>124592</v>
      </c>
      <c r="P35" s="139">
        <f t="shared" si="2"/>
        <v>0</v>
      </c>
      <c r="Q35" s="139">
        <f t="shared" si="3"/>
        <v>124592</v>
      </c>
      <c r="R35" s="202"/>
      <c r="S35" s="139">
        <f t="shared" si="4"/>
        <v>10237.199999999997</v>
      </c>
    </row>
    <row r="36" spans="1:19" s="1" customFormat="1">
      <c r="A36" s="158">
        <f t="shared" si="5"/>
        <v>22</v>
      </c>
      <c r="B36" s="2"/>
      <c r="C36" s="239">
        <v>3462</v>
      </c>
      <c r="D36" s="2">
        <v>1022</v>
      </c>
      <c r="F36" s="107">
        <v>2080</v>
      </c>
      <c r="G36" s="107">
        <v>0</v>
      </c>
      <c r="H36" s="107"/>
      <c r="I36" s="139">
        <v>149443.6</v>
      </c>
      <c r="J36" s="139">
        <v>0</v>
      </c>
      <c r="K36" s="139">
        <f t="shared" si="0"/>
        <v>149443.6</v>
      </c>
      <c r="L36" s="44" t="s">
        <v>348</v>
      </c>
      <c r="M36" s="189">
        <v>75.680000000000007</v>
      </c>
      <c r="N36" s="44"/>
      <c r="O36" s="139">
        <f>M36*960</f>
        <v>72652.800000000003</v>
      </c>
      <c r="P36" s="139">
        <f t="shared" si="2"/>
        <v>0</v>
      </c>
      <c r="Q36" s="139">
        <f t="shared" si="3"/>
        <v>72652.800000000003</v>
      </c>
      <c r="R36" s="202"/>
      <c r="S36" s="139">
        <f t="shared" si="4"/>
        <v>-76790.8</v>
      </c>
    </row>
    <row r="37" spans="1:19" s="1" customFormat="1">
      <c r="A37" s="158">
        <f t="shared" si="5"/>
        <v>23</v>
      </c>
      <c r="B37" s="2"/>
      <c r="C37" s="239">
        <v>3504</v>
      </c>
      <c r="D37" s="2">
        <v>1023</v>
      </c>
      <c r="F37" s="107">
        <v>2080</v>
      </c>
      <c r="G37" s="107">
        <v>204</v>
      </c>
      <c r="H37" s="107"/>
      <c r="I37" s="139">
        <v>100512.81</v>
      </c>
      <c r="J37" s="139">
        <v>14855.19</v>
      </c>
      <c r="K37" s="139">
        <f t="shared" si="0"/>
        <v>115368</v>
      </c>
      <c r="L37" s="44"/>
      <c r="M37" s="189">
        <v>52.52</v>
      </c>
      <c r="N37" s="44"/>
      <c r="O37" s="139">
        <f t="shared" si="1"/>
        <v>109241.60000000001</v>
      </c>
      <c r="P37" s="139">
        <f t="shared" si="2"/>
        <v>16071.12</v>
      </c>
      <c r="Q37" s="139">
        <f t="shared" si="3"/>
        <v>125312.72</v>
      </c>
      <c r="R37" s="202"/>
      <c r="S37" s="139">
        <f t="shared" si="4"/>
        <v>9944.7200000000012</v>
      </c>
    </row>
    <row r="38" spans="1:19" s="1" customFormat="1">
      <c r="A38" s="158">
        <f t="shared" si="5"/>
        <v>24</v>
      </c>
      <c r="B38" s="2"/>
      <c r="C38" s="239">
        <v>3532</v>
      </c>
      <c r="D38" s="2">
        <v>1024</v>
      </c>
      <c r="F38" s="107">
        <v>2052</v>
      </c>
      <c r="G38" s="107">
        <v>240</v>
      </c>
      <c r="H38" s="107"/>
      <c r="I38" s="139">
        <v>86109.48</v>
      </c>
      <c r="J38" s="139">
        <v>15094.6</v>
      </c>
      <c r="K38" s="139">
        <f t="shared" si="0"/>
        <v>101204.08</v>
      </c>
      <c r="L38" s="44"/>
      <c r="M38" s="189">
        <v>43.78</v>
      </c>
      <c r="N38" s="44"/>
      <c r="O38" s="139">
        <f t="shared" si="1"/>
        <v>91062.400000000009</v>
      </c>
      <c r="P38" s="139">
        <f t="shared" si="2"/>
        <v>15760.800000000001</v>
      </c>
      <c r="Q38" s="139">
        <f t="shared" si="3"/>
        <v>106823.20000000001</v>
      </c>
      <c r="R38" s="202"/>
      <c r="S38" s="139">
        <f t="shared" si="4"/>
        <v>5619.1200000000099</v>
      </c>
    </row>
    <row r="39" spans="1:19" s="1" customFormat="1">
      <c r="A39" s="158">
        <f t="shared" si="5"/>
        <v>25</v>
      </c>
      <c r="B39" s="2"/>
      <c r="C39" s="239">
        <v>3593</v>
      </c>
      <c r="D39" s="2">
        <v>1025</v>
      </c>
      <c r="F39" s="107">
        <v>2080</v>
      </c>
      <c r="G39" s="107">
        <v>206.3</v>
      </c>
      <c r="H39" s="107"/>
      <c r="I39" s="139">
        <v>58639.62</v>
      </c>
      <c r="J39" s="139">
        <v>8837.17</v>
      </c>
      <c r="K39" s="139">
        <f t="shared" si="0"/>
        <v>67476.790000000008</v>
      </c>
      <c r="L39" s="44"/>
      <c r="M39" s="189">
        <v>30.84</v>
      </c>
      <c r="N39" s="44"/>
      <c r="O39" s="139">
        <f t="shared" si="1"/>
        <v>64147.199999999997</v>
      </c>
      <c r="P39" s="139">
        <f t="shared" si="2"/>
        <v>9543.4380000000001</v>
      </c>
      <c r="Q39" s="139">
        <f t="shared" si="3"/>
        <v>73690.637999999992</v>
      </c>
      <c r="R39" s="202"/>
      <c r="S39" s="139">
        <f t="shared" si="4"/>
        <v>6213.8479999999836</v>
      </c>
    </row>
    <row r="40" spans="1:19" s="1" customFormat="1">
      <c r="A40" s="158">
        <f t="shared" si="5"/>
        <v>26</v>
      </c>
      <c r="B40" s="2"/>
      <c r="C40" s="239">
        <v>3782</v>
      </c>
      <c r="D40" s="2">
        <v>1026</v>
      </c>
      <c r="F40" s="107">
        <v>2080</v>
      </c>
      <c r="G40" s="107">
        <v>121</v>
      </c>
      <c r="H40" s="107"/>
      <c r="I40" s="139">
        <v>89904.8</v>
      </c>
      <c r="J40" s="139">
        <v>7931.51</v>
      </c>
      <c r="K40" s="139">
        <f t="shared" si="0"/>
        <v>97836.31</v>
      </c>
      <c r="L40" s="44"/>
      <c r="M40" s="189">
        <v>44.21</v>
      </c>
      <c r="N40" s="44"/>
      <c r="O40" s="139">
        <f t="shared" si="1"/>
        <v>91956.800000000003</v>
      </c>
      <c r="P40" s="139">
        <f t="shared" si="2"/>
        <v>8024.1149999999998</v>
      </c>
      <c r="Q40" s="139">
        <f t="shared" si="3"/>
        <v>99980.915000000008</v>
      </c>
      <c r="R40" s="202"/>
      <c r="S40" s="139">
        <f t="shared" si="4"/>
        <v>2144.6050000000105</v>
      </c>
    </row>
    <row r="41" spans="1:19" s="1" customFormat="1">
      <c r="A41" s="158">
        <f t="shared" si="5"/>
        <v>27</v>
      </c>
      <c r="B41" s="2"/>
      <c r="C41" s="239">
        <v>3858</v>
      </c>
      <c r="D41" s="2">
        <v>1027</v>
      </c>
      <c r="F41" s="107">
        <v>2080</v>
      </c>
      <c r="G41" s="107">
        <v>5.5</v>
      </c>
      <c r="H41" s="107"/>
      <c r="I41" s="139">
        <v>50013.63</v>
      </c>
      <c r="J41" s="139">
        <v>203.06</v>
      </c>
      <c r="K41" s="139">
        <f t="shared" si="0"/>
        <v>50216.689999999995</v>
      </c>
      <c r="L41" s="44"/>
      <c r="M41" s="189">
        <v>25.13</v>
      </c>
      <c r="N41" s="44"/>
      <c r="O41" s="139">
        <f t="shared" si="1"/>
        <v>52270.400000000001</v>
      </c>
      <c r="P41" s="139">
        <f t="shared" si="2"/>
        <v>207.32249999999999</v>
      </c>
      <c r="Q41" s="139">
        <f t="shared" si="3"/>
        <v>52477.722500000003</v>
      </c>
      <c r="R41" s="202"/>
      <c r="S41" s="139">
        <f t="shared" si="4"/>
        <v>2261.0325000000084</v>
      </c>
    </row>
    <row r="42" spans="1:19" s="1" customFormat="1">
      <c r="A42" s="158">
        <f t="shared" si="5"/>
        <v>28</v>
      </c>
      <c r="B42" s="2" t="s">
        <v>348</v>
      </c>
      <c r="C42" s="239">
        <v>4027</v>
      </c>
      <c r="D42" s="2">
        <v>1028</v>
      </c>
      <c r="F42" s="107">
        <v>670</v>
      </c>
      <c r="G42" s="107">
        <v>164</v>
      </c>
      <c r="H42" s="107"/>
      <c r="I42" s="139">
        <v>29379.52</v>
      </c>
      <c r="J42" s="139">
        <v>10787.12</v>
      </c>
      <c r="K42" s="139">
        <f t="shared" si="0"/>
        <v>40166.639999999999</v>
      </c>
      <c r="L42" s="44"/>
      <c r="M42" s="189"/>
      <c r="N42" s="44"/>
      <c r="O42" s="139">
        <f t="shared" si="1"/>
        <v>0</v>
      </c>
      <c r="P42" s="139">
        <f t="shared" si="2"/>
        <v>0</v>
      </c>
      <c r="Q42" s="139">
        <f t="shared" si="3"/>
        <v>0</v>
      </c>
      <c r="R42" s="202"/>
      <c r="S42" s="139">
        <f t="shared" si="4"/>
        <v>-40166.639999999999</v>
      </c>
    </row>
    <row r="43" spans="1:19" s="1" customFormat="1">
      <c r="A43" s="158">
        <f t="shared" si="5"/>
        <v>29</v>
      </c>
      <c r="B43" s="2"/>
      <c r="C43" s="239">
        <v>4205</v>
      </c>
      <c r="D43" s="2">
        <v>1029</v>
      </c>
      <c r="F43" s="107">
        <v>2080</v>
      </c>
      <c r="G43" s="107">
        <v>424</v>
      </c>
      <c r="H43" s="107"/>
      <c r="I43" s="139">
        <v>90004.800000000003</v>
      </c>
      <c r="J43" s="139">
        <v>27511.88</v>
      </c>
      <c r="K43" s="139">
        <f t="shared" si="0"/>
        <v>117516.68000000001</v>
      </c>
      <c r="L43" s="44"/>
      <c r="M43" s="189">
        <v>44.58</v>
      </c>
      <c r="N43" s="44"/>
      <c r="O43" s="139">
        <f t="shared" si="1"/>
        <v>92726.399999999994</v>
      </c>
      <c r="P43" s="139">
        <f t="shared" si="2"/>
        <v>28352.880000000001</v>
      </c>
      <c r="Q43" s="139">
        <f t="shared" si="3"/>
        <v>121079.28</v>
      </c>
      <c r="R43" s="202"/>
      <c r="S43" s="139">
        <f t="shared" si="4"/>
        <v>3562.5999999999913</v>
      </c>
    </row>
    <row r="44" spans="1:19" s="1" customFormat="1">
      <c r="A44" s="158">
        <f t="shared" si="5"/>
        <v>30</v>
      </c>
      <c r="B44" s="2"/>
      <c r="C44" s="239">
        <v>4412</v>
      </c>
      <c r="D44" s="2">
        <v>1030</v>
      </c>
      <c r="F44" s="107">
        <v>2080</v>
      </c>
      <c r="G44" s="107">
        <v>333.5</v>
      </c>
      <c r="H44" s="107"/>
      <c r="I44" s="139">
        <v>83701.600000000006</v>
      </c>
      <c r="J44" s="139">
        <v>20176.990000000002</v>
      </c>
      <c r="K44" s="139">
        <f t="shared" si="0"/>
        <v>103878.59000000001</v>
      </c>
      <c r="L44" s="44"/>
      <c r="M44" s="189">
        <v>47.36</v>
      </c>
      <c r="N44" s="44"/>
      <c r="O44" s="139">
        <f t="shared" si="1"/>
        <v>98508.800000000003</v>
      </c>
      <c r="P44" s="139">
        <f t="shared" si="2"/>
        <v>23691.839999999997</v>
      </c>
      <c r="Q44" s="139">
        <f t="shared" si="3"/>
        <v>122200.64</v>
      </c>
      <c r="R44" s="202"/>
      <c r="S44" s="139">
        <f t="shared" si="4"/>
        <v>18322.049999999988</v>
      </c>
    </row>
    <row r="45" spans="1:19" s="1" customFormat="1">
      <c r="A45" s="158">
        <f t="shared" si="5"/>
        <v>31</v>
      </c>
      <c r="B45" s="2"/>
      <c r="C45" s="240">
        <v>4415</v>
      </c>
      <c r="D45" s="2">
        <v>1031</v>
      </c>
      <c r="E45" s="224"/>
      <c r="F45" s="225">
        <v>0</v>
      </c>
      <c r="G45" s="225">
        <v>0</v>
      </c>
      <c r="H45" s="225"/>
      <c r="I45" s="226">
        <f>F45*26.48</f>
        <v>0</v>
      </c>
      <c r="J45" s="226">
        <f>(G45*26.48)*1.5</f>
        <v>0</v>
      </c>
      <c r="K45" s="226">
        <f t="shared" si="0"/>
        <v>0</v>
      </c>
      <c r="L45" s="227" t="s">
        <v>142</v>
      </c>
      <c r="M45" s="228">
        <v>38</v>
      </c>
      <c r="N45" s="227"/>
      <c r="O45" s="226">
        <f>M45*1440</f>
        <v>54720</v>
      </c>
      <c r="P45" s="226">
        <f t="shared" si="2"/>
        <v>0</v>
      </c>
      <c r="Q45" s="226">
        <f t="shared" si="3"/>
        <v>54720</v>
      </c>
      <c r="R45" s="224"/>
      <c r="S45" s="226">
        <f t="shared" si="4"/>
        <v>54720</v>
      </c>
    </row>
    <row r="46" spans="1:19" s="1" customFormat="1">
      <c r="A46" s="158">
        <f t="shared" si="5"/>
        <v>32</v>
      </c>
      <c r="B46" s="2"/>
      <c r="C46" s="240">
        <v>4515</v>
      </c>
      <c r="D46" s="2">
        <v>1032</v>
      </c>
      <c r="E46" s="224"/>
      <c r="F46" s="225">
        <v>0</v>
      </c>
      <c r="G46" s="225">
        <v>0</v>
      </c>
      <c r="H46" s="225"/>
      <c r="I46" s="226">
        <f>F46*29.76</f>
        <v>0</v>
      </c>
      <c r="J46" s="226">
        <f>(G46*29.76)*1.5</f>
        <v>0</v>
      </c>
      <c r="K46" s="226">
        <f t="shared" si="0"/>
        <v>0</v>
      </c>
      <c r="L46" s="227" t="s">
        <v>142</v>
      </c>
      <c r="M46" s="228">
        <v>24.45</v>
      </c>
      <c r="N46" s="227"/>
      <c r="O46" s="226">
        <f>M46*1480</f>
        <v>36186</v>
      </c>
      <c r="P46" s="226">
        <f t="shared" si="2"/>
        <v>0</v>
      </c>
      <c r="Q46" s="226">
        <f t="shared" si="3"/>
        <v>36186</v>
      </c>
      <c r="R46" s="224"/>
      <c r="S46" s="226">
        <f t="shared" si="4"/>
        <v>36186</v>
      </c>
    </row>
    <row r="47" spans="1:19" s="1" customFormat="1">
      <c r="A47" s="158">
        <f t="shared" si="5"/>
        <v>33</v>
      </c>
      <c r="B47" s="2"/>
      <c r="C47" s="240">
        <v>4719</v>
      </c>
      <c r="D47" s="2">
        <v>1033</v>
      </c>
      <c r="E47" s="224"/>
      <c r="F47" s="225">
        <v>0</v>
      </c>
      <c r="G47" s="225">
        <v>0</v>
      </c>
      <c r="H47" s="225"/>
      <c r="I47" s="226">
        <f>F47*27.23</f>
        <v>0</v>
      </c>
      <c r="J47" s="226">
        <f>(G47*27.23)*1.5</f>
        <v>0</v>
      </c>
      <c r="K47" s="226">
        <f t="shared" ref="K47:K78" si="6">SUM(I47:J47)</f>
        <v>0</v>
      </c>
      <c r="L47" s="227" t="s">
        <v>142</v>
      </c>
      <c r="M47" s="228">
        <v>24.45</v>
      </c>
      <c r="N47" s="227"/>
      <c r="O47" s="226">
        <f>M47*1480</f>
        <v>36186</v>
      </c>
      <c r="P47" s="226">
        <f t="shared" si="2"/>
        <v>0</v>
      </c>
      <c r="Q47" s="226">
        <f t="shared" si="3"/>
        <v>36186</v>
      </c>
      <c r="R47" s="224"/>
      <c r="S47" s="226">
        <f t="shared" si="4"/>
        <v>36186</v>
      </c>
    </row>
    <row r="48" spans="1:19" s="1" customFormat="1">
      <c r="A48" s="158">
        <f t="shared" si="5"/>
        <v>34</v>
      </c>
      <c r="B48" s="2"/>
      <c r="C48" s="239">
        <v>4903</v>
      </c>
      <c r="D48" s="2">
        <v>1034</v>
      </c>
      <c r="F48" s="107">
        <v>2080</v>
      </c>
      <c r="G48" s="107">
        <v>55</v>
      </c>
      <c r="H48" s="107"/>
      <c r="I48" s="139">
        <v>51944.800000000003</v>
      </c>
      <c r="J48" s="139">
        <v>2097.15</v>
      </c>
      <c r="K48" s="139">
        <f t="shared" si="6"/>
        <v>54041.950000000004</v>
      </c>
      <c r="L48" s="44"/>
      <c r="M48" s="189">
        <v>25.42</v>
      </c>
      <c r="N48" s="44"/>
      <c r="O48" s="139">
        <f t="shared" si="1"/>
        <v>52873.600000000006</v>
      </c>
      <c r="P48" s="139">
        <f t="shared" si="2"/>
        <v>2097.15</v>
      </c>
      <c r="Q48" s="139">
        <f t="shared" si="3"/>
        <v>54970.750000000007</v>
      </c>
      <c r="R48" s="202"/>
      <c r="S48" s="139">
        <f t="shared" si="4"/>
        <v>928.80000000000291</v>
      </c>
    </row>
    <row r="49" spans="1:21">
      <c r="A49" s="158">
        <f t="shared" si="5"/>
        <v>35</v>
      </c>
      <c r="C49" s="239">
        <v>4987</v>
      </c>
      <c r="D49" s="2">
        <v>1035</v>
      </c>
      <c r="F49" s="107">
        <v>2080</v>
      </c>
      <c r="G49" s="107">
        <v>124.8</v>
      </c>
      <c r="H49" s="107"/>
      <c r="I49" s="139">
        <v>46233.2</v>
      </c>
      <c r="J49" s="139">
        <v>4219.3100000000004</v>
      </c>
      <c r="K49" s="139">
        <f t="shared" si="6"/>
        <v>50452.509999999995</v>
      </c>
      <c r="L49" s="44"/>
      <c r="M49" s="189">
        <v>23.15</v>
      </c>
      <c r="N49" s="44"/>
      <c r="O49" s="139">
        <f t="shared" si="1"/>
        <v>48152</v>
      </c>
      <c r="P49" s="139">
        <f t="shared" si="2"/>
        <v>4333.6799999999994</v>
      </c>
      <c r="Q49" s="139">
        <f t="shared" si="3"/>
        <v>52485.68</v>
      </c>
      <c r="R49" s="202"/>
      <c r="S49" s="139">
        <f t="shared" si="4"/>
        <v>2033.1700000000055</v>
      </c>
    </row>
    <row r="50" spans="1:21">
      <c r="A50" s="158">
        <f t="shared" si="5"/>
        <v>36</v>
      </c>
      <c r="C50" s="239">
        <v>5241</v>
      </c>
      <c r="D50" s="2">
        <v>1036</v>
      </c>
      <c r="F50" s="107">
        <v>2080</v>
      </c>
      <c r="G50" s="107">
        <v>320.5</v>
      </c>
      <c r="H50" s="107"/>
      <c r="I50" s="139">
        <v>98079.61</v>
      </c>
      <c r="J50" s="139">
        <v>22857.759999999998</v>
      </c>
      <c r="K50" s="139">
        <f t="shared" si="6"/>
        <v>120937.37</v>
      </c>
      <c r="L50" s="44"/>
      <c r="M50" s="189">
        <v>48.81</v>
      </c>
      <c r="N50" s="44"/>
      <c r="O50" s="139">
        <f t="shared" si="1"/>
        <v>101524.8</v>
      </c>
      <c r="P50" s="139">
        <f t="shared" si="2"/>
        <v>23465.407500000001</v>
      </c>
      <c r="Q50" s="139">
        <f t="shared" si="3"/>
        <v>124990.2075</v>
      </c>
      <c r="R50" s="202"/>
      <c r="S50" s="139">
        <f t="shared" si="4"/>
        <v>4052.8375000000087</v>
      </c>
    </row>
    <row r="51" spans="1:21">
      <c r="A51" s="158">
        <f t="shared" si="5"/>
        <v>37</v>
      </c>
      <c r="C51" s="239">
        <v>5464</v>
      </c>
      <c r="D51" s="2">
        <v>1037</v>
      </c>
      <c r="F51" s="107">
        <v>2080</v>
      </c>
      <c r="G51" s="107">
        <v>89.25</v>
      </c>
      <c r="H51" s="107"/>
      <c r="I51" s="139">
        <v>76295.600000000006</v>
      </c>
      <c r="J51" s="139">
        <v>5023.5</v>
      </c>
      <c r="K51" s="139">
        <f t="shared" si="6"/>
        <v>81319.100000000006</v>
      </c>
      <c r="L51" s="44"/>
      <c r="M51" s="189">
        <v>38.15</v>
      </c>
      <c r="N51" s="44"/>
      <c r="O51" s="139">
        <f t="shared" si="1"/>
        <v>79352</v>
      </c>
      <c r="P51" s="139">
        <f t="shared" si="2"/>
        <v>5107.3312499999993</v>
      </c>
      <c r="Q51" s="139">
        <f t="shared" si="3"/>
        <v>84459.331250000003</v>
      </c>
      <c r="R51" s="202"/>
      <c r="S51" s="139">
        <f t="shared" si="4"/>
        <v>3140.2312499999971</v>
      </c>
    </row>
    <row r="52" spans="1:21">
      <c r="A52" s="158">
        <f t="shared" si="5"/>
        <v>38</v>
      </c>
      <c r="C52" s="239">
        <v>5706</v>
      </c>
      <c r="D52" s="2">
        <v>1038</v>
      </c>
      <c r="F52" s="107">
        <v>2080</v>
      </c>
      <c r="G52" s="107">
        <v>149.5</v>
      </c>
      <c r="H52" s="107"/>
      <c r="I52" s="139">
        <v>68014.41</v>
      </c>
      <c r="J52" s="139">
        <v>7432.73</v>
      </c>
      <c r="K52" s="139">
        <f t="shared" si="6"/>
        <v>75447.14</v>
      </c>
      <c r="L52" s="44"/>
      <c r="M52" s="189">
        <v>33.53</v>
      </c>
      <c r="N52" s="44"/>
      <c r="O52" s="139">
        <f t="shared" si="1"/>
        <v>69742.400000000009</v>
      </c>
      <c r="P52" s="139">
        <f t="shared" si="2"/>
        <v>7519.1025</v>
      </c>
      <c r="Q52" s="139">
        <f t="shared" si="3"/>
        <v>77261.502500000002</v>
      </c>
      <c r="R52" s="202"/>
      <c r="S52" s="139">
        <f t="shared" si="4"/>
        <v>1814.3625000000029</v>
      </c>
      <c r="U52" s="185"/>
    </row>
    <row r="53" spans="1:21">
      <c r="A53" s="158">
        <f t="shared" si="5"/>
        <v>39</v>
      </c>
      <c r="B53" s="2" t="s">
        <v>349</v>
      </c>
      <c r="C53" s="239">
        <v>5815</v>
      </c>
      <c r="D53" s="2">
        <v>1039</v>
      </c>
      <c r="F53" s="107">
        <v>1320</v>
      </c>
      <c r="G53" s="107">
        <v>2</v>
      </c>
      <c r="H53" s="107"/>
      <c r="I53" s="139">
        <v>28615.599999999999</v>
      </c>
      <c r="J53" s="139">
        <v>69.39</v>
      </c>
      <c r="K53" s="139">
        <f t="shared" si="6"/>
        <v>28684.989999999998</v>
      </c>
      <c r="L53" s="44"/>
      <c r="M53" s="189"/>
      <c r="N53" s="44"/>
      <c r="O53" s="139">
        <f t="shared" si="1"/>
        <v>0</v>
      </c>
      <c r="P53" s="139">
        <f t="shared" si="2"/>
        <v>0</v>
      </c>
      <c r="Q53" s="139">
        <f t="shared" si="3"/>
        <v>0</v>
      </c>
      <c r="R53" s="202"/>
      <c r="S53" s="139">
        <f t="shared" si="4"/>
        <v>-28684.989999999998</v>
      </c>
    </row>
    <row r="54" spans="1:21">
      <c r="A54" s="158">
        <f t="shared" si="5"/>
        <v>40</v>
      </c>
      <c r="C54" s="239">
        <v>5862</v>
      </c>
      <c r="D54" s="2">
        <v>1040</v>
      </c>
      <c r="F54" s="107">
        <v>2040</v>
      </c>
      <c r="G54" s="107">
        <v>594.5</v>
      </c>
      <c r="H54" s="107"/>
      <c r="I54" s="139">
        <v>66414</v>
      </c>
      <c r="J54" s="139">
        <v>29450.11</v>
      </c>
      <c r="K54" s="139">
        <f t="shared" si="6"/>
        <v>95864.11</v>
      </c>
      <c r="L54" s="44"/>
      <c r="M54" s="189">
        <v>37.75</v>
      </c>
      <c r="N54" s="44"/>
      <c r="O54" s="139">
        <f t="shared" si="1"/>
        <v>78520</v>
      </c>
      <c r="P54" s="139">
        <f t="shared" si="2"/>
        <v>33663.5625</v>
      </c>
      <c r="Q54" s="139">
        <f t="shared" si="3"/>
        <v>112183.5625</v>
      </c>
      <c r="R54" s="202"/>
      <c r="S54" s="139">
        <f t="shared" si="4"/>
        <v>16319.452499999999</v>
      </c>
    </row>
    <row r="55" spans="1:21">
      <c r="A55" s="158">
        <f t="shared" si="5"/>
        <v>41</v>
      </c>
      <c r="C55" s="239">
        <v>5876</v>
      </c>
      <c r="D55" s="2">
        <v>1041</v>
      </c>
      <c r="F55" s="107">
        <v>2040</v>
      </c>
      <c r="G55" s="107">
        <v>398.5</v>
      </c>
      <c r="H55" s="107"/>
      <c r="I55" s="139">
        <v>49568.41</v>
      </c>
      <c r="J55" s="139">
        <v>14787.29</v>
      </c>
      <c r="K55" s="139">
        <f t="shared" si="6"/>
        <v>64355.700000000004</v>
      </c>
      <c r="L55" s="44"/>
      <c r="M55" s="189">
        <v>25.05</v>
      </c>
      <c r="N55" s="44"/>
      <c r="O55" s="139">
        <f t="shared" si="1"/>
        <v>52104</v>
      </c>
      <c r="P55" s="139">
        <f t="shared" si="2"/>
        <v>14973.637500000001</v>
      </c>
      <c r="Q55" s="139">
        <f t="shared" si="3"/>
        <v>67077.637499999997</v>
      </c>
      <c r="R55" s="202"/>
      <c r="S55" s="139">
        <f t="shared" si="4"/>
        <v>2721.9374999999927</v>
      </c>
    </row>
    <row r="56" spans="1:21">
      <c r="A56" s="158">
        <f t="shared" si="5"/>
        <v>42</v>
      </c>
      <c r="B56" s="2" t="s">
        <v>349</v>
      </c>
      <c r="C56" s="239">
        <v>6443</v>
      </c>
      <c r="D56" s="2">
        <v>1042</v>
      </c>
      <c r="F56" s="107">
        <v>800</v>
      </c>
      <c r="G56" s="107">
        <v>5</v>
      </c>
      <c r="H56" s="107"/>
      <c r="I56" s="139">
        <v>17568</v>
      </c>
      <c r="J56" s="139">
        <v>164.7</v>
      </c>
      <c r="K56" s="139">
        <f t="shared" si="6"/>
        <v>17732.7</v>
      </c>
      <c r="L56" s="44"/>
      <c r="M56" s="189"/>
      <c r="N56" s="44"/>
      <c r="O56" s="139">
        <f t="shared" si="1"/>
        <v>0</v>
      </c>
      <c r="P56" s="139">
        <f t="shared" si="2"/>
        <v>0</v>
      </c>
      <c r="Q56" s="139">
        <f t="shared" si="3"/>
        <v>0</v>
      </c>
      <c r="R56" s="202"/>
      <c r="S56" s="139">
        <f t="shared" si="4"/>
        <v>-17732.7</v>
      </c>
    </row>
    <row r="57" spans="1:21">
      <c r="A57" s="158">
        <f t="shared" si="5"/>
        <v>43</v>
      </c>
      <c r="C57" s="239">
        <v>6551</v>
      </c>
      <c r="D57" s="2">
        <v>1043</v>
      </c>
      <c r="F57" s="107">
        <v>2070</v>
      </c>
      <c r="G57" s="107">
        <v>107</v>
      </c>
      <c r="H57" s="107"/>
      <c r="I57" s="139">
        <v>65921.45</v>
      </c>
      <c r="J57" s="139">
        <v>5145.9399999999996</v>
      </c>
      <c r="K57" s="139">
        <f t="shared" si="6"/>
        <v>71067.39</v>
      </c>
      <c r="L57" s="44"/>
      <c r="M57" s="189">
        <v>32.86</v>
      </c>
      <c r="N57" s="44"/>
      <c r="O57" s="139">
        <f t="shared" si="1"/>
        <v>68348.800000000003</v>
      </c>
      <c r="P57" s="139">
        <f t="shared" si="2"/>
        <v>5274.03</v>
      </c>
      <c r="Q57" s="139">
        <f t="shared" si="3"/>
        <v>73622.83</v>
      </c>
      <c r="R57" s="202"/>
      <c r="S57" s="139">
        <f t="shared" si="4"/>
        <v>2555.4400000000023</v>
      </c>
    </row>
    <row r="58" spans="1:21">
      <c r="A58" s="158">
        <f t="shared" si="5"/>
        <v>44</v>
      </c>
      <c r="C58" s="240">
        <v>6613</v>
      </c>
      <c r="D58" s="2">
        <v>1044</v>
      </c>
      <c r="E58" s="224"/>
      <c r="F58" s="225">
        <v>0</v>
      </c>
      <c r="G58" s="225">
        <v>0</v>
      </c>
      <c r="H58" s="225"/>
      <c r="I58" s="226">
        <f>F58*36.77</f>
        <v>0</v>
      </c>
      <c r="J58" s="226">
        <f>(G58*36.77)*1.5</f>
        <v>0</v>
      </c>
      <c r="K58" s="226">
        <f t="shared" si="6"/>
        <v>0</v>
      </c>
      <c r="L58" s="227" t="s">
        <v>350</v>
      </c>
      <c r="M58" s="228">
        <v>15</v>
      </c>
      <c r="N58" s="227"/>
      <c r="O58" s="226">
        <f>M58*1120</f>
        <v>16800</v>
      </c>
      <c r="P58" s="226">
        <f t="shared" si="2"/>
        <v>0</v>
      </c>
      <c r="Q58" s="226">
        <f t="shared" si="3"/>
        <v>16800</v>
      </c>
      <c r="R58" s="224"/>
      <c r="S58" s="226">
        <f t="shared" si="4"/>
        <v>16800</v>
      </c>
    </row>
    <row r="59" spans="1:21">
      <c r="A59" s="158">
        <f t="shared" si="5"/>
        <v>45</v>
      </c>
      <c r="C59" s="239">
        <v>6620</v>
      </c>
      <c r="D59" s="2">
        <v>1045</v>
      </c>
      <c r="F59" s="107">
        <v>2080</v>
      </c>
      <c r="G59" s="107">
        <v>138.5</v>
      </c>
      <c r="H59" s="107"/>
      <c r="I59" s="139">
        <v>50760</v>
      </c>
      <c r="J59" s="139">
        <v>5110</v>
      </c>
      <c r="K59" s="139">
        <f t="shared" si="6"/>
        <v>55870</v>
      </c>
      <c r="L59" s="44"/>
      <c r="M59" s="189">
        <v>25.84</v>
      </c>
      <c r="N59" s="44"/>
      <c r="O59" s="139">
        <f t="shared" si="1"/>
        <v>53747.199999999997</v>
      </c>
      <c r="P59" s="139">
        <f t="shared" si="2"/>
        <v>5368.2599999999993</v>
      </c>
      <c r="Q59" s="139">
        <f t="shared" si="3"/>
        <v>59115.46</v>
      </c>
      <c r="R59" s="202"/>
      <c r="S59" s="139">
        <f t="shared" si="4"/>
        <v>3245.4599999999991</v>
      </c>
    </row>
    <row r="60" spans="1:21">
      <c r="A60" s="158">
        <f t="shared" si="5"/>
        <v>46</v>
      </c>
      <c r="B60" s="2" t="s">
        <v>347</v>
      </c>
      <c r="C60" s="239">
        <v>6670</v>
      </c>
      <c r="D60" s="2">
        <v>1046</v>
      </c>
      <c r="F60" s="107">
        <v>1160</v>
      </c>
      <c r="G60" s="107">
        <v>23</v>
      </c>
      <c r="H60" s="107"/>
      <c r="I60" s="139">
        <v>24849.599999999999</v>
      </c>
      <c r="J60" s="139">
        <v>738.3</v>
      </c>
      <c r="K60" s="139">
        <f t="shared" si="6"/>
        <v>25587.899999999998</v>
      </c>
      <c r="L60" s="44"/>
      <c r="M60" s="189">
        <v>22.04</v>
      </c>
      <c r="N60" s="44"/>
      <c r="O60" s="139">
        <f>M60*2072.43</f>
        <v>45676.357199999991</v>
      </c>
      <c r="P60" s="139">
        <f t="shared" si="2"/>
        <v>760.38000000000011</v>
      </c>
      <c r="Q60" s="139">
        <f t="shared" si="3"/>
        <v>46436.737199999989</v>
      </c>
      <c r="R60" s="202"/>
      <c r="S60" s="139">
        <f t="shared" si="4"/>
        <v>20848.837199999991</v>
      </c>
    </row>
    <row r="61" spans="1:21">
      <c r="A61" s="158">
        <f t="shared" si="5"/>
        <v>47</v>
      </c>
      <c r="C61" s="239">
        <v>6804</v>
      </c>
      <c r="D61" s="2">
        <v>1047</v>
      </c>
      <c r="F61" s="107">
        <v>2080</v>
      </c>
      <c r="G61" s="107">
        <v>11</v>
      </c>
      <c r="H61" s="107"/>
      <c r="I61" s="139">
        <v>55546.400000000001</v>
      </c>
      <c r="J61" s="139">
        <v>443</v>
      </c>
      <c r="K61" s="139">
        <f t="shared" si="6"/>
        <v>55989.4</v>
      </c>
      <c r="L61" s="44"/>
      <c r="M61" s="189">
        <v>27.38</v>
      </c>
      <c r="N61" s="44"/>
      <c r="O61" s="139">
        <f t="shared" si="1"/>
        <v>56950.400000000001</v>
      </c>
      <c r="P61" s="139">
        <f t="shared" si="2"/>
        <v>451.77</v>
      </c>
      <c r="Q61" s="139">
        <f t="shared" si="3"/>
        <v>57402.17</v>
      </c>
      <c r="R61" s="202"/>
      <c r="S61" s="139">
        <f t="shared" si="4"/>
        <v>1412.7699999999968</v>
      </c>
    </row>
    <row r="62" spans="1:21">
      <c r="A62" s="158">
        <f t="shared" si="5"/>
        <v>48</v>
      </c>
      <c r="C62" s="239">
        <v>6919</v>
      </c>
      <c r="D62" s="2">
        <v>1048</v>
      </c>
      <c r="F62" s="107">
        <v>2012</v>
      </c>
      <c r="G62" s="107">
        <v>0</v>
      </c>
      <c r="H62" s="107"/>
      <c r="I62" s="139">
        <v>132809.88</v>
      </c>
      <c r="J62" s="139">
        <v>0</v>
      </c>
      <c r="K62" s="139">
        <f t="shared" si="6"/>
        <v>132809.88</v>
      </c>
      <c r="L62" s="44"/>
      <c r="M62" s="189">
        <v>68.290000000000006</v>
      </c>
      <c r="N62" s="44"/>
      <c r="O62" s="139">
        <f>M62*1600</f>
        <v>109264.00000000001</v>
      </c>
      <c r="P62" s="139">
        <f t="shared" si="2"/>
        <v>0</v>
      </c>
      <c r="Q62" s="139">
        <f t="shared" si="3"/>
        <v>109264.00000000001</v>
      </c>
      <c r="R62" s="202"/>
      <c r="S62" s="139">
        <f t="shared" si="4"/>
        <v>-23545.87999999999</v>
      </c>
    </row>
    <row r="63" spans="1:21">
      <c r="A63" s="158">
        <f t="shared" si="5"/>
        <v>49</v>
      </c>
      <c r="C63" s="239">
        <v>7028</v>
      </c>
      <c r="D63" s="2">
        <v>1049</v>
      </c>
      <c r="F63" s="107">
        <v>2080</v>
      </c>
      <c r="G63" s="107">
        <v>350.5</v>
      </c>
      <c r="H63" s="107"/>
      <c r="I63" s="139">
        <v>89395.62</v>
      </c>
      <c r="J63" s="139">
        <v>22623.47</v>
      </c>
      <c r="K63" s="139">
        <f t="shared" si="6"/>
        <v>112019.09</v>
      </c>
      <c r="L63" s="44"/>
      <c r="M63" s="189">
        <v>43.42</v>
      </c>
      <c r="N63" s="44"/>
      <c r="O63" s="139">
        <f t="shared" si="1"/>
        <v>90313.600000000006</v>
      </c>
      <c r="P63" s="139">
        <f t="shared" si="2"/>
        <v>22828.064999999999</v>
      </c>
      <c r="Q63" s="139">
        <f t="shared" si="3"/>
        <v>113141.66500000001</v>
      </c>
      <c r="R63" s="202"/>
      <c r="S63" s="139">
        <f t="shared" si="4"/>
        <v>1122.5750000000116</v>
      </c>
    </row>
    <row r="64" spans="1:21">
      <c r="A64" s="158">
        <f t="shared" si="5"/>
        <v>50</v>
      </c>
      <c r="C64" s="239">
        <v>7584</v>
      </c>
      <c r="D64" s="2">
        <v>1050</v>
      </c>
      <c r="F64" s="107">
        <v>2080</v>
      </c>
      <c r="G64" s="107">
        <v>330.5</v>
      </c>
      <c r="H64" s="107"/>
      <c r="I64" s="139">
        <v>82050</v>
      </c>
      <c r="J64" s="139">
        <v>19595.560000000001</v>
      </c>
      <c r="K64" s="139">
        <f t="shared" si="6"/>
        <v>101645.56</v>
      </c>
      <c r="L64" s="44"/>
      <c r="M64" s="189">
        <v>40.74</v>
      </c>
      <c r="N64" s="44"/>
      <c r="O64" s="139">
        <f t="shared" si="1"/>
        <v>84739.199999999997</v>
      </c>
      <c r="P64" s="139">
        <f t="shared" si="2"/>
        <v>20196.855</v>
      </c>
      <c r="Q64" s="139">
        <f t="shared" si="3"/>
        <v>104936.05499999999</v>
      </c>
      <c r="R64" s="202"/>
      <c r="S64" s="139">
        <f t="shared" si="4"/>
        <v>3290.4949999999953</v>
      </c>
    </row>
    <row r="65" spans="1:19">
      <c r="A65" s="158">
        <f t="shared" si="5"/>
        <v>51</v>
      </c>
      <c r="C65" s="239">
        <v>7599</v>
      </c>
      <c r="D65" s="2">
        <v>1051</v>
      </c>
      <c r="F65" s="107">
        <v>2040</v>
      </c>
      <c r="G65" s="107">
        <v>542</v>
      </c>
      <c r="H65" s="107"/>
      <c r="I65" s="139">
        <v>74047.199999999997</v>
      </c>
      <c r="J65" s="139">
        <v>29893.55</v>
      </c>
      <c r="K65" s="139">
        <f t="shared" si="6"/>
        <v>103940.75</v>
      </c>
      <c r="L65" s="44"/>
      <c r="M65" s="189">
        <v>40.98</v>
      </c>
      <c r="N65" s="44"/>
      <c r="O65" s="139">
        <f t="shared" si="1"/>
        <v>85238.399999999994</v>
      </c>
      <c r="P65" s="139">
        <f t="shared" si="2"/>
        <v>33316.74</v>
      </c>
      <c r="Q65" s="139">
        <f t="shared" si="3"/>
        <v>118555.13999999998</v>
      </c>
      <c r="R65" s="202"/>
      <c r="S65" s="139">
        <f t="shared" si="4"/>
        <v>14614.389999999985</v>
      </c>
    </row>
    <row r="66" spans="1:19">
      <c r="A66" s="158">
        <f t="shared" si="5"/>
        <v>52</v>
      </c>
      <c r="C66" s="239">
        <v>7606</v>
      </c>
      <c r="D66" s="2">
        <v>1052</v>
      </c>
      <c r="F66" s="107">
        <v>2080</v>
      </c>
      <c r="G66" s="107">
        <v>405</v>
      </c>
      <c r="H66" s="107"/>
      <c r="I66" s="139">
        <v>95948.4</v>
      </c>
      <c r="J66" s="139">
        <v>28258.19</v>
      </c>
      <c r="K66" s="139">
        <f t="shared" si="6"/>
        <v>124206.59</v>
      </c>
      <c r="L66" s="44"/>
      <c r="M66" s="189">
        <v>47.64</v>
      </c>
      <c r="N66" s="44"/>
      <c r="O66" s="139">
        <f t="shared" si="1"/>
        <v>99091.199999999997</v>
      </c>
      <c r="P66" s="139">
        <f t="shared" si="2"/>
        <v>28941.300000000003</v>
      </c>
      <c r="Q66" s="139">
        <f t="shared" si="3"/>
        <v>128032.5</v>
      </c>
      <c r="R66" s="202"/>
      <c r="S66" s="139">
        <f t="shared" si="4"/>
        <v>3825.9100000000035</v>
      </c>
    </row>
    <row r="67" spans="1:19">
      <c r="A67" s="158">
        <f t="shared" si="5"/>
        <v>53</v>
      </c>
      <c r="C67" s="239">
        <v>8061</v>
      </c>
      <c r="D67" s="2">
        <v>1053</v>
      </c>
      <c r="F67" s="107">
        <v>2080</v>
      </c>
      <c r="G67" s="107">
        <v>10</v>
      </c>
      <c r="H67" s="107"/>
      <c r="I67" s="139">
        <v>65752.800000000003</v>
      </c>
      <c r="J67" s="139">
        <v>481.68</v>
      </c>
      <c r="K67" s="139">
        <f t="shared" si="6"/>
        <v>66234.48</v>
      </c>
      <c r="L67" s="44"/>
      <c r="M67" s="189">
        <v>34.75</v>
      </c>
      <c r="N67" s="44"/>
      <c r="O67" s="139">
        <f t="shared" si="1"/>
        <v>72280</v>
      </c>
      <c r="P67" s="139">
        <f t="shared" si="2"/>
        <v>521.25</v>
      </c>
      <c r="Q67" s="139">
        <f t="shared" si="3"/>
        <v>72801.25</v>
      </c>
      <c r="R67" s="202"/>
      <c r="S67" s="139">
        <f t="shared" si="4"/>
        <v>6566.7700000000041</v>
      </c>
    </row>
    <row r="68" spans="1:19">
      <c r="A68" s="158">
        <f t="shared" si="5"/>
        <v>54</v>
      </c>
      <c r="B68" s="2" t="s">
        <v>348</v>
      </c>
      <c r="C68" s="239">
        <v>8677</v>
      </c>
      <c r="D68" s="2">
        <v>1054</v>
      </c>
      <c r="F68" s="107">
        <v>80</v>
      </c>
      <c r="G68" s="107">
        <v>0</v>
      </c>
      <c r="H68" s="107"/>
      <c r="I68" s="139">
        <v>1956</v>
      </c>
      <c r="J68" s="139">
        <v>0</v>
      </c>
      <c r="K68" s="139">
        <f t="shared" si="6"/>
        <v>1956</v>
      </c>
      <c r="L68" s="44"/>
      <c r="M68" s="189"/>
      <c r="N68" s="44"/>
      <c r="O68" s="139">
        <f t="shared" si="1"/>
        <v>0</v>
      </c>
      <c r="P68" s="139">
        <f t="shared" si="2"/>
        <v>0</v>
      </c>
      <c r="Q68" s="139">
        <f t="shared" si="3"/>
        <v>0</v>
      </c>
      <c r="R68" s="202"/>
      <c r="S68" s="139">
        <f t="shared" si="4"/>
        <v>-1956</v>
      </c>
    </row>
    <row r="69" spans="1:19">
      <c r="A69" s="158">
        <f t="shared" si="5"/>
        <v>55</v>
      </c>
      <c r="B69" s="2" t="s">
        <v>346</v>
      </c>
      <c r="C69" s="239">
        <v>8678</v>
      </c>
      <c r="D69" s="2">
        <v>1055</v>
      </c>
      <c r="F69" s="107">
        <v>1490</v>
      </c>
      <c r="G69" s="107">
        <v>0</v>
      </c>
      <c r="H69" s="107"/>
      <c r="I69" s="139">
        <v>36592.93</v>
      </c>
      <c r="J69" s="139">
        <v>0</v>
      </c>
      <c r="K69" s="139">
        <f t="shared" si="6"/>
        <v>36592.93</v>
      </c>
      <c r="L69" s="44"/>
      <c r="M69" s="189">
        <v>25.61</v>
      </c>
      <c r="N69" s="44"/>
      <c r="O69" s="139">
        <f t="shared" si="1"/>
        <v>53268.799999999996</v>
      </c>
      <c r="P69" s="139">
        <f t="shared" si="2"/>
        <v>0</v>
      </c>
      <c r="Q69" s="139">
        <f t="shared" si="3"/>
        <v>53268.799999999996</v>
      </c>
      <c r="R69" s="202"/>
      <c r="S69" s="139">
        <f t="shared" si="4"/>
        <v>16675.869999999995</v>
      </c>
    </row>
    <row r="70" spans="1:19">
      <c r="A70" s="158">
        <f t="shared" si="5"/>
        <v>56</v>
      </c>
      <c r="B70" s="2" t="s">
        <v>347</v>
      </c>
      <c r="C70" s="239">
        <v>8723</v>
      </c>
      <c r="D70" s="2">
        <v>1056</v>
      </c>
      <c r="F70" s="107">
        <v>1960</v>
      </c>
      <c r="G70" s="107">
        <v>100.5</v>
      </c>
      <c r="H70" s="107"/>
      <c r="I70" s="139">
        <v>67340</v>
      </c>
      <c r="J70" s="139">
        <v>5234.1400000000003</v>
      </c>
      <c r="K70" s="139">
        <f t="shared" si="6"/>
        <v>72574.14</v>
      </c>
      <c r="L70" s="44"/>
      <c r="M70" s="189">
        <v>35.18</v>
      </c>
      <c r="N70" s="44"/>
      <c r="O70" s="139">
        <f t="shared" si="1"/>
        <v>73174.399999999994</v>
      </c>
      <c r="P70" s="139">
        <f t="shared" si="2"/>
        <v>5303.3849999999993</v>
      </c>
      <c r="Q70" s="139">
        <f t="shared" si="3"/>
        <v>78477.784999999989</v>
      </c>
      <c r="R70" s="202"/>
      <c r="S70" s="139">
        <f t="shared" si="4"/>
        <v>5903.6449999999895</v>
      </c>
    </row>
    <row r="71" spans="1:19">
      <c r="A71" s="158">
        <f t="shared" si="5"/>
        <v>57</v>
      </c>
      <c r="C71" s="239">
        <v>9080</v>
      </c>
      <c r="D71" s="2">
        <v>1057</v>
      </c>
      <c r="F71" s="107">
        <v>2080</v>
      </c>
      <c r="G71" s="107">
        <v>257</v>
      </c>
      <c r="H71" s="107"/>
      <c r="I71" s="139">
        <v>97203.62</v>
      </c>
      <c r="J71" s="139">
        <v>18043.86</v>
      </c>
      <c r="K71" s="139">
        <f t="shared" si="6"/>
        <v>115247.48</v>
      </c>
      <c r="L71" s="44"/>
      <c r="M71" s="189">
        <v>48.15</v>
      </c>
      <c r="N71" s="44"/>
      <c r="O71" s="139">
        <f t="shared" si="1"/>
        <v>100152</v>
      </c>
      <c r="P71" s="139">
        <f t="shared" si="2"/>
        <v>18561.824999999997</v>
      </c>
      <c r="Q71" s="139">
        <f t="shared" si="3"/>
        <v>118713.825</v>
      </c>
      <c r="R71" s="202"/>
      <c r="S71" s="139">
        <f t="shared" si="4"/>
        <v>3466.3450000000012</v>
      </c>
    </row>
    <row r="72" spans="1:19">
      <c r="A72" s="158">
        <f t="shared" si="5"/>
        <v>58</v>
      </c>
      <c r="C72" s="239">
        <v>9401</v>
      </c>
      <c r="D72" s="2">
        <v>1058</v>
      </c>
      <c r="F72" s="107">
        <v>2080</v>
      </c>
      <c r="G72" s="107">
        <v>318.5</v>
      </c>
      <c r="H72" s="107"/>
      <c r="I72" s="139">
        <v>67871.199999999997</v>
      </c>
      <c r="J72" s="139">
        <v>15795.85</v>
      </c>
      <c r="K72" s="139">
        <f t="shared" si="6"/>
        <v>83667.05</v>
      </c>
      <c r="L72" s="44"/>
      <c r="M72" s="189">
        <v>33.700000000000003</v>
      </c>
      <c r="N72" s="44"/>
      <c r="O72" s="139">
        <f t="shared" si="1"/>
        <v>70096</v>
      </c>
      <c r="P72" s="139">
        <f t="shared" si="2"/>
        <v>16100.175000000001</v>
      </c>
      <c r="Q72" s="139">
        <f t="shared" si="3"/>
        <v>86196.175000000003</v>
      </c>
      <c r="R72" s="202"/>
      <c r="S72" s="139">
        <f t="shared" si="4"/>
        <v>2529.125</v>
      </c>
    </row>
    <row r="73" spans="1:19">
      <c r="A73" s="158">
        <f t="shared" si="5"/>
        <v>59</v>
      </c>
      <c r="C73" s="239">
        <v>9417</v>
      </c>
      <c r="D73" s="2">
        <v>1059</v>
      </c>
      <c r="F73" s="107">
        <v>2056</v>
      </c>
      <c r="G73" s="107"/>
      <c r="H73" s="107"/>
      <c r="I73" s="139">
        <v>50278.55</v>
      </c>
      <c r="J73" s="139">
        <v>0</v>
      </c>
      <c r="K73" s="139">
        <f t="shared" si="6"/>
        <v>50278.55</v>
      </c>
      <c r="L73" s="44"/>
      <c r="M73" s="189">
        <v>25.25</v>
      </c>
      <c r="N73" s="44"/>
      <c r="O73" s="139">
        <f>M73*2039.23</f>
        <v>51490.557500000003</v>
      </c>
      <c r="P73" s="139">
        <f t="shared" si="2"/>
        <v>0</v>
      </c>
      <c r="Q73" s="139">
        <f t="shared" si="3"/>
        <v>51490.557500000003</v>
      </c>
      <c r="R73" s="202"/>
      <c r="S73" s="139">
        <f t="shared" si="4"/>
        <v>1212.0074999999997</v>
      </c>
    </row>
    <row r="74" spans="1:19">
      <c r="A74" s="158">
        <f t="shared" si="5"/>
        <v>60</v>
      </c>
      <c r="C74" s="239">
        <v>9508</v>
      </c>
      <c r="D74" s="2">
        <v>1060</v>
      </c>
      <c r="F74" s="107">
        <v>2080</v>
      </c>
      <c r="G74" s="107">
        <v>312</v>
      </c>
      <c r="H74" s="107"/>
      <c r="I74" s="139">
        <v>101250.82</v>
      </c>
      <c r="J74" s="139">
        <v>22886.01</v>
      </c>
      <c r="K74" s="139">
        <f t="shared" si="6"/>
        <v>124136.83</v>
      </c>
      <c r="L74" s="44"/>
      <c r="M74" s="189">
        <v>49.67</v>
      </c>
      <c r="N74" s="44"/>
      <c r="O74" s="139">
        <f t="shared" si="1"/>
        <v>103313.60000000001</v>
      </c>
      <c r="P74" s="139">
        <f t="shared" si="2"/>
        <v>23245.559999999998</v>
      </c>
      <c r="Q74" s="139">
        <f t="shared" si="3"/>
        <v>126559.16</v>
      </c>
      <c r="R74" s="202"/>
      <c r="S74" s="139">
        <f t="shared" si="4"/>
        <v>2422.3300000000017</v>
      </c>
    </row>
    <row r="75" spans="1:19">
      <c r="A75" s="158">
        <f t="shared" si="5"/>
        <v>61</v>
      </c>
      <c r="C75" s="241">
        <v>9509</v>
      </c>
      <c r="D75" s="2">
        <v>1061</v>
      </c>
      <c r="E75" s="225"/>
      <c r="F75" s="225">
        <v>1008</v>
      </c>
      <c r="G75" s="225">
        <v>0</v>
      </c>
      <c r="H75" s="225"/>
      <c r="I75" s="225">
        <v>20160</v>
      </c>
      <c r="J75" s="225"/>
      <c r="K75" s="225">
        <f t="shared" si="6"/>
        <v>20160</v>
      </c>
      <c r="L75" s="225" t="s">
        <v>143</v>
      </c>
      <c r="M75" s="225">
        <v>25</v>
      </c>
      <c r="N75" s="225"/>
      <c r="O75" s="225">
        <f>M75*999</f>
        <v>24975</v>
      </c>
      <c r="P75" s="225">
        <f t="shared" si="2"/>
        <v>0</v>
      </c>
      <c r="Q75" s="225">
        <f t="shared" si="3"/>
        <v>24975</v>
      </c>
      <c r="R75" s="225"/>
      <c r="S75" s="229">
        <f t="shared" si="4"/>
        <v>4815</v>
      </c>
    </row>
    <row r="76" spans="1:19">
      <c r="A76" s="158">
        <f t="shared" si="5"/>
        <v>62</v>
      </c>
      <c r="C76" s="239">
        <v>9535</v>
      </c>
      <c r="D76" s="2">
        <v>1062</v>
      </c>
      <c r="F76" s="107">
        <v>2080</v>
      </c>
      <c r="G76" s="107">
        <v>0</v>
      </c>
      <c r="H76" s="107"/>
      <c r="I76" s="139">
        <v>60671.22</v>
      </c>
      <c r="J76" s="139"/>
      <c r="K76" s="139">
        <f t="shared" si="6"/>
        <v>60671.22</v>
      </c>
      <c r="L76" s="44"/>
      <c r="M76" s="189">
        <v>29.47</v>
      </c>
      <c r="N76" s="44"/>
      <c r="O76" s="139">
        <f t="shared" si="1"/>
        <v>61297.599999999999</v>
      </c>
      <c r="P76" s="139">
        <f t="shared" si="2"/>
        <v>0</v>
      </c>
      <c r="Q76" s="139">
        <f t="shared" si="3"/>
        <v>61297.599999999999</v>
      </c>
      <c r="R76" s="202"/>
      <c r="S76" s="139">
        <f t="shared" si="4"/>
        <v>626.37999999999738</v>
      </c>
    </row>
    <row r="77" spans="1:19">
      <c r="A77" s="158">
        <f t="shared" si="5"/>
        <v>63</v>
      </c>
      <c r="C77" s="239">
        <v>9873</v>
      </c>
      <c r="D77" s="2">
        <v>1063</v>
      </c>
      <c r="F77" s="107">
        <v>2080</v>
      </c>
      <c r="G77" s="107">
        <v>15</v>
      </c>
      <c r="H77" s="107"/>
      <c r="I77" s="139">
        <v>85000.981</v>
      </c>
      <c r="J77" s="139">
        <v>885.04</v>
      </c>
      <c r="K77" s="139">
        <f t="shared" si="6"/>
        <v>85886.020999999993</v>
      </c>
      <c r="L77" s="44"/>
      <c r="M77" s="189">
        <v>38.340000000000003</v>
      </c>
      <c r="N77" s="44"/>
      <c r="O77" s="139">
        <f t="shared" si="1"/>
        <v>79747.200000000012</v>
      </c>
      <c r="P77" s="139">
        <f t="shared" si="2"/>
        <v>862.65000000000009</v>
      </c>
      <c r="Q77" s="139">
        <f t="shared" si="3"/>
        <v>80609.850000000006</v>
      </c>
      <c r="R77" s="202"/>
      <c r="S77" s="139">
        <f t="shared" si="4"/>
        <v>-5276.1709999999875</v>
      </c>
    </row>
    <row r="78" spans="1:19">
      <c r="A78" s="158">
        <f t="shared" si="5"/>
        <v>64</v>
      </c>
      <c r="C78" s="239">
        <v>9992</v>
      </c>
      <c r="D78" s="2">
        <v>1064</v>
      </c>
      <c r="F78" s="107">
        <v>1966</v>
      </c>
      <c r="G78" s="107">
        <v>1</v>
      </c>
      <c r="H78" s="107"/>
      <c r="I78" s="139">
        <v>44123.199999999997</v>
      </c>
      <c r="J78" s="139">
        <v>34.32</v>
      </c>
      <c r="K78" s="139">
        <f t="shared" si="6"/>
        <v>44157.52</v>
      </c>
      <c r="L78" s="44"/>
      <c r="M78" s="189">
        <v>23.57</v>
      </c>
      <c r="N78" s="44"/>
      <c r="O78" s="139">
        <f>M78*2018.8</f>
        <v>47583.116000000002</v>
      </c>
      <c r="P78" s="139">
        <f t="shared" si="2"/>
        <v>35.355000000000004</v>
      </c>
      <c r="Q78" s="139">
        <f t="shared" si="3"/>
        <v>47618.471000000005</v>
      </c>
      <c r="R78" s="202"/>
      <c r="S78" s="139">
        <f t="shared" si="4"/>
        <v>3460.9510000000082</v>
      </c>
    </row>
    <row r="79" spans="1:19" s="219" customFormat="1" ht="22.5" customHeight="1">
      <c r="A79" s="30">
        <f t="shared" si="5"/>
        <v>65</v>
      </c>
      <c r="B79" s="234"/>
      <c r="D79" s="220" t="s">
        <v>14</v>
      </c>
      <c r="E79" s="220"/>
      <c r="F79" s="191">
        <f>SUM(F15:F78)</f>
        <v>111839.65</v>
      </c>
      <c r="G79" s="191">
        <f>SUM(G15:G78)</f>
        <v>9817.9500000000007</v>
      </c>
      <c r="H79" s="191"/>
      <c r="I79" s="192">
        <f>SUM(I15:I78)</f>
        <v>4418542.8310000002</v>
      </c>
      <c r="J79" s="192">
        <f>SUM(J15:J78)</f>
        <v>565780.2699999999</v>
      </c>
      <c r="K79" s="192">
        <f>SUM(K15:K78)</f>
        <v>4984323.1009999998</v>
      </c>
      <c r="L79" s="221"/>
      <c r="M79" s="193"/>
      <c r="N79" s="221"/>
      <c r="O79" s="192">
        <f>SUM(O15:O78)</f>
        <v>4742359.0307</v>
      </c>
      <c r="P79" s="192">
        <f>SUM(P15:P78)</f>
        <v>582959.21175000013</v>
      </c>
      <c r="Q79" s="192">
        <f>SUM(Q15:Q78)</f>
        <v>5325318.2424499989</v>
      </c>
      <c r="R79" s="192">
        <f t="shared" ref="R79:S79" si="7">SUM(R15:R78)</f>
        <v>0</v>
      </c>
      <c r="S79" s="192">
        <f t="shared" si="7"/>
        <v>340995.14145</v>
      </c>
    </row>
    <row r="80" spans="1:19" s="1" customFormat="1">
      <c r="A80" s="158">
        <f t="shared" si="5"/>
        <v>66</v>
      </c>
      <c r="B80" s="2"/>
      <c r="C80" s="115"/>
      <c r="D80" s="115"/>
      <c r="F80" s="230"/>
      <c r="G80" s="230"/>
      <c r="H80" s="107"/>
      <c r="I80" s="231"/>
      <c r="J80" s="231"/>
      <c r="K80" s="231"/>
      <c r="L80" s="44"/>
      <c r="M80" s="104"/>
      <c r="N80" s="44"/>
      <c r="O80" s="232"/>
      <c r="P80" s="232"/>
      <c r="Q80" s="233"/>
      <c r="R80" s="202"/>
      <c r="S80" s="130"/>
    </row>
    <row r="81" spans="1:26">
      <c r="A81" s="158">
        <f t="shared" si="5"/>
        <v>67</v>
      </c>
      <c r="F81" s="223"/>
    </row>
    <row r="82" spans="1:26" s="267" customFormat="1" ht="43.5" customHeight="1">
      <c r="A82" s="271">
        <f t="shared" ref="A82:A96" si="8">A81+1</f>
        <v>68</v>
      </c>
      <c r="B82" s="272"/>
      <c r="C82" s="273"/>
      <c r="D82" s="274"/>
      <c r="E82" s="275" t="s">
        <v>362</v>
      </c>
      <c r="F82" s="273"/>
      <c r="G82" s="273"/>
      <c r="H82" s="272"/>
      <c r="I82" s="272"/>
      <c r="J82" s="272"/>
      <c r="K82" s="276" t="s">
        <v>145</v>
      </c>
      <c r="L82" s="277"/>
      <c r="M82" s="276" t="s">
        <v>144</v>
      </c>
      <c r="N82" s="276"/>
      <c r="O82" s="276" t="s">
        <v>15</v>
      </c>
      <c r="P82" s="277"/>
      <c r="Q82" s="273"/>
      <c r="R82" s="2"/>
      <c r="T82" s="1"/>
      <c r="U82" s="269"/>
      <c r="V82" s="2"/>
      <c r="W82" s="2"/>
      <c r="X82" s="2"/>
      <c r="Y82" s="2"/>
      <c r="Z82" s="146"/>
    </row>
    <row r="83" spans="1:26">
      <c r="A83" s="271">
        <f t="shared" si="8"/>
        <v>69</v>
      </c>
      <c r="B83" s="272"/>
      <c r="C83" s="272"/>
      <c r="D83" s="272"/>
      <c r="E83" s="278" t="s">
        <v>132</v>
      </c>
      <c r="F83" s="273" t="s">
        <v>132</v>
      </c>
      <c r="G83" s="272" t="s">
        <v>133</v>
      </c>
      <c r="H83" s="273"/>
      <c r="I83" s="272"/>
      <c r="J83" s="272"/>
      <c r="K83" s="279">
        <f>SUM(K121:K131)</f>
        <v>557271.1</v>
      </c>
      <c r="L83" s="272"/>
      <c r="M83" s="280">
        <f>K83/K94</f>
        <v>0.10904597860105601</v>
      </c>
      <c r="N83" s="272"/>
      <c r="O83" s="281">
        <f>M83*S$79</f>
        <v>37184.148897620769</v>
      </c>
      <c r="P83" s="272"/>
      <c r="Q83" s="272"/>
      <c r="T83" s="2"/>
      <c r="U83" s="172"/>
      <c r="Z83" s="146"/>
    </row>
    <row r="84" spans="1:26" ht="15.75" customHeight="1">
      <c r="A84" s="271">
        <f t="shared" si="8"/>
        <v>70</v>
      </c>
      <c r="B84" s="272"/>
      <c r="C84" s="272"/>
      <c r="D84" s="272"/>
      <c r="E84" s="278" t="s">
        <v>134</v>
      </c>
      <c r="F84" s="273" t="s">
        <v>134</v>
      </c>
      <c r="G84" s="272" t="s">
        <v>135</v>
      </c>
      <c r="H84" s="273"/>
      <c r="I84" s="272"/>
      <c r="J84" s="272"/>
      <c r="K84" s="279">
        <f>SUM(K132:K141)</f>
        <v>1139274.75</v>
      </c>
      <c r="L84" s="272"/>
      <c r="M84" s="280">
        <f>K84/K94</f>
        <v>0.22293158573847352</v>
      </c>
      <c r="N84" s="272"/>
      <c r="O84" s="281">
        <f t="shared" ref="O84:O87" si="9">M84*S$79</f>
        <v>76018.587612563584</v>
      </c>
      <c r="P84" s="272"/>
      <c r="Q84" s="272"/>
      <c r="T84" s="2"/>
      <c r="U84" s="172"/>
      <c r="Z84" s="146"/>
    </row>
    <row r="85" spans="1:26">
      <c r="A85" s="271">
        <f t="shared" si="8"/>
        <v>71</v>
      </c>
      <c r="B85" s="272"/>
      <c r="C85" s="272"/>
      <c r="D85" s="272"/>
      <c r="E85" s="278" t="s">
        <v>363</v>
      </c>
      <c r="F85" s="273" t="s">
        <v>136</v>
      </c>
      <c r="G85" s="272" t="s">
        <v>111</v>
      </c>
      <c r="H85" s="273"/>
      <c r="I85" s="272"/>
      <c r="J85" s="272"/>
      <c r="K85" s="279">
        <f>SUM(K142:K145)</f>
        <v>618083.66999999993</v>
      </c>
      <c r="L85" s="272"/>
      <c r="M85" s="280">
        <f>K85/K94</f>
        <v>0.12094569169742009</v>
      </c>
      <c r="N85" s="272"/>
      <c r="O85" s="281">
        <f t="shared" si="9"/>
        <v>41241.893248129854</v>
      </c>
      <c r="P85" s="272"/>
      <c r="Q85" s="272"/>
      <c r="T85" s="2"/>
      <c r="U85" s="172"/>
      <c r="Z85" s="146"/>
    </row>
    <row r="86" spans="1:26">
      <c r="A86" s="271">
        <f t="shared" si="8"/>
        <v>72</v>
      </c>
      <c r="B86" s="272"/>
      <c r="C86" s="272"/>
      <c r="D86" s="272"/>
      <c r="E86" s="278" t="s">
        <v>364</v>
      </c>
      <c r="F86" s="273" t="s">
        <v>365</v>
      </c>
      <c r="G86" s="272" t="s">
        <v>83</v>
      </c>
      <c r="H86" s="273"/>
      <c r="I86" s="272"/>
      <c r="J86" s="272"/>
      <c r="K86" s="279">
        <f>SUM(K146:K149)</f>
        <v>172538.64</v>
      </c>
      <c r="L86" s="272"/>
      <c r="M86" s="280">
        <f>K86/K94</f>
        <v>3.3762104019561236E-2</v>
      </c>
      <c r="N86" s="272"/>
      <c r="O86" s="281">
        <f t="shared" si="9"/>
        <v>11512.713435799897</v>
      </c>
      <c r="P86" s="272"/>
      <c r="Q86" s="272"/>
      <c r="T86" s="2"/>
      <c r="U86" s="172"/>
      <c r="Z86" s="146"/>
    </row>
    <row r="87" spans="1:26">
      <c r="A87" s="271">
        <f t="shared" si="8"/>
        <v>73</v>
      </c>
      <c r="B87" s="272"/>
      <c r="C87" s="272"/>
      <c r="D87" s="272"/>
      <c r="E87" s="278" t="s">
        <v>137</v>
      </c>
      <c r="F87" s="273" t="s">
        <v>137</v>
      </c>
      <c r="G87" s="272" t="s">
        <v>131</v>
      </c>
      <c r="H87" s="273"/>
      <c r="I87" s="272"/>
      <c r="J87" s="272"/>
      <c r="K87" s="279">
        <f>SUM(K150:K155)</f>
        <v>522037.61</v>
      </c>
      <c r="L87" s="272"/>
      <c r="M87" s="280">
        <f>K87/K94</f>
        <v>0.10215154177025586</v>
      </c>
      <c r="N87" s="272"/>
      <c r="O87" s="281">
        <f t="shared" si="9"/>
        <v>34833.179435283979</v>
      </c>
      <c r="P87" s="272"/>
      <c r="Q87" s="272"/>
      <c r="T87" s="2"/>
      <c r="U87" s="172"/>
      <c r="Z87" s="146"/>
    </row>
    <row r="88" spans="1:26">
      <c r="A88" s="271">
        <f t="shared" si="8"/>
        <v>74</v>
      </c>
      <c r="B88" s="272"/>
      <c r="C88" s="272"/>
      <c r="D88" s="272"/>
      <c r="E88" s="282"/>
      <c r="F88" s="282"/>
      <c r="G88" s="283" t="s">
        <v>366</v>
      </c>
      <c r="H88" s="282"/>
      <c r="I88" s="284"/>
      <c r="J88" s="284"/>
      <c r="K88" s="285">
        <f>SUM(K83:K87)</f>
        <v>3009205.77</v>
      </c>
      <c r="L88" s="272"/>
      <c r="M88" s="286">
        <f>SUM(M83:M87)</f>
        <v>0.58883690182676673</v>
      </c>
      <c r="N88" s="272"/>
      <c r="O88" s="287">
        <f>SUM(O83:O87)</f>
        <v>200790.5226293981</v>
      </c>
      <c r="P88" s="272" t="s">
        <v>416</v>
      </c>
      <c r="Q88" s="272" t="s">
        <v>418</v>
      </c>
      <c r="T88" s="2"/>
      <c r="U88" s="172"/>
      <c r="Z88" s="146"/>
    </row>
    <row r="89" spans="1:26">
      <c r="A89" s="271">
        <f t="shared" si="8"/>
        <v>75</v>
      </c>
      <c r="B89" s="272"/>
      <c r="C89" s="272"/>
      <c r="D89" s="272"/>
      <c r="E89" s="273"/>
      <c r="F89" s="273"/>
      <c r="G89" s="272"/>
      <c r="H89" s="273"/>
      <c r="I89" s="272"/>
      <c r="J89" s="288"/>
      <c r="K89" s="288"/>
      <c r="L89" s="272"/>
      <c r="M89" s="280"/>
      <c r="N89" s="272"/>
      <c r="O89" s="272"/>
      <c r="P89" s="272"/>
      <c r="Q89" s="272"/>
      <c r="T89" s="2"/>
      <c r="U89" s="172"/>
      <c r="Z89" s="146"/>
    </row>
    <row r="90" spans="1:26">
      <c r="A90" s="271">
        <f t="shared" si="8"/>
        <v>76</v>
      </c>
      <c r="B90" s="272"/>
      <c r="C90" s="272"/>
      <c r="D90" s="272"/>
      <c r="E90" s="273"/>
      <c r="F90" s="273"/>
      <c r="G90" s="272" t="s">
        <v>367</v>
      </c>
      <c r="H90" s="273"/>
      <c r="I90" s="272"/>
      <c r="J90" s="281"/>
      <c r="K90" s="279">
        <f>SUM(K112:K120)</f>
        <v>2101217.44</v>
      </c>
      <c r="L90" s="272"/>
      <c r="M90" s="280">
        <f>K90/K94</f>
        <v>0.41116309817323327</v>
      </c>
      <c r="N90" s="272"/>
      <c r="O90" s="281">
        <f t="shared" ref="O90" si="10">M90*S$79</f>
        <v>140204.6188206019</v>
      </c>
      <c r="P90" s="272"/>
      <c r="Q90" s="272" t="s">
        <v>417</v>
      </c>
      <c r="T90" s="2"/>
      <c r="U90" s="172"/>
      <c r="Z90" s="146"/>
    </row>
    <row r="91" spans="1:26">
      <c r="A91" s="271">
        <f t="shared" si="8"/>
        <v>77</v>
      </c>
      <c r="B91" s="272"/>
      <c r="C91" s="272"/>
      <c r="D91" s="272"/>
      <c r="E91" s="273"/>
      <c r="F91" s="273"/>
      <c r="G91" s="272"/>
      <c r="H91" s="273"/>
      <c r="I91" s="272"/>
      <c r="J91" s="272"/>
      <c r="K91" s="279"/>
      <c r="L91" s="272"/>
      <c r="M91" s="280"/>
      <c r="N91" s="272"/>
      <c r="O91" s="281"/>
      <c r="P91" s="272"/>
      <c r="Q91" s="272"/>
      <c r="T91" s="2"/>
      <c r="U91" s="172"/>
      <c r="Z91" s="146"/>
    </row>
    <row r="92" spans="1:26">
      <c r="A92" s="271">
        <f t="shared" si="8"/>
        <v>78</v>
      </c>
      <c r="B92" s="272"/>
      <c r="C92" s="272"/>
      <c r="D92" s="272"/>
      <c r="E92" s="282"/>
      <c r="F92" s="282"/>
      <c r="G92" s="284"/>
      <c r="H92" s="282"/>
      <c r="I92" s="284" t="s">
        <v>22</v>
      </c>
      <c r="J92" s="284"/>
      <c r="K92" s="285">
        <f>SUM(K90:K91)</f>
        <v>2101217.44</v>
      </c>
      <c r="L92" s="272"/>
      <c r="M92" s="286">
        <f>SUM(M90:M91)</f>
        <v>0.41116309817323327</v>
      </c>
      <c r="N92" s="272"/>
      <c r="O92" s="289">
        <f>SUM(O90:O91)</f>
        <v>140204.6188206019</v>
      </c>
      <c r="P92" s="272"/>
      <c r="Q92" s="272"/>
      <c r="T92" s="2"/>
      <c r="Z92" s="146"/>
    </row>
    <row r="93" spans="1:26" ht="15" customHeight="1">
      <c r="A93" s="271">
        <f t="shared" si="8"/>
        <v>79</v>
      </c>
      <c r="B93" s="272"/>
      <c r="C93" s="272"/>
      <c r="D93" s="272"/>
      <c r="E93" s="273"/>
      <c r="F93" s="273"/>
      <c r="G93" s="272"/>
      <c r="H93" s="273"/>
      <c r="I93" s="272"/>
      <c r="J93" s="288"/>
      <c r="K93" s="288"/>
      <c r="L93" s="272"/>
      <c r="M93" s="280"/>
      <c r="N93" s="272"/>
      <c r="O93" s="272"/>
      <c r="P93" s="272"/>
      <c r="Q93" s="272"/>
      <c r="T93" s="2"/>
      <c r="Z93" s="146"/>
    </row>
    <row r="94" spans="1:26" ht="13.5" thickBot="1">
      <c r="A94" s="271">
        <f t="shared" si="8"/>
        <v>80</v>
      </c>
      <c r="B94" s="272"/>
      <c r="C94" s="272"/>
      <c r="D94" s="272"/>
      <c r="E94" s="290"/>
      <c r="F94" s="290"/>
      <c r="G94" s="291" t="s">
        <v>45</v>
      </c>
      <c r="H94" s="290"/>
      <c r="I94" s="291"/>
      <c r="J94" s="291"/>
      <c r="K94" s="292">
        <f>K88+K92</f>
        <v>5110423.21</v>
      </c>
      <c r="L94" s="272"/>
      <c r="M94" s="293">
        <f>M88+M92</f>
        <v>1</v>
      </c>
      <c r="N94" s="272"/>
      <c r="O94" s="294">
        <f>O88+O92</f>
        <v>340995.14145</v>
      </c>
      <c r="P94" s="272"/>
      <c r="Q94" s="272"/>
      <c r="T94" s="2"/>
      <c r="Z94" s="146"/>
    </row>
    <row r="95" spans="1:26" ht="13.5" thickTop="1">
      <c r="A95" s="158">
        <f t="shared" si="8"/>
        <v>81</v>
      </c>
    </row>
    <row r="96" spans="1:26" s="1" customFormat="1">
      <c r="A96" s="158">
        <f t="shared" si="8"/>
        <v>82</v>
      </c>
      <c r="B96" s="2"/>
      <c r="D96" s="2" t="s">
        <v>415</v>
      </c>
      <c r="F96" s="2"/>
      <c r="G96" s="107"/>
      <c r="H96" s="107"/>
      <c r="I96" s="190"/>
      <c r="J96" s="190"/>
      <c r="K96" s="190"/>
      <c r="L96" s="44"/>
      <c r="M96" s="222"/>
      <c r="N96" s="44"/>
      <c r="O96" s="222"/>
      <c r="P96" s="222"/>
      <c r="Q96" s="139"/>
      <c r="R96" s="202"/>
      <c r="S96" s="2"/>
    </row>
    <row r="97" spans="1:11">
      <c r="A97" s="158">
        <f>A96+1</f>
        <v>83</v>
      </c>
      <c r="C97" s="2"/>
    </row>
    <row r="98" spans="1:11">
      <c r="A98" s="158">
        <f>A97+1</f>
        <v>84</v>
      </c>
      <c r="C98" s="2"/>
      <c r="D98" s="1" t="s">
        <v>351</v>
      </c>
      <c r="F98" s="223"/>
    </row>
    <row r="99" spans="1:11">
      <c r="A99" s="158">
        <f>A98+1</f>
        <v>85</v>
      </c>
      <c r="E99" s="1" t="s">
        <v>142</v>
      </c>
      <c r="F99" s="158" t="s">
        <v>352</v>
      </c>
      <c r="G99" s="1"/>
    </row>
    <row r="100" spans="1:11">
      <c r="A100" s="158">
        <f>A99+1</f>
        <v>86</v>
      </c>
      <c r="E100" s="1" t="s">
        <v>143</v>
      </c>
      <c r="F100" s="158" t="s">
        <v>353</v>
      </c>
      <c r="G100" s="1"/>
      <c r="H100" s="223"/>
    </row>
    <row r="101" spans="1:11">
      <c r="A101" s="158">
        <f>A100+1</f>
        <v>87</v>
      </c>
      <c r="E101" s="1" t="s">
        <v>345</v>
      </c>
      <c r="F101" s="158" t="s">
        <v>354</v>
      </c>
      <c r="G101" s="1"/>
    </row>
    <row r="102" spans="1:11">
      <c r="A102" s="158">
        <f>A101+1</f>
        <v>88</v>
      </c>
      <c r="E102" s="1" t="s">
        <v>346</v>
      </c>
      <c r="F102" s="158" t="s">
        <v>355</v>
      </c>
      <c r="G102" s="1"/>
    </row>
    <row r="103" spans="1:11">
      <c r="A103" s="158">
        <f>A102+1</f>
        <v>89</v>
      </c>
      <c r="E103" s="1" t="s">
        <v>347</v>
      </c>
      <c r="F103" s="2" t="s">
        <v>356</v>
      </c>
    </row>
    <row r="104" spans="1:11">
      <c r="A104" s="158">
        <f>A103+1</f>
        <v>90</v>
      </c>
      <c r="E104" s="1" t="s">
        <v>348</v>
      </c>
      <c r="F104" s="2" t="s">
        <v>357</v>
      </c>
    </row>
    <row r="105" spans="1:11">
      <c r="A105" s="158">
        <f>A104+1</f>
        <v>91</v>
      </c>
      <c r="E105" s="1" t="s">
        <v>349</v>
      </c>
      <c r="F105" s="2" t="s">
        <v>358</v>
      </c>
    </row>
    <row r="106" spans="1:11">
      <c r="A106" s="158">
        <f>A105+1</f>
        <v>92</v>
      </c>
      <c r="E106" s="1" t="s">
        <v>350</v>
      </c>
      <c r="F106" s="2" t="s">
        <v>360</v>
      </c>
    </row>
    <row r="111" spans="1:11">
      <c r="G111" s="15" t="s">
        <v>368</v>
      </c>
      <c r="H111" s="11" t="s">
        <v>369</v>
      </c>
      <c r="K111" s="11" t="s">
        <v>370</v>
      </c>
    </row>
    <row r="112" spans="1:11">
      <c r="G112" s="15">
        <v>107.2</v>
      </c>
      <c r="H112" s="11" t="s">
        <v>371</v>
      </c>
      <c r="K112" s="270">
        <v>1283482.6100000001</v>
      </c>
    </row>
    <row r="113" spans="7:11">
      <c r="G113" s="15">
        <v>108.8</v>
      </c>
      <c r="H113" s="11" t="s">
        <v>372</v>
      </c>
      <c r="K113" s="270">
        <v>166378.64000000001</v>
      </c>
    </row>
    <row r="114" spans="7:11">
      <c r="G114" s="15">
        <v>143.01</v>
      </c>
      <c r="H114" s="11" t="s">
        <v>373</v>
      </c>
      <c r="K114" s="270">
        <v>28790.3</v>
      </c>
    </row>
    <row r="115" spans="7:11">
      <c r="G115" s="15">
        <v>163</v>
      </c>
      <c r="H115" s="11" t="s">
        <v>374</v>
      </c>
      <c r="K115" s="270">
        <v>166134.37</v>
      </c>
    </row>
    <row r="116" spans="7:11">
      <c r="G116" s="15">
        <v>184.1</v>
      </c>
      <c r="H116" s="11" t="s">
        <v>375</v>
      </c>
      <c r="K116" s="270">
        <v>79490.31</v>
      </c>
    </row>
    <row r="117" spans="7:11">
      <c r="G117" s="15">
        <v>242.21</v>
      </c>
      <c r="H117" s="11" t="s">
        <v>376</v>
      </c>
      <c r="K117" s="270">
        <v>20276.25</v>
      </c>
    </row>
    <row r="118" spans="7:11">
      <c r="G118" s="15">
        <v>242.3</v>
      </c>
      <c r="H118" s="11" t="s">
        <v>377</v>
      </c>
      <c r="K118" s="270">
        <v>190888.21</v>
      </c>
    </row>
    <row r="119" spans="7:11">
      <c r="G119" s="15">
        <v>242.6</v>
      </c>
      <c r="H119" s="11" t="s">
        <v>378</v>
      </c>
      <c r="K119" s="270">
        <v>165003.14000000001</v>
      </c>
    </row>
    <row r="120" spans="7:11">
      <c r="G120" s="15">
        <v>418.15</v>
      </c>
      <c r="H120" s="11" t="s">
        <v>379</v>
      </c>
      <c r="K120" s="11">
        <v>773.61</v>
      </c>
    </row>
    <row r="121" spans="7:11">
      <c r="G121" s="15">
        <v>580</v>
      </c>
      <c r="H121" s="11" t="s">
        <v>380</v>
      </c>
      <c r="K121" s="270">
        <v>54108.7</v>
      </c>
    </row>
    <row r="122" spans="7:11">
      <c r="G122" s="15">
        <v>583</v>
      </c>
      <c r="H122" s="11" t="s">
        <v>381</v>
      </c>
      <c r="K122" s="270">
        <v>55230.71</v>
      </c>
    </row>
    <row r="123" spans="7:11">
      <c r="G123" s="15">
        <v>583.1</v>
      </c>
      <c r="H123" s="11" t="s">
        <v>382</v>
      </c>
      <c r="K123" s="11">
        <v>477.96</v>
      </c>
    </row>
    <row r="124" spans="7:11">
      <c r="G124" s="15">
        <v>583.29999999999995</v>
      </c>
      <c r="H124" s="11" t="s">
        <v>383</v>
      </c>
      <c r="K124" s="270">
        <v>2542.84</v>
      </c>
    </row>
    <row r="125" spans="7:11">
      <c r="G125" s="15">
        <v>586</v>
      </c>
      <c r="H125" s="11" t="s">
        <v>384</v>
      </c>
      <c r="K125" s="270">
        <v>182821.12</v>
      </c>
    </row>
    <row r="126" spans="7:11">
      <c r="G126" s="15">
        <v>586.20000000000005</v>
      </c>
      <c r="H126" s="11" t="s">
        <v>385</v>
      </c>
      <c r="K126" s="270">
        <v>9299.19</v>
      </c>
    </row>
    <row r="127" spans="7:11">
      <c r="G127" s="15">
        <v>587</v>
      </c>
      <c r="H127" s="11" t="s">
        <v>386</v>
      </c>
      <c r="K127" s="11">
        <v>457.06</v>
      </c>
    </row>
    <row r="128" spans="7:11">
      <c r="G128" s="15">
        <v>588</v>
      </c>
      <c r="H128" s="11" t="s">
        <v>387</v>
      </c>
      <c r="K128" s="270">
        <v>149885.35</v>
      </c>
    </row>
    <row r="129" spans="7:11">
      <c r="G129" s="15">
        <v>588.1</v>
      </c>
      <c r="H129" s="11" t="s">
        <v>388</v>
      </c>
      <c r="K129" s="270">
        <v>56578.720000000001</v>
      </c>
    </row>
    <row r="130" spans="7:11">
      <c r="G130" s="15">
        <v>588.15</v>
      </c>
      <c r="H130" s="11" t="s">
        <v>389</v>
      </c>
      <c r="K130" s="270">
        <v>34273.1</v>
      </c>
    </row>
    <row r="131" spans="7:11">
      <c r="G131" s="15">
        <v>588.25</v>
      </c>
      <c r="H131" s="11" t="s">
        <v>390</v>
      </c>
      <c r="K131" s="270">
        <v>11596.35</v>
      </c>
    </row>
    <row r="132" spans="7:11">
      <c r="G132" s="15">
        <v>590</v>
      </c>
      <c r="H132" s="11" t="s">
        <v>391</v>
      </c>
      <c r="K132" s="270">
        <v>131292</v>
      </c>
    </row>
    <row r="133" spans="7:11">
      <c r="G133" s="15">
        <v>593</v>
      </c>
      <c r="H133" s="11" t="s">
        <v>392</v>
      </c>
      <c r="K133" s="270">
        <v>192366.12</v>
      </c>
    </row>
    <row r="134" spans="7:11">
      <c r="G134" s="15">
        <v>593.1</v>
      </c>
      <c r="H134" s="11" t="s">
        <v>393</v>
      </c>
      <c r="K134" s="270">
        <v>637430.22</v>
      </c>
    </row>
    <row r="135" spans="7:11">
      <c r="G135" s="15">
        <v>593.14</v>
      </c>
      <c r="H135" s="11" t="s">
        <v>394</v>
      </c>
      <c r="K135" s="270">
        <v>8888.7900000000009</v>
      </c>
    </row>
    <row r="136" spans="7:11">
      <c r="G136" s="15">
        <v>593.15</v>
      </c>
      <c r="H136" s="11" t="s">
        <v>395</v>
      </c>
      <c r="K136" s="270">
        <v>53550</v>
      </c>
    </row>
    <row r="137" spans="7:11">
      <c r="G137" s="15">
        <v>593.22</v>
      </c>
      <c r="H137" s="11" t="s">
        <v>396</v>
      </c>
      <c r="K137" s="270">
        <v>15214</v>
      </c>
    </row>
    <row r="138" spans="7:11">
      <c r="G138" s="15">
        <v>593.91</v>
      </c>
      <c r="H138" s="11" t="s">
        <v>397</v>
      </c>
      <c r="K138" s="270">
        <v>19760</v>
      </c>
    </row>
    <row r="139" spans="7:11">
      <c r="G139" s="15">
        <v>593.97</v>
      </c>
      <c r="H139" s="11" t="s">
        <v>398</v>
      </c>
      <c r="K139" s="270">
        <v>68818.11</v>
      </c>
    </row>
    <row r="140" spans="7:11">
      <c r="G140" s="15">
        <v>593.99</v>
      </c>
      <c r="H140" s="11" t="s">
        <v>399</v>
      </c>
      <c r="K140" s="270">
        <v>11859.99</v>
      </c>
    </row>
    <row r="141" spans="7:11">
      <c r="G141" s="15">
        <v>598</v>
      </c>
      <c r="H141" s="11" t="s">
        <v>400</v>
      </c>
      <c r="K141" s="11">
        <v>95.52</v>
      </c>
    </row>
    <row r="142" spans="7:11">
      <c r="G142" s="15">
        <v>901</v>
      </c>
      <c r="H142" s="11" t="s">
        <v>401</v>
      </c>
      <c r="K142" s="270">
        <v>70484.56</v>
      </c>
    </row>
    <row r="143" spans="7:11">
      <c r="G143" s="15">
        <v>902</v>
      </c>
      <c r="H143" s="11" t="s">
        <v>402</v>
      </c>
      <c r="K143" s="270">
        <v>26313.21</v>
      </c>
    </row>
    <row r="144" spans="7:11">
      <c r="G144" s="15">
        <v>902.11</v>
      </c>
      <c r="H144" s="11" t="s">
        <v>403</v>
      </c>
      <c r="K144" s="270">
        <v>47105.58</v>
      </c>
    </row>
    <row r="145" spans="7:11">
      <c r="G145" s="15">
        <v>903</v>
      </c>
      <c r="H145" s="11" t="s">
        <v>404</v>
      </c>
      <c r="K145" s="270">
        <v>474180.32</v>
      </c>
    </row>
    <row r="146" spans="7:11">
      <c r="G146" s="15">
        <v>907</v>
      </c>
      <c r="H146" s="11" t="s">
        <v>405</v>
      </c>
      <c r="K146" s="270">
        <v>26988.58</v>
      </c>
    </row>
    <row r="147" spans="7:11">
      <c r="G147" s="15">
        <v>908</v>
      </c>
      <c r="H147" s="11" t="s">
        <v>406</v>
      </c>
      <c r="K147" s="270">
        <v>137400.64000000001</v>
      </c>
    </row>
    <row r="148" spans="7:11">
      <c r="G148" s="15">
        <v>908.1</v>
      </c>
      <c r="H148" s="11" t="s">
        <v>407</v>
      </c>
      <c r="K148" s="270">
        <v>7841.02</v>
      </c>
    </row>
    <row r="149" spans="7:11">
      <c r="G149" s="15">
        <v>909.1</v>
      </c>
      <c r="H149" s="11" t="s">
        <v>408</v>
      </c>
      <c r="K149" s="11">
        <v>308.39999999999998</v>
      </c>
    </row>
    <row r="150" spans="7:11">
      <c r="G150" s="15">
        <v>912</v>
      </c>
      <c r="H150" s="11" t="s">
        <v>409</v>
      </c>
      <c r="K150" s="11">
        <v>878.5</v>
      </c>
    </row>
    <row r="151" spans="7:11">
      <c r="G151" s="15">
        <v>920</v>
      </c>
      <c r="H151" s="11" t="s">
        <v>410</v>
      </c>
      <c r="K151" s="270">
        <v>358478.82</v>
      </c>
    </row>
    <row r="152" spans="7:11">
      <c r="G152" s="15">
        <v>925</v>
      </c>
      <c r="H152" s="11" t="s">
        <v>411</v>
      </c>
      <c r="K152" s="270">
        <v>47905.68</v>
      </c>
    </row>
    <row r="153" spans="7:11">
      <c r="G153" s="15">
        <v>926</v>
      </c>
      <c r="H153" s="11" t="s">
        <v>412</v>
      </c>
      <c r="K153" s="270">
        <v>40223.5</v>
      </c>
    </row>
    <row r="154" spans="7:11">
      <c r="G154" s="15">
        <v>930.21</v>
      </c>
      <c r="H154" s="11" t="s">
        <v>413</v>
      </c>
      <c r="K154" s="270">
        <v>7482.69</v>
      </c>
    </row>
    <row r="155" spans="7:11">
      <c r="G155" s="15">
        <v>932</v>
      </c>
      <c r="H155" s="11" t="s">
        <v>414</v>
      </c>
      <c r="K155" s="270">
        <v>67068.42</v>
      </c>
    </row>
    <row r="156" spans="7:11">
      <c r="H156" s="2" t="s">
        <v>45</v>
      </c>
      <c r="K156" s="268">
        <f>SUM(K112:K155)</f>
        <v>5110423.2100000009</v>
      </c>
    </row>
    <row r="157" spans="7:11">
      <c r="H157" s="2" t="s">
        <v>120</v>
      </c>
      <c r="K157" s="172">
        <f>K156-K94</f>
        <v>0</v>
      </c>
    </row>
  </sheetData>
  <mergeCells count="11">
    <mergeCell ref="O12:Q12"/>
    <mergeCell ref="F13:G13"/>
    <mergeCell ref="O13:P13"/>
    <mergeCell ref="A3:S3"/>
    <mergeCell ref="A4:S4"/>
    <mergeCell ref="A6:S6"/>
    <mergeCell ref="F8:G8"/>
    <mergeCell ref="I8:K8"/>
    <mergeCell ref="M8:M9"/>
    <mergeCell ref="O8:Q8"/>
    <mergeCell ref="S8:S9"/>
  </mergeCells>
  <pageMargins left="0.7" right="0.7" top="0.75" bottom="0.75" header="0.3" footer="0.3"/>
  <pageSetup scale="51" orientation="portrait" r:id="rId1"/>
  <ignoredErrors>
    <ignoredError sqref="O21 O25:O78" formula="1"/>
    <ignoredError sqref="K83:K87 K9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79998168889431442"/>
    <pageSetUpPr fitToPage="1"/>
  </sheetPr>
  <dimension ref="A1:Q29"/>
  <sheetViews>
    <sheetView view="pageBreakPreview" zoomScaleNormal="100" zoomScaleSheetLayoutView="100" workbookViewId="0">
      <selection activeCell="G3" sqref="G3"/>
    </sheetView>
  </sheetViews>
  <sheetFormatPr defaultRowHeight="12.75"/>
  <cols>
    <col min="1" max="1" width="3.5703125" style="11" customWidth="1"/>
    <col min="2" max="2" width="9.140625" style="10"/>
    <col min="3" max="3" width="37.42578125" style="11" bestFit="1" customWidth="1"/>
    <col min="4" max="5" width="13.5703125" style="11" bestFit="1" customWidth="1"/>
    <col min="6" max="6" width="11.85546875" style="11" customWidth="1"/>
    <col min="7" max="7" width="10.85546875" style="11" bestFit="1" customWidth="1"/>
    <col min="8" max="8" width="9.140625" style="11"/>
    <col min="9" max="9" width="11.7109375" style="11" bestFit="1" customWidth="1"/>
    <col min="10" max="16384" width="9.140625" style="11"/>
  </cols>
  <sheetData>
    <row r="1" spans="1:10">
      <c r="A1" s="250" t="str">
        <f>RevReq!A1</f>
        <v>CLARK ENERGY COOPERATIVE</v>
      </c>
      <c r="B1" s="250"/>
      <c r="C1" s="250"/>
      <c r="D1" s="250"/>
      <c r="E1" s="250"/>
      <c r="F1" s="250"/>
      <c r="G1" s="250"/>
    </row>
    <row r="2" spans="1:10">
      <c r="A2" s="250" t="s">
        <v>178</v>
      </c>
      <c r="B2" s="250"/>
      <c r="C2" s="250"/>
      <c r="D2" s="250"/>
      <c r="E2" s="250"/>
      <c r="F2" s="250"/>
      <c r="G2" s="250"/>
    </row>
    <row r="3" spans="1:10">
      <c r="F3" s="296"/>
      <c r="G3" s="298" t="s">
        <v>419</v>
      </c>
    </row>
    <row r="4" spans="1:10" ht="47.25" customHeight="1">
      <c r="B4" s="44" t="s">
        <v>183</v>
      </c>
      <c r="C4" s="28" t="s">
        <v>41</v>
      </c>
      <c r="D4" s="28" t="s">
        <v>23</v>
      </c>
      <c r="E4" s="28" t="s">
        <v>24</v>
      </c>
      <c r="F4" s="28" t="s">
        <v>180</v>
      </c>
      <c r="G4" s="28" t="s">
        <v>181</v>
      </c>
    </row>
    <row r="5" spans="1:10">
      <c r="B5" s="45" t="s">
        <v>21</v>
      </c>
      <c r="C5" s="46">
        <v>1</v>
      </c>
      <c r="D5" s="46">
        <f>C5+1</f>
        <v>2</v>
      </c>
      <c r="E5" s="46">
        <f>D5+1</f>
        <v>3</v>
      </c>
      <c r="F5" s="46">
        <f>E5+1</f>
        <v>4</v>
      </c>
      <c r="G5" s="46">
        <f>F5+1</f>
        <v>5</v>
      </c>
    </row>
    <row r="6" spans="1:10">
      <c r="B6" s="11"/>
      <c r="C6" s="62"/>
      <c r="D6" s="62"/>
      <c r="E6" s="62"/>
      <c r="F6" s="62"/>
      <c r="G6" s="62"/>
    </row>
    <row r="7" spans="1:10">
      <c r="B7" s="10">
        <f>'Adj IS'!C4</f>
        <v>1.01</v>
      </c>
      <c r="C7" s="11" t="s">
        <v>179</v>
      </c>
      <c r="D7" s="23">
        <f>'1.01 FAC'!F31</f>
        <v>-2826503</v>
      </c>
      <c r="E7" s="23">
        <f>'1.01 FAC'!H31</f>
        <v>-2826503</v>
      </c>
      <c r="F7" s="23">
        <v>0</v>
      </c>
      <c r="G7" s="23">
        <f>D7-E7+F7</f>
        <v>0</v>
      </c>
    </row>
    <row r="8" spans="1:10">
      <c r="B8" s="10">
        <f>'Adj IS'!D4</f>
        <v>1.02</v>
      </c>
      <c r="C8" s="11" t="s">
        <v>126</v>
      </c>
      <c r="D8" s="23">
        <f>'1.02 ES'!F31</f>
        <v>-5766680</v>
      </c>
      <c r="E8" s="23">
        <f>'1.02 ES'!H31</f>
        <v>-5766680</v>
      </c>
      <c r="F8" s="23">
        <v>0</v>
      </c>
      <c r="G8" s="23">
        <f t="shared" ref="G8:G18" si="0">D8-E8+F8</f>
        <v>0</v>
      </c>
    </row>
    <row r="9" spans="1:10">
      <c r="B9" s="10">
        <f>'Adj IS'!E4</f>
        <v>1.03</v>
      </c>
      <c r="C9" s="11" t="s">
        <v>31</v>
      </c>
      <c r="D9" s="23">
        <v>0</v>
      </c>
      <c r="E9" s="23">
        <f>'1.03 RC'!E23</f>
        <v>16666.669999999998</v>
      </c>
      <c r="F9" s="23">
        <v>0</v>
      </c>
      <c r="G9" s="23">
        <f t="shared" si="0"/>
        <v>-16666.669999999998</v>
      </c>
    </row>
    <row r="10" spans="1:10">
      <c r="B10" s="10">
        <f>'Adj IS'!F4</f>
        <v>1.04</v>
      </c>
      <c r="C10" s="11" t="s">
        <v>277</v>
      </c>
      <c r="D10" s="23">
        <f>'1.04 CUST'!F48</f>
        <v>205042.66</v>
      </c>
      <c r="E10" s="23">
        <f>'1.04 CUST'!G48</f>
        <v>112375.21</v>
      </c>
      <c r="F10" s="23">
        <v>0</v>
      </c>
      <c r="G10" s="23">
        <f t="shared" si="0"/>
        <v>92667.45</v>
      </c>
    </row>
    <row r="11" spans="1:10">
      <c r="B11" s="10">
        <f>'Adj IS'!G4</f>
        <v>1.05</v>
      </c>
      <c r="C11" s="11" t="s">
        <v>76</v>
      </c>
      <c r="D11" s="23">
        <v>0</v>
      </c>
      <c r="E11" s="23">
        <v>0</v>
      </c>
      <c r="F11" s="24">
        <f>'1.05 GTCC'!F18</f>
        <v>-268537</v>
      </c>
      <c r="G11" s="23">
        <f t="shared" si="0"/>
        <v>-268537</v>
      </c>
    </row>
    <row r="12" spans="1:10">
      <c r="B12" s="10">
        <f>'Adj IS'!H4</f>
        <v>1.06</v>
      </c>
      <c r="C12" s="11" t="s">
        <v>252</v>
      </c>
      <c r="D12" s="180"/>
      <c r="E12" s="177">
        <f>'1.06 NonRec'!E19</f>
        <v>-77500</v>
      </c>
      <c r="F12" s="177">
        <f>-'1.06 NonRec'!D19</f>
        <v>215535.84999999998</v>
      </c>
      <c r="G12" s="23">
        <f t="shared" si="0"/>
        <v>293035.84999999998</v>
      </c>
    </row>
    <row r="13" spans="1:10">
      <c r="B13" s="10">
        <f>'Adj IS'!I4</f>
        <v>1.07</v>
      </c>
      <c r="C13" s="2" t="s">
        <v>255</v>
      </c>
      <c r="D13" s="180">
        <v>0</v>
      </c>
      <c r="E13" s="177">
        <f>'1.07 Depr'!J48</f>
        <v>120318.50999999982</v>
      </c>
      <c r="F13" s="180">
        <v>0</v>
      </c>
      <c r="G13" s="23">
        <f t="shared" si="0"/>
        <v>-120318.50999999982</v>
      </c>
      <c r="J13" s="132"/>
    </row>
    <row r="14" spans="1:10">
      <c r="B14" s="10">
        <f>'Adj IS'!J4</f>
        <v>1.08</v>
      </c>
      <c r="C14" s="2" t="s">
        <v>262</v>
      </c>
      <c r="D14" s="180">
        <v>0</v>
      </c>
      <c r="E14" s="177">
        <f>'1.08 AdsDonat'!F24</f>
        <v>-198427.6</v>
      </c>
      <c r="F14" s="180">
        <v>0</v>
      </c>
      <c r="G14" s="23">
        <f t="shared" si="0"/>
        <v>198427.6</v>
      </c>
      <c r="J14" s="132"/>
    </row>
    <row r="15" spans="1:10">
      <c r="B15" s="10">
        <f>'Adj IS'!K4</f>
        <v>1.0900000000000001</v>
      </c>
      <c r="C15" s="2" t="s">
        <v>269</v>
      </c>
      <c r="D15" s="180">
        <v>0</v>
      </c>
      <c r="E15" s="177">
        <f>'1.09 Dir'!G18</f>
        <v>-10800</v>
      </c>
      <c r="F15" s="180">
        <v>0</v>
      </c>
      <c r="G15" s="23">
        <f t="shared" si="0"/>
        <v>10800</v>
      </c>
      <c r="J15" s="132"/>
    </row>
    <row r="16" spans="1:10">
      <c r="B16" s="27">
        <f>'Adj IS'!L4</f>
        <v>1.1000000000000001</v>
      </c>
      <c r="C16" s="2" t="s">
        <v>270</v>
      </c>
      <c r="D16" s="180">
        <v>0</v>
      </c>
      <c r="E16" s="177">
        <f>'1.10 Int'!H46</f>
        <v>328721.63000000006</v>
      </c>
      <c r="F16" s="180">
        <v>0</v>
      </c>
      <c r="G16" s="23">
        <f t="shared" si="0"/>
        <v>-328721.63000000006</v>
      </c>
      <c r="J16" s="132"/>
    </row>
    <row r="17" spans="2:17">
      <c r="B17" s="10">
        <f>'Adj IS'!M4</f>
        <v>1.1100000000000001</v>
      </c>
      <c r="C17" s="2" t="s">
        <v>246</v>
      </c>
      <c r="D17" s="180">
        <v>0</v>
      </c>
      <c r="E17" s="36">
        <f>'1.11 Life'!G19</f>
        <v>-31742.91</v>
      </c>
      <c r="F17" s="180">
        <v>0</v>
      </c>
      <c r="G17" s="23">
        <f t="shared" si="0"/>
        <v>31742.91</v>
      </c>
      <c r="J17" s="132"/>
    </row>
    <row r="18" spans="2:17">
      <c r="B18" s="10">
        <f>'Adj IS'!N4</f>
        <v>1.1200000000000001</v>
      </c>
      <c r="C18" s="2" t="s">
        <v>321</v>
      </c>
      <c r="D18" s="180">
        <v>0</v>
      </c>
      <c r="E18" s="295">
        <f>'1.12 Wages'!O88</f>
        <v>200790.5226293981</v>
      </c>
      <c r="F18" s="180">
        <v>0</v>
      </c>
      <c r="G18" s="23">
        <f t="shared" si="0"/>
        <v>-200790.5226293981</v>
      </c>
      <c r="J18" s="132"/>
    </row>
    <row r="19" spans="2:17" s="61" customFormat="1" ht="21.75" customHeight="1" thickBot="1">
      <c r="B19" s="86"/>
      <c r="C19" s="87" t="s">
        <v>45</v>
      </c>
      <c r="D19" s="88">
        <f>SUM(D7:D18)</f>
        <v>-8388140.3399999999</v>
      </c>
      <c r="E19" s="88">
        <f t="shared" ref="E19:G19" si="1">SUM(E7:E18)</f>
        <v>-8132780.9673706014</v>
      </c>
      <c r="F19" s="88">
        <f>SUM(F7:F18)</f>
        <v>-53001.150000000023</v>
      </c>
      <c r="G19" s="88">
        <f t="shared" si="1"/>
        <v>-308360.52262939804</v>
      </c>
      <c r="I19" s="11"/>
      <c r="J19" s="11"/>
    </row>
    <row r="20" spans="2:17" ht="13.5" thickTop="1">
      <c r="D20" s="29"/>
      <c r="E20" s="29"/>
      <c r="F20" s="29"/>
      <c r="G20" s="23"/>
      <c r="N20" s="132"/>
      <c r="O20" s="132"/>
      <c r="P20" s="132"/>
      <c r="Q20" s="132"/>
    </row>
    <row r="21" spans="2:17">
      <c r="D21" s="23"/>
      <c r="F21" s="23"/>
      <c r="G21" s="23"/>
    </row>
    <row r="22" spans="2:17">
      <c r="D22" s="26"/>
      <c r="E22" s="26"/>
      <c r="F22" s="26"/>
      <c r="G22" s="26"/>
    </row>
    <row r="23" spans="2:17">
      <c r="E23" s="23"/>
    </row>
    <row r="24" spans="2:17">
      <c r="B24" s="10" t="s">
        <v>291</v>
      </c>
    </row>
    <row r="25" spans="2:17">
      <c r="C25" s="11" t="s">
        <v>292</v>
      </c>
      <c r="D25" s="23">
        <f>RevReq!D11</f>
        <v>-8388140.3399999999</v>
      </c>
      <c r="E25" s="23">
        <f>RevReq!D29</f>
        <v>-8132780.9673706004</v>
      </c>
      <c r="F25" s="23">
        <f>RevReq!D33+RevReq!D34+RevReq!D35+RevReq!D36+RevReq!D37</f>
        <v>-53001.150000000023</v>
      </c>
      <c r="G25" s="23">
        <f>RevReq!D39</f>
        <v>-308360.52262939943</v>
      </c>
    </row>
    <row r="26" spans="2:17" ht="14.25">
      <c r="C26" s="11" t="s">
        <v>177</v>
      </c>
      <c r="D26" s="57">
        <f>D25-D19</f>
        <v>0</v>
      </c>
      <c r="E26" s="57">
        <f t="shared" ref="E26:F26" si="2">E25-E19</f>
        <v>0</v>
      </c>
      <c r="F26" s="57">
        <f t="shared" si="2"/>
        <v>0</v>
      </c>
      <c r="G26" s="57">
        <f>G25-G19</f>
        <v>-1.3969838619232178E-9</v>
      </c>
    </row>
    <row r="28" spans="2:17">
      <c r="C28" s="11" t="s">
        <v>293</v>
      </c>
      <c r="D28" s="129">
        <f>'Adj IS'!U12</f>
        <v>-8388140.3399999999</v>
      </c>
      <c r="E28" s="129">
        <f>'Adj IS'!U31</f>
        <v>-8132780.9673706014</v>
      </c>
      <c r="F28" s="129">
        <f>'Adj IS'!U40</f>
        <v>-53001.150000000023</v>
      </c>
      <c r="G28" s="129">
        <f>'Adj IS'!U42</f>
        <v>-308360.52262939804</v>
      </c>
    </row>
    <row r="29" spans="2:17" ht="14.25">
      <c r="C29" s="11" t="s">
        <v>177</v>
      </c>
      <c r="D29" s="57">
        <f>D28-D19</f>
        <v>0</v>
      </c>
      <c r="E29" s="57">
        <f>E28-E19</f>
        <v>0</v>
      </c>
      <c r="F29" s="57">
        <f>F28-F19</f>
        <v>0</v>
      </c>
      <c r="G29" s="57">
        <f>G28-G19</f>
        <v>0</v>
      </c>
    </row>
  </sheetData>
  <mergeCells count="2">
    <mergeCell ref="A1:G1"/>
    <mergeCell ref="A2:G2"/>
  </mergeCells>
  <conditionalFormatting sqref="D26:G26">
    <cfRule type="cellIs" dxfId="15" priority="5" operator="notEqual">
      <formula>0</formula>
    </cfRule>
    <cfRule type="cellIs" dxfId="14" priority="6" operator="equal">
      <formula>0</formula>
    </cfRule>
  </conditionalFormatting>
  <conditionalFormatting sqref="D29:G29">
    <cfRule type="cellIs" dxfId="13" priority="1" operator="notEqual">
      <formula>0</formula>
    </cfRule>
    <cfRule type="cellIs" dxfId="12" priority="2" operator="equal">
      <formula>0</formula>
    </cfRule>
  </conditionalFormatting>
  <printOptions horizontalCentered="1"/>
  <pageMargins left="1" right="0.75" top="0.75" bottom="0.5" header="0.5" footer="0.5"/>
  <pageSetup orientation="landscape" r:id="rId1"/>
  <headerFooter alignWithMargins="0">
    <oddFooter>&amp;RRevised Exhibit JW-2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74"/>
  <sheetViews>
    <sheetView view="pageBreakPreview" zoomScaleNormal="100" zoomScaleSheetLayoutView="100" workbookViewId="0">
      <selection activeCell="H35" sqref="H35"/>
    </sheetView>
  </sheetViews>
  <sheetFormatPr defaultRowHeight="15"/>
  <cols>
    <col min="1" max="1" width="9.140625" style="66"/>
    <col min="2" max="2" width="1.5703125" style="66" customWidth="1"/>
    <col min="3" max="3" width="40.28515625" bestFit="1" customWidth="1"/>
    <col min="4" max="4" width="13.5703125" bestFit="1" customWidth="1"/>
    <col min="5" max="5" width="16.28515625" style="100" bestFit="1" customWidth="1"/>
    <col min="6" max="6" width="17.5703125" bestFit="1" customWidth="1"/>
    <col min="7" max="7" width="4.5703125" customWidth="1"/>
    <col min="8" max="8" width="13.42578125" bestFit="1" customWidth="1"/>
    <col min="9" max="9" width="5.85546875" customWidth="1"/>
  </cols>
  <sheetData>
    <row r="1" spans="1:8">
      <c r="A1" s="251" t="str">
        <f>RevReq!A1</f>
        <v>CLARK ENERGY COOPERATIVE</v>
      </c>
      <c r="B1" s="251"/>
      <c r="C1" s="251"/>
      <c r="D1" s="251"/>
      <c r="E1" s="251"/>
      <c r="F1" s="251"/>
      <c r="G1" s="31"/>
    </row>
    <row r="2" spans="1:8">
      <c r="A2" s="251" t="s">
        <v>185</v>
      </c>
      <c r="B2" s="251"/>
      <c r="C2" s="251"/>
      <c r="D2" s="251"/>
      <c r="E2" s="251"/>
      <c r="F2" s="251"/>
      <c r="G2" s="31"/>
    </row>
    <row r="3" spans="1:8">
      <c r="A3" s="31"/>
      <c r="B3" s="31"/>
      <c r="C3" s="31"/>
      <c r="D3" s="31"/>
      <c r="E3" s="97"/>
      <c r="F3" s="31"/>
      <c r="G3" s="31"/>
    </row>
    <row r="4" spans="1:8">
      <c r="A4" s="10"/>
      <c r="B4" s="10"/>
      <c r="C4" s="11"/>
      <c r="D4" s="63"/>
      <c r="E4" s="63"/>
      <c r="F4" s="63"/>
      <c r="G4" s="65"/>
    </row>
    <row r="5" spans="1:8">
      <c r="A5" s="63" t="s">
        <v>0</v>
      </c>
      <c r="B5" s="63"/>
      <c r="C5" s="63" t="s">
        <v>1</v>
      </c>
      <c r="D5" s="63" t="s">
        <v>115</v>
      </c>
      <c r="E5" s="98" t="s">
        <v>233</v>
      </c>
      <c r="F5" s="63" t="s">
        <v>116</v>
      </c>
      <c r="G5" s="65"/>
    </row>
    <row r="6" spans="1:8" s="93" customFormat="1">
      <c r="A6" s="91" t="s">
        <v>21</v>
      </c>
      <c r="B6" s="91"/>
      <c r="C6" s="92">
        <v>1</v>
      </c>
      <c r="D6" s="92">
        <f>C6+1</f>
        <v>2</v>
      </c>
      <c r="E6" s="92">
        <f>D6+1</f>
        <v>3</v>
      </c>
      <c r="F6" s="92" t="s">
        <v>25</v>
      </c>
    </row>
    <row r="7" spans="1:8">
      <c r="A7" s="10">
        <v>1</v>
      </c>
      <c r="B7" s="96" t="s">
        <v>186</v>
      </c>
      <c r="C7" s="11"/>
      <c r="D7" s="11"/>
      <c r="E7" s="24"/>
      <c r="F7" s="11"/>
    </row>
    <row r="8" spans="1:8">
      <c r="A8" s="10">
        <f>A7+1</f>
        <v>2</v>
      </c>
      <c r="B8" s="10"/>
      <c r="C8" s="11" t="s">
        <v>187</v>
      </c>
      <c r="D8" s="94">
        <v>163218446</v>
      </c>
      <c r="E8" s="94">
        <v>0</v>
      </c>
      <c r="F8" s="94">
        <f>D8+E8</f>
        <v>163218446</v>
      </c>
      <c r="H8" s="182"/>
    </row>
    <row r="9" spans="1:8">
      <c r="A9" s="10">
        <f t="shared" ref="A9:A68" si="0">A8+1</f>
        <v>3</v>
      </c>
      <c r="B9" s="10"/>
      <c r="C9" s="11" t="s">
        <v>188</v>
      </c>
      <c r="D9" s="94">
        <v>2455647</v>
      </c>
      <c r="E9" s="94">
        <v>0</v>
      </c>
      <c r="F9" s="94">
        <f>D9+E9</f>
        <v>2455647</v>
      </c>
      <c r="H9" s="182"/>
    </row>
    <row r="10" spans="1:8">
      <c r="A10" s="10">
        <f t="shared" si="0"/>
        <v>4</v>
      </c>
      <c r="B10" s="10"/>
      <c r="C10" s="11" t="s">
        <v>189</v>
      </c>
      <c r="D10" s="94">
        <f>D8+D9</f>
        <v>165674093</v>
      </c>
      <c r="E10" s="94">
        <v>0</v>
      </c>
      <c r="F10" s="94">
        <f>D10+E10</f>
        <v>165674093</v>
      </c>
      <c r="H10" s="182"/>
    </row>
    <row r="11" spans="1:8">
      <c r="A11" s="10">
        <f t="shared" si="0"/>
        <v>5</v>
      </c>
      <c r="B11" s="10"/>
      <c r="C11" s="11" t="s">
        <v>190</v>
      </c>
      <c r="D11" s="94">
        <v>56633826</v>
      </c>
      <c r="E11" s="94">
        <v>0</v>
      </c>
      <c r="F11" s="94">
        <f>D11+E11</f>
        <v>56633826</v>
      </c>
      <c r="H11" s="182"/>
    </row>
    <row r="12" spans="1:8">
      <c r="A12" s="10">
        <f t="shared" si="0"/>
        <v>6</v>
      </c>
      <c r="B12" s="10"/>
      <c r="C12" s="16" t="s">
        <v>191</v>
      </c>
      <c r="D12" s="99">
        <f>SUM(D10:D10)-D11</f>
        <v>109040267</v>
      </c>
      <c r="E12" s="99">
        <f t="shared" ref="E12:F12" si="1">SUM(E10:E10)-E11</f>
        <v>0</v>
      </c>
      <c r="F12" s="99">
        <f t="shared" si="1"/>
        <v>109040267</v>
      </c>
      <c r="H12" s="182"/>
    </row>
    <row r="13" spans="1:8">
      <c r="A13" s="10">
        <f t="shared" si="0"/>
        <v>7</v>
      </c>
      <c r="B13" s="10"/>
      <c r="C13" s="11"/>
      <c r="D13" s="94"/>
      <c r="E13" s="94"/>
      <c r="F13" s="94"/>
      <c r="H13" s="182"/>
    </row>
    <row r="14" spans="1:8">
      <c r="A14" s="10">
        <f t="shared" si="0"/>
        <v>8</v>
      </c>
      <c r="B14" s="10"/>
      <c r="C14" s="11" t="s">
        <v>301</v>
      </c>
      <c r="D14" s="94">
        <v>4936775</v>
      </c>
      <c r="E14" s="94">
        <v>0</v>
      </c>
      <c r="F14" s="94">
        <f t="shared" ref="F14:F20" si="2">D14+E14</f>
        <v>4936775</v>
      </c>
      <c r="H14" s="182"/>
    </row>
    <row r="15" spans="1:8">
      <c r="A15" s="10">
        <f t="shared" si="0"/>
        <v>9</v>
      </c>
      <c r="B15" s="10"/>
      <c r="C15" s="11" t="s">
        <v>192</v>
      </c>
      <c r="D15" s="94">
        <v>32913945</v>
      </c>
      <c r="E15" s="94">
        <v>0</v>
      </c>
      <c r="F15" s="94">
        <f t="shared" si="2"/>
        <v>32913945</v>
      </c>
      <c r="H15" s="182"/>
    </row>
    <row r="16" spans="1:8">
      <c r="A16" s="10">
        <f t="shared" si="0"/>
        <v>10</v>
      </c>
      <c r="B16" s="10"/>
      <c r="C16" s="11" t="s">
        <v>193</v>
      </c>
      <c r="D16" s="94">
        <v>0</v>
      </c>
      <c r="E16" s="94">
        <v>0</v>
      </c>
      <c r="F16" s="94">
        <f t="shared" si="2"/>
        <v>0</v>
      </c>
      <c r="H16" s="182"/>
    </row>
    <row r="17" spans="1:8">
      <c r="A17" s="10">
        <f t="shared" si="0"/>
        <v>11</v>
      </c>
      <c r="B17" s="10"/>
      <c r="C17" s="11" t="s">
        <v>194</v>
      </c>
      <c r="D17" s="94">
        <v>789708</v>
      </c>
      <c r="E17" s="94">
        <v>0</v>
      </c>
      <c r="F17" s="94">
        <f t="shared" si="2"/>
        <v>789708</v>
      </c>
      <c r="H17" s="182"/>
    </row>
    <row r="18" spans="1:8">
      <c r="A18" s="10">
        <f t="shared" si="0"/>
        <v>12</v>
      </c>
      <c r="B18" s="10"/>
      <c r="C18" s="11" t="s">
        <v>302</v>
      </c>
      <c r="D18" s="94">
        <v>0</v>
      </c>
      <c r="E18" s="94">
        <v>0</v>
      </c>
      <c r="F18" s="94">
        <f t="shared" si="2"/>
        <v>0</v>
      </c>
      <c r="H18" s="182"/>
    </row>
    <row r="19" spans="1:8">
      <c r="A19" s="10">
        <f t="shared" si="0"/>
        <v>13</v>
      </c>
      <c r="B19" s="10"/>
      <c r="C19" s="11" t="s">
        <v>195</v>
      </c>
      <c r="D19" s="94">
        <v>0</v>
      </c>
      <c r="E19" s="94">
        <v>0</v>
      </c>
      <c r="F19" s="94">
        <f t="shared" si="2"/>
        <v>0</v>
      </c>
      <c r="H19" s="182"/>
    </row>
    <row r="20" spans="1:8">
      <c r="A20" s="10">
        <f t="shared" si="0"/>
        <v>14</v>
      </c>
      <c r="B20" s="10"/>
      <c r="C20" s="11" t="s">
        <v>303</v>
      </c>
      <c r="D20" s="94">
        <v>0</v>
      </c>
      <c r="E20" s="94">
        <v>0</v>
      </c>
      <c r="F20" s="94">
        <f t="shared" si="2"/>
        <v>0</v>
      </c>
      <c r="H20" s="182"/>
    </row>
    <row r="21" spans="1:8">
      <c r="A21" s="10">
        <f t="shared" si="0"/>
        <v>15</v>
      </c>
      <c r="B21" s="10"/>
      <c r="C21" s="16" t="s">
        <v>196</v>
      </c>
      <c r="D21" s="99">
        <f>SUM(D14:D20)</f>
        <v>38640428</v>
      </c>
      <c r="E21" s="99">
        <f t="shared" ref="E21:F21" si="3">SUM(E14:E20)</f>
        <v>0</v>
      </c>
      <c r="F21" s="99">
        <f t="shared" si="3"/>
        <v>38640428</v>
      </c>
      <c r="H21" s="182"/>
    </row>
    <row r="22" spans="1:8">
      <c r="A22" s="10">
        <f t="shared" si="0"/>
        <v>16</v>
      </c>
      <c r="B22" s="10"/>
      <c r="C22" s="11"/>
      <c r="D22" s="94"/>
      <c r="E22" s="94"/>
      <c r="F22" s="94"/>
      <c r="H22" s="182"/>
    </row>
    <row r="23" spans="1:8">
      <c r="A23" s="10">
        <f t="shared" si="0"/>
        <v>17</v>
      </c>
      <c r="B23" s="10"/>
      <c r="C23" s="11" t="s">
        <v>197</v>
      </c>
      <c r="D23" s="94">
        <v>161342</v>
      </c>
      <c r="E23" s="94">
        <v>0</v>
      </c>
      <c r="F23" s="94">
        <f t="shared" ref="F23:F32" si="4">D23+E23</f>
        <v>161342</v>
      </c>
      <c r="H23" s="182"/>
    </row>
    <row r="24" spans="1:8">
      <c r="A24" s="10">
        <f t="shared" si="0"/>
        <v>18</v>
      </c>
      <c r="B24" s="10"/>
      <c r="C24" s="11" t="s">
        <v>198</v>
      </c>
      <c r="D24" s="94">
        <v>0</v>
      </c>
      <c r="E24" s="94">
        <v>0</v>
      </c>
      <c r="F24" s="94">
        <f t="shared" si="4"/>
        <v>0</v>
      </c>
      <c r="H24" s="182"/>
    </row>
    <row r="25" spans="1:8">
      <c r="A25" s="10">
        <f t="shared" si="0"/>
        <v>19</v>
      </c>
      <c r="B25" s="10"/>
      <c r="C25" s="11" t="s">
        <v>199</v>
      </c>
      <c r="D25" s="94">
        <v>30</v>
      </c>
      <c r="E25" s="94">
        <v>0</v>
      </c>
      <c r="F25" s="94">
        <f t="shared" si="4"/>
        <v>30</v>
      </c>
      <c r="H25" s="182"/>
    </row>
    <row r="26" spans="1:8">
      <c r="A26" s="10">
        <f t="shared" si="0"/>
        <v>20</v>
      </c>
      <c r="B26" s="10"/>
      <c r="C26" s="11" t="s">
        <v>200</v>
      </c>
      <c r="D26" s="94">
        <v>0</v>
      </c>
      <c r="E26" s="94">
        <v>0</v>
      </c>
      <c r="F26" s="94">
        <f t="shared" si="4"/>
        <v>0</v>
      </c>
      <c r="H26" s="182"/>
    </row>
    <row r="27" spans="1:8">
      <c r="A27" s="10">
        <f t="shared" si="0"/>
        <v>21</v>
      </c>
      <c r="B27" s="10"/>
      <c r="C27" s="11" t="s">
        <v>202</v>
      </c>
      <c r="D27" s="94">
        <v>1171160</v>
      </c>
      <c r="E27" s="94">
        <v>0</v>
      </c>
      <c r="F27" s="94">
        <f t="shared" si="4"/>
        <v>1171160</v>
      </c>
      <c r="H27" s="182"/>
    </row>
    <row r="28" spans="1:8">
      <c r="A28" s="10">
        <f t="shared" si="0"/>
        <v>22</v>
      </c>
      <c r="B28" s="10"/>
      <c r="C28" s="11" t="s">
        <v>201</v>
      </c>
      <c r="D28" s="94">
        <v>1820234</v>
      </c>
      <c r="E28" s="94">
        <v>0</v>
      </c>
      <c r="F28" s="94">
        <f t="shared" si="4"/>
        <v>1820234</v>
      </c>
      <c r="H28" s="182"/>
    </row>
    <row r="29" spans="1:8">
      <c r="A29" s="10">
        <f t="shared" si="0"/>
        <v>23</v>
      </c>
      <c r="B29" s="10"/>
      <c r="C29" s="11" t="s">
        <v>203</v>
      </c>
      <c r="D29" s="101">
        <v>0</v>
      </c>
      <c r="E29" s="94">
        <v>0</v>
      </c>
      <c r="F29" s="94">
        <f t="shared" si="4"/>
        <v>0</v>
      </c>
      <c r="H29" s="182"/>
    </row>
    <row r="30" spans="1:8">
      <c r="A30" s="10">
        <f t="shared" si="0"/>
        <v>24</v>
      </c>
      <c r="B30" s="10"/>
      <c r="C30" s="11" t="s">
        <v>204</v>
      </c>
      <c r="D30" s="94">
        <v>1186099</v>
      </c>
      <c r="E30" s="94">
        <v>0</v>
      </c>
      <c r="F30" s="94">
        <f t="shared" si="4"/>
        <v>1186099</v>
      </c>
      <c r="H30" s="182"/>
    </row>
    <row r="31" spans="1:8">
      <c r="A31" s="10">
        <f t="shared" si="0"/>
        <v>25</v>
      </c>
      <c r="B31" s="10"/>
      <c r="C31" s="11" t="s">
        <v>205</v>
      </c>
      <c r="D31" s="94">
        <v>71904</v>
      </c>
      <c r="E31" s="94">
        <v>0</v>
      </c>
      <c r="F31" s="94">
        <f t="shared" si="4"/>
        <v>71904</v>
      </c>
      <c r="H31" s="182"/>
    </row>
    <row r="32" spans="1:8">
      <c r="A32" s="10">
        <f t="shared" si="0"/>
        <v>26</v>
      </c>
      <c r="B32" s="10"/>
      <c r="C32" s="11" t="s">
        <v>206</v>
      </c>
      <c r="D32" s="94">
        <v>8940</v>
      </c>
      <c r="E32" s="94">
        <v>0</v>
      </c>
      <c r="F32" s="94">
        <f t="shared" si="4"/>
        <v>8940</v>
      </c>
      <c r="H32" s="182"/>
    </row>
    <row r="33" spans="1:8">
      <c r="A33" s="10">
        <f t="shared" si="0"/>
        <v>27</v>
      </c>
      <c r="B33" s="10"/>
      <c r="C33" s="16" t="s">
        <v>207</v>
      </c>
      <c r="D33" s="99">
        <f>SUM(D23:D32)</f>
        <v>4419709</v>
      </c>
      <c r="E33" s="99">
        <f>SUM(E23:E32)</f>
        <v>0</v>
      </c>
      <c r="F33" s="99">
        <f>SUM(F23:F32)</f>
        <v>4419709</v>
      </c>
      <c r="H33" s="182"/>
    </row>
    <row r="34" spans="1:8">
      <c r="A34" s="10">
        <f t="shared" si="0"/>
        <v>28</v>
      </c>
      <c r="B34" s="10"/>
      <c r="C34" s="11"/>
      <c r="D34" s="94"/>
      <c r="E34" s="94"/>
      <c r="F34" s="94"/>
      <c r="H34" s="182"/>
    </row>
    <row r="35" spans="1:8">
      <c r="A35" s="10">
        <f t="shared" si="0"/>
        <v>29</v>
      </c>
      <c r="B35" s="10"/>
      <c r="C35" s="11" t="s">
        <v>208</v>
      </c>
      <c r="D35" s="94">
        <v>0</v>
      </c>
      <c r="E35" s="94">
        <v>0</v>
      </c>
      <c r="F35" s="94">
        <f>D35+E35</f>
        <v>0</v>
      </c>
      <c r="H35" s="182"/>
    </row>
    <row r="36" spans="1:8">
      <c r="A36" s="10">
        <f t="shared" si="0"/>
        <v>30</v>
      </c>
      <c r="B36" s="10"/>
      <c r="C36" s="11" t="s">
        <v>209</v>
      </c>
      <c r="D36" s="94">
        <v>1197196</v>
      </c>
      <c r="E36" s="94">
        <v>0</v>
      </c>
      <c r="F36" s="94">
        <f>D36+E36</f>
        <v>1197196</v>
      </c>
      <c r="H36" s="182"/>
    </row>
    <row r="37" spans="1:8">
      <c r="A37" s="10">
        <f t="shared" si="0"/>
        <v>31</v>
      </c>
      <c r="B37" s="10"/>
      <c r="C37" s="11"/>
      <c r="D37" s="24"/>
      <c r="E37" s="94"/>
      <c r="F37" s="94"/>
      <c r="H37" s="182"/>
    </row>
    <row r="38" spans="1:8" ht="15.75" thickBot="1">
      <c r="A38" s="10">
        <f t="shared" si="0"/>
        <v>32</v>
      </c>
      <c r="B38" s="10"/>
      <c r="C38" s="20" t="s">
        <v>210</v>
      </c>
      <c r="D38" s="103">
        <f>D36+D35+D33+D21+D12</f>
        <v>153297600</v>
      </c>
      <c r="E38" s="103">
        <f>E36+E35+E33+E21+E12</f>
        <v>0</v>
      </c>
      <c r="F38" s="103">
        <f>F36+F35+F33+F21+F12</f>
        <v>153297600</v>
      </c>
      <c r="H38" s="182"/>
    </row>
    <row r="39" spans="1:8" ht="15.75" thickTop="1">
      <c r="A39" s="10">
        <f t="shared" si="0"/>
        <v>33</v>
      </c>
      <c r="B39" s="10"/>
      <c r="C39" s="11"/>
      <c r="D39" s="102"/>
      <c r="E39" s="94"/>
      <c r="F39" s="94"/>
      <c r="H39" s="182"/>
    </row>
    <row r="40" spans="1:8">
      <c r="A40" s="10">
        <f t="shared" si="0"/>
        <v>34</v>
      </c>
      <c r="B40" s="95" t="s">
        <v>211</v>
      </c>
      <c r="C40" s="11"/>
      <c r="D40" s="94"/>
      <c r="E40" s="94"/>
      <c r="F40" s="94"/>
      <c r="H40" s="182"/>
    </row>
    <row r="41" spans="1:8">
      <c r="A41" s="10">
        <f t="shared" si="0"/>
        <v>35</v>
      </c>
      <c r="B41" s="10"/>
      <c r="C41" s="11" t="s">
        <v>212</v>
      </c>
      <c r="D41" s="94">
        <v>0</v>
      </c>
      <c r="E41" s="24">
        <v>0</v>
      </c>
      <c r="F41" s="94">
        <f>D41+E41</f>
        <v>0</v>
      </c>
      <c r="H41" s="182"/>
    </row>
    <row r="42" spans="1:8">
      <c r="A42" s="10">
        <f t="shared" si="0"/>
        <v>36</v>
      </c>
      <c r="B42" s="10"/>
      <c r="C42" s="11" t="s">
        <v>213</v>
      </c>
      <c r="D42" s="94">
        <v>66591148</v>
      </c>
      <c r="E42" s="94">
        <v>0</v>
      </c>
      <c r="F42" s="94">
        <f>D42+E42</f>
        <v>66591148</v>
      </c>
      <c r="H42" s="182"/>
    </row>
    <row r="43" spans="1:8">
      <c r="A43" s="10">
        <f t="shared" si="0"/>
        <v>37</v>
      </c>
      <c r="B43" s="10"/>
      <c r="C43" s="11" t="s">
        <v>214</v>
      </c>
      <c r="D43" s="94">
        <v>-706695</v>
      </c>
      <c r="E43" s="94">
        <v>0</v>
      </c>
      <c r="F43" s="94">
        <f>D43+E43</f>
        <v>-706695</v>
      </c>
      <c r="H43" s="182"/>
    </row>
    <row r="44" spans="1:8">
      <c r="A44" s="10">
        <f t="shared" si="0"/>
        <v>38</v>
      </c>
      <c r="B44" s="10"/>
      <c r="C44" s="11" t="s">
        <v>215</v>
      </c>
      <c r="D44" s="94">
        <v>608877</v>
      </c>
      <c r="E44" s="94">
        <v>0</v>
      </c>
      <c r="F44" s="94">
        <f>D44+E44</f>
        <v>608877</v>
      </c>
      <c r="H44" s="182"/>
    </row>
    <row r="45" spans="1:8">
      <c r="A45" s="10">
        <f t="shared" si="0"/>
        <v>39</v>
      </c>
      <c r="B45" s="10"/>
      <c r="C45" s="11" t="s">
        <v>216</v>
      </c>
      <c r="D45" s="94">
        <v>4626947</v>
      </c>
      <c r="E45" s="94">
        <v>0</v>
      </c>
      <c r="F45" s="94">
        <f>D45+E45</f>
        <v>4626947</v>
      </c>
      <c r="H45" s="182"/>
    </row>
    <row r="46" spans="1:8">
      <c r="A46" s="10">
        <f t="shared" si="0"/>
        <v>40</v>
      </c>
      <c r="B46" s="10"/>
      <c r="C46" s="16" t="s">
        <v>217</v>
      </c>
      <c r="D46" s="99">
        <f>SUM(D41:D45)</f>
        <v>71120277</v>
      </c>
      <c r="E46" s="99">
        <f>SUM(E41:E45)</f>
        <v>0</v>
      </c>
      <c r="F46" s="99">
        <f>SUM(F41:F45)</f>
        <v>71120277</v>
      </c>
      <c r="H46" s="182"/>
    </row>
    <row r="47" spans="1:8">
      <c r="A47" s="10">
        <f t="shared" si="0"/>
        <v>41</v>
      </c>
      <c r="B47" s="10"/>
      <c r="C47" s="11"/>
      <c r="D47" s="94"/>
      <c r="E47" s="94"/>
      <c r="F47" s="94"/>
      <c r="H47" s="182"/>
    </row>
    <row r="48" spans="1:8">
      <c r="A48" s="10">
        <f t="shared" si="0"/>
        <v>42</v>
      </c>
      <c r="B48" s="10"/>
      <c r="C48" s="11" t="s">
        <v>218</v>
      </c>
      <c r="D48" s="102">
        <v>12285485</v>
      </c>
      <c r="E48" s="94">
        <v>0</v>
      </c>
      <c r="F48" s="94">
        <f>D48+E48</f>
        <v>12285485</v>
      </c>
      <c r="H48" s="182"/>
    </row>
    <row r="49" spans="1:8">
      <c r="A49" s="10">
        <f t="shared" si="0"/>
        <v>43</v>
      </c>
      <c r="B49" s="10"/>
      <c r="C49" s="11" t="s">
        <v>219</v>
      </c>
      <c r="D49" s="102">
        <v>51949349</v>
      </c>
      <c r="E49" s="94">
        <v>0</v>
      </c>
      <c r="F49" s="94">
        <f>D49+E49</f>
        <v>51949349</v>
      </c>
      <c r="H49" s="182"/>
    </row>
    <row r="50" spans="1:8">
      <c r="A50" s="10">
        <f t="shared" si="0"/>
        <v>44</v>
      </c>
      <c r="B50" s="10"/>
      <c r="C50" s="11" t="s">
        <v>220</v>
      </c>
      <c r="D50" s="102">
        <v>0</v>
      </c>
      <c r="E50" s="94">
        <v>0</v>
      </c>
      <c r="F50" s="94">
        <f>D50+E50</f>
        <v>0</v>
      </c>
      <c r="H50" s="182"/>
    </row>
    <row r="51" spans="1:8">
      <c r="A51" s="10">
        <f t="shared" si="0"/>
        <v>45</v>
      </c>
      <c r="B51" s="10"/>
      <c r="C51" s="11" t="s">
        <v>221</v>
      </c>
      <c r="D51" s="102">
        <v>3130698</v>
      </c>
      <c r="E51" s="94">
        <v>0</v>
      </c>
      <c r="F51" s="94">
        <f>D51+E51</f>
        <v>3130698</v>
      </c>
      <c r="H51" s="182"/>
    </row>
    <row r="52" spans="1:8">
      <c r="A52" s="10">
        <f t="shared" si="0"/>
        <v>46</v>
      </c>
      <c r="B52" s="10"/>
      <c r="C52" s="11" t="s">
        <v>222</v>
      </c>
      <c r="D52" s="102">
        <v>0</v>
      </c>
      <c r="E52" s="94">
        <v>0</v>
      </c>
      <c r="F52" s="94">
        <f>D52+E52</f>
        <v>0</v>
      </c>
      <c r="H52" s="182"/>
    </row>
    <row r="53" spans="1:8">
      <c r="A53" s="10">
        <f t="shared" si="0"/>
        <v>47</v>
      </c>
      <c r="B53" s="10"/>
      <c r="C53" s="16" t="s">
        <v>223</v>
      </c>
      <c r="D53" s="99">
        <f>SUM(D48:D52)</f>
        <v>67365532</v>
      </c>
      <c r="E53" s="99">
        <f>SUM(E48:E52)</f>
        <v>0</v>
      </c>
      <c r="F53" s="99">
        <f>SUM(F48:F52)</f>
        <v>67365532</v>
      </c>
      <c r="H53" s="182"/>
    </row>
    <row r="54" spans="1:8">
      <c r="A54" s="10">
        <f t="shared" si="0"/>
        <v>48</v>
      </c>
      <c r="B54" s="10"/>
      <c r="C54" s="11"/>
      <c r="D54" s="94"/>
      <c r="E54" s="94"/>
      <c r="F54" s="94"/>
      <c r="H54" s="182"/>
    </row>
    <row r="55" spans="1:8">
      <c r="A55" s="10">
        <f>A53+1</f>
        <v>48</v>
      </c>
      <c r="B55" s="10"/>
      <c r="C55" s="11" t="s">
        <v>315</v>
      </c>
      <c r="D55" s="94">
        <v>62324</v>
      </c>
      <c r="E55" s="94">
        <v>0</v>
      </c>
      <c r="F55" s="94">
        <f>D55+E55</f>
        <v>62324</v>
      </c>
      <c r="H55" s="182"/>
    </row>
    <row r="56" spans="1:8">
      <c r="A56" s="10">
        <f>A54+1</f>
        <v>49</v>
      </c>
      <c r="B56" s="10"/>
      <c r="C56" s="11" t="s">
        <v>224</v>
      </c>
      <c r="D56" s="94">
        <v>2345847</v>
      </c>
      <c r="E56" s="94">
        <v>0</v>
      </c>
      <c r="F56" s="94">
        <f>D56+E56</f>
        <v>2345847</v>
      </c>
      <c r="H56" s="182"/>
    </row>
    <row r="57" spans="1:8">
      <c r="A57" s="10">
        <f t="shared" si="0"/>
        <v>50</v>
      </c>
      <c r="B57" s="10"/>
      <c r="C57" s="11"/>
      <c r="D57" s="94"/>
      <c r="E57" s="94"/>
      <c r="F57" s="94"/>
      <c r="H57" s="182"/>
    </row>
    <row r="58" spans="1:8">
      <c r="A58" s="10">
        <f t="shared" si="0"/>
        <v>51</v>
      </c>
      <c r="B58" s="10"/>
      <c r="C58" s="11" t="s">
        <v>225</v>
      </c>
      <c r="D58" s="94">
        <v>5212653</v>
      </c>
      <c r="E58" s="94">
        <v>0</v>
      </c>
      <c r="F58" s="94">
        <f t="shared" ref="F58:F63" si="5">D58+E58</f>
        <v>5212653</v>
      </c>
      <c r="H58" s="182"/>
    </row>
    <row r="59" spans="1:8">
      <c r="A59" s="10">
        <f t="shared" si="0"/>
        <v>52</v>
      </c>
      <c r="B59" s="10"/>
      <c r="C59" s="11" t="s">
        <v>226</v>
      </c>
      <c r="D59" s="94">
        <v>957539</v>
      </c>
      <c r="E59" s="94">
        <v>0</v>
      </c>
      <c r="F59" s="94">
        <f t="shared" si="5"/>
        <v>957539</v>
      </c>
      <c r="H59" s="182"/>
    </row>
    <row r="60" spans="1:8">
      <c r="A60" s="10">
        <f t="shared" si="0"/>
        <v>53</v>
      </c>
      <c r="B60" s="10"/>
      <c r="C60" s="11" t="s">
        <v>227</v>
      </c>
      <c r="D60" s="94">
        <v>966930</v>
      </c>
      <c r="E60" s="94">
        <v>0</v>
      </c>
      <c r="F60" s="94">
        <f t="shared" si="5"/>
        <v>966930</v>
      </c>
      <c r="H60" s="182"/>
    </row>
    <row r="61" spans="1:8">
      <c r="A61" s="10">
        <f t="shared" si="0"/>
        <v>54</v>
      </c>
      <c r="B61" s="10"/>
      <c r="C61" s="11" t="s">
        <v>304</v>
      </c>
      <c r="D61" s="94">
        <v>3412128</v>
      </c>
      <c r="E61" s="94">
        <v>0</v>
      </c>
      <c r="F61" s="94">
        <f t="shared" si="5"/>
        <v>3412128</v>
      </c>
      <c r="H61" s="182"/>
    </row>
    <row r="62" spans="1:8">
      <c r="A62" s="10">
        <f t="shared" si="0"/>
        <v>55</v>
      </c>
      <c r="B62" s="10"/>
      <c r="C62" s="11" t="s">
        <v>316</v>
      </c>
      <c r="D62" s="94">
        <v>239180</v>
      </c>
      <c r="E62" s="94">
        <v>0</v>
      </c>
      <c r="F62" s="94">
        <f t="shared" si="5"/>
        <v>239180</v>
      </c>
      <c r="H62" s="182"/>
    </row>
    <row r="63" spans="1:8">
      <c r="A63" s="10">
        <f t="shared" si="0"/>
        <v>56</v>
      </c>
      <c r="B63" s="10"/>
      <c r="C63" s="11" t="s">
        <v>228</v>
      </c>
      <c r="D63" s="94">
        <v>1174273</v>
      </c>
      <c r="E63" s="94">
        <v>0</v>
      </c>
      <c r="F63" s="94">
        <f t="shared" si="5"/>
        <v>1174273</v>
      </c>
      <c r="H63" s="182"/>
    </row>
    <row r="64" spans="1:8">
      <c r="A64" s="10">
        <f t="shared" si="0"/>
        <v>57</v>
      </c>
      <c r="B64" s="10"/>
      <c r="C64" s="16" t="s">
        <v>229</v>
      </c>
      <c r="D64" s="99">
        <f>SUM(D58:D63)</f>
        <v>11962703</v>
      </c>
      <c r="E64" s="99">
        <f>SUM(E58:E63)</f>
        <v>0</v>
      </c>
      <c r="F64" s="99">
        <f>SUM(F58:F63)</f>
        <v>11962703</v>
      </c>
      <c r="H64" s="182"/>
    </row>
    <row r="65" spans="1:8">
      <c r="A65" s="10">
        <f t="shared" si="0"/>
        <v>58</v>
      </c>
      <c r="B65" s="10"/>
      <c r="C65" s="11"/>
      <c r="D65" s="94"/>
      <c r="E65" s="94"/>
      <c r="F65" s="94"/>
      <c r="H65" s="182"/>
    </row>
    <row r="66" spans="1:8">
      <c r="A66" s="10">
        <f t="shared" si="0"/>
        <v>59</v>
      </c>
      <c r="B66" s="10"/>
      <c r="C66" s="11" t="s">
        <v>230</v>
      </c>
      <c r="D66" s="94">
        <v>0</v>
      </c>
      <c r="E66" s="94">
        <v>0</v>
      </c>
      <c r="F66" s="94">
        <f>D66+E66</f>
        <v>0</v>
      </c>
      <c r="H66" s="182"/>
    </row>
    <row r="67" spans="1:8">
      <c r="A67" s="10">
        <f t="shared" si="0"/>
        <v>60</v>
      </c>
      <c r="B67" s="10"/>
      <c r="C67" s="11" t="s">
        <v>231</v>
      </c>
      <c r="D67" s="94">
        <v>440917</v>
      </c>
      <c r="E67" s="94">
        <v>0</v>
      </c>
      <c r="F67" s="94">
        <f>D67+E67</f>
        <v>440917</v>
      </c>
      <c r="H67" s="182"/>
    </row>
    <row r="68" spans="1:8" ht="15.75" thickBot="1">
      <c r="A68" s="10">
        <f t="shared" si="0"/>
        <v>61</v>
      </c>
      <c r="B68" s="10"/>
      <c r="C68" s="20" t="s">
        <v>232</v>
      </c>
      <c r="D68" s="103">
        <f>D67+D66+D64+D56+D53+D46+D55</f>
        <v>153297600</v>
      </c>
      <c r="E68" s="103">
        <f>E67+E66+E64+E56+E53+E46</f>
        <v>0</v>
      </c>
      <c r="F68" s="103">
        <f>F67+F66+F64+F56+F53+F46+F55</f>
        <v>153297600</v>
      </c>
      <c r="H68" s="182"/>
    </row>
    <row r="69" spans="1:8" ht="15.75" thickTop="1">
      <c r="A69" s="10"/>
      <c r="B69" s="10"/>
      <c r="C69" s="11"/>
      <c r="D69" s="94"/>
      <c r="E69" s="94"/>
      <c r="F69" s="94"/>
      <c r="H69" s="182"/>
    </row>
    <row r="70" spans="1:8">
      <c r="A70" s="10"/>
      <c r="B70" s="10"/>
      <c r="C70" s="11"/>
      <c r="D70" s="94"/>
      <c r="E70" s="94"/>
      <c r="F70" s="94"/>
      <c r="H70" s="182"/>
    </row>
    <row r="71" spans="1:8">
      <c r="A71" s="10"/>
      <c r="B71" s="10"/>
      <c r="C71" s="11"/>
      <c r="D71" s="24"/>
      <c r="E71" s="94"/>
      <c r="F71" s="94"/>
    </row>
    <row r="72" spans="1:8">
      <c r="A72" s="10"/>
      <c r="B72" s="10"/>
      <c r="C72" s="11"/>
      <c r="D72" s="24"/>
      <c r="E72" s="94"/>
      <c r="F72" s="94"/>
    </row>
    <row r="73" spans="1:8">
      <c r="A73" s="10"/>
      <c r="B73" s="10"/>
      <c r="C73" s="11"/>
      <c r="D73" s="24"/>
      <c r="E73" s="94"/>
      <c r="F73" s="94"/>
    </row>
    <row r="74" spans="1:8">
      <c r="C74" s="11"/>
      <c r="D74" s="24"/>
      <c r="E74" s="94"/>
      <c r="F74" s="94"/>
    </row>
  </sheetData>
  <mergeCells count="2">
    <mergeCell ref="A1:F1"/>
    <mergeCell ref="A2:F2"/>
  </mergeCells>
  <printOptions horizontalCentered="1"/>
  <pageMargins left="1" right="0.75" top="0.75" bottom="0.75" header="0.3" footer="0.3"/>
  <pageSetup scale="69" orientation="portrait" r:id="rId1"/>
  <headerFooter>
    <oddFooter>&amp;RRevised Exhibit  JW-2
Page &amp;P of &amp;N</oddFooter>
  </headerFooter>
  <ignoredErrors>
    <ignoredError sqref="F6" numberStoredAsText="1"/>
    <ignoredError sqref="E6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pageSetUpPr fitToPage="1"/>
  </sheetPr>
  <dimension ref="A1:AH151"/>
  <sheetViews>
    <sheetView defaultGridColor="0" view="pageBreakPreview" topLeftCell="A35" colorId="22" zoomScaleNormal="87" zoomScaleSheetLayoutView="100" workbookViewId="0">
      <selection activeCell="H35" sqref="H35"/>
    </sheetView>
  </sheetViews>
  <sheetFormatPr defaultColWidth="12.5703125" defaultRowHeight="14.25"/>
  <cols>
    <col min="1" max="1" width="6.140625" style="72" customWidth="1"/>
    <col min="2" max="2" width="33.140625" style="70" customWidth="1"/>
    <col min="3" max="3" width="12.28515625" style="70" customWidth="1"/>
    <col min="4" max="4" width="15.5703125" style="70" customWidth="1"/>
    <col min="5" max="5" width="13" style="70" bestFit="1" customWidth="1"/>
    <col min="6" max="6" width="14.28515625" style="70" customWidth="1"/>
    <col min="7" max="7" width="11.85546875" style="70" bestFit="1" customWidth="1"/>
    <col min="8" max="8" width="11.42578125" style="70" bestFit="1" customWidth="1"/>
    <col min="9" max="9" width="14.28515625" style="70" customWidth="1"/>
    <col min="10" max="10" width="12.85546875" style="70" bestFit="1" customWidth="1"/>
    <col min="11" max="11" width="9.7109375" style="70" bestFit="1" customWidth="1"/>
    <col min="12" max="12" width="10" style="70" customWidth="1"/>
    <col min="13" max="13" width="11.140625" style="70" bestFit="1" customWidth="1"/>
    <col min="14" max="14" width="10" style="70" customWidth="1"/>
    <col min="15" max="15" width="11.85546875" style="70" hidden="1" customWidth="1"/>
    <col min="16" max="16" width="13.28515625" style="70" hidden="1" customWidth="1"/>
    <col min="17" max="17" width="12" style="70" hidden="1" customWidth="1"/>
    <col min="18" max="18" width="14.42578125" style="70" hidden="1" customWidth="1"/>
    <col min="19" max="19" width="11.42578125" style="70" hidden="1" customWidth="1"/>
    <col min="20" max="20" width="11.28515625" style="70" hidden="1" customWidth="1"/>
    <col min="21" max="21" width="11.85546875" style="70" bestFit="1" customWidth="1"/>
    <col min="22" max="22" width="3.5703125" style="70" customWidth="1"/>
    <col min="23" max="23" width="15.5703125" style="70" bestFit="1" customWidth="1"/>
    <col min="24" max="24" width="12.7109375" style="70" bestFit="1" customWidth="1"/>
    <col min="25" max="16384" width="12.5703125" style="70"/>
  </cols>
  <sheetData>
    <row r="1" spans="1:34" ht="15">
      <c r="A1" s="71"/>
      <c r="B1" s="85" t="str">
        <f>RevReq!A1</f>
        <v>CLARK ENERGY COOPERATIVE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8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</row>
    <row r="2" spans="1:34" ht="15">
      <c r="A2" s="71"/>
      <c r="B2" s="85" t="s">
        <v>184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</row>
    <row r="3" spans="1:34" s="72" customForma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>
      <c r="A4" s="71"/>
      <c r="B4" s="68" t="s">
        <v>296</v>
      </c>
      <c r="C4" s="71">
        <v>1.01</v>
      </c>
      <c r="D4" s="71">
        <v>1.02</v>
      </c>
      <c r="E4" s="71">
        <v>1.03</v>
      </c>
      <c r="F4" s="71">
        <v>1.04</v>
      </c>
      <c r="G4" s="71">
        <v>1.05</v>
      </c>
      <c r="H4" s="71">
        <v>1.06</v>
      </c>
      <c r="I4" s="71">
        <v>1.07</v>
      </c>
      <c r="J4" s="71">
        <v>1.08</v>
      </c>
      <c r="K4" s="71">
        <v>1.0900000000000001</v>
      </c>
      <c r="L4" s="73">
        <v>1.1000000000000001</v>
      </c>
      <c r="M4" s="71">
        <v>1.1100000000000001</v>
      </c>
      <c r="N4" s="71">
        <v>1.1200000000000001</v>
      </c>
      <c r="O4" s="71">
        <v>1.1299999999999999</v>
      </c>
      <c r="P4" s="71">
        <v>1.1399999999999999</v>
      </c>
      <c r="Q4" s="71">
        <v>1.1499999999999999</v>
      </c>
      <c r="R4" s="71">
        <v>1.1599999999999999</v>
      </c>
      <c r="S4" s="71">
        <v>1.17</v>
      </c>
      <c r="T4" s="71">
        <v>1.18</v>
      </c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</row>
    <row r="5" spans="1:34" ht="9" customHeight="1">
      <c r="A5" s="71"/>
      <c r="B5" s="69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4"/>
      <c r="R5" s="74"/>
      <c r="S5" s="71"/>
      <c r="T5" s="71"/>
      <c r="U5" s="71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</row>
    <row r="6" spans="1:34" s="76" customFormat="1" ht="44.25" customHeight="1">
      <c r="A6" s="75"/>
      <c r="B6" s="128" t="s">
        <v>297</v>
      </c>
      <c r="C6" s="75" t="str">
        <f>'Adj List'!C7</f>
        <v>Fuel Adjustment Clause</v>
      </c>
      <c r="D6" s="75" t="str">
        <f>'Adj List'!C8</f>
        <v>Environmental Surcharge</v>
      </c>
      <c r="E6" s="75" t="str">
        <f>'Adj List'!C9</f>
        <v>Rate Case Expenses</v>
      </c>
      <c r="F6" s="75" t="str">
        <f>'Adj List'!C10</f>
        <v>Year-End Customer Normalization</v>
      </c>
      <c r="G6" s="75" t="str">
        <f>'Adj List'!C11</f>
        <v>GTCC</v>
      </c>
      <c r="H6" s="75" t="str">
        <f>'Adj List'!C12</f>
        <v>Non-Recurring Items</v>
      </c>
      <c r="I6" s="75" t="str">
        <f>'Adj List'!C13</f>
        <v>Depreciation Expense Normalization</v>
      </c>
      <c r="J6" s="75" t="str">
        <f>'Adj List'!C14</f>
        <v>Advertising &amp; Donations</v>
      </c>
      <c r="K6" s="75" t="str">
        <f>'Adj List'!C15</f>
        <v>Directors Expense</v>
      </c>
      <c r="L6" s="75" t="str">
        <f>'Adj List'!C16</f>
        <v>Interest</v>
      </c>
      <c r="M6" s="75" t="str">
        <f>'Adj List'!C17</f>
        <v>Life Insurance Premiums</v>
      </c>
      <c r="N6" s="75" t="str">
        <f>'Adj List'!C18</f>
        <v>Wages</v>
      </c>
      <c r="O6" s="75"/>
      <c r="P6" s="75"/>
      <c r="Q6" s="75"/>
      <c r="R6" s="75"/>
      <c r="S6" s="75"/>
      <c r="T6" s="75"/>
      <c r="U6" s="75" t="s">
        <v>14</v>
      </c>
      <c r="V6" s="75"/>
      <c r="W6" s="75" t="s">
        <v>294</v>
      </c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</row>
    <row r="7" spans="1:34">
      <c r="A7" s="71">
        <v>1</v>
      </c>
      <c r="B7" s="69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69"/>
      <c r="W7" s="69"/>
      <c r="X7" s="69"/>
      <c r="Y7" s="57"/>
      <c r="Z7" s="57"/>
      <c r="AA7" s="57"/>
      <c r="AB7" s="57"/>
      <c r="AC7" s="57"/>
      <c r="AD7" s="57"/>
      <c r="AE7" s="57"/>
      <c r="AF7" s="57"/>
      <c r="AG7" s="57"/>
      <c r="AH7" s="69"/>
    </row>
    <row r="8" spans="1:34">
      <c r="A8" s="71">
        <f t="shared" ref="A8:A42" si="0">(A7+1)</f>
        <v>2</v>
      </c>
      <c r="B8" s="77" t="s">
        <v>97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69"/>
      <c r="W8" s="69"/>
      <c r="X8" s="69"/>
      <c r="Y8" s="57"/>
      <c r="Z8" s="57"/>
      <c r="AA8" s="57"/>
      <c r="AB8" s="57"/>
      <c r="AC8" s="57"/>
      <c r="AD8" s="57"/>
      <c r="AE8" s="57"/>
      <c r="AF8" s="57"/>
      <c r="AG8" s="57"/>
      <c r="AH8" s="69"/>
    </row>
    <row r="9" spans="1:34">
      <c r="A9" s="71">
        <f t="shared" si="0"/>
        <v>3</v>
      </c>
      <c r="B9" s="69" t="s">
        <v>106</v>
      </c>
      <c r="C9" s="57"/>
      <c r="D9" s="57"/>
      <c r="E9" s="57"/>
      <c r="F9" s="57">
        <f>'Adj List'!D10</f>
        <v>205042.66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>
        <f>SUM(C9:T9)</f>
        <v>205042.66</v>
      </c>
      <c r="V9" s="69"/>
      <c r="W9" s="69"/>
      <c r="X9" s="69"/>
      <c r="Y9" s="57"/>
      <c r="Z9" s="57"/>
      <c r="AA9" s="57"/>
      <c r="AB9" s="57"/>
      <c r="AC9" s="57"/>
      <c r="AD9" s="57"/>
      <c r="AE9" s="57"/>
      <c r="AF9" s="57"/>
      <c r="AG9" s="57"/>
      <c r="AH9" s="69"/>
    </row>
    <row r="10" spans="1:34">
      <c r="A10" s="71">
        <f t="shared" si="0"/>
        <v>4</v>
      </c>
      <c r="B10" s="69" t="s">
        <v>107</v>
      </c>
      <c r="C10" s="57">
        <f>'Adj List'!D7</f>
        <v>-2826503</v>
      </c>
      <c r="D10" s="57">
        <f>'Adj List'!D8</f>
        <v>-5766680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>
        <f t="shared" ref="U10:U47" si="1">SUM(C10:T10)</f>
        <v>-8593183</v>
      </c>
      <c r="V10" s="69"/>
      <c r="W10" s="78"/>
      <c r="X10" s="78"/>
      <c r="Y10" s="57"/>
      <c r="Z10" s="57"/>
      <c r="AA10" s="57"/>
      <c r="AB10" s="57"/>
      <c r="AC10" s="57"/>
      <c r="AD10" s="57"/>
      <c r="AE10" s="57"/>
      <c r="AF10" s="57"/>
      <c r="AG10" s="57"/>
      <c r="AH10" s="69"/>
    </row>
    <row r="11" spans="1:34">
      <c r="A11" s="71">
        <f t="shared" si="0"/>
        <v>5</v>
      </c>
      <c r="B11" s="69" t="s">
        <v>108</v>
      </c>
      <c r="C11" s="57"/>
      <c r="D11" s="57"/>
      <c r="E11" s="57"/>
      <c r="F11" s="57"/>
      <c r="G11" s="57"/>
      <c r="H11" s="57">
        <f>'Adj List'!D12</f>
        <v>0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79">
        <f t="shared" si="1"/>
        <v>0</v>
      </c>
      <c r="V11" s="69"/>
      <c r="W11" s="69"/>
      <c r="X11" s="69"/>
      <c r="Y11" s="57"/>
      <c r="Z11" s="57"/>
      <c r="AA11" s="57"/>
      <c r="AB11" s="57"/>
      <c r="AC11" s="57"/>
      <c r="AD11" s="57"/>
      <c r="AE11" s="57"/>
      <c r="AF11" s="57"/>
      <c r="AG11" s="57"/>
      <c r="AH11" s="69"/>
    </row>
    <row r="12" spans="1:34">
      <c r="A12" s="71">
        <f t="shared" si="0"/>
        <v>6</v>
      </c>
      <c r="B12" s="80" t="s">
        <v>100</v>
      </c>
      <c r="C12" s="81">
        <f t="shared" ref="C12:S12" si="2">SUM(C7:C11)</f>
        <v>-2826503</v>
      </c>
      <c r="D12" s="81">
        <f t="shared" si="2"/>
        <v>-5766680</v>
      </c>
      <c r="E12" s="81">
        <f t="shared" si="2"/>
        <v>0</v>
      </c>
      <c r="F12" s="81">
        <f t="shared" si="2"/>
        <v>205042.66</v>
      </c>
      <c r="G12" s="81">
        <f t="shared" si="2"/>
        <v>0</v>
      </c>
      <c r="H12" s="81">
        <f t="shared" si="2"/>
        <v>0</v>
      </c>
      <c r="I12" s="81">
        <f t="shared" si="2"/>
        <v>0</v>
      </c>
      <c r="J12" s="81">
        <f t="shared" si="2"/>
        <v>0</v>
      </c>
      <c r="K12" s="81">
        <f t="shared" si="2"/>
        <v>0</v>
      </c>
      <c r="L12" s="81">
        <f t="shared" si="2"/>
        <v>0</v>
      </c>
      <c r="M12" s="81">
        <f t="shared" si="2"/>
        <v>0</v>
      </c>
      <c r="N12" s="81">
        <f t="shared" si="2"/>
        <v>0</v>
      </c>
      <c r="O12" s="81">
        <f t="shared" si="2"/>
        <v>0</v>
      </c>
      <c r="P12" s="81">
        <f t="shared" si="2"/>
        <v>0</v>
      </c>
      <c r="Q12" s="81">
        <f t="shared" si="2"/>
        <v>0</v>
      </c>
      <c r="R12" s="81">
        <f t="shared" si="2"/>
        <v>0</v>
      </c>
      <c r="S12" s="81">
        <f t="shared" si="2"/>
        <v>0</v>
      </c>
      <c r="T12" s="81"/>
      <c r="U12" s="81">
        <f t="shared" si="1"/>
        <v>-8388140.3399999999</v>
      </c>
      <c r="V12" s="69"/>
      <c r="W12" s="57">
        <f>U12-'Adj List'!D19</f>
        <v>0</v>
      </c>
      <c r="X12" s="69"/>
      <c r="Y12" s="57"/>
      <c r="Z12" s="57"/>
      <c r="AA12" s="57"/>
      <c r="AB12" s="57"/>
      <c r="AC12" s="57"/>
      <c r="AD12" s="57"/>
      <c r="AE12" s="57"/>
      <c r="AF12" s="57"/>
      <c r="AG12" s="57"/>
      <c r="AH12" s="69"/>
    </row>
    <row r="13" spans="1:34">
      <c r="A13" s="71">
        <f t="shared" si="0"/>
        <v>7</v>
      </c>
      <c r="B13" s="69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69"/>
      <c r="W13" s="69"/>
      <c r="X13" s="69"/>
      <c r="Y13" s="57"/>
      <c r="Z13" s="57"/>
      <c r="AA13" s="57"/>
      <c r="AB13" s="57"/>
      <c r="AC13" s="57"/>
      <c r="AD13" s="57"/>
      <c r="AE13" s="57"/>
      <c r="AF13" s="57"/>
      <c r="AG13" s="57"/>
      <c r="AH13" s="69"/>
    </row>
    <row r="14" spans="1:34">
      <c r="A14" s="71">
        <f t="shared" si="0"/>
        <v>8</v>
      </c>
      <c r="B14" s="77" t="s">
        <v>78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69"/>
      <c r="W14" s="69"/>
      <c r="X14" s="69"/>
      <c r="Y14" s="57"/>
      <c r="Z14" s="57"/>
      <c r="AA14" s="57"/>
      <c r="AB14" s="57"/>
      <c r="AC14" s="57"/>
      <c r="AD14" s="57"/>
      <c r="AE14" s="57"/>
      <c r="AF14" s="57"/>
      <c r="AG14" s="57"/>
      <c r="AH14" s="69"/>
    </row>
    <row r="15" spans="1:34">
      <c r="A15" s="71">
        <f t="shared" si="0"/>
        <v>9</v>
      </c>
      <c r="B15" s="69" t="s">
        <v>79</v>
      </c>
      <c r="C15" s="57"/>
      <c r="D15" s="57"/>
      <c r="E15" s="57"/>
      <c r="F15" s="57">
        <f>'Adj List'!E10</f>
        <v>112375.21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>
        <f t="shared" si="1"/>
        <v>112375.21</v>
      </c>
      <c r="V15" s="69"/>
      <c r="W15" s="69"/>
      <c r="X15" s="69"/>
      <c r="Y15" s="57"/>
      <c r="Z15" s="57"/>
      <c r="AA15" s="57"/>
      <c r="AB15" s="57"/>
      <c r="AC15" s="57"/>
      <c r="AD15" s="57"/>
      <c r="AE15" s="57"/>
      <c r="AF15" s="57"/>
      <c r="AG15" s="57"/>
      <c r="AH15" s="69"/>
    </row>
    <row r="16" spans="1:34">
      <c r="A16" s="71">
        <f t="shared" si="0"/>
        <v>10</v>
      </c>
      <c r="B16" s="69" t="s">
        <v>101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>
        <f t="shared" si="1"/>
        <v>0</v>
      </c>
      <c r="V16" s="69"/>
      <c r="W16" s="69"/>
      <c r="X16" s="69"/>
      <c r="Y16" s="57"/>
      <c r="Z16" s="57"/>
      <c r="AA16" s="57"/>
      <c r="AB16" s="57"/>
      <c r="AC16" s="57"/>
      <c r="AD16" s="57"/>
      <c r="AE16" s="57"/>
      <c r="AF16" s="57"/>
      <c r="AG16" s="57"/>
      <c r="AH16" s="69"/>
    </row>
    <row r="17" spans="1:34">
      <c r="A17" s="71">
        <f t="shared" si="0"/>
        <v>11</v>
      </c>
      <c r="B17" s="69" t="s">
        <v>98</v>
      </c>
      <c r="C17" s="57">
        <f>'Adj List'!E7</f>
        <v>-2826503</v>
      </c>
      <c r="D17" s="57">
        <f>'Adj List'!E8</f>
        <v>-5766680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>
        <f t="shared" si="1"/>
        <v>-8593183</v>
      </c>
      <c r="V17" s="69"/>
      <c r="W17" s="69"/>
      <c r="X17" s="69"/>
      <c r="Y17" s="57"/>
      <c r="Z17" s="57"/>
      <c r="AA17" s="57"/>
      <c r="AB17" s="57"/>
      <c r="AC17" s="57"/>
      <c r="AD17" s="57"/>
      <c r="AE17" s="57"/>
      <c r="AF17" s="57"/>
      <c r="AG17" s="57"/>
      <c r="AH17" s="69"/>
    </row>
    <row r="18" spans="1:34">
      <c r="A18" s="71">
        <f t="shared" si="0"/>
        <v>12</v>
      </c>
      <c r="B18" s="69" t="s">
        <v>109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>
        <f t="shared" si="1"/>
        <v>0</v>
      </c>
      <c r="V18" s="69"/>
      <c r="W18" s="69"/>
      <c r="X18" s="69"/>
      <c r="Y18" s="57"/>
      <c r="Z18" s="57"/>
      <c r="AA18" s="57"/>
      <c r="AB18" s="57"/>
      <c r="AC18" s="57"/>
      <c r="AD18" s="57"/>
      <c r="AE18" s="57"/>
      <c r="AF18" s="57"/>
      <c r="AG18" s="57"/>
      <c r="AH18" s="69"/>
    </row>
    <row r="19" spans="1:34">
      <c r="A19" s="71">
        <f t="shared" si="0"/>
        <v>13</v>
      </c>
      <c r="B19" s="69" t="s">
        <v>110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>
        <f t="shared" si="1"/>
        <v>0</v>
      </c>
      <c r="V19" s="69"/>
      <c r="W19" s="69"/>
      <c r="X19" s="69"/>
      <c r="Y19" s="57"/>
      <c r="Z19" s="57"/>
      <c r="AA19" s="57"/>
      <c r="AB19" s="57"/>
      <c r="AC19" s="57"/>
      <c r="AD19" s="57"/>
      <c r="AE19" s="57"/>
      <c r="AF19" s="57"/>
      <c r="AG19" s="57"/>
      <c r="AH19" s="69"/>
    </row>
    <row r="20" spans="1:34">
      <c r="A20" s="71">
        <f t="shared" si="0"/>
        <v>14</v>
      </c>
      <c r="B20" s="69" t="s">
        <v>111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>
        <f t="shared" si="1"/>
        <v>0</v>
      </c>
      <c r="V20" s="69"/>
      <c r="W20" s="69"/>
      <c r="X20" s="69"/>
      <c r="Y20" s="57"/>
      <c r="Z20" s="57"/>
      <c r="AA20" s="57"/>
      <c r="AB20" s="57"/>
      <c r="AC20" s="57"/>
      <c r="AD20" s="57"/>
      <c r="AE20" s="57"/>
      <c r="AF20" s="57"/>
      <c r="AG20" s="57"/>
      <c r="AH20" s="69"/>
    </row>
    <row r="21" spans="1:34">
      <c r="A21" s="71">
        <f t="shared" si="0"/>
        <v>15</v>
      </c>
      <c r="B21" s="69" t="s">
        <v>83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>
        <f t="shared" si="1"/>
        <v>0</v>
      </c>
      <c r="V21" s="69"/>
      <c r="W21" s="69"/>
      <c r="X21" s="69"/>
      <c r="Y21" s="57"/>
      <c r="Z21" s="57"/>
      <c r="AA21" s="57"/>
      <c r="AB21" s="57"/>
      <c r="AC21" s="57"/>
      <c r="AD21" s="57"/>
      <c r="AE21" s="57"/>
      <c r="AF21" s="57"/>
      <c r="AG21" s="57"/>
      <c r="AH21" s="69"/>
    </row>
    <row r="22" spans="1:34">
      <c r="A22" s="71">
        <f t="shared" si="0"/>
        <v>16</v>
      </c>
      <c r="B22" s="69" t="s">
        <v>112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>
        <f t="shared" si="1"/>
        <v>0</v>
      </c>
      <c r="V22" s="69"/>
      <c r="W22" s="69"/>
      <c r="X22" s="69"/>
      <c r="Y22" s="57"/>
      <c r="Z22" s="57"/>
      <c r="AA22" s="57"/>
      <c r="AB22" s="57"/>
      <c r="AC22" s="57"/>
      <c r="AD22" s="57"/>
      <c r="AE22" s="57"/>
      <c r="AF22" s="57"/>
      <c r="AG22" s="57"/>
      <c r="AH22" s="69"/>
    </row>
    <row r="23" spans="1:34">
      <c r="A23" s="71">
        <f t="shared" si="0"/>
        <v>17</v>
      </c>
      <c r="B23" s="69" t="s">
        <v>113</v>
      </c>
      <c r="C23" s="57"/>
      <c r="D23" s="57"/>
      <c r="E23" s="57">
        <f>'Adj List'!E9</f>
        <v>16666.669999999998</v>
      </c>
      <c r="F23" s="57"/>
      <c r="G23" s="57"/>
      <c r="H23" s="57">
        <f>'Adj List'!E12</f>
        <v>-77500</v>
      </c>
      <c r="I23" s="57"/>
      <c r="J23" s="57">
        <f>'Adj List'!E14</f>
        <v>-198427.6</v>
      </c>
      <c r="K23" s="57">
        <f>'Adj List'!E15</f>
        <v>-10800</v>
      </c>
      <c r="L23" s="57"/>
      <c r="M23" s="57">
        <f>'Adj List'!E17</f>
        <v>-31742.91</v>
      </c>
      <c r="N23" s="57">
        <f>'Adj List'!E18</f>
        <v>200790.5226293981</v>
      </c>
      <c r="O23" s="57"/>
      <c r="P23" s="57"/>
      <c r="Q23" s="57"/>
      <c r="R23" s="57"/>
      <c r="S23" s="57"/>
      <c r="T23" s="57"/>
      <c r="U23" s="57">
        <f t="shared" si="1"/>
        <v>-101013.31737060187</v>
      </c>
      <c r="V23" s="69"/>
      <c r="W23" s="69"/>
      <c r="X23" s="69"/>
      <c r="Y23" s="57"/>
      <c r="Z23" s="57"/>
      <c r="AA23" s="57"/>
      <c r="AB23" s="57"/>
      <c r="AC23" s="57"/>
      <c r="AD23" s="57"/>
      <c r="AE23" s="57"/>
      <c r="AF23" s="57"/>
      <c r="AG23" s="57"/>
      <c r="AH23" s="69"/>
    </row>
    <row r="24" spans="1:34">
      <c r="A24" s="71">
        <f t="shared" si="0"/>
        <v>18</v>
      </c>
      <c r="B24" s="80" t="s">
        <v>102</v>
      </c>
      <c r="C24" s="81">
        <f t="shared" ref="C24:S24" si="3">SUM(C15:C23)</f>
        <v>-2826503</v>
      </c>
      <c r="D24" s="81">
        <f t="shared" si="3"/>
        <v>-5766680</v>
      </c>
      <c r="E24" s="81">
        <f t="shared" si="3"/>
        <v>16666.669999999998</v>
      </c>
      <c r="F24" s="81">
        <f t="shared" si="3"/>
        <v>112375.21</v>
      </c>
      <c r="G24" s="81">
        <f t="shared" si="3"/>
        <v>0</v>
      </c>
      <c r="H24" s="81">
        <f t="shared" si="3"/>
        <v>-77500</v>
      </c>
      <c r="I24" s="81">
        <f t="shared" si="3"/>
        <v>0</v>
      </c>
      <c r="J24" s="81">
        <f t="shared" si="3"/>
        <v>-198427.6</v>
      </c>
      <c r="K24" s="81">
        <f t="shared" si="3"/>
        <v>-10800</v>
      </c>
      <c r="L24" s="81">
        <f t="shared" si="3"/>
        <v>0</v>
      </c>
      <c r="M24" s="81">
        <f t="shared" si="3"/>
        <v>-31742.91</v>
      </c>
      <c r="N24" s="81">
        <f t="shared" si="3"/>
        <v>200790.5226293981</v>
      </c>
      <c r="O24" s="81">
        <f t="shared" si="3"/>
        <v>0</v>
      </c>
      <c r="P24" s="81">
        <f t="shared" si="3"/>
        <v>0</v>
      </c>
      <c r="Q24" s="81">
        <f t="shared" si="3"/>
        <v>0</v>
      </c>
      <c r="R24" s="81">
        <f t="shared" si="3"/>
        <v>0</v>
      </c>
      <c r="S24" s="81">
        <f t="shared" si="3"/>
        <v>0</v>
      </c>
      <c r="T24" s="81">
        <f>SUM(T15:T23)</f>
        <v>0</v>
      </c>
      <c r="U24" s="81">
        <f t="shared" si="1"/>
        <v>-8581821.1073706001</v>
      </c>
      <c r="V24" s="69"/>
      <c r="W24" s="57"/>
      <c r="X24" s="69"/>
      <c r="Y24" s="57"/>
      <c r="Z24" s="57"/>
      <c r="AA24" s="57"/>
      <c r="AB24" s="57"/>
      <c r="AC24" s="57"/>
      <c r="AD24" s="57"/>
      <c r="AE24" s="57"/>
      <c r="AF24" s="57"/>
      <c r="AG24" s="57"/>
      <c r="AH24" s="69"/>
    </row>
    <row r="25" spans="1:34">
      <c r="A25" s="71">
        <f t="shared" si="0"/>
        <v>19</v>
      </c>
      <c r="B25" s="69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69"/>
      <c r="W25" s="69"/>
      <c r="X25" s="69"/>
      <c r="Y25" s="57"/>
      <c r="Z25" s="57"/>
      <c r="AA25" s="57"/>
      <c r="AB25" s="57"/>
      <c r="AC25" s="57"/>
      <c r="AD25" s="57"/>
      <c r="AE25" s="57"/>
      <c r="AF25" s="57"/>
      <c r="AG25" s="57"/>
      <c r="AH25" s="69"/>
    </row>
    <row r="26" spans="1:34">
      <c r="A26" s="71">
        <f t="shared" si="0"/>
        <v>20</v>
      </c>
      <c r="B26" s="69" t="s">
        <v>29</v>
      </c>
      <c r="C26" s="57"/>
      <c r="D26" s="57"/>
      <c r="E26" s="57"/>
      <c r="F26" s="57"/>
      <c r="G26" s="57"/>
      <c r="H26" s="57"/>
      <c r="I26" s="57">
        <f>'Adj List'!E13</f>
        <v>120318.50999999982</v>
      </c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>
        <f t="shared" si="1"/>
        <v>120318.50999999982</v>
      </c>
      <c r="V26" s="69"/>
      <c r="W26" s="69"/>
      <c r="X26" s="69"/>
      <c r="Y26" s="57"/>
      <c r="Z26" s="57"/>
      <c r="AA26" s="57"/>
      <c r="AB26" s="57"/>
      <c r="AC26" s="57"/>
      <c r="AD26" s="57"/>
      <c r="AE26" s="57"/>
      <c r="AF26" s="57"/>
      <c r="AG26" s="57"/>
      <c r="AH26" s="69"/>
    </row>
    <row r="27" spans="1:34">
      <c r="A27" s="71">
        <f t="shared" si="0"/>
        <v>21</v>
      </c>
      <c r="B27" s="69" t="s">
        <v>88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>
        <f t="shared" si="1"/>
        <v>0</v>
      </c>
      <c r="V27" s="69"/>
      <c r="W27" s="69"/>
      <c r="X27" s="69"/>
      <c r="Y27" s="57"/>
      <c r="Z27" s="57"/>
      <c r="AA27" s="57"/>
      <c r="AB27" s="57"/>
      <c r="AC27" s="57"/>
      <c r="AD27" s="57"/>
      <c r="AE27" s="57"/>
      <c r="AF27" s="57"/>
      <c r="AG27" s="57"/>
      <c r="AH27" s="69"/>
    </row>
    <row r="28" spans="1:34">
      <c r="A28" s="71">
        <f t="shared" si="0"/>
        <v>22</v>
      </c>
      <c r="B28" s="69" t="s">
        <v>104</v>
      </c>
      <c r="C28" s="57"/>
      <c r="D28" s="57"/>
      <c r="E28" s="57"/>
      <c r="F28" s="57"/>
      <c r="G28" s="57"/>
      <c r="H28" s="57"/>
      <c r="I28" s="57"/>
      <c r="J28" s="57"/>
      <c r="K28" s="57"/>
      <c r="L28" s="57">
        <f>'Adj List'!E16</f>
        <v>328721.63000000006</v>
      </c>
      <c r="M28" s="57"/>
      <c r="N28" s="57"/>
      <c r="O28" s="57"/>
      <c r="P28" s="57"/>
      <c r="Q28" s="57"/>
      <c r="R28" s="57"/>
      <c r="S28" s="57"/>
      <c r="T28" s="57"/>
      <c r="U28" s="57">
        <f t="shared" si="1"/>
        <v>328721.63000000006</v>
      </c>
      <c r="V28" s="69"/>
      <c r="W28" s="69"/>
      <c r="X28" s="69"/>
      <c r="Y28" s="57"/>
      <c r="Z28" s="57"/>
      <c r="AA28" s="57"/>
      <c r="AB28" s="57"/>
      <c r="AC28" s="57"/>
      <c r="AD28" s="57"/>
      <c r="AE28" s="57"/>
      <c r="AF28" s="57"/>
      <c r="AG28" s="57"/>
      <c r="AH28" s="69"/>
    </row>
    <row r="29" spans="1:34">
      <c r="A29" s="71">
        <f>(A28+1)</f>
        <v>23</v>
      </c>
      <c r="B29" s="69" t="s">
        <v>105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>
        <f t="shared" si="1"/>
        <v>0</v>
      </c>
      <c r="V29" s="69"/>
      <c r="W29" s="69"/>
      <c r="X29" s="69"/>
      <c r="Y29" s="57"/>
      <c r="Z29" s="57"/>
      <c r="AA29" s="57"/>
      <c r="AB29" s="57"/>
      <c r="AC29" s="57"/>
      <c r="AD29" s="57"/>
      <c r="AE29" s="57"/>
      <c r="AF29" s="57"/>
      <c r="AG29" s="57"/>
      <c r="AH29" s="69"/>
    </row>
    <row r="30" spans="1:34">
      <c r="A30" s="71">
        <f>(A29+1)</f>
        <v>24</v>
      </c>
      <c r="B30" s="69" t="s">
        <v>90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>
        <f t="shared" si="1"/>
        <v>0</v>
      </c>
      <c r="V30" s="69"/>
      <c r="W30" s="69"/>
      <c r="X30" s="69"/>
      <c r="Y30" s="57"/>
      <c r="Z30" s="57"/>
      <c r="AA30" s="57"/>
      <c r="AB30" s="57"/>
      <c r="AC30" s="57"/>
      <c r="AD30" s="57"/>
      <c r="AE30" s="57"/>
      <c r="AF30" s="57"/>
      <c r="AG30" s="57"/>
      <c r="AH30" s="69"/>
    </row>
    <row r="31" spans="1:34">
      <c r="A31" s="71">
        <f t="shared" si="0"/>
        <v>25</v>
      </c>
      <c r="B31" s="80" t="s">
        <v>34</v>
      </c>
      <c r="C31" s="81">
        <f t="shared" ref="C31:S31" si="4">SUM(C24:C30)</f>
        <v>-2826503</v>
      </c>
      <c r="D31" s="81">
        <f t="shared" si="4"/>
        <v>-5766680</v>
      </c>
      <c r="E31" s="81">
        <f t="shared" si="4"/>
        <v>16666.669999999998</v>
      </c>
      <c r="F31" s="81">
        <f t="shared" si="4"/>
        <v>112375.21</v>
      </c>
      <c r="G31" s="81">
        <f t="shared" si="4"/>
        <v>0</v>
      </c>
      <c r="H31" s="81">
        <f t="shared" si="4"/>
        <v>-77500</v>
      </c>
      <c r="I31" s="81">
        <f t="shared" si="4"/>
        <v>120318.50999999982</v>
      </c>
      <c r="J31" s="81">
        <f t="shared" si="4"/>
        <v>-198427.6</v>
      </c>
      <c r="K31" s="81">
        <f t="shared" si="4"/>
        <v>-10800</v>
      </c>
      <c r="L31" s="81">
        <f t="shared" si="4"/>
        <v>328721.63000000006</v>
      </c>
      <c r="M31" s="81">
        <f t="shared" si="4"/>
        <v>-31742.91</v>
      </c>
      <c r="N31" s="81">
        <f t="shared" si="4"/>
        <v>200790.5226293981</v>
      </c>
      <c r="O31" s="81">
        <f t="shared" si="4"/>
        <v>0</v>
      </c>
      <c r="P31" s="81">
        <f t="shared" si="4"/>
        <v>0</v>
      </c>
      <c r="Q31" s="81">
        <f t="shared" si="4"/>
        <v>0</v>
      </c>
      <c r="R31" s="81">
        <f t="shared" si="4"/>
        <v>0</v>
      </c>
      <c r="S31" s="81">
        <f t="shared" si="4"/>
        <v>0</v>
      </c>
      <c r="T31" s="81">
        <f>SUM(T24:T30)</f>
        <v>0</v>
      </c>
      <c r="U31" s="81">
        <f t="shared" si="1"/>
        <v>-8132780.9673706014</v>
      </c>
      <c r="V31" s="69"/>
      <c r="W31" s="57">
        <f>U31-'Adj List'!E19</f>
        <v>0</v>
      </c>
      <c r="X31" s="69"/>
      <c r="Y31" s="57"/>
      <c r="Z31" s="57"/>
      <c r="AA31" s="57"/>
      <c r="AB31" s="57"/>
      <c r="AC31" s="57"/>
      <c r="AD31" s="57"/>
      <c r="AE31" s="57"/>
      <c r="AF31" s="57"/>
      <c r="AG31" s="57"/>
      <c r="AH31" s="69"/>
    </row>
    <row r="32" spans="1:34">
      <c r="A32" s="71">
        <f t="shared" si="0"/>
        <v>26</v>
      </c>
      <c r="B32" s="69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69"/>
      <c r="W32" s="69"/>
      <c r="X32" s="69"/>
      <c r="Y32" s="57"/>
      <c r="Z32" s="57"/>
      <c r="AA32" s="57"/>
      <c r="AB32" s="57"/>
      <c r="AC32" s="57"/>
      <c r="AD32" s="57"/>
      <c r="AE32" s="57"/>
      <c r="AF32" s="57"/>
      <c r="AG32" s="57"/>
      <c r="AH32" s="69"/>
    </row>
    <row r="33" spans="1:34">
      <c r="A33" s="71">
        <f t="shared" si="0"/>
        <v>27</v>
      </c>
      <c r="B33" s="69" t="s">
        <v>91</v>
      </c>
      <c r="C33" s="57">
        <f t="shared" ref="C33:S33" si="5">(+C12-C31)</f>
        <v>0</v>
      </c>
      <c r="D33" s="57">
        <f t="shared" si="5"/>
        <v>0</v>
      </c>
      <c r="E33" s="57">
        <f t="shared" si="5"/>
        <v>-16666.669999999998</v>
      </c>
      <c r="F33" s="57">
        <f t="shared" si="5"/>
        <v>92667.45</v>
      </c>
      <c r="G33" s="57">
        <f t="shared" si="5"/>
        <v>0</v>
      </c>
      <c r="H33" s="57">
        <f t="shared" si="5"/>
        <v>77500</v>
      </c>
      <c r="I33" s="57">
        <f t="shared" si="5"/>
        <v>-120318.50999999982</v>
      </c>
      <c r="J33" s="57">
        <f t="shared" si="5"/>
        <v>198427.6</v>
      </c>
      <c r="K33" s="57">
        <f t="shared" si="5"/>
        <v>10800</v>
      </c>
      <c r="L33" s="57">
        <f t="shared" si="5"/>
        <v>-328721.63000000006</v>
      </c>
      <c r="M33" s="57">
        <f t="shared" si="5"/>
        <v>31742.91</v>
      </c>
      <c r="N33" s="57">
        <f t="shared" si="5"/>
        <v>-200790.5226293981</v>
      </c>
      <c r="O33" s="57">
        <f t="shared" si="5"/>
        <v>0</v>
      </c>
      <c r="P33" s="57">
        <f t="shared" si="5"/>
        <v>0</v>
      </c>
      <c r="Q33" s="57">
        <f t="shared" si="5"/>
        <v>0</v>
      </c>
      <c r="R33" s="57">
        <f t="shared" si="5"/>
        <v>0</v>
      </c>
      <c r="S33" s="57">
        <f t="shared" si="5"/>
        <v>0</v>
      </c>
      <c r="T33" s="57">
        <f>(+T12-T31)</f>
        <v>0</v>
      </c>
      <c r="U33" s="57">
        <f t="shared" si="1"/>
        <v>-255359.37262939799</v>
      </c>
      <c r="V33" s="69"/>
      <c r="W33" s="69"/>
      <c r="X33" s="69"/>
      <c r="Y33" s="57"/>
      <c r="Z33" s="57"/>
      <c r="AA33" s="57"/>
      <c r="AB33" s="57"/>
      <c r="AC33" s="57"/>
      <c r="AD33" s="57"/>
      <c r="AE33" s="57"/>
      <c r="AF33" s="57"/>
      <c r="AG33" s="57"/>
      <c r="AH33" s="69"/>
    </row>
    <row r="34" spans="1:34">
      <c r="A34" s="71">
        <f t="shared" si="0"/>
        <v>28</v>
      </c>
      <c r="B34" s="69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69"/>
      <c r="W34" s="69"/>
      <c r="X34" s="69"/>
      <c r="Y34" s="57"/>
      <c r="Z34" s="57"/>
      <c r="AA34" s="57"/>
      <c r="AB34" s="57"/>
      <c r="AC34" s="57"/>
      <c r="AD34" s="57"/>
      <c r="AE34" s="57"/>
      <c r="AF34" s="57"/>
      <c r="AG34" s="57"/>
      <c r="AH34" s="69"/>
    </row>
    <row r="35" spans="1:34">
      <c r="A35" s="71">
        <f t="shared" si="0"/>
        <v>29</v>
      </c>
      <c r="B35" s="69" t="s">
        <v>35</v>
      </c>
      <c r="C35" s="57"/>
      <c r="D35" s="57"/>
      <c r="E35" s="57"/>
      <c r="F35" s="57"/>
      <c r="G35" s="57"/>
      <c r="H35" s="57">
        <f>'1.06 NonRec'!D14</f>
        <v>29883.919999999998</v>
      </c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>
        <f t="shared" si="1"/>
        <v>29883.919999999998</v>
      </c>
      <c r="V35" s="69"/>
      <c r="W35" s="69"/>
      <c r="X35" s="69"/>
      <c r="Y35" s="57"/>
      <c r="Z35" s="57"/>
      <c r="AA35" s="57"/>
      <c r="AB35" s="57"/>
      <c r="AC35" s="57"/>
      <c r="AD35" s="57"/>
      <c r="AE35" s="57"/>
      <c r="AF35" s="57"/>
      <c r="AG35" s="57"/>
      <c r="AH35" s="69"/>
    </row>
    <row r="36" spans="1:34">
      <c r="A36" s="71" t="s">
        <v>236</v>
      </c>
      <c r="B36" s="69" t="s">
        <v>237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69"/>
      <c r="W36" s="69"/>
      <c r="X36" s="69"/>
      <c r="Y36" s="57"/>
      <c r="Z36" s="57"/>
      <c r="AA36" s="57"/>
      <c r="AB36" s="57"/>
      <c r="AC36" s="57"/>
      <c r="AD36" s="57"/>
      <c r="AE36" s="57"/>
      <c r="AF36" s="57"/>
      <c r="AG36" s="57"/>
      <c r="AH36" s="69"/>
    </row>
    <row r="37" spans="1:34">
      <c r="A37" s="71">
        <f>(A35+1)</f>
        <v>30</v>
      </c>
      <c r="B37" s="69" t="s">
        <v>36</v>
      </c>
      <c r="C37" s="57"/>
      <c r="D37" s="57"/>
      <c r="E37" s="57"/>
      <c r="F37" s="57"/>
      <c r="G37" s="57"/>
      <c r="H37" s="57">
        <f>'1.06 NonRec'!D13</f>
        <v>185651.93</v>
      </c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>
        <f t="shared" si="1"/>
        <v>185651.93</v>
      </c>
      <c r="V37" s="69"/>
      <c r="W37" s="69"/>
      <c r="X37" s="69"/>
      <c r="Y37" s="57"/>
      <c r="Z37" s="57"/>
      <c r="AA37" s="57"/>
      <c r="AB37" s="57"/>
      <c r="AC37" s="57"/>
      <c r="AD37" s="57"/>
      <c r="AE37" s="57"/>
      <c r="AF37" s="57"/>
      <c r="AG37" s="57"/>
      <c r="AH37" s="69"/>
    </row>
    <row r="38" spans="1:34">
      <c r="A38" s="71">
        <f t="shared" si="0"/>
        <v>31</v>
      </c>
      <c r="B38" s="69" t="s">
        <v>32</v>
      </c>
      <c r="C38" s="57"/>
      <c r="D38" s="57"/>
      <c r="E38" s="57"/>
      <c r="F38" s="57"/>
      <c r="G38" s="57">
        <f>'Adj List'!F11</f>
        <v>-268537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>
        <f t="shared" si="1"/>
        <v>-268537</v>
      </c>
      <c r="V38" s="69"/>
      <c r="W38" s="69"/>
      <c r="X38" s="69"/>
      <c r="Y38" s="57"/>
      <c r="Z38" s="57"/>
      <c r="AA38" s="57"/>
      <c r="AB38" s="57"/>
      <c r="AC38" s="57"/>
      <c r="AD38" s="57"/>
      <c r="AE38" s="57"/>
      <c r="AF38" s="57"/>
      <c r="AG38" s="57"/>
      <c r="AH38" s="69"/>
    </row>
    <row r="39" spans="1:34">
      <c r="A39" s="71">
        <f t="shared" si="0"/>
        <v>32</v>
      </c>
      <c r="B39" s="69" t="s">
        <v>92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>
        <f t="shared" si="1"/>
        <v>0</v>
      </c>
      <c r="V39" s="69"/>
      <c r="W39" s="69"/>
      <c r="X39" s="69"/>
      <c r="Y39" s="57"/>
      <c r="Z39" s="57"/>
      <c r="AA39" s="57"/>
      <c r="AB39" s="57"/>
      <c r="AC39" s="57"/>
      <c r="AD39" s="57"/>
      <c r="AE39" s="57"/>
      <c r="AF39" s="57"/>
      <c r="AG39" s="57"/>
      <c r="AH39" s="69"/>
    </row>
    <row r="40" spans="1:34">
      <c r="A40" s="71">
        <f t="shared" si="0"/>
        <v>33</v>
      </c>
      <c r="B40" s="80" t="s">
        <v>103</v>
      </c>
      <c r="C40" s="81">
        <f t="shared" ref="C40:S40" si="6">SUM(C35:C39)</f>
        <v>0</v>
      </c>
      <c r="D40" s="81">
        <f t="shared" si="6"/>
        <v>0</v>
      </c>
      <c r="E40" s="81">
        <f t="shared" si="6"/>
        <v>0</v>
      </c>
      <c r="F40" s="81">
        <f t="shared" si="6"/>
        <v>0</v>
      </c>
      <c r="G40" s="81">
        <f t="shared" si="6"/>
        <v>-268537</v>
      </c>
      <c r="H40" s="81">
        <f t="shared" si="6"/>
        <v>215535.84999999998</v>
      </c>
      <c r="I40" s="81">
        <f t="shared" si="6"/>
        <v>0</v>
      </c>
      <c r="J40" s="81">
        <f t="shared" si="6"/>
        <v>0</v>
      </c>
      <c r="K40" s="81">
        <f t="shared" si="6"/>
        <v>0</v>
      </c>
      <c r="L40" s="81">
        <f t="shared" si="6"/>
        <v>0</v>
      </c>
      <c r="M40" s="81">
        <f t="shared" si="6"/>
        <v>0</v>
      </c>
      <c r="N40" s="81">
        <f t="shared" si="6"/>
        <v>0</v>
      </c>
      <c r="O40" s="81">
        <f t="shared" si="6"/>
        <v>0</v>
      </c>
      <c r="P40" s="81">
        <f t="shared" si="6"/>
        <v>0</v>
      </c>
      <c r="Q40" s="81">
        <f t="shared" si="6"/>
        <v>0</v>
      </c>
      <c r="R40" s="81">
        <f t="shared" si="6"/>
        <v>0</v>
      </c>
      <c r="S40" s="81">
        <f t="shared" si="6"/>
        <v>0</v>
      </c>
      <c r="T40" s="81">
        <f>SUM(T35:T39)</f>
        <v>0</v>
      </c>
      <c r="U40" s="81">
        <f t="shared" si="1"/>
        <v>-53001.150000000023</v>
      </c>
      <c r="V40" s="69"/>
      <c r="W40" s="57">
        <f>U40-'Adj List'!F19</f>
        <v>0</v>
      </c>
      <c r="X40" s="69"/>
      <c r="Y40" s="57"/>
      <c r="Z40" s="57"/>
      <c r="AA40" s="57"/>
      <c r="AB40" s="57"/>
      <c r="AC40" s="57"/>
      <c r="AD40" s="57"/>
      <c r="AE40" s="57"/>
      <c r="AF40" s="57"/>
      <c r="AG40" s="57"/>
      <c r="AH40" s="69"/>
    </row>
    <row r="41" spans="1:34">
      <c r="A41" s="71">
        <f t="shared" si="0"/>
        <v>34</v>
      </c>
      <c r="B41" s="69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69"/>
      <c r="W41" s="69"/>
      <c r="X41" s="69"/>
      <c r="Y41" s="57"/>
      <c r="Z41" s="57"/>
      <c r="AA41" s="57"/>
      <c r="AB41" s="57"/>
      <c r="AC41" s="57"/>
      <c r="AD41" s="57"/>
      <c r="AE41" s="57"/>
      <c r="AF41" s="57"/>
      <c r="AG41" s="57"/>
      <c r="AH41" s="69"/>
    </row>
    <row r="42" spans="1:34" ht="15" thickBot="1">
      <c r="A42" s="71">
        <f t="shared" si="0"/>
        <v>35</v>
      </c>
      <c r="B42" s="83" t="s">
        <v>93</v>
      </c>
      <c r="C42" s="84">
        <f t="shared" ref="C42:S42" si="7">+C33+C40</f>
        <v>0</v>
      </c>
      <c r="D42" s="84">
        <f t="shared" si="7"/>
        <v>0</v>
      </c>
      <c r="E42" s="84">
        <f t="shared" si="7"/>
        <v>-16666.669999999998</v>
      </c>
      <c r="F42" s="84">
        <f t="shared" si="7"/>
        <v>92667.45</v>
      </c>
      <c r="G42" s="84">
        <f t="shared" si="7"/>
        <v>-268537</v>
      </c>
      <c r="H42" s="84">
        <f t="shared" si="7"/>
        <v>293035.84999999998</v>
      </c>
      <c r="I42" s="84">
        <f t="shared" si="7"/>
        <v>-120318.50999999982</v>
      </c>
      <c r="J42" s="84">
        <f t="shared" si="7"/>
        <v>198427.6</v>
      </c>
      <c r="K42" s="84">
        <f t="shared" si="7"/>
        <v>10800</v>
      </c>
      <c r="L42" s="84">
        <f t="shared" si="7"/>
        <v>-328721.63000000006</v>
      </c>
      <c r="M42" s="84">
        <f t="shared" si="7"/>
        <v>31742.91</v>
      </c>
      <c r="N42" s="84">
        <f t="shared" si="7"/>
        <v>-200790.5226293981</v>
      </c>
      <c r="O42" s="84">
        <f t="shared" si="7"/>
        <v>0</v>
      </c>
      <c r="P42" s="84">
        <f t="shared" si="7"/>
        <v>0</v>
      </c>
      <c r="Q42" s="84">
        <f t="shared" si="7"/>
        <v>0</v>
      </c>
      <c r="R42" s="84">
        <f t="shared" si="7"/>
        <v>0</v>
      </c>
      <c r="S42" s="84">
        <f t="shared" si="7"/>
        <v>0</v>
      </c>
      <c r="T42" s="84">
        <f>+T33+T40</f>
        <v>0</v>
      </c>
      <c r="U42" s="84">
        <f t="shared" si="1"/>
        <v>-308360.52262939804</v>
      </c>
      <c r="V42" s="69"/>
      <c r="W42" s="57">
        <f>U42-'Adj List'!G19</f>
        <v>0</v>
      </c>
      <c r="X42" s="69"/>
      <c r="Y42" s="57"/>
      <c r="Z42" s="57"/>
      <c r="AA42" s="57"/>
      <c r="AB42" s="57"/>
      <c r="AC42" s="57"/>
      <c r="AD42" s="57"/>
      <c r="AE42" s="57"/>
      <c r="AF42" s="57"/>
      <c r="AG42" s="57"/>
      <c r="AH42" s="69"/>
    </row>
    <row r="43" spans="1:34" ht="18" customHeight="1" thickTop="1">
      <c r="A43" s="71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</row>
    <row r="44" spans="1:34" ht="18" customHeight="1">
      <c r="A44" s="71"/>
      <c r="B44" s="69" t="s">
        <v>118</v>
      </c>
      <c r="C44" s="57">
        <f>C12</f>
        <v>-2826503</v>
      </c>
      <c r="D44" s="57">
        <f t="shared" ref="D44:S44" si="8">D12</f>
        <v>-5766680</v>
      </c>
      <c r="E44" s="57">
        <f t="shared" si="8"/>
        <v>0</v>
      </c>
      <c r="F44" s="57">
        <f t="shared" si="8"/>
        <v>205042.66</v>
      </c>
      <c r="G44" s="57">
        <f t="shared" si="8"/>
        <v>0</v>
      </c>
      <c r="H44" s="57">
        <f t="shared" si="8"/>
        <v>0</v>
      </c>
      <c r="I44" s="57">
        <f t="shared" si="8"/>
        <v>0</v>
      </c>
      <c r="J44" s="57">
        <f t="shared" si="8"/>
        <v>0</v>
      </c>
      <c r="K44" s="57">
        <f t="shared" si="8"/>
        <v>0</v>
      </c>
      <c r="L44" s="57">
        <f t="shared" si="8"/>
        <v>0</v>
      </c>
      <c r="M44" s="57">
        <f t="shared" si="8"/>
        <v>0</v>
      </c>
      <c r="N44" s="57">
        <f t="shared" si="8"/>
        <v>0</v>
      </c>
      <c r="O44" s="57">
        <f t="shared" si="8"/>
        <v>0</v>
      </c>
      <c r="P44" s="57">
        <f t="shared" si="8"/>
        <v>0</v>
      </c>
      <c r="Q44" s="57">
        <f t="shared" si="8"/>
        <v>0</v>
      </c>
      <c r="R44" s="57">
        <f t="shared" si="8"/>
        <v>0</v>
      </c>
      <c r="S44" s="57">
        <f t="shared" si="8"/>
        <v>0</v>
      </c>
      <c r="T44" s="57">
        <f>T12</f>
        <v>0</v>
      </c>
      <c r="U44" s="57">
        <f t="shared" si="1"/>
        <v>-8388140.3399999999</v>
      </c>
      <c r="V44" s="69"/>
      <c r="W44" s="57">
        <f>U44-'Adj List'!D19</f>
        <v>0</v>
      </c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</row>
    <row r="45" spans="1:34" ht="18" customHeight="1">
      <c r="A45" s="71"/>
      <c r="B45" s="69" t="s">
        <v>117</v>
      </c>
      <c r="C45" s="57">
        <f>C31</f>
        <v>-2826503</v>
      </c>
      <c r="D45" s="57">
        <f t="shared" ref="D45:M45" si="9">D31</f>
        <v>-5766680</v>
      </c>
      <c r="E45" s="57">
        <f t="shared" si="9"/>
        <v>16666.669999999998</v>
      </c>
      <c r="F45" s="57">
        <f t="shared" si="9"/>
        <v>112375.21</v>
      </c>
      <c r="G45" s="57">
        <f t="shared" si="9"/>
        <v>0</v>
      </c>
      <c r="H45" s="57">
        <f t="shared" si="9"/>
        <v>-77500</v>
      </c>
      <c r="I45" s="57">
        <f t="shared" si="9"/>
        <v>120318.50999999982</v>
      </c>
      <c r="J45" s="57">
        <f t="shared" si="9"/>
        <v>-198427.6</v>
      </c>
      <c r="K45" s="57">
        <f t="shared" si="9"/>
        <v>-10800</v>
      </c>
      <c r="L45" s="57">
        <f t="shared" si="9"/>
        <v>328721.63000000006</v>
      </c>
      <c r="M45" s="57">
        <f t="shared" si="9"/>
        <v>-31742.91</v>
      </c>
      <c r="N45" s="57">
        <f t="shared" ref="N45:S45" si="10">N31-N40</f>
        <v>200790.5226293981</v>
      </c>
      <c r="O45" s="57">
        <f t="shared" si="10"/>
        <v>0</v>
      </c>
      <c r="P45" s="57">
        <f t="shared" si="10"/>
        <v>0</v>
      </c>
      <c r="Q45" s="57">
        <f t="shared" si="10"/>
        <v>0</v>
      </c>
      <c r="R45" s="57">
        <f t="shared" si="10"/>
        <v>0</v>
      </c>
      <c r="S45" s="57">
        <f t="shared" si="10"/>
        <v>0</v>
      </c>
      <c r="T45" s="57">
        <f>T31-T40</f>
        <v>0</v>
      </c>
      <c r="U45" s="57">
        <f t="shared" si="1"/>
        <v>-8132780.9673706014</v>
      </c>
      <c r="V45" s="69"/>
      <c r="W45" s="57">
        <f>U45-'Adj List'!E19</f>
        <v>0</v>
      </c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</row>
    <row r="46" spans="1:34" ht="18" customHeight="1">
      <c r="A46" s="71"/>
      <c r="B46" s="69" t="s">
        <v>295</v>
      </c>
      <c r="C46" s="57">
        <f>C40</f>
        <v>0</v>
      </c>
      <c r="D46" s="57">
        <f t="shared" ref="D46:M46" si="11">D40</f>
        <v>0</v>
      </c>
      <c r="E46" s="57">
        <f t="shared" si="11"/>
        <v>0</v>
      </c>
      <c r="F46" s="57">
        <f t="shared" si="11"/>
        <v>0</v>
      </c>
      <c r="G46" s="57">
        <f t="shared" si="11"/>
        <v>-268537</v>
      </c>
      <c r="H46" s="57">
        <f t="shared" si="11"/>
        <v>215535.84999999998</v>
      </c>
      <c r="I46" s="57">
        <f t="shared" si="11"/>
        <v>0</v>
      </c>
      <c r="J46" s="57">
        <f t="shared" si="11"/>
        <v>0</v>
      </c>
      <c r="K46" s="57">
        <f t="shared" si="11"/>
        <v>0</v>
      </c>
      <c r="L46" s="57">
        <f t="shared" si="11"/>
        <v>0</v>
      </c>
      <c r="M46" s="57">
        <f t="shared" si="11"/>
        <v>0</v>
      </c>
      <c r="N46" s="57"/>
      <c r="O46" s="57"/>
      <c r="P46" s="57"/>
      <c r="Q46" s="57"/>
      <c r="R46" s="57"/>
      <c r="S46" s="57"/>
      <c r="T46" s="57"/>
      <c r="U46" s="57">
        <f t="shared" si="1"/>
        <v>-53001.150000000023</v>
      </c>
      <c r="V46" s="69"/>
      <c r="W46" s="57">
        <f>U46-'Adj List'!F19</f>
        <v>0</v>
      </c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</row>
    <row r="47" spans="1:34" ht="18" customHeight="1">
      <c r="A47" s="71"/>
      <c r="B47" s="69" t="s">
        <v>119</v>
      </c>
      <c r="C47" s="57">
        <f>C44-C45+C46</f>
        <v>0</v>
      </c>
      <c r="D47" s="57">
        <f t="shared" ref="D47:M47" si="12">D44-D45+D46</f>
        <v>0</v>
      </c>
      <c r="E47" s="57">
        <f t="shared" si="12"/>
        <v>-16666.669999999998</v>
      </c>
      <c r="F47" s="57">
        <f t="shared" si="12"/>
        <v>92667.45</v>
      </c>
      <c r="G47" s="57">
        <f t="shared" si="12"/>
        <v>-268537</v>
      </c>
      <c r="H47" s="57">
        <f t="shared" si="12"/>
        <v>293035.84999999998</v>
      </c>
      <c r="I47" s="57">
        <f t="shared" si="12"/>
        <v>-120318.50999999982</v>
      </c>
      <c r="J47" s="57">
        <f t="shared" si="12"/>
        <v>198427.6</v>
      </c>
      <c r="K47" s="57">
        <f t="shared" si="12"/>
        <v>10800</v>
      </c>
      <c r="L47" s="57">
        <f t="shared" si="12"/>
        <v>-328721.63000000006</v>
      </c>
      <c r="M47" s="57">
        <f t="shared" si="12"/>
        <v>31742.91</v>
      </c>
      <c r="N47" s="57">
        <f t="shared" ref="N47:T47" si="13">N44-N45</f>
        <v>-200790.5226293981</v>
      </c>
      <c r="O47" s="57">
        <f t="shared" si="13"/>
        <v>0</v>
      </c>
      <c r="P47" s="57">
        <f t="shared" si="13"/>
        <v>0</v>
      </c>
      <c r="Q47" s="57">
        <f t="shared" si="13"/>
        <v>0</v>
      </c>
      <c r="R47" s="57">
        <f t="shared" si="13"/>
        <v>0</v>
      </c>
      <c r="S47" s="57">
        <f t="shared" si="13"/>
        <v>0</v>
      </c>
      <c r="T47" s="57">
        <f t="shared" si="13"/>
        <v>0</v>
      </c>
      <c r="U47" s="57">
        <f t="shared" si="1"/>
        <v>-308360.52262939804</v>
      </c>
      <c r="V47" s="69"/>
      <c r="W47" s="57">
        <f>U47-'Adj List'!G19</f>
        <v>0</v>
      </c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</row>
    <row r="48" spans="1:34" ht="18" customHeight="1">
      <c r="A48" s="71"/>
      <c r="B48" s="69" t="s">
        <v>120</v>
      </c>
      <c r="C48" s="57">
        <f t="shared" ref="C48:U48" si="14">C47-C42</f>
        <v>0</v>
      </c>
      <c r="D48" s="57">
        <f t="shared" si="14"/>
        <v>0</v>
      </c>
      <c r="E48" s="57">
        <f t="shared" si="14"/>
        <v>0</v>
      </c>
      <c r="F48" s="57">
        <f t="shared" si="14"/>
        <v>0</v>
      </c>
      <c r="G48" s="57">
        <f t="shared" si="14"/>
        <v>0</v>
      </c>
      <c r="H48" s="57">
        <f t="shared" si="14"/>
        <v>0</v>
      </c>
      <c r="I48" s="57">
        <f t="shared" si="14"/>
        <v>0</v>
      </c>
      <c r="J48" s="57">
        <f t="shared" si="14"/>
        <v>0</v>
      </c>
      <c r="K48" s="57">
        <f t="shared" si="14"/>
        <v>0</v>
      </c>
      <c r="L48" s="57">
        <f t="shared" si="14"/>
        <v>0</v>
      </c>
      <c r="M48" s="57">
        <f t="shared" si="14"/>
        <v>0</v>
      </c>
      <c r="N48" s="57">
        <f t="shared" si="14"/>
        <v>0</v>
      </c>
      <c r="O48" s="57">
        <f t="shared" si="14"/>
        <v>0</v>
      </c>
      <c r="P48" s="57">
        <f t="shared" si="14"/>
        <v>0</v>
      </c>
      <c r="Q48" s="57">
        <f t="shared" si="14"/>
        <v>0</v>
      </c>
      <c r="R48" s="57">
        <f t="shared" si="14"/>
        <v>0</v>
      </c>
      <c r="S48" s="57">
        <f t="shared" si="14"/>
        <v>0</v>
      </c>
      <c r="T48" s="57">
        <f t="shared" si="14"/>
        <v>0</v>
      </c>
      <c r="U48" s="57">
        <f t="shared" si="14"/>
        <v>0</v>
      </c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</row>
    <row r="49" spans="1:34" ht="18" customHeight="1">
      <c r="A49" s="71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</row>
    <row r="50" spans="1:34" ht="18" customHeight="1">
      <c r="A50" s="71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</row>
    <row r="51" spans="1:34">
      <c r="A51" s="71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</row>
    <row r="52" spans="1:34">
      <c r="A52" s="71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</row>
    <row r="53" spans="1:34">
      <c r="A53" s="71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</row>
    <row r="54" spans="1:34">
      <c r="A54" s="71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</row>
    <row r="55" spans="1:34">
      <c r="A55" s="71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</row>
    <row r="56" spans="1:34">
      <c r="A56" s="71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</row>
    <row r="57" spans="1:34">
      <c r="A57" s="71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</row>
    <row r="58" spans="1:34">
      <c r="A58" s="71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</row>
    <row r="59" spans="1:34">
      <c r="A59" s="71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</row>
    <row r="60" spans="1:34">
      <c r="A60" s="71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</row>
    <row r="61" spans="1:34">
      <c r="A61" s="71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</row>
    <row r="62" spans="1:34">
      <c r="A62" s="71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</row>
    <row r="63" spans="1:34">
      <c r="A63" s="71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</row>
    <row r="64" spans="1:34">
      <c r="A64" s="71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</row>
    <row r="65" spans="1:34">
      <c r="A65" s="71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</row>
    <row r="66" spans="1:34">
      <c r="A66" s="71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</row>
    <row r="67" spans="1:34">
      <c r="A67" s="71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</row>
    <row r="68" spans="1:34">
      <c r="A68" s="71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</row>
    <row r="69" spans="1:34">
      <c r="A69" s="71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</row>
    <row r="70" spans="1:34">
      <c r="A70" s="71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</row>
    <row r="71" spans="1:34">
      <c r="A71" s="71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</row>
    <row r="72" spans="1:34">
      <c r="A72" s="71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</row>
    <row r="73" spans="1:34">
      <c r="A73" s="71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</row>
    <row r="74" spans="1:34">
      <c r="A74" s="71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</row>
    <row r="75" spans="1:34">
      <c r="A75" s="71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</row>
    <row r="76" spans="1:34">
      <c r="A76" s="71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</row>
    <row r="77" spans="1:34">
      <c r="A77" s="71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</row>
    <row r="78" spans="1:34">
      <c r="A78" s="71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</row>
    <row r="79" spans="1:34">
      <c r="A79" s="71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</row>
    <row r="80" spans="1:34">
      <c r="A80" s="71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</row>
    <row r="81" spans="1:34">
      <c r="A81" s="71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</row>
    <row r="82" spans="1:34">
      <c r="A82" s="71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</row>
    <row r="83" spans="1:34">
      <c r="A83" s="71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</row>
    <row r="84" spans="1:34">
      <c r="A84" s="71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</row>
    <row r="85" spans="1:34">
      <c r="A85" s="71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</row>
    <row r="86" spans="1:34">
      <c r="A86" s="71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</row>
    <row r="87" spans="1:34">
      <c r="A87" s="71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</row>
    <row r="88" spans="1:34">
      <c r="A88" s="71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</row>
    <row r="89" spans="1:34">
      <c r="A89" s="71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</row>
    <row r="90" spans="1:34">
      <c r="A90" s="71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</row>
    <row r="91" spans="1:34">
      <c r="A91" s="71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</row>
    <row r="92" spans="1:34">
      <c r="A92" s="71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</row>
    <row r="93" spans="1:34">
      <c r="A93" s="71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</row>
    <row r="94" spans="1:34">
      <c r="A94" s="71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</row>
    <row r="95" spans="1:34">
      <c r="A95" s="71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</row>
    <row r="96" spans="1:34">
      <c r="A96" s="71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</row>
    <row r="97" spans="1:34">
      <c r="A97" s="71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</row>
    <row r="98" spans="1:34">
      <c r="A98" s="71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</row>
    <row r="99" spans="1:34">
      <c r="A99" s="71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</row>
    <row r="100" spans="1:34">
      <c r="A100" s="71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</row>
    <row r="101" spans="1:34">
      <c r="A101" s="71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</row>
    <row r="102" spans="1:34"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</row>
    <row r="103" spans="1:34"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</row>
    <row r="104" spans="1:34"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</row>
    <row r="105" spans="1:34"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</row>
    <row r="106" spans="1:34"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</row>
    <row r="107" spans="1:34"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</row>
    <row r="108" spans="1:34"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</row>
    <row r="109" spans="1:34"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</row>
    <row r="110" spans="1:34"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</row>
    <row r="111" spans="1:34"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</row>
    <row r="112" spans="1:34"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</row>
    <row r="113" spans="2:28"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</row>
    <row r="114" spans="2:28"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</row>
    <row r="115" spans="2:28"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</row>
    <row r="116" spans="2:28"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</row>
    <row r="117" spans="2:28"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</row>
    <row r="118" spans="2:28"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</row>
    <row r="119" spans="2:28"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</row>
    <row r="120" spans="2:28"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</row>
    <row r="121" spans="2:28"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</row>
    <row r="122" spans="2:28"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</row>
    <row r="123" spans="2:28"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</row>
    <row r="124" spans="2:28"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</row>
    <row r="125" spans="2:28"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</row>
    <row r="126" spans="2:28"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</row>
    <row r="127" spans="2:28"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</row>
    <row r="128" spans="2:28"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</row>
    <row r="129" spans="2:28"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</row>
    <row r="130" spans="2:28"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</row>
    <row r="131" spans="2:28"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</row>
    <row r="132" spans="2:28"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</row>
    <row r="133" spans="2:28"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</row>
    <row r="134" spans="2:28"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</row>
    <row r="135" spans="2:28"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</row>
    <row r="136" spans="2:28"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</row>
    <row r="137" spans="2:28"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</row>
    <row r="138" spans="2:28"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</row>
    <row r="139" spans="2:28"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</row>
    <row r="140" spans="2:28"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</row>
    <row r="141" spans="2:28"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</row>
    <row r="142" spans="2:28"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</row>
    <row r="143" spans="2:28"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</row>
    <row r="144" spans="2:28"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</row>
    <row r="145" spans="2:28"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</row>
    <row r="146" spans="2:28"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</row>
    <row r="147" spans="2:28">
      <c r="V147" s="69"/>
      <c r="W147" s="69"/>
      <c r="X147" s="69"/>
      <c r="Y147" s="69"/>
      <c r="Z147" s="69"/>
      <c r="AA147" s="69"/>
      <c r="AB147" s="69"/>
    </row>
    <row r="148" spans="2:28">
      <c r="V148" s="69"/>
      <c r="W148" s="69"/>
      <c r="X148" s="69"/>
      <c r="Y148" s="69"/>
      <c r="Z148" s="69"/>
      <c r="AA148" s="69"/>
      <c r="AB148" s="69"/>
    </row>
    <row r="149" spans="2:28">
      <c r="V149" s="69"/>
      <c r="W149" s="69"/>
      <c r="X149" s="69"/>
      <c r="Y149" s="69"/>
      <c r="Z149" s="69"/>
      <c r="AA149" s="69"/>
      <c r="AB149" s="69"/>
    </row>
    <row r="150" spans="2:28">
      <c r="V150" s="69"/>
      <c r="W150" s="69"/>
      <c r="X150" s="69"/>
      <c r="Y150" s="69"/>
      <c r="Z150" s="69"/>
      <c r="AA150" s="69"/>
      <c r="AB150" s="69"/>
    </row>
    <row r="151" spans="2:28">
      <c r="V151" s="69"/>
      <c r="W151" s="69"/>
      <c r="X151" s="69"/>
      <c r="Y151" s="69"/>
      <c r="Z151" s="69"/>
      <c r="AA151" s="69"/>
      <c r="AB151" s="69"/>
    </row>
  </sheetData>
  <conditionalFormatting sqref="C48:U48">
    <cfRule type="cellIs" dxfId="11" priority="1" operator="notEqual">
      <formula>0</formula>
    </cfRule>
    <cfRule type="cellIs" dxfId="10" priority="2" operator="equal">
      <formula>0</formula>
    </cfRule>
  </conditionalFormatting>
  <conditionalFormatting sqref="W12">
    <cfRule type="cellIs" dxfId="9" priority="11" operator="notEqual">
      <formula>0</formula>
    </cfRule>
    <cfRule type="cellIs" dxfId="8" priority="12" operator="equal">
      <formula>0</formula>
    </cfRule>
  </conditionalFormatting>
  <conditionalFormatting sqref="W31">
    <cfRule type="cellIs" dxfId="7" priority="9" operator="notEqual">
      <formula>0</formula>
    </cfRule>
    <cfRule type="cellIs" dxfId="6" priority="10" operator="equal">
      <formula>0</formula>
    </cfRule>
  </conditionalFormatting>
  <conditionalFormatting sqref="W40">
    <cfRule type="cellIs" dxfId="5" priority="7" operator="notEqual">
      <formula>0</formula>
    </cfRule>
    <cfRule type="cellIs" dxfId="4" priority="8" operator="equal">
      <formula>0</formula>
    </cfRule>
  </conditionalFormatting>
  <conditionalFormatting sqref="W42">
    <cfRule type="cellIs" dxfId="3" priority="5" operator="notEqual">
      <formula>0</formula>
    </cfRule>
    <cfRule type="cellIs" dxfId="2" priority="6" operator="equal">
      <formula>0</formula>
    </cfRule>
  </conditionalFormatting>
  <conditionalFormatting sqref="W44:W47">
    <cfRule type="cellIs" dxfId="1" priority="3" operator="notEqual">
      <formula>0</formula>
    </cfRule>
    <cfRule type="cellIs" dxfId="0" priority="4" operator="equal">
      <formula>0</formula>
    </cfRule>
  </conditionalFormatting>
  <printOptions horizontalCentered="1"/>
  <pageMargins left="0.25" right="0.25" top="0.75" bottom="0.75" header="0.3" footer="0.3"/>
  <pageSetup scale="68" orientation="landscape" r:id="rId1"/>
  <headerFooter>
    <oddFooter>&amp;RRevised Exhibit  JW-2
Page &amp;P of &amp;N</oddFooter>
  </headerFooter>
  <ignoredErrors>
    <ignoredError sqref="C31:U34 C48:U48 C38:F38 H38:U38 C39:U44 N45:U45 N47:U47 C36:U36 C35:G35 I35:U35 C37:G37 I37:U3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0">
    <pageSetUpPr fitToPage="1"/>
  </sheetPr>
  <dimension ref="A1:O34"/>
  <sheetViews>
    <sheetView view="pageBreakPreview" zoomScaleNormal="100" zoomScaleSheetLayoutView="100" workbookViewId="0">
      <selection activeCell="L31" sqref="L31"/>
    </sheetView>
  </sheetViews>
  <sheetFormatPr defaultRowHeight="12.75"/>
  <cols>
    <col min="1" max="1" width="5.85546875" style="11" customWidth="1"/>
    <col min="2" max="2" width="2.28515625" style="11" customWidth="1"/>
    <col min="3" max="3" width="11.7109375" style="11" customWidth="1"/>
    <col min="4" max="4" width="10.85546875" style="11" customWidth="1"/>
    <col min="5" max="5" width="5.85546875" style="11" customWidth="1"/>
    <col min="6" max="6" width="15.28515625" style="11" customWidth="1"/>
    <col min="7" max="7" width="3.28515625" style="11" customWidth="1"/>
    <col min="8" max="8" width="15.7109375" style="11" customWidth="1"/>
    <col min="9" max="9" width="9.140625" style="11"/>
    <col min="10" max="11" width="9.7109375" style="11" bestFit="1" customWidth="1"/>
    <col min="12" max="16384" width="9.140625" style="11"/>
  </cols>
  <sheetData>
    <row r="1" spans="1:15">
      <c r="G1" s="5"/>
      <c r="H1" s="5" t="s">
        <v>27</v>
      </c>
    </row>
    <row r="2" spans="1:15" ht="20.25" customHeight="1">
      <c r="G2" s="5"/>
      <c r="H2" s="5"/>
    </row>
    <row r="3" spans="1:15">
      <c r="G3" s="5"/>
      <c r="H3" s="5"/>
    </row>
    <row r="4" spans="1:15">
      <c r="A4" s="252" t="str">
        <f>RevReq!A1</f>
        <v>CLARK ENERGY COOPERATIVE</v>
      </c>
      <c r="B4" s="252"/>
      <c r="C4" s="252"/>
      <c r="D4" s="252"/>
      <c r="E4" s="252"/>
      <c r="F4" s="252"/>
      <c r="G4" s="252"/>
      <c r="H4" s="252"/>
      <c r="J4" s="7"/>
      <c r="K4" s="7"/>
      <c r="L4" s="7"/>
      <c r="M4" s="7"/>
      <c r="N4" s="7"/>
      <c r="O4" s="7"/>
    </row>
    <row r="5" spans="1:15">
      <c r="A5" s="252" t="str">
        <f>RevReq!A3</f>
        <v>For the 12 Months Ended December 31, 2024</v>
      </c>
      <c r="B5" s="252"/>
      <c r="C5" s="252"/>
      <c r="D5" s="252"/>
      <c r="E5" s="252"/>
      <c r="F5" s="252"/>
      <c r="G5" s="252"/>
      <c r="H5" s="252"/>
    </row>
    <row r="7" spans="1:15" s="6" customFormat="1" ht="15" customHeight="1">
      <c r="A7" s="253" t="s">
        <v>127</v>
      </c>
      <c r="B7" s="253"/>
      <c r="C7" s="253"/>
      <c r="D7" s="253"/>
      <c r="E7" s="253"/>
      <c r="F7" s="253"/>
      <c r="G7" s="253"/>
      <c r="H7" s="253"/>
    </row>
    <row r="9" spans="1:15">
      <c r="A9" s="10" t="s">
        <v>0</v>
      </c>
      <c r="C9" s="10" t="s">
        <v>16</v>
      </c>
      <c r="D9" s="10" t="s">
        <v>17</v>
      </c>
      <c r="E9" s="10"/>
      <c r="F9" s="10" t="s">
        <v>23</v>
      </c>
      <c r="G9" s="10"/>
      <c r="H9" s="10" t="s">
        <v>24</v>
      </c>
    </row>
    <row r="10" spans="1:15">
      <c r="A10" s="12" t="s">
        <v>21</v>
      </c>
      <c r="C10" s="13" t="s">
        <v>18</v>
      </c>
      <c r="D10" s="13" t="s">
        <v>20</v>
      </c>
      <c r="E10" s="10"/>
      <c r="F10" s="13" t="s">
        <v>19</v>
      </c>
      <c r="G10" s="13"/>
      <c r="H10" s="13" t="s">
        <v>25</v>
      </c>
    </row>
    <row r="11" spans="1:15">
      <c r="A11" s="10"/>
      <c r="F11" s="175"/>
    </row>
    <row r="12" spans="1:15">
      <c r="A12" s="10"/>
      <c r="C12" s="11" t="s">
        <v>312</v>
      </c>
      <c r="F12" s="139">
        <v>-313069.03999999998</v>
      </c>
      <c r="G12" s="2"/>
      <c r="H12" s="2"/>
      <c r="K12" s="118"/>
    </row>
    <row r="13" spans="1:15">
      <c r="A13" s="10">
        <v>1</v>
      </c>
      <c r="C13" s="10">
        <v>2024</v>
      </c>
      <c r="D13" s="1" t="s">
        <v>6</v>
      </c>
      <c r="E13" s="14"/>
      <c r="F13" s="146">
        <v>389768.93</v>
      </c>
      <c r="G13" s="146"/>
      <c r="H13" s="146">
        <v>278273</v>
      </c>
    </row>
    <row r="14" spans="1:15">
      <c r="A14" s="10">
        <v>2</v>
      </c>
      <c r="C14" s="10">
        <f>C13</f>
        <v>2024</v>
      </c>
      <c r="D14" s="1" t="s">
        <v>7</v>
      </c>
      <c r="E14" s="14"/>
      <c r="F14" s="146">
        <v>143322.69</v>
      </c>
      <c r="G14" s="146"/>
      <c r="H14" s="146">
        <v>499662</v>
      </c>
    </row>
    <row r="15" spans="1:15">
      <c r="A15" s="10">
        <v>3</v>
      </c>
      <c r="C15" s="10">
        <f t="shared" ref="C15:C24" si="0">C14</f>
        <v>2024</v>
      </c>
      <c r="D15" s="1" t="s">
        <v>8</v>
      </c>
      <c r="E15" s="14"/>
      <c r="F15" s="146">
        <v>256276.27</v>
      </c>
      <c r="G15" s="146"/>
      <c r="H15" s="146">
        <v>578144</v>
      </c>
    </row>
    <row r="16" spans="1:15">
      <c r="A16" s="10">
        <v>4</v>
      </c>
      <c r="C16" s="10">
        <f t="shared" si="0"/>
        <v>2024</v>
      </c>
      <c r="D16" s="1" t="s">
        <v>9</v>
      </c>
      <c r="E16" s="14"/>
      <c r="F16" s="146">
        <v>455720.68</v>
      </c>
      <c r="G16" s="146"/>
      <c r="H16" s="146">
        <v>385127</v>
      </c>
    </row>
    <row r="17" spans="1:10">
      <c r="A17" s="10">
        <v>5</v>
      </c>
      <c r="C17" s="10">
        <f t="shared" si="0"/>
        <v>2024</v>
      </c>
      <c r="D17" s="1" t="s">
        <v>10</v>
      </c>
      <c r="E17" s="14"/>
      <c r="F17" s="146">
        <v>448159.07</v>
      </c>
      <c r="G17" s="146"/>
      <c r="H17" s="146">
        <v>74737</v>
      </c>
    </row>
    <row r="18" spans="1:10">
      <c r="A18" s="10">
        <v>6</v>
      </c>
      <c r="C18" s="10">
        <f t="shared" si="0"/>
        <v>2024</v>
      </c>
      <c r="D18" s="1" t="s">
        <v>11</v>
      </c>
      <c r="E18" s="14"/>
      <c r="F18" s="146">
        <v>186022.15</v>
      </c>
      <c r="G18" s="146"/>
      <c r="H18" s="146">
        <v>272495</v>
      </c>
    </row>
    <row r="19" spans="1:10">
      <c r="A19" s="10">
        <v>7</v>
      </c>
      <c r="C19" s="10">
        <f t="shared" si="0"/>
        <v>2024</v>
      </c>
      <c r="D19" s="1" t="s">
        <v>12</v>
      </c>
      <c r="E19" s="14"/>
      <c r="F19" s="146">
        <v>464076.12</v>
      </c>
      <c r="G19" s="146"/>
      <c r="H19" s="146">
        <v>304578</v>
      </c>
    </row>
    <row r="20" spans="1:10">
      <c r="A20" s="10">
        <v>8</v>
      </c>
      <c r="C20" s="10">
        <f t="shared" si="0"/>
        <v>2024</v>
      </c>
      <c r="D20" s="1" t="s">
        <v>13</v>
      </c>
      <c r="E20" s="14"/>
      <c r="F20" s="146">
        <v>312969.34999999998</v>
      </c>
      <c r="G20" s="146"/>
      <c r="H20" s="146">
        <v>256591</v>
      </c>
    </row>
    <row r="21" spans="1:10">
      <c r="A21" s="10">
        <v>9</v>
      </c>
      <c r="C21" s="10">
        <f t="shared" si="0"/>
        <v>2024</v>
      </c>
      <c r="D21" s="1" t="s">
        <v>2</v>
      </c>
      <c r="E21" s="14"/>
      <c r="F21" s="146">
        <v>142325.92000000001</v>
      </c>
      <c r="G21" s="146"/>
      <c r="H21" s="146">
        <v>307533</v>
      </c>
    </row>
    <row r="22" spans="1:10">
      <c r="A22" s="10">
        <v>10</v>
      </c>
      <c r="C22" s="10">
        <f t="shared" si="0"/>
        <v>2024</v>
      </c>
      <c r="D22" s="1" t="s">
        <v>3</v>
      </c>
      <c r="E22" s="14"/>
      <c r="F22" s="146">
        <v>210673.67000000004</v>
      </c>
      <c r="G22" s="146"/>
      <c r="H22" s="146">
        <v>207894</v>
      </c>
    </row>
    <row r="23" spans="1:10">
      <c r="A23" s="10">
        <v>11</v>
      </c>
      <c r="C23" s="10">
        <f t="shared" si="0"/>
        <v>2024</v>
      </c>
      <c r="D23" s="1" t="s">
        <v>4</v>
      </c>
      <c r="E23" s="14"/>
      <c r="F23" s="146">
        <v>222113.71</v>
      </c>
      <c r="G23" s="146"/>
      <c r="H23" s="146">
        <v>-138840</v>
      </c>
    </row>
    <row r="24" spans="1:10">
      <c r="A24" s="10">
        <v>12</v>
      </c>
      <c r="C24" s="10">
        <f t="shared" si="0"/>
        <v>2024</v>
      </c>
      <c r="D24" s="1" t="s">
        <v>5</v>
      </c>
      <c r="E24" s="14"/>
      <c r="F24" s="146">
        <v>-91856.51999999999</v>
      </c>
      <c r="G24" s="146"/>
      <c r="H24" s="146">
        <v>-199691</v>
      </c>
    </row>
    <row r="25" spans="1:10">
      <c r="A25" s="10">
        <v>13</v>
      </c>
      <c r="C25" s="16"/>
      <c r="D25" s="4" t="s">
        <v>14</v>
      </c>
      <c r="E25" s="17"/>
      <c r="F25" s="17">
        <f>SUM(F12:F24)</f>
        <v>2826503</v>
      </c>
      <c r="G25" s="17"/>
      <c r="H25" s="17">
        <f>SUM(H13:H24)</f>
        <v>2826503</v>
      </c>
      <c r="J25" s="118"/>
    </row>
    <row r="26" spans="1:10">
      <c r="A26" s="10">
        <v>14</v>
      </c>
      <c r="D26" s="2"/>
      <c r="E26" s="18"/>
      <c r="F26" s="18"/>
      <c r="G26" s="18"/>
    </row>
    <row r="27" spans="1:10">
      <c r="A27" s="10">
        <v>15</v>
      </c>
      <c r="C27" s="2" t="s">
        <v>37</v>
      </c>
      <c r="D27" s="2"/>
      <c r="E27" s="18"/>
      <c r="F27" s="19">
        <f>F25</f>
        <v>2826503</v>
      </c>
      <c r="G27" s="19"/>
      <c r="H27" s="19">
        <f>H25</f>
        <v>2826503</v>
      </c>
    </row>
    <row r="28" spans="1:10">
      <c r="A28" s="10">
        <v>16</v>
      </c>
      <c r="C28" s="2"/>
      <c r="D28" s="2"/>
      <c r="E28" s="18"/>
      <c r="F28" s="18"/>
      <c r="G28" s="18"/>
    </row>
    <row r="29" spans="1:10">
      <c r="A29" s="10">
        <v>17</v>
      </c>
      <c r="C29" s="2" t="s">
        <v>38</v>
      </c>
      <c r="E29" s="14"/>
      <c r="F29" s="14">
        <v>0</v>
      </c>
      <c r="G29" s="14"/>
      <c r="H29" s="14">
        <v>0</v>
      </c>
    </row>
    <row r="30" spans="1:10">
      <c r="A30" s="10">
        <v>18</v>
      </c>
      <c r="C30" s="2"/>
    </row>
    <row r="31" spans="1:10" ht="13.5" thickBot="1">
      <c r="A31" s="10">
        <v>19</v>
      </c>
      <c r="C31" s="3" t="s">
        <v>15</v>
      </c>
      <c r="D31" s="20"/>
      <c r="E31" s="21"/>
      <c r="F31" s="22">
        <f>ROUND(F29-F27,2)</f>
        <v>-2826503</v>
      </c>
      <c r="G31" s="21"/>
      <c r="H31" s="22">
        <f>ROUND(H29-H27,2)</f>
        <v>-2826503</v>
      </c>
      <c r="J31" s="118"/>
    </row>
    <row r="32" spans="1:10" ht="13.5" thickTop="1"/>
    <row r="34" spans="3:8" ht="30" customHeight="1">
      <c r="C34" s="254" t="s">
        <v>39</v>
      </c>
      <c r="D34" s="254"/>
      <c r="E34" s="254"/>
      <c r="F34" s="254"/>
      <c r="G34" s="254"/>
      <c r="H34" s="254"/>
    </row>
  </sheetData>
  <mergeCells count="4">
    <mergeCell ref="A4:H4"/>
    <mergeCell ref="A5:H5"/>
    <mergeCell ref="A7:H7"/>
    <mergeCell ref="C34:H34"/>
  </mergeCells>
  <printOptions horizontalCentered="1"/>
  <pageMargins left="1" right="0.75" top="0.75" bottom="0.5" header="0.5" footer="0.5"/>
  <pageSetup orientation="portrait" r:id="rId1"/>
  <headerFooter alignWithMargins="0">
    <oddFooter>&amp;RRevised Exhibit JW-2
Page &amp;P of &amp;N</oddFooter>
  </headerFooter>
  <ignoredErrors>
    <ignoredError sqref="D10:H11 C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1">
    <pageSetUpPr fitToPage="1"/>
  </sheetPr>
  <dimension ref="A1:J34"/>
  <sheetViews>
    <sheetView view="pageBreakPreview" zoomScaleNormal="100" zoomScaleSheetLayoutView="100" workbookViewId="0">
      <selection activeCell="C14" sqref="C14"/>
    </sheetView>
  </sheetViews>
  <sheetFormatPr defaultRowHeight="12.75"/>
  <cols>
    <col min="1" max="1" width="5.85546875" style="11" customWidth="1"/>
    <col min="2" max="2" width="2.28515625" style="11" customWidth="1"/>
    <col min="3" max="3" width="11.7109375" style="11" customWidth="1"/>
    <col min="4" max="4" width="10.85546875" style="11" customWidth="1"/>
    <col min="5" max="5" width="5.85546875" style="11" customWidth="1"/>
    <col min="6" max="6" width="15.28515625" style="11" customWidth="1"/>
    <col min="7" max="7" width="3.28515625" style="11" customWidth="1"/>
    <col min="8" max="8" width="14.42578125" style="11" customWidth="1"/>
    <col min="9" max="16384" width="9.140625" style="11"/>
  </cols>
  <sheetData>
    <row r="1" spans="1:10">
      <c r="G1" s="5"/>
      <c r="H1" s="5" t="s">
        <v>26</v>
      </c>
    </row>
    <row r="2" spans="1:10" ht="20.25" customHeight="1">
      <c r="G2" s="5"/>
      <c r="H2" s="5"/>
    </row>
    <row r="3" spans="1:10">
      <c r="G3" s="5"/>
      <c r="H3" s="5"/>
    </row>
    <row r="4" spans="1:10">
      <c r="A4" s="252" t="str">
        <f>RevReq!A1</f>
        <v>CLARK ENERGY COOPERATIVE</v>
      </c>
      <c r="B4" s="252"/>
      <c r="C4" s="252"/>
      <c r="D4" s="252"/>
      <c r="E4" s="252"/>
      <c r="F4" s="252"/>
      <c r="G4" s="252"/>
      <c r="H4" s="252"/>
    </row>
    <row r="5" spans="1:10">
      <c r="A5" s="252" t="str">
        <f>RevReq!A3</f>
        <v>For the 12 Months Ended December 31, 2024</v>
      </c>
      <c r="B5" s="252"/>
      <c r="C5" s="252"/>
      <c r="D5" s="252"/>
      <c r="E5" s="252"/>
      <c r="F5" s="252"/>
      <c r="G5" s="252"/>
      <c r="H5" s="252"/>
    </row>
    <row r="7" spans="1:10" s="6" customFormat="1" ht="15" customHeight="1">
      <c r="A7" s="253" t="s">
        <v>126</v>
      </c>
      <c r="B7" s="253"/>
      <c r="C7" s="253"/>
      <c r="D7" s="253"/>
      <c r="E7" s="253"/>
      <c r="F7" s="253"/>
      <c r="G7" s="253"/>
      <c r="H7" s="253"/>
    </row>
    <row r="9" spans="1:10">
      <c r="A9" s="10" t="s">
        <v>0</v>
      </c>
      <c r="C9" s="10" t="s">
        <v>16</v>
      </c>
      <c r="D9" s="10" t="s">
        <v>17</v>
      </c>
      <c r="E9" s="10"/>
      <c r="F9" s="10" t="s">
        <v>23</v>
      </c>
      <c r="G9" s="10"/>
      <c r="H9" s="10" t="s">
        <v>24</v>
      </c>
    </row>
    <row r="10" spans="1:10">
      <c r="A10" s="12" t="s">
        <v>21</v>
      </c>
      <c r="C10" s="13" t="s">
        <v>18</v>
      </c>
      <c r="D10" s="13" t="s">
        <v>20</v>
      </c>
      <c r="E10" s="10"/>
      <c r="F10" s="13" t="s">
        <v>19</v>
      </c>
      <c r="G10" s="13"/>
      <c r="H10" s="13" t="s">
        <v>25</v>
      </c>
    </row>
    <row r="11" spans="1:10">
      <c r="A11" s="10"/>
    </row>
    <row r="12" spans="1:10">
      <c r="A12" s="10"/>
      <c r="C12" s="11" t="s">
        <v>313</v>
      </c>
      <c r="F12" s="139">
        <v>-54222.8</v>
      </c>
      <c r="G12" s="2"/>
      <c r="H12" s="2"/>
      <c r="J12" s="118"/>
    </row>
    <row r="13" spans="1:10">
      <c r="A13" s="10">
        <v>1</v>
      </c>
      <c r="C13" s="10">
        <v>2024</v>
      </c>
      <c r="D13" s="1" t="s">
        <v>6</v>
      </c>
      <c r="E13" s="14"/>
      <c r="F13" s="146">
        <v>603339.26</v>
      </c>
      <c r="G13" s="146"/>
      <c r="H13" s="146">
        <v>544175</v>
      </c>
    </row>
    <row r="14" spans="1:10">
      <c r="A14" s="10">
        <v>2</v>
      </c>
      <c r="C14" s="10">
        <f>C13</f>
        <v>2024</v>
      </c>
      <c r="D14" s="1" t="s">
        <v>7</v>
      </c>
      <c r="E14" s="14"/>
      <c r="F14" s="146">
        <v>588919.90999999992</v>
      </c>
      <c r="G14" s="146"/>
      <c r="H14" s="146">
        <v>705691</v>
      </c>
    </row>
    <row r="15" spans="1:10">
      <c r="A15" s="10">
        <v>3</v>
      </c>
      <c r="C15" s="10">
        <f t="shared" ref="C15:C24" si="0">C14</f>
        <v>2024</v>
      </c>
      <c r="D15" s="1" t="s">
        <v>8</v>
      </c>
      <c r="E15" s="14"/>
      <c r="F15" s="146">
        <v>399940.03</v>
      </c>
      <c r="G15" s="146"/>
      <c r="H15" s="146">
        <v>485123</v>
      </c>
    </row>
    <row r="16" spans="1:10">
      <c r="A16" s="10">
        <v>4</v>
      </c>
      <c r="C16" s="10">
        <f t="shared" si="0"/>
        <v>2024</v>
      </c>
      <c r="D16" s="1" t="s">
        <v>9</v>
      </c>
      <c r="E16" s="14"/>
      <c r="F16" s="146">
        <v>281740.51999999996</v>
      </c>
      <c r="G16" s="146"/>
      <c r="H16" s="146">
        <v>289304</v>
      </c>
    </row>
    <row r="17" spans="1:10">
      <c r="A17" s="10">
        <v>5</v>
      </c>
      <c r="C17" s="10">
        <f t="shared" si="0"/>
        <v>2024</v>
      </c>
      <c r="D17" s="1" t="s">
        <v>10</v>
      </c>
      <c r="E17" s="14"/>
      <c r="F17" s="146">
        <v>348328.81999999995</v>
      </c>
      <c r="G17" s="146"/>
      <c r="H17" s="146">
        <v>296842</v>
      </c>
    </row>
    <row r="18" spans="1:10">
      <c r="A18" s="10">
        <v>6</v>
      </c>
      <c r="C18" s="10">
        <f t="shared" si="0"/>
        <v>2024</v>
      </c>
      <c r="D18" s="1" t="s">
        <v>11</v>
      </c>
      <c r="E18" s="14"/>
      <c r="F18" s="146">
        <v>426729.14</v>
      </c>
      <c r="G18" s="146"/>
      <c r="H18" s="146">
        <v>412137</v>
      </c>
    </row>
    <row r="19" spans="1:10">
      <c r="A19" s="10">
        <v>7</v>
      </c>
      <c r="C19" s="10">
        <f t="shared" si="0"/>
        <v>2024</v>
      </c>
      <c r="D19" s="1" t="s">
        <v>12</v>
      </c>
      <c r="E19" s="14"/>
      <c r="F19" s="146">
        <v>631448.25</v>
      </c>
      <c r="G19" s="146"/>
      <c r="H19" s="146">
        <v>606800</v>
      </c>
    </row>
    <row r="20" spans="1:10">
      <c r="A20" s="10">
        <v>8</v>
      </c>
      <c r="C20" s="10">
        <f t="shared" si="0"/>
        <v>2024</v>
      </c>
      <c r="D20" s="1" t="s">
        <v>13</v>
      </c>
      <c r="E20" s="14"/>
      <c r="F20" s="146">
        <v>599508.9800000001</v>
      </c>
      <c r="G20" s="146"/>
      <c r="H20" s="146">
        <v>594014</v>
      </c>
    </row>
    <row r="21" spans="1:10">
      <c r="A21" s="10">
        <v>9</v>
      </c>
      <c r="C21" s="10">
        <f t="shared" si="0"/>
        <v>2024</v>
      </c>
      <c r="D21" s="1" t="s">
        <v>2</v>
      </c>
      <c r="E21" s="14"/>
      <c r="F21" s="146">
        <v>471651.87</v>
      </c>
      <c r="G21" s="146"/>
      <c r="H21" s="146">
        <v>511328</v>
      </c>
    </row>
    <row r="22" spans="1:10">
      <c r="A22" s="10">
        <v>10</v>
      </c>
      <c r="C22" s="10">
        <f t="shared" si="0"/>
        <v>2024</v>
      </c>
      <c r="D22" s="1" t="s">
        <v>3</v>
      </c>
      <c r="E22" s="14"/>
      <c r="F22" s="146">
        <v>444051.65</v>
      </c>
      <c r="G22" s="146"/>
      <c r="H22" s="146">
        <v>470932</v>
      </c>
    </row>
    <row r="23" spans="1:10">
      <c r="A23" s="10">
        <v>11</v>
      </c>
      <c r="C23" s="10">
        <f t="shared" si="0"/>
        <v>2024</v>
      </c>
      <c r="D23" s="1" t="s">
        <v>4</v>
      </c>
      <c r="E23" s="14"/>
      <c r="F23" s="146">
        <v>457949.04000000004</v>
      </c>
      <c r="G23" s="146"/>
      <c r="H23" s="146">
        <v>383315</v>
      </c>
    </row>
    <row r="24" spans="1:10">
      <c r="A24" s="10">
        <v>12</v>
      </c>
      <c r="C24" s="10">
        <f t="shared" si="0"/>
        <v>2024</v>
      </c>
      <c r="D24" s="1" t="s">
        <v>5</v>
      </c>
      <c r="E24" s="14"/>
      <c r="F24" s="146">
        <v>567295.32999999996</v>
      </c>
      <c r="G24" s="146"/>
      <c r="H24" s="146">
        <v>467019</v>
      </c>
    </row>
    <row r="25" spans="1:10">
      <c r="A25" s="10">
        <v>13</v>
      </c>
      <c r="C25" s="16"/>
      <c r="D25" s="4" t="s">
        <v>14</v>
      </c>
      <c r="E25" s="17"/>
      <c r="F25" s="17">
        <f>SUM(F12:F24)</f>
        <v>5766680</v>
      </c>
      <c r="G25" s="17"/>
      <c r="H25" s="17">
        <f>SUM(H13:H24)</f>
        <v>5766680</v>
      </c>
    </row>
    <row r="26" spans="1:10">
      <c r="A26" s="10">
        <v>14</v>
      </c>
      <c r="D26" s="2"/>
      <c r="E26" s="18"/>
      <c r="F26" s="18"/>
      <c r="G26" s="18"/>
    </row>
    <row r="27" spans="1:10">
      <c r="A27" s="10">
        <v>15</v>
      </c>
      <c r="C27" s="2" t="s">
        <v>37</v>
      </c>
      <c r="D27" s="2"/>
      <c r="E27" s="18"/>
      <c r="F27" s="19">
        <f>F25</f>
        <v>5766680</v>
      </c>
      <c r="G27" s="19"/>
      <c r="H27" s="19">
        <f>H25</f>
        <v>5766680</v>
      </c>
    </row>
    <row r="28" spans="1:10">
      <c r="A28" s="10">
        <v>16</v>
      </c>
      <c r="C28" s="2"/>
      <c r="D28" s="2"/>
      <c r="E28" s="18"/>
      <c r="F28" s="19"/>
      <c r="G28" s="19"/>
    </row>
    <row r="29" spans="1:10">
      <c r="A29" s="10">
        <v>17</v>
      </c>
      <c r="C29" s="2" t="s">
        <v>38</v>
      </c>
      <c r="E29" s="14"/>
      <c r="F29" s="14">
        <v>0</v>
      </c>
      <c r="G29" s="14"/>
      <c r="H29" s="14">
        <v>0</v>
      </c>
    </row>
    <row r="30" spans="1:10">
      <c r="A30" s="10">
        <v>18</v>
      </c>
      <c r="C30" s="2"/>
    </row>
    <row r="31" spans="1:10" ht="13.5" thickBot="1">
      <c r="A31" s="10">
        <v>19</v>
      </c>
      <c r="C31" s="3" t="s">
        <v>15</v>
      </c>
      <c r="D31" s="20"/>
      <c r="E31" s="21"/>
      <c r="F31" s="22">
        <f>ROUND(F29-F27,2)</f>
        <v>-5766680</v>
      </c>
      <c r="G31" s="21"/>
      <c r="H31" s="22">
        <f>ROUND(H29-H27,2)</f>
        <v>-5766680</v>
      </c>
      <c r="J31" s="118"/>
    </row>
    <row r="32" spans="1:10" ht="13.5" thickTop="1"/>
    <row r="34" spans="3:8" ht="29.25" customHeight="1">
      <c r="C34" s="254" t="s">
        <v>40</v>
      </c>
      <c r="D34" s="254"/>
      <c r="E34" s="254"/>
      <c r="F34" s="254"/>
      <c r="G34" s="254"/>
      <c r="H34" s="254"/>
    </row>
  </sheetData>
  <mergeCells count="4">
    <mergeCell ref="A4:H4"/>
    <mergeCell ref="A5:H5"/>
    <mergeCell ref="A7:H7"/>
    <mergeCell ref="C34:H34"/>
  </mergeCells>
  <printOptions horizontalCentered="1"/>
  <pageMargins left="1" right="0.75" top="0.75" bottom="0.5" header="0.5" footer="0.5"/>
  <pageSetup orientation="portrait" r:id="rId1"/>
  <headerFooter alignWithMargins="0">
    <oddFooter>&amp;RRevised Exhibit JW-2
Page &amp;P of &amp;N</oddFooter>
  </headerFooter>
  <ignoredErrors>
    <ignoredError sqref="C10:H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pageSetUpPr fitToPage="1"/>
  </sheetPr>
  <dimension ref="A1:E26"/>
  <sheetViews>
    <sheetView view="pageBreakPreview" zoomScaleNormal="100" zoomScaleSheetLayoutView="100" workbookViewId="0">
      <selection activeCell="J20" sqref="J20"/>
    </sheetView>
  </sheetViews>
  <sheetFormatPr defaultRowHeight="12.75"/>
  <cols>
    <col min="1" max="1" width="5.85546875" style="11" customWidth="1"/>
    <col min="2" max="2" width="2.28515625" style="11" customWidth="1"/>
    <col min="3" max="3" width="37.7109375" style="11" bestFit="1" customWidth="1"/>
    <col min="4" max="4" width="2.42578125" style="11" customWidth="1"/>
    <col min="5" max="5" width="15.7109375" style="11" customWidth="1"/>
    <col min="6" max="16384" width="9.140625" style="11"/>
  </cols>
  <sheetData>
    <row r="1" spans="1:5">
      <c r="E1" s="5" t="s">
        <v>123</v>
      </c>
    </row>
    <row r="2" spans="1:5" ht="20.25" customHeight="1">
      <c r="E2" s="5"/>
    </row>
    <row r="3" spans="1:5">
      <c r="A3" s="252" t="str">
        <f>RevReq!A1</f>
        <v>CLARK ENERGY COOPERATIVE</v>
      </c>
      <c r="B3" s="252"/>
      <c r="C3" s="252"/>
      <c r="D3" s="252"/>
      <c r="E3" s="252"/>
    </row>
    <row r="4" spans="1:5">
      <c r="A4" s="252" t="str">
        <f>RevReq!A3</f>
        <v>For the 12 Months Ended December 31, 2024</v>
      </c>
      <c r="B4" s="252"/>
      <c r="C4" s="252"/>
      <c r="D4" s="252"/>
      <c r="E4" s="252"/>
    </row>
    <row r="6" spans="1:5" s="6" customFormat="1" ht="15" customHeight="1">
      <c r="A6" s="253" t="s">
        <v>31</v>
      </c>
      <c r="B6" s="253"/>
      <c r="C6" s="253"/>
      <c r="D6" s="253"/>
      <c r="E6" s="253"/>
    </row>
    <row r="8" spans="1:5">
      <c r="A8" s="10" t="s">
        <v>0</v>
      </c>
      <c r="C8" s="10" t="s">
        <v>41</v>
      </c>
      <c r="D8" s="10"/>
      <c r="E8" s="10" t="s">
        <v>24</v>
      </c>
    </row>
    <row r="9" spans="1:5">
      <c r="A9" s="12" t="s">
        <v>21</v>
      </c>
      <c r="C9" s="13" t="s">
        <v>18</v>
      </c>
      <c r="D9" s="13"/>
      <c r="E9" s="13" t="s">
        <v>20</v>
      </c>
    </row>
    <row r="10" spans="1:5">
      <c r="A10" s="10"/>
    </row>
    <row r="11" spans="1:5">
      <c r="A11" s="10">
        <v>1</v>
      </c>
      <c r="C11" s="15" t="s">
        <v>311</v>
      </c>
      <c r="E11" s="139">
        <v>30000</v>
      </c>
    </row>
    <row r="12" spans="1:5">
      <c r="A12" s="10">
        <f>A11+1</f>
        <v>2</v>
      </c>
      <c r="C12" s="15" t="s">
        <v>114</v>
      </c>
      <c r="E12" s="139">
        <v>20000</v>
      </c>
    </row>
    <row r="13" spans="1:5">
      <c r="A13" s="10">
        <f t="shared" ref="A13:A23" si="0">A12+1</f>
        <v>3</v>
      </c>
      <c r="C13" s="16" t="s">
        <v>22</v>
      </c>
      <c r="D13" s="4"/>
      <c r="E13" s="35">
        <f>SUM(E11:E12)</f>
        <v>50000</v>
      </c>
    </row>
    <row r="14" spans="1:5">
      <c r="A14" s="10">
        <f t="shared" si="0"/>
        <v>4</v>
      </c>
      <c r="D14" s="2"/>
    </row>
    <row r="15" spans="1:5">
      <c r="A15" s="10">
        <f t="shared" si="0"/>
        <v>5</v>
      </c>
      <c r="C15" s="2" t="s">
        <v>43</v>
      </c>
      <c r="D15" s="2"/>
      <c r="E15" s="19">
        <f>E13</f>
        <v>50000</v>
      </c>
    </row>
    <row r="16" spans="1:5">
      <c r="A16" s="10">
        <f t="shared" si="0"/>
        <v>6</v>
      </c>
      <c r="C16" s="2" t="s">
        <v>44</v>
      </c>
      <c r="D16" s="2"/>
      <c r="E16" s="19">
        <v>3</v>
      </c>
    </row>
    <row r="17" spans="1:5">
      <c r="A17" s="10">
        <f t="shared" si="0"/>
        <v>7</v>
      </c>
      <c r="C17" s="2" t="s">
        <v>46</v>
      </c>
      <c r="D17" s="2"/>
      <c r="E17" s="19">
        <f>E15/E16</f>
        <v>16666.666666666668</v>
      </c>
    </row>
    <row r="18" spans="1:5">
      <c r="A18" s="10">
        <f t="shared" si="0"/>
        <v>8</v>
      </c>
      <c r="C18" s="2"/>
      <c r="D18" s="2"/>
      <c r="E18" s="19"/>
    </row>
    <row r="19" spans="1:5">
      <c r="A19" s="10">
        <f t="shared" si="0"/>
        <v>9</v>
      </c>
      <c r="C19" s="2" t="s">
        <v>37</v>
      </c>
      <c r="D19" s="2"/>
      <c r="E19" s="19">
        <v>0</v>
      </c>
    </row>
    <row r="20" spans="1:5">
      <c r="A20" s="10">
        <f t="shared" si="0"/>
        <v>10</v>
      </c>
      <c r="C20" s="2"/>
      <c r="D20" s="2"/>
    </row>
    <row r="21" spans="1:5">
      <c r="A21" s="10">
        <f t="shared" si="0"/>
        <v>11</v>
      </c>
      <c r="C21" s="2" t="s">
        <v>38</v>
      </c>
      <c r="E21" s="14">
        <f>E17</f>
        <v>16666.666666666668</v>
      </c>
    </row>
    <row r="22" spans="1:5">
      <c r="A22" s="10">
        <f t="shared" si="0"/>
        <v>12</v>
      </c>
      <c r="C22" s="2"/>
    </row>
    <row r="23" spans="1:5" ht="13.5" thickBot="1">
      <c r="A23" s="10">
        <f t="shared" si="0"/>
        <v>13</v>
      </c>
      <c r="C23" s="3" t="s">
        <v>15</v>
      </c>
      <c r="D23" s="20"/>
      <c r="E23" s="22">
        <f>ROUND(E21-E19,2)</f>
        <v>16666.669999999998</v>
      </c>
    </row>
    <row r="24" spans="1:5" ht="13.5" thickTop="1"/>
    <row r="26" spans="1:5" ht="30" customHeight="1">
      <c r="C26" s="254" t="s">
        <v>47</v>
      </c>
      <c r="D26" s="254"/>
      <c r="E26" s="254"/>
    </row>
  </sheetData>
  <mergeCells count="4">
    <mergeCell ref="C26:E26"/>
    <mergeCell ref="A3:E3"/>
    <mergeCell ref="A4:E4"/>
    <mergeCell ref="A6:E6"/>
  </mergeCells>
  <printOptions horizontalCentered="1"/>
  <pageMargins left="1" right="0.75" top="0.75" bottom="0.5" header="0.5" footer="0.5"/>
  <pageSetup orientation="portrait" r:id="rId1"/>
  <headerFooter alignWithMargins="0">
    <oddFooter>&amp;RRevised Exhibit JW-2
Page &amp;P of &amp;N</oddFooter>
  </headerFooter>
  <ignoredErrors>
    <ignoredError sqref="C9:E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2">
    <pageSetUpPr fitToPage="1"/>
  </sheetPr>
  <dimension ref="A1:J59"/>
  <sheetViews>
    <sheetView view="pageBreakPreview" topLeftCell="A27" zoomScaleNormal="100" zoomScaleSheetLayoutView="100" workbookViewId="0">
      <selection activeCell="G57" sqref="G57"/>
    </sheetView>
  </sheetViews>
  <sheetFormatPr defaultRowHeight="12.75"/>
  <cols>
    <col min="1" max="1" width="5.85546875" style="11" customWidth="1"/>
    <col min="2" max="2" width="2.28515625" style="11" customWidth="1"/>
    <col min="3" max="3" width="13.28515625" style="11" customWidth="1"/>
    <col min="4" max="4" width="10.85546875" style="11" customWidth="1"/>
    <col min="5" max="5" width="4.140625" style="11" customWidth="1"/>
    <col min="6" max="6" width="12.42578125" style="11" bestFit="1" customWidth="1"/>
    <col min="7" max="7" width="16" style="11" bestFit="1" customWidth="1"/>
    <col min="8" max="8" width="10.85546875" style="11" bestFit="1" customWidth="1"/>
    <col min="9" max="9" width="11.42578125" style="11" bestFit="1" customWidth="1"/>
    <col min="10" max="10" width="11.7109375" style="11" customWidth="1"/>
    <col min="11" max="16384" width="9.140625" style="11"/>
  </cols>
  <sheetData>
    <row r="1" spans="1:10">
      <c r="J1" s="5" t="s">
        <v>122</v>
      </c>
    </row>
    <row r="2" spans="1:10" ht="20.25" customHeight="1">
      <c r="J2" s="5"/>
    </row>
    <row r="3" spans="1:10">
      <c r="G3" s="5"/>
    </row>
    <row r="4" spans="1:10">
      <c r="A4" s="252" t="str">
        <f>RevReq!A1</f>
        <v>CLARK ENERGY COOPERATIVE</v>
      </c>
      <c r="B4" s="252"/>
      <c r="C4" s="252"/>
      <c r="D4" s="252"/>
      <c r="E4" s="252"/>
      <c r="F4" s="252"/>
      <c r="G4" s="252"/>
      <c r="H4" s="252"/>
      <c r="I4" s="252"/>
      <c r="J4" s="252"/>
    </row>
    <row r="5" spans="1:10">
      <c r="A5" s="252" t="str">
        <f>RevReq!A3</f>
        <v>For the 12 Months Ended December 31, 2024</v>
      </c>
      <c r="B5" s="252"/>
      <c r="C5" s="252"/>
      <c r="D5" s="252"/>
      <c r="E5" s="252"/>
      <c r="F5" s="252"/>
      <c r="G5" s="252"/>
      <c r="H5" s="252"/>
      <c r="I5" s="252"/>
      <c r="J5" s="252"/>
    </row>
    <row r="7" spans="1:10" s="6" customFormat="1" ht="15" customHeight="1">
      <c r="A7" s="253" t="s">
        <v>50</v>
      </c>
      <c r="B7" s="253"/>
      <c r="C7" s="253"/>
      <c r="D7" s="253"/>
      <c r="E7" s="253"/>
      <c r="F7" s="253"/>
      <c r="G7" s="253"/>
      <c r="H7" s="253"/>
      <c r="I7" s="253"/>
      <c r="J7" s="253"/>
    </row>
    <row r="9" spans="1:10">
      <c r="A9" s="10" t="s">
        <v>0</v>
      </c>
      <c r="C9" s="10" t="s">
        <v>16</v>
      </c>
      <c r="D9" s="10" t="s">
        <v>17</v>
      </c>
      <c r="E9" s="10"/>
      <c r="F9" s="28" t="s">
        <v>248</v>
      </c>
      <c r="G9" s="28" t="s">
        <v>247</v>
      </c>
      <c r="H9" s="28" t="s">
        <v>250</v>
      </c>
      <c r="I9" s="28" t="s">
        <v>249</v>
      </c>
      <c r="J9" s="10" t="s">
        <v>45</v>
      </c>
    </row>
    <row r="10" spans="1:10">
      <c r="A10" s="12" t="s">
        <v>21</v>
      </c>
      <c r="C10" s="13" t="s">
        <v>18</v>
      </c>
      <c r="D10" s="13" t="s">
        <v>20</v>
      </c>
      <c r="E10" s="10"/>
      <c r="F10" s="13" t="s">
        <v>19</v>
      </c>
      <c r="G10" s="13" t="s">
        <v>25</v>
      </c>
      <c r="H10" s="13" t="s">
        <v>51</v>
      </c>
      <c r="I10" s="13" t="s">
        <v>52</v>
      </c>
      <c r="J10" s="13" t="s">
        <v>53</v>
      </c>
    </row>
    <row r="11" spans="1:10">
      <c r="A11" s="10"/>
    </row>
    <row r="12" spans="1:10">
      <c r="A12" s="10"/>
    </row>
    <row r="13" spans="1:10">
      <c r="A13" s="10">
        <v>1</v>
      </c>
      <c r="C13" s="10">
        <v>2024</v>
      </c>
      <c r="D13" s="1" t="s">
        <v>6</v>
      </c>
      <c r="E13" s="14"/>
      <c r="F13" s="177">
        <v>25559</v>
      </c>
      <c r="G13" s="177">
        <v>1983</v>
      </c>
      <c r="H13" s="177">
        <v>311.99999999999994</v>
      </c>
      <c r="I13" s="177">
        <v>119.00000000000001</v>
      </c>
      <c r="J13" s="140"/>
    </row>
    <row r="14" spans="1:10">
      <c r="A14" s="10">
        <v>2</v>
      </c>
      <c r="C14" s="10">
        <v>2024</v>
      </c>
      <c r="D14" s="1" t="s">
        <v>7</v>
      </c>
      <c r="E14" s="14"/>
      <c r="F14" s="177">
        <v>25632.731471535983</v>
      </c>
      <c r="G14" s="177">
        <v>1999</v>
      </c>
      <c r="H14" s="177">
        <v>309</v>
      </c>
      <c r="I14" s="177">
        <v>119.00000000000001</v>
      </c>
      <c r="J14" s="141"/>
    </row>
    <row r="15" spans="1:10">
      <c r="A15" s="10">
        <v>3</v>
      </c>
      <c r="C15" s="10">
        <v>2024</v>
      </c>
      <c r="D15" s="1" t="s">
        <v>8</v>
      </c>
      <c r="E15" s="14"/>
      <c r="F15" s="177">
        <v>25566.537056928035</v>
      </c>
      <c r="G15" s="177">
        <v>1996.0000000000002</v>
      </c>
      <c r="H15" s="177">
        <v>309</v>
      </c>
      <c r="I15" s="177">
        <v>120.00000000000001</v>
      </c>
      <c r="J15" s="141"/>
    </row>
    <row r="16" spans="1:10">
      <c r="A16" s="10">
        <v>4</v>
      </c>
      <c r="C16" s="10">
        <v>2024</v>
      </c>
      <c r="D16" s="1" t="s">
        <v>9</v>
      </c>
      <c r="E16" s="14"/>
      <c r="F16" s="177">
        <v>25582.268528464017</v>
      </c>
      <c r="G16" s="177">
        <v>2017</v>
      </c>
      <c r="H16" s="177">
        <v>314</v>
      </c>
      <c r="I16" s="177">
        <v>118</v>
      </c>
      <c r="J16" s="141"/>
    </row>
    <row r="17" spans="1:10">
      <c r="A17" s="10">
        <v>5</v>
      </c>
      <c r="C17" s="10">
        <v>2024</v>
      </c>
      <c r="D17" s="1" t="s">
        <v>10</v>
      </c>
      <c r="E17" s="14"/>
      <c r="F17" s="177">
        <v>25649.268528464017</v>
      </c>
      <c r="G17" s="177">
        <v>2016</v>
      </c>
      <c r="H17" s="177">
        <v>315</v>
      </c>
      <c r="I17" s="177">
        <v>119.00000000000001</v>
      </c>
      <c r="J17" s="141"/>
    </row>
    <row r="18" spans="1:10">
      <c r="A18" s="10">
        <v>6</v>
      </c>
      <c r="C18" s="10">
        <v>2024</v>
      </c>
      <c r="D18" s="1" t="s">
        <v>11</v>
      </c>
      <c r="E18" s="14"/>
      <c r="F18" s="177">
        <v>25690.999999999996</v>
      </c>
      <c r="G18" s="177">
        <v>2033</v>
      </c>
      <c r="H18" s="177">
        <v>321</v>
      </c>
      <c r="I18" s="177">
        <v>120.00000000000001</v>
      </c>
      <c r="J18" s="141"/>
    </row>
    <row r="19" spans="1:10">
      <c r="A19" s="10">
        <v>7</v>
      </c>
      <c r="C19" s="10">
        <v>2024</v>
      </c>
      <c r="D19" s="1" t="s">
        <v>12</v>
      </c>
      <c r="E19" s="14"/>
      <c r="F19" s="177">
        <v>25692.268528464017</v>
      </c>
      <c r="G19" s="177">
        <v>2056</v>
      </c>
      <c r="H19" s="177">
        <v>318.99999999999994</v>
      </c>
      <c r="I19" s="177">
        <v>119.00000000000001</v>
      </c>
      <c r="J19" s="141"/>
    </row>
    <row r="20" spans="1:10">
      <c r="A20" s="10">
        <v>8</v>
      </c>
      <c r="C20" s="10">
        <v>2024</v>
      </c>
      <c r="D20" s="1" t="s">
        <v>13</v>
      </c>
      <c r="E20" s="14"/>
      <c r="F20" s="177">
        <v>25767</v>
      </c>
      <c r="G20" s="177">
        <v>2048</v>
      </c>
      <c r="H20" s="177">
        <v>318</v>
      </c>
      <c r="I20" s="177">
        <v>120.00000000000001</v>
      </c>
      <c r="J20" s="141"/>
    </row>
    <row r="21" spans="1:10">
      <c r="A21" s="10">
        <v>9</v>
      </c>
      <c r="C21" s="10">
        <v>2024</v>
      </c>
      <c r="D21" s="1" t="s">
        <v>2</v>
      </c>
      <c r="E21" s="14"/>
      <c r="F21" s="177">
        <v>25768.268528464017</v>
      </c>
      <c r="G21" s="177">
        <v>2049</v>
      </c>
      <c r="H21" s="177">
        <v>315</v>
      </c>
      <c r="I21" s="177">
        <v>121.00000000000001</v>
      </c>
      <c r="J21" s="141"/>
    </row>
    <row r="22" spans="1:10">
      <c r="A22" s="10">
        <v>10</v>
      </c>
      <c r="C22" s="10">
        <v>2024</v>
      </c>
      <c r="D22" s="1" t="s">
        <v>3</v>
      </c>
      <c r="E22" s="14"/>
      <c r="F22" s="177">
        <v>25798</v>
      </c>
      <c r="G22" s="177">
        <v>2063</v>
      </c>
      <c r="H22" s="177">
        <v>311.99999999999994</v>
      </c>
      <c r="I22" s="177">
        <v>120.00000000000001</v>
      </c>
      <c r="J22" s="141"/>
    </row>
    <row r="23" spans="1:10">
      <c r="A23" s="10">
        <v>11</v>
      </c>
      <c r="C23" s="10">
        <v>2024</v>
      </c>
      <c r="D23" s="1" t="s">
        <v>4</v>
      </c>
      <c r="E23" s="14"/>
      <c r="F23" s="177">
        <v>25817</v>
      </c>
      <c r="G23" s="177">
        <v>2069</v>
      </c>
      <c r="H23" s="177">
        <v>311.99999999999994</v>
      </c>
      <c r="I23" s="177">
        <v>118</v>
      </c>
      <c r="J23" s="141"/>
    </row>
    <row r="24" spans="1:10">
      <c r="A24" s="10">
        <v>12</v>
      </c>
      <c r="C24" s="10">
        <v>2024</v>
      </c>
      <c r="D24" s="1" t="s">
        <v>5</v>
      </c>
      <c r="E24" s="14"/>
      <c r="F24" s="177">
        <v>25811</v>
      </c>
      <c r="G24" s="177">
        <v>2054</v>
      </c>
      <c r="H24" s="177">
        <v>313</v>
      </c>
      <c r="I24" s="177">
        <v>119.00000000000001</v>
      </c>
      <c r="J24" s="141"/>
    </row>
    <row r="25" spans="1:10">
      <c r="A25" s="10">
        <v>13</v>
      </c>
      <c r="C25" s="4" t="s">
        <v>55</v>
      </c>
      <c r="D25" s="16"/>
      <c r="E25" s="18"/>
      <c r="F25" s="142">
        <f>AVERAGE(F13:F24)</f>
        <v>25694.528553526674</v>
      </c>
      <c r="G25" s="142">
        <f t="shared" ref="G25:I25" si="0">AVERAGE(G13:G24)</f>
        <v>2031.9166666666667</v>
      </c>
      <c r="H25" s="142">
        <f t="shared" si="0"/>
        <v>314.08333333333331</v>
      </c>
      <c r="I25" s="142">
        <f t="shared" si="0"/>
        <v>119.33333333333336</v>
      </c>
      <c r="J25" s="141"/>
    </row>
    <row r="26" spans="1:10">
      <c r="A26" s="10">
        <v>14</v>
      </c>
      <c r="F26" s="2"/>
      <c r="G26" s="2"/>
      <c r="H26" s="2"/>
      <c r="I26" s="2"/>
      <c r="J26" s="2"/>
    </row>
    <row r="27" spans="1:10">
      <c r="A27" s="10">
        <v>15</v>
      </c>
      <c r="C27" s="30" t="s">
        <v>70</v>
      </c>
      <c r="E27" s="18"/>
      <c r="F27" s="176">
        <f>F24-F25</f>
        <v>116.47144647332607</v>
      </c>
      <c r="G27" s="176">
        <f>G24-G25</f>
        <v>22.083333333333258</v>
      </c>
      <c r="H27" s="176">
        <f>H24-H25</f>
        <v>-1.0833333333333144</v>
      </c>
      <c r="I27" s="176">
        <f>I24-I25</f>
        <v>-0.33333333333334281</v>
      </c>
      <c r="J27" s="141"/>
    </row>
    <row r="28" spans="1:10">
      <c r="A28" s="10">
        <v>16</v>
      </c>
      <c r="D28" s="1"/>
      <c r="E28" s="18"/>
      <c r="F28" s="144"/>
      <c r="G28" s="144"/>
      <c r="H28" s="2"/>
      <c r="I28" s="2"/>
      <c r="J28" s="2"/>
    </row>
    <row r="29" spans="1:10">
      <c r="A29" s="10">
        <v>17</v>
      </c>
      <c r="C29" s="11" t="s">
        <v>56</v>
      </c>
      <c r="D29" s="1"/>
      <c r="E29" s="18"/>
      <c r="F29" s="143">
        <v>321373036</v>
      </c>
      <c r="G29" s="143">
        <v>32071501</v>
      </c>
      <c r="H29" s="143">
        <v>3649587</v>
      </c>
      <c r="I29" s="143">
        <v>42496124</v>
      </c>
      <c r="J29" s="141"/>
    </row>
    <row r="30" spans="1:10">
      <c r="A30" s="10">
        <v>18</v>
      </c>
      <c r="C30" s="11" t="s">
        <v>57</v>
      </c>
      <c r="D30" s="1"/>
      <c r="E30" s="18"/>
      <c r="F30" s="143">
        <f>F29/F25</f>
        <v>12507.450188491212</v>
      </c>
      <c r="G30" s="143">
        <f>G29/G25</f>
        <v>15783.866300291185</v>
      </c>
      <c r="H30" s="143">
        <f>H29/H25</f>
        <v>11619.804722738127</v>
      </c>
      <c r="I30" s="143">
        <f>I29/I25</f>
        <v>356112.77094972058</v>
      </c>
      <c r="J30" s="141"/>
    </row>
    <row r="31" spans="1:10">
      <c r="A31" s="10">
        <v>19</v>
      </c>
      <c r="C31" s="11" t="s">
        <v>58</v>
      </c>
      <c r="D31" s="1"/>
      <c r="E31" s="18"/>
      <c r="F31" s="143">
        <f>F30*F27</f>
        <v>1456760.8151466462</v>
      </c>
      <c r="G31" s="143">
        <f>G30*G27</f>
        <v>348560.38079809584</v>
      </c>
      <c r="H31" s="143">
        <f>H30*H27</f>
        <v>-12588.121782966084</v>
      </c>
      <c r="I31" s="143">
        <f>I30*I27</f>
        <v>-118704.25698324357</v>
      </c>
      <c r="J31" s="145">
        <f>SUM(F31:I31)</f>
        <v>1674028.8171785322</v>
      </c>
    </row>
    <row r="32" spans="1:10">
      <c r="A32" s="10">
        <v>20</v>
      </c>
      <c r="D32" s="1"/>
      <c r="E32" s="18"/>
      <c r="F32" s="144"/>
      <c r="G32" s="144"/>
      <c r="H32" s="2"/>
      <c r="I32" s="2"/>
      <c r="J32" s="2"/>
    </row>
    <row r="33" spans="1:10">
      <c r="A33" s="10">
        <v>21</v>
      </c>
      <c r="C33" s="31" t="s">
        <v>62</v>
      </c>
      <c r="D33" s="1"/>
      <c r="E33" s="18"/>
      <c r="F33" s="144"/>
      <c r="G33" s="144"/>
      <c r="H33" s="2"/>
      <c r="I33" s="2"/>
      <c r="J33" s="2"/>
    </row>
    <row r="34" spans="1:10">
      <c r="A34" s="10">
        <v>22</v>
      </c>
      <c r="C34" s="11" t="s">
        <v>59</v>
      </c>
      <c r="D34" s="1"/>
      <c r="E34" s="18"/>
      <c r="F34" s="144">
        <v>38273771.514279999</v>
      </c>
      <c r="G34" s="144">
        <v>4231361.1997599993</v>
      </c>
      <c r="H34" s="146">
        <v>472728.22609999997</v>
      </c>
      <c r="I34" s="146">
        <v>4584711.8299600007</v>
      </c>
      <c r="J34" s="141"/>
    </row>
    <row r="35" spans="1:10">
      <c r="A35" s="10">
        <v>23</v>
      </c>
      <c r="C35" s="11" t="s">
        <v>60</v>
      </c>
      <c r="D35" s="1"/>
      <c r="E35" s="18"/>
      <c r="F35" s="147">
        <f>F34/F29</f>
        <v>0.11909453260503161</v>
      </c>
      <c r="G35" s="147">
        <f>G34/G29</f>
        <v>0.1319352405663832</v>
      </c>
      <c r="H35" s="147">
        <f>H34/H29</f>
        <v>0.12952923881524128</v>
      </c>
      <c r="I35" s="147">
        <f>I34/I29</f>
        <v>0.10788541161918674</v>
      </c>
      <c r="J35" s="141"/>
    </row>
    <row r="36" spans="1:10">
      <c r="A36" s="10">
        <v>24</v>
      </c>
      <c r="C36" s="11" t="s">
        <v>61</v>
      </c>
      <c r="D36" s="1"/>
      <c r="E36" s="18"/>
      <c r="F36" s="144">
        <f>F35*F31</f>
        <v>173492.24839721469</v>
      </c>
      <c r="G36" s="144">
        <f>G35*G31</f>
        <v>45987.397692506907</v>
      </c>
      <c r="H36" s="144">
        <f>H35*H31</f>
        <v>-1630.5298326611548</v>
      </c>
      <c r="I36" s="144">
        <f>I35*I31</f>
        <v>-12806.457625586954</v>
      </c>
      <c r="J36" s="145">
        <f>SUM(F36:I36)</f>
        <v>205042.65863147349</v>
      </c>
    </row>
    <row r="37" spans="1:10">
      <c r="A37" s="10">
        <v>25</v>
      </c>
      <c r="D37" s="1"/>
      <c r="E37" s="18"/>
      <c r="F37" s="144"/>
      <c r="G37" s="144"/>
      <c r="H37" s="144"/>
      <c r="I37" s="144"/>
      <c r="J37" s="2"/>
    </row>
    <row r="38" spans="1:10">
      <c r="A38" s="10">
        <v>26</v>
      </c>
      <c r="C38" s="31" t="s">
        <v>63</v>
      </c>
      <c r="D38" s="1"/>
      <c r="E38" s="18"/>
      <c r="F38" s="144"/>
      <c r="G38" s="144"/>
      <c r="H38" s="144"/>
      <c r="I38" s="144"/>
      <c r="J38" s="2"/>
    </row>
    <row r="39" spans="1:10">
      <c r="A39" s="10">
        <v>27</v>
      </c>
      <c r="C39" s="11" t="s">
        <v>72</v>
      </c>
      <c r="D39" s="1"/>
      <c r="E39" s="18"/>
      <c r="F39" s="148">
        <f>G56/G57</f>
        <v>6.7128600897083779E-2</v>
      </c>
      <c r="G39" s="148">
        <f>F39</f>
        <v>6.7128600897083779E-2</v>
      </c>
      <c r="H39" s="148">
        <f>G39</f>
        <v>6.7128600897083779E-2</v>
      </c>
      <c r="I39" s="148">
        <f>H39</f>
        <v>6.7128600897083779E-2</v>
      </c>
      <c r="J39" s="141"/>
    </row>
    <row r="40" spans="1:10">
      <c r="A40" s="10">
        <v>28</v>
      </c>
      <c r="C40" s="11" t="s">
        <v>64</v>
      </c>
      <c r="D40" s="1"/>
      <c r="E40" s="18"/>
      <c r="F40" s="144">
        <f>F39*F31</f>
        <v>97790.315362489651</v>
      </c>
      <c r="G40" s="144">
        <f>G39*G31</f>
        <v>23398.37069113092</v>
      </c>
      <c r="H40" s="144">
        <f>H39*H31</f>
        <v>-845.02300321261691</v>
      </c>
      <c r="I40" s="144">
        <f>I39*I31</f>
        <v>-7968.4506918130273</v>
      </c>
      <c r="J40" s="177">
        <f>SUM(F40:I40)</f>
        <v>112375.21235859493</v>
      </c>
    </row>
    <row r="41" spans="1:10" ht="13.5" thickBot="1">
      <c r="A41" s="10">
        <v>29</v>
      </c>
      <c r="C41" s="32"/>
      <c r="D41" s="33"/>
      <c r="E41" s="34"/>
      <c r="F41" s="149"/>
      <c r="G41" s="149"/>
      <c r="H41" s="149"/>
      <c r="I41" s="149"/>
      <c r="J41" s="150"/>
    </row>
    <row r="42" spans="1:10" ht="13.5" thickTop="1">
      <c r="A42" s="10">
        <v>30</v>
      </c>
      <c r="D42" s="1"/>
      <c r="E42" s="18"/>
      <c r="F42" s="2"/>
      <c r="G42" s="2"/>
      <c r="H42" s="2"/>
      <c r="I42" s="2"/>
      <c r="J42" s="2"/>
    </row>
    <row r="43" spans="1:10">
      <c r="A43" s="10">
        <v>31</v>
      </c>
      <c r="D43" s="2"/>
      <c r="E43" s="18"/>
      <c r="F43" s="151" t="s">
        <v>33</v>
      </c>
      <c r="G43" s="151" t="s">
        <v>24</v>
      </c>
      <c r="H43" s="2"/>
      <c r="I43" s="2"/>
      <c r="J43" s="151" t="s">
        <v>73</v>
      </c>
    </row>
    <row r="44" spans="1:10">
      <c r="A44" s="10">
        <v>32</v>
      </c>
      <c r="C44" s="2" t="s">
        <v>37</v>
      </c>
      <c r="D44" s="2"/>
      <c r="E44" s="18"/>
      <c r="F44" s="130">
        <v>0</v>
      </c>
      <c r="G44" s="130">
        <v>0</v>
      </c>
      <c r="H44" s="2"/>
      <c r="I44" s="2"/>
      <c r="J44" s="152">
        <f>F44-G44</f>
        <v>0</v>
      </c>
    </row>
    <row r="45" spans="1:10">
      <c r="A45" s="10">
        <v>33</v>
      </c>
      <c r="C45" s="2"/>
      <c r="D45" s="2"/>
      <c r="E45" s="18"/>
      <c r="F45" s="144"/>
      <c r="G45" s="2"/>
      <c r="H45" s="2"/>
      <c r="I45" s="2"/>
      <c r="J45" s="2"/>
    </row>
    <row r="46" spans="1:10">
      <c r="A46" s="10">
        <v>34</v>
      </c>
      <c r="C46" s="2" t="s">
        <v>38</v>
      </c>
      <c r="E46" s="14"/>
      <c r="F46" s="146">
        <f>J36</f>
        <v>205042.65863147349</v>
      </c>
      <c r="G46" s="146">
        <f>J40</f>
        <v>112375.21235859493</v>
      </c>
      <c r="H46" s="2"/>
      <c r="I46" s="2"/>
      <c r="J46" s="152">
        <f>F46-G46</f>
        <v>92667.446272878558</v>
      </c>
    </row>
    <row r="47" spans="1:10">
      <c r="A47" s="10">
        <v>35</v>
      </c>
      <c r="C47" s="2"/>
      <c r="F47" s="2"/>
      <c r="G47" s="2"/>
      <c r="H47" s="2"/>
      <c r="I47" s="2"/>
      <c r="J47" s="2"/>
    </row>
    <row r="48" spans="1:10" ht="13.5" thickBot="1">
      <c r="A48" s="10">
        <v>36</v>
      </c>
      <c r="C48" s="3" t="s">
        <v>15</v>
      </c>
      <c r="D48" s="20"/>
      <c r="E48" s="21"/>
      <c r="F48" s="153">
        <f>ROUND(F46-F44,2)</f>
        <v>205042.66</v>
      </c>
      <c r="G48" s="153">
        <f>ROUND(G46-G44,2)</f>
        <v>112375.21</v>
      </c>
      <c r="H48" s="2"/>
      <c r="I48" s="2"/>
      <c r="J48" s="153">
        <f>ROUND(J46-J44,2)</f>
        <v>92667.45</v>
      </c>
    </row>
    <row r="49" spans="1:10" ht="13.5" thickTop="1">
      <c r="A49" s="10">
        <v>37</v>
      </c>
      <c r="F49" s="2"/>
      <c r="G49" s="2"/>
      <c r="H49" s="2"/>
      <c r="I49" s="2"/>
      <c r="J49" s="2"/>
    </row>
    <row r="50" spans="1:10">
      <c r="A50" s="10">
        <v>38</v>
      </c>
      <c r="F50" s="2"/>
      <c r="G50" s="2"/>
      <c r="H50" s="2"/>
      <c r="I50" s="2"/>
      <c r="J50" s="2"/>
    </row>
    <row r="51" spans="1:10">
      <c r="A51" s="10">
        <v>39</v>
      </c>
      <c r="C51" s="25" t="s">
        <v>71</v>
      </c>
      <c r="F51" s="2"/>
      <c r="G51" s="154" t="s">
        <v>251</v>
      </c>
      <c r="H51" s="2"/>
      <c r="I51" s="2"/>
      <c r="J51" s="2"/>
    </row>
    <row r="52" spans="1:10">
      <c r="A52" s="10">
        <v>40</v>
      </c>
      <c r="C52" s="11" t="s">
        <v>65</v>
      </c>
      <c r="D52" s="1"/>
      <c r="E52" s="18"/>
      <c r="F52" s="2"/>
      <c r="G52" s="144">
        <v>39114087</v>
      </c>
      <c r="H52" s="2"/>
      <c r="I52" s="2"/>
      <c r="J52" s="2"/>
    </row>
    <row r="53" spans="1:10">
      <c r="A53" s="10">
        <v>41</v>
      </c>
      <c r="C53" s="11" t="s">
        <v>67</v>
      </c>
      <c r="D53" s="1"/>
      <c r="E53" s="18"/>
      <c r="F53" s="2"/>
      <c r="G53" s="144">
        <v>-2826503</v>
      </c>
      <c r="H53" s="2"/>
      <c r="I53" s="2"/>
      <c r="J53" s="2"/>
    </row>
    <row r="54" spans="1:10">
      <c r="A54" s="10">
        <v>42</v>
      </c>
      <c r="C54" s="11" t="s">
        <v>66</v>
      </c>
      <c r="D54" s="1"/>
      <c r="E54" s="18"/>
      <c r="F54" s="2"/>
      <c r="G54" s="144">
        <v>-5766680</v>
      </c>
      <c r="H54" s="2"/>
      <c r="I54" s="2"/>
      <c r="J54" s="2"/>
    </row>
    <row r="55" spans="1:10">
      <c r="A55" s="10">
        <v>43</v>
      </c>
      <c r="C55" s="11" t="s">
        <v>314</v>
      </c>
      <c r="D55" s="1"/>
      <c r="E55" s="18"/>
      <c r="F55" s="2"/>
      <c r="G55" s="144">
        <f>-1*(-6034+546-131-878)</f>
        <v>6497</v>
      </c>
      <c r="H55" s="2"/>
      <c r="I55" s="2"/>
      <c r="J55" s="2"/>
    </row>
    <row r="56" spans="1:10">
      <c r="A56" s="10">
        <v>44</v>
      </c>
      <c r="C56" s="11" t="s">
        <v>68</v>
      </c>
      <c r="D56" s="1"/>
      <c r="E56" s="18"/>
      <c r="F56" s="2"/>
      <c r="G56" s="144">
        <f>SUM(G52:G55)</f>
        <v>30527401</v>
      </c>
      <c r="H56" s="2"/>
      <c r="I56" s="2"/>
      <c r="J56" s="2"/>
    </row>
    <row r="57" spans="1:10">
      <c r="A57" s="10">
        <v>45</v>
      </c>
      <c r="C57" s="11" t="s">
        <v>69</v>
      </c>
      <c r="D57" s="1"/>
      <c r="E57" s="18"/>
      <c r="F57" s="2"/>
      <c r="G57" s="143">
        <v>454759977</v>
      </c>
      <c r="H57" s="2"/>
      <c r="I57" s="2"/>
      <c r="J57" s="2"/>
    </row>
    <row r="58" spans="1:10">
      <c r="F58" s="2"/>
      <c r="G58" s="2"/>
      <c r="H58" s="2"/>
      <c r="I58" s="2"/>
      <c r="J58" s="2"/>
    </row>
    <row r="59" spans="1:10" ht="27" customHeight="1">
      <c r="C59" s="254" t="s">
        <v>182</v>
      </c>
      <c r="D59" s="254"/>
      <c r="E59" s="254"/>
      <c r="F59" s="254"/>
      <c r="G59" s="254"/>
      <c r="H59" s="254"/>
      <c r="I59" s="254"/>
      <c r="J59" s="9"/>
    </row>
  </sheetData>
  <mergeCells count="4">
    <mergeCell ref="A4:J4"/>
    <mergeCell ref="A5:J5"/>
    <mergeCell ref="A7:J7"/>
    <mergeCell ref="C59:I59"/>
  </mergeCells>
  <printOptions horizontalCentered="1"/>
  <pageMargins left="0.25" right="0.25" top="0.75" bottom="0.75" header="0.5" footer="0.25"/>
  <pageSetup scale="76" orientation="portrait" r:id="rId1"/>
  <headerFooter alignWithMargins="0">
    <oddFooter>&amp;RRevised Exhibit JW-2
Page &amp;P of &amp;N</oddFooter>
  </headerFooter>
  <ignoredErrors>
    <ignoredError sqref="C10:J1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/>
  <dimension ref="A1:F21"/>
  <sheetViews>
    <sheetView view="pageBreakPreview" zoomScaleNormal="100" zoomScaleSheetLayoutView="100" workbookViewId="0">
      <selection activeCell="J18" sqref="J18"/>
    </sheetView>
  </sheetViews>
  <sheetFormatPr defaultRowHeight="12.75"/>
  <cols>
    <col min="1" max="1" width="5.85546875" style="2" customWidth="1"/>
    <col min="2" max="2" width="2.28515625" style="2" customWidth="1"/>
    <col min="3" max="3" width="37.7109375" style="2" bestFit="1" customWidth="1"/>
    <col min="4" max="4" width="9.42578125" style="2" customWidth="1"/>
    <col min="5" max="5" width="2.42578125" style="2" customWidth="1"/>
    <col min="6" max="6" width="15.7109375" style="2" customWidth="1"/>
    <col min="7" max="16384" width="9.140625" style="2"/>
  </cols>
  <sheetData>
    <row r="1" spans="1:6">
      <c r="D1" s="155"/>
      <c r="F1" s="155" t="s">
        <v>121</v>
      </c>
    </row>
    <row r="2" spans="1:6" ht="20.25" customHeight="1">
      <c r="D2" s="155"/>
      <c r="F2" s="155"/>
    </row>
    <row r="3" spans="1:6">
      <c r="A3" s="255" t="str">
        <f>RevReq!A1</f>
        <v>CLARK ENERGY COOPERATIVE</v>
      </c>
      <c r="B3" s="255"/>
      <c r="C3" s="255"/>
      <c r="D3" s="255"/>
      <c r="E3" s="255"/>
      <c r="F3" s="255"/>
    </row>
    <row r="4" spans="1:6">
      <c r="A4" s="255" t="str">
        <f>RevReq!A3</f>
        <v>For the 12 Months Ended December 31, 2024</v>
      </c>
      <c r="B4" s="255"/>
      <c r="C4" s="255"/>
      <c r="D4" s="255"/>
      <c r="E4" s="255"/>
      <c r="F4" s="255"/>
    </row>
    <row r="6" spans="1:6" s="156" customFormat="1" ht="15" customHeight="1">
      <c r="A6" s="253" t="s">
        <v>32</v>
      </c>
      <c r="B6" s="253"/>
      <c r="C6" s="253"/>
      <c r="D6" s="253"/>
      <c r="E6" s="253"/>
      <c r="F6" s="253"/>
    </row>
    <row r="8" spans="1:6">
      <c r="A8" s="1" t="s">
        <v>0</v>
      </c>
      <c r="C8" s="1" t="s">
        <v>41</v>
      </c>
      <c r="D8" s="1" t="s">
        <v>42</v>
      </c>
      <c r="E8" s="1"/>
      <c r="F8" s="1" t="s">
        <v>24</v>
      </c>
    </row>
    <row r="9" spans="1:6">
      <c r="A9" s="45" t="s">
        <v>21</v>
      </c>
      <c r="C9" s="157" t="s">
        <v>18</v>
      </c>
      <c r="D9" s="157" t="s">
        <v>20</v>
      </c>
      <c r="E9" s="157"/>
      <c r="F9" s="157" t="s">
        <v>19</v>
      </c>
    </row>
    <row r="10" spans="1:6">
      <c r="A10" s="1"/>
    </row>
    <row r="11" spans="1:6">
      <c r="A11" s="1"/>
    </row>
    <row r="12" spans="1:6">
      <c r="A12" s="1">
        <v>1</v>
      </c>
      <c r="C12" s="158" t="s">
        <v>49</v>
      </c>
      <c r="D12" s="37">
        <v>424</v>
      </c>
      <c r="E12" s="1"/>
      <c r="F12" s="130">
        <f>RevReq!C36</f>
        <v>268537</v>
      </c>
    </row>
    <row r="13" spans="1:6">
      <c r="A13" s="1">
        <v>2</v>
      </c>
      <c r="F13" s="130"/>
    </row>
    <row r="14" spans="1:6">
      <c r="A14" s="1">
        <v>3</v>
      </c>
      <c r="C14" s="2" t="s">
        <v>37</v>
      </c>
      <c r="F14" s="130">
        <f>F12</f>
        <v>268537</v>
      </c>
    </row>
    <row r="15" spans="1:6">
      <c r="A15" s="1">
        <v>4</v>
      </c>
    </row>
    <row r="16" spans="1:6">
      <c r="A16" s="1">
        <v>5</v>
      </c>
      <c r="C16" s="2" t="s">
        <v>38</v>
      </c>
      <c r="F16" s="146">
        <v>0</v>
      </c>
    </row>
    <row r="17" spans="1:6">
      <c r="A17" s="1">
        <v>6</v>
      </c>
    </row>
    <row r="18" spans="1:6" ht="13.5" thickBot="1">
      <c r="A18" s="1">
        <v>7</v>
      </c>
      <c r="C18" s="3" t="s">
        <v>15</v>
      </c>
      <c r="D18" s="3"/>
      <c r="E18" s="3"/>
      <c r="F18" s="153">
        <f>ROUND(F16-F14,2)</f>
        <v>-268537</v>
      </c>
    </row>
    <row r="19" spans="1:6" ht="13.5" thickTop="1"/>
    <row r="21" spans="1:6" ht="30" customHeight="1">
      <c r="C21" s="256" t="s">
        <v>48</v>
      </c>
      <c r="D21" s="256"/>
      <c r="E21" s="256"/>
      <c r="F21" s="256"/>
    </row>
  </sheetData>
  <mergeCells count="4">
    <mergeCell ref="A3:F3"/>
    <mergeCell ref="A4:F4"/>
    <mergeCell ref="A6:F6"/>
    <mergeCell ref="C21:F21"/>
  </mergeCells>
  <printOptions horizontalCentered="1"/>
  <pageMargins left="1" right="0.75" top="0.75" bottom="0.5" header="0.5" footer="0.5"/>
  <pageSetup orientation="portrait" r:id="rId1"/>
  <headerFooter alignWithMargins="0">
    <oddFooter>&amp;RRevised Exhibit JW-2
Page &amp;P of &amp;N</oddFooter>
  </headerFooter>
  <ignoredErrors>
    <ignoredError sqref="C9:D9 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20</vt:i4>
      </vt:variant>
    </vt:vector>
  </HeadingPairs>
  <TitlesOfParts>
    <vt:vector size="36" baseType="lpstr">
      <vt:lpstr>RevReq</vt:lpstr>
      <vt:lpstr>Adj List</vt:lpstr>
      <vt:lpstr>Adj BS</vt:lpstr>
      <vt:lpstr>Adj IS</vt:lpstr>
      <vt:lpstr>1.01 FAC</vt:lpstr>
      <vt:lpstr>1.02 ES</vt:lpstr>
      <vt:lpstr>1.03 RC</vt:lpstr>
      <vt:lpstr>1.04 CUST</vt:lpstr>
      <vt:lpstr>1.05 GTCC</vt:lpstr>
      <vt:lpstr>1.06 NonRec</vt:lpstr>
      <vt:lpstr>1.07 Depr</vt:lpstr>
      <vt:lpstr>1.08 AdsDonat</vt:lpstr>
      <vt:lpstr>1.09 Dir</vt:lpstr>
      <vt:lpstr>1.10 Int</vt:lpstr>
      <vt:lpstr>1.11 Life</vt:lpstr>
      <vt:lpstr>1.12 Wages</vt:lpstr>
      <vt:lpstr>'1.01 FAC'!Print_Area</vt:lpstr>
      <vt:lpstr>'1.02 ES'!Print_Area</vt:lpstr>
      <vt:lpstr>'1.03 RC'!Print_Area</vt:lpstr>
      <vt:lpstr>'1.04 CUST'!Print_Area</vt:lpstr>
      <vt:lpstr>'1.05 GTCC'!Print_Area</vt:lpstr>
      <vt:lpstr>'1.06 NonRec'!Print_Area</vt:lpstr>
      <vt:lpstr>'1.07 Depr'!Print_Area</vt:lpstr>
      <vt:lpstr>'1.08 AdsDonat'!Print_Area</vt:lpstr>
      <vt:lpstr>'1.09 Dir'!Print_Area</vt:lpstr>
      <vt:lpstr>'1.10 Int'!Print_Area</vt:lpstr>
      <vt:lpstr>'1.11 Life'!Print_Area</vt:lpstr>
      <vt:lpstr>'1.12 Wages'!Print_Area</vt:lpstr>
      <vt:lpstr>'Adj BS'!Print_Area</vt:lpstr>
      <vt:lpstr>'Adj IS'!Print_Area</vt:lpstr>
      <vt:lpstr>'Adj List'!Print_Area</vt:lpstr>
      <vt:lpstr>RevReq!Print_Area</vt:lpstr>
      <vt:lpstr>'1.04 CUST'!Print_Titles</vt:lpstr>
      <vt:lpstr>'1.08 AdsDonat'!Print_Titles</vt:lpstr>
      <vt:lpstr>'1.09 Dir'!Print_Titles</vt:lpstr>
      <vt:lpstr>'1.11 Life'!Print_Titles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2025-08-04T16:55:00Z</cp:lastPrinted>
  <dcterms:created xsi:type="dcterms:W3CDTF">2012-11-02T18:45:21Z</dcterms:created>
  <dcterms:modified xsi:type="dcterms:W3CDTF">2025-09-21T19:37:58Z</dcterms:modified>
</cp:coreProperties>
</file>