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Clark/Rate Case 2025-00230/COS and Rates/"/>
    </mc:Choice>
  </mc:AlternateContent>
  <xr:revisionPtr revIDLastSave="20" documentId="8_{9DF990A8-49A0-442B-9A97-981D1E068ED1}" xr6:coauthVersionLast="47" xr6:coauthVersionMax="47" xr10:uidLastSave="{4706C390-5036-4121-ACFD-52871FAA9CAA}"/>
  <bookViews>
    <workbookView xWindow="-120" yWindow="-120" windowWidth="29040" windowHeight="15720" tabRatio="741" xr2:uid="{00000000-000D-0000-FFFF-FFFF00000000}"/>
  </bookViews>
  <sheets>
    <sheet name="Present and Proposed Rates" sheetId="61" r:id="rId1"/>
    <sheet name="R" sheetId="80" r:id="rId2"/>
    <sheet name="D-RTOD" sheetId="81" r:id="rId3"/>
    <sheet name="C" sheetId="82" r:id="rId4"/>
    <sheet name="E" sheetId="84" r:id="rId5"/>
    <sheet name="L" sheetId="85" r:id="rId6"/>
    <sheet name="M" sheetId="86" r:id="rId7"/>
    <sheet name="P" sheetId="88" r:id="rId8"/>
    <sheet name="B-1" sheetId="91" r:id="rId9"/>
    <sheet name="S,T,O Lights" sheetId="43" r:id="rId10"/>
    <sheet name="ResIncr" sheetId="79" r:id="rId11"/>
    <sheet name="Notice" sheetId="93" r:id="rId12"/>
    <sheet name="Act-vs-Calc" sheetId="13" r:id="rId13"/>
    <sheet name="Notice-Abbrev" sheetId="70" state="hidden" r:id="rId14"/>
    <sheet name="Notice-Full" sheetId="90" state="hidden" r:id="rId15"/>
    <sheet name="Billing Determ" sheetId="89" state="hidden" r:id="rId16"/>
    <sheet name="List" sheetId="73" state="hidden" r:id="rId17"/>
  </sheets>
  <externalReferences>
    <externalReference r:id="rId18"/>
  </externalReferences>
  <definedNames>
    <definedName name="EquityPercent" localSheetId="11">#REF!</definedName>
    <definedName name="EquityPercent" localSheetId="14">#REF!</definedName>
    <definedName name="EquityPercent">#REF!</definedName>
    <definedName name="Goto14" localSheetId="11">'[1]Table of Contents'!#REF!</definedName>
    <definedName name="Goto14" localSheetId="14">'[1]Table of Contents'!#REF!</definedName>
    <definedName name="Goto14">'[1]Table of Contents'!#REF!</definedName>
    <definedName name="Goto15" localSheetId="11">'[1]Table of Contents'!#REF!</definedName>
    <definedName name="Goto15" localSheetId="14">'[1]Table of Contents'!#REF!</definedName>
    <definedName name="Goto15">'[1]Table of Contents'!#REF!</definedName>
    <definedName name="Goto16" localSheetId="11">'[1]Table of Contents'!#REF!</definedName>
    <definedName name="Goto16" localSheetId="14">'[1]Table of Contents'!#REF!</definedName>
    <definedName name="Goto16">'[1]Table of Contents'!#REF!</definedName>
    <definedName name="Goto21" localSheetId="11">'[1]Table of Contents'!#REF!</definedName>
    <definedName name="Goto21" localSheetId="14">'[1]Table of Contents'!#REF!</definedName>
    <definedName name="Goto21">'[1]Table of Contents'!#REF!</definedName>
    <definedName name="Goto22" localSheetId="11">'[1]Table of Contents'!#REF!</definedName>
    <definedName name="Goto22" localSheetId="14">'[1]Table of Contents'!#REF!</definedName>
    <definedName name="Goto22">'[1]Table of Contents'!#REF!</definedName>
    <definedName name="Goto23" localSheetId="11">'[1]Table of Contents'!#REF!</definedName>
    <definedName name="Goto23" localSheetId="14">'[1]Table of Contents'!#REF!</definedName>
    <definedName name="Goto23">'[1]Table of Contents'!#REF!</definedName>
    <definedName name="Goto24" localSheetId="11">'[1]Table of Contents'!#REF!</definedName>
    <definedName name="Goto24" localSheetId="14">'[1]Table of Contents'!#REF!</definedName>
    <definedName name="Goto24">'[1]Table of Contents'!#REF!</definedName>
    <definedName name="Goto26" localSheetId="11">'[1]Table of Contents'!#REF!</definedName>
    <definedName name="Goto26" localSheetId="14">'[1]Table of Contents'!#REF!</definedName>
    <definedName name="Goto26">'[1]Table of Contents'!#REF!</definedName>
    <definedName name="Goto27" localSheetId="11">'[1]Table of Contents'!#REF!</definedName>
    <definedName name="Goto27" localSheetId="14">'[1]Table of Contents'!#REF!</definedName>
    <definedName name="Goto27">'[1]Table of Contents'!#REF!</definedName>
    <definedName name="Goto28" localSheetId="11">'[1]Table of Contents'!#REF!</definedName>
    <definedName name="Goto28" localSheetId="14">'[1]Table of Contents'!#REF!</definedName>
    <definedName name="Goto28">'[1]Table of Contents'!#REF!</definedName>
    <definedName name="Goto29" localSheetId="11">'[1]Table of Contents'!#REF!</definedName>
    <definedName name="Goto29" localSheetId="14">'[1]Table of Contents'!#REF!</definedName>
    <definedName name="Goto29">'[1]Table of Contents'!#REF!</definedName>
    <definedName name="Goto30" localSheetId="11">'[1]Table of Contents'!#REF!</definedName>
    <definedName name="Goto30" localSheetId="14">'[1]Table of Contents'!#REF!</definedName>
    <definedName name="Goto30">'[1]Table of Contents'!#REF!</definedName>
    <definedName name="Goto9" localSheetId="11">'[1]Table of Contents'!#REF!</definedName>
    <definedName name="Goto9" localSheetId="14">'[1]Table of Contents'!#REF!</definedName>
    <definedName name="Goto9">'[1]Table of Contents'!#REF!</definedName>
    <definedName name="GRE_Equity_Share" localSheetId="11">#REF!</definedName>
    <definedName name="GRE_Equity_Share" localSheetId="14">#REF!</definedName>
    <definedName name="GRE_Equity_Share">#REF!</definedName>
    <definedName name="HW_Equity_Share" localSheetId="11">#REF!</definedName>
    <definedName name="HW_Equity_Share" localSheetId="14">#REF!</definedName>
    <definedName name="HW_Equity_Share">#REF!</definedName>
    <definedName name="HW_ROI_Threshold" localSheetId="11">#REF!</definedName>
    <definedName name="HW_ROI_Threshold" localSheetId="14">#REF!</definedName>
    <definedName name="HW_ROI_Threshold">#REF!</definedName>
    <definedName name="Oppty_Availability" localSheetId="11">#REF!</definedName>
    <definedName name="Oppty_Availability" localSheetId="14">#REF!</definedName>
    <definedName name="Oppty_Availability">#REF!</definedName>
    <definedName name="Oppty_DollarMwh" localSheetId="11">#REF!</definedName>
    <definedName name="Oppty_DollarMwh" localSheetId="14">#REF!</definedName>
    <definedName name="Oppty_DollarMwh">#REF!</definedName>
    <definedName name="Oppty_MW" localSheetId="11">#REF!</definedName>
    <definedName name="Oppty_MW" localSheetId="14">#REF!</definedName>
    <definedName name="Oppty_MW">#REF!</definedName>
    <definedName name="Price_CapacityPayment" localSheetId="11">#REF!</definedName>
    <definedName name="Price_CapacityPayment" localSheetId="14">#REF!</definedName>
    <definedName name="Price_CapacityPayment">#REF!</definedName>
    <definedName name="Price_Corn" localSheetId="11">#REF!</definedName>
    <definedName name="Price_Corn" localSheetId="14">#REF!</definedName>
    <definedName name="Price_Corn">#REF!</definedName>
    <definedName name="Price_Steam" localSheetId="11">#REF!</definedName>
    <definedName name="Price_Steam" localSheetId="14">#REF!</definedName>
    <definedName name="Price_Steam">#REF!</definedName>
    <definedName name="_xlnm.Print_Area" localSheetId="12">'Act-vs-Calc'!$A$1:$H$23</definedName>
    <definedName name="_xlnm.Print_Area" localSheetId="8">'B-1'!$A$1:$U$35</definedName>
    <definedName name="_xlnm.Print_Area" localSheetId="3">'C'!$A$1:$U$29</definedName>
    <definedName name="_xlnm.Print_Area" localSheetId="2">'D-RTOD'!$A$1:$U$30</definedName>
    <definedName name="_xlnm.Print_Area" localSheetId="4">E!$A$1:$U$28</definedName>
    <definedName name="_xlnm.Print_Area" localSheetId="5">L!$A$1:$U$33</definedName>
    <definedName name="_xlnm.Print_Area" localSheetId="16">List!$A$1:$C$15</definedName>
    <definedName name="_xlnm.Print_Area" localSheetId="6">M!$A$1:$U$33</definedName>
    <definedName name="_xlnm.Print_Area" localSheetId="11">Notice!$A$1:$G$60</definedName>
    <definedName name="_xlnm.Print_Area" localSheetId="13">'Notice-Abbrev'!$A$1:$G$46</definedName>
    <definedName name="_xlnm.Print_Area" localSheetId="14">'Notice-Full'!$A$1:$G$76</definedName>
    <definedName name="_xlnm.Print_Area" localSheetId="7">P!$A$1:$U$35</definedName>
    <definedName name="_xlnm.Print_Area" localSheetId="0">'Present and Proposed Rates'!$A$1:$Q$57</definedName>
    <definedName name="_xlnm.Print_Area" localSheetId="1">'R'!$A$1:$U$28</definedName>
    <definedName name="_xlnm.Print_Area" localSheetId="10">ResIncr!$A$1:$M$41</definedName>
    <definedName name="_xlnm.Print_Area" localSheetId="9">'S,T,O Lights'!$A$1:$S$37</definedName>
    <definedName name="_xlnm.Print_Titles" localSheetId="10">ResIncr!$1:$1</definedName>
    <definedName name="ProducerPayoutFlag" localSheetId="11">#REF!</definedName>
    <definedName name="ProducerPayoutFlag" localSheetId="14">#REF!</definedName>
    <definedName name="ProducerPayoutFlag">#REF!</definedName>
    <definedName name="ProjectCapitalCost" localSheetId="11">#REF!</definedName>
    <definedName name="ProjectCapitalCost" localSheetId="14">#REF!</definedName>
    <definedName name="ProjectCapitalCost">#REF!</definedName>
    <definedName name="Sell_DDGS" localSheetId="11">#REF!</definedName>
    <definedName name="Sell_DDGS" localSheetId="14">#REF!</definedName>
    <definedName name="Sell_DDGS">#REF!</definedName>
    <definedName name="Sell_DWGS" localSheetId="11">#REF!</definedName>
    <definedName name="Sell_DWGS" localSheetId="14">#REF!</definedName>
    <definedName name="Sell_DWGS">#REF!</definedName>
    <definedName name="Sell_Ethanol" localSheetId="11">#REF!</definedName>
    <definedName name="Sell_Ethanol" localSheetId="14">#REF!</definedName>
    <definedName name="Sell_Ethanol">#REF!</definedName>
    <definedName name="Tax_GRE" localSheetId="11">#REF!</definedName>
    <definedName name="Tax_GRE" localSheetId="14">#REF!</definedName>
    <definedName name="Tax_GRE">#REF!</definedName>
    <definedName name="Tax_HW" localSheetId="11">#REF!</definedName>
    <definedName name="Tax_HW" localSheetId="14">#REF!</definedName>
    <definedName name="Tax_HW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1" l="1"/>
  <c r="G59" i="93"/>
  <c r="F59" i="93"/>
  <c r="E57" i="93"/>
  <c r="F46" i="93"/>
  <c r="E46" i="93"/>
  <c r="E58" i="93"/>
  <c r="D53" i="93"/>
  <c r="D54" i="93"/>
  <c r="D55" i="93"/>
  <c r="D56" i="93"/>
  <c r="D57" i="93"/>
  <c r="D58" i="93"/>
  <c r="D59" i="93"/>
  <c r="C53" i="93"/>
  <c r="C54" i="93"/>
  <c r="C55" i="93"/>
  <c r="C56" i="93"/>
  <c r="C57" i="93"/>
  <c r="C58" i="93"/>
  <c r="C59" i="93"/>
  <c r="D40" i="93"/>
  <c r="D41" i="93"/>
  <c r="D42" i="93"/>
  <c r="D43" i="93"/>
  <c r="D44" i="93"/>
  <c r="D45" i="93"/>
  <c r="D46" i="93"/>
  <c r="C40" i="93"/>
  <c r="C41" i="93"/>
  <c r="C42" i="93"/>
  <c r="C43" i="93"/>
  <c r="C44" i="93"/>
  <c r="C45" i="93"/>
  <c r="C46" i="93"/>
  <c r="F29" i="93"/>
  <c r="F30" i="93"/>
  <c r="F31" i="93"/>
  <c r="F32" i="93"/>
  <c r="E30" i="93"/>
  <c r="E31" i="93"/>
  <c r="E32" i="93"/>
  <c r="E29" i="93"/>
  <c r="D30" i="93"/>
  <c r="D31" i="93"/>
  <c r="D32" i="93"/>
  <c r="D29" i="93"/>
  <c r="D28" i="93"/>
  <c r="C28" i="93"/>
  <c r="E56" i="93"/>
  <c r="E55" i="93"/>
  <c r="E54" i="93"/>
  <c r="E53" i="93"/>
  <c r="E52" i="93"/>
  <c r="D52" i="93"/>
  <c r="C52" i="93"/>
  <c r="D39" i="93"/>
  <c r="C39" i="93"/>
  <c r="F27" i="93"/>
  <c r="E27" i="93"/>
  <c r="D27" i="93"/>
  <c r="F26" i="93"/>
  <c r="E26" i="93"/>
  <c r="D26" i="93"/>
  <c r="F25" i="93"/>
  <c r="E25" i="93"/>
  <c r="D25" i="93"/>
  <c r="D24" i="93"/>
  <c r="C24" i="93"/>
  <c r="F23" i="93"/>
  <c r="E23" i="93"/>
  <c r="D23" i="93"/>
  <c r="F22" i="93"/>
  <c r="E22" i="93"/>
  <c r="D22" i="93"/>
  <c r="F21" i="93"/>
  <c r="E21" i="93"/>
  <c r="D21" i="93"/>
  <c r="D20" i="93"/>
  <c r="C20" i="93"/>
  <c r="F19" i="93"/>
  <c r="E19" i="93"/>
  <c r="D19" i="93"/>
  <c r="E18" i="93"/>
  <c r="D18" i="93"/>
  <c r="D17" i="93"/>
  <c r="C17" i="93"/>
  <c r="E16" i="93"/>
  <c r="D16" i="93"/>
  <c r="F15" i="93"/>
  <c r="E15" i="93"/>
  <c r="D15" i="93"/>
  <c r="E14" i="93"/>
  <c r="D14" i="93"/>
  <c r="D13" i="93"/>
  <c r="C13" i="93"/>
  <c r="F9" i="93"/>
  <c r="F12" i="93" s="1"/>
  <c r="E9" i="93"/>
  <c r="F8" i="93"/>
  <c r="E8" i="93"/>
  <c r="E11" i="93" s="1"/>
  <c r="D7" i="93"/>
  <c r="C7" i="93"/>
  <c r="A1" i="93"/>
  <c r="E17" i="91"/>
  <c r="E17" i="88"/>
  <c r="E15" i="85"/>
  <c r="E16" i="84"/>
  <c r="E17" i="82"/>
  <c r="E17" i="81"/>
  <c r="E15" i="80"/>
  <c r="F11" i="93" l="1"/>
  <c r="E12" i="93"/>
  <c r="H23" i="61" l="1"/>
  <c r="H22" i="61"/>
  <c r="F18" i="93" s="1"/>
  <c r="H20" i="61"/>
  <c r="F16" i="93" s="1"/>
  <c r="H40" i="61"/>
  <c r="H34" i="61"/>
  <c r="H26" i="61"/>
  <c r="H11" i="61" l="1"/>
  <c r="H12" i="61" l="1"/>
  <c r="R12" i="43"/>
  <c r="S12" i="43" s="1"/>
  <c r="R15" i="43"/>
  <c r="S15" i="43"/>
  <c r="R18" i="43"/>
  <c r="S18" i="43"/>
  <c r="R19" i="43"/>
  <c r="S19" i="43"/>
  <c r="R20" i="43"/>
  <c r="S20" i="43" s="1"/>
  <c r="R21" i="43"/>
  <c r="S21" i="43" s="1"/>
  <c r="R22" i="43"/>
  <c r="S22" i="43"/>
  <c r="R23" i="43"/>
  <c r="S23" i="43"/>
  <c r="R24" i="43"/>
  <c r="S24" i="43" s="1"/>
  <c r="R25" i="43"/>
  <c r="S25" i="43" s="1"/>
  <c r="R28" i="43"/>
  <c r="S28" i="43" s="1"/>
  <c r="R29" i="43"/>
  <c r="S29" i="43" s="1"/>
  <c r="R31" i="43"/>
  <c r="S31" i="43"/>
  <c r="T25" i="91"/>
  <c r="U25" i="91"/>
  <c r="T26" i="91"/>
  <c r="U26" i="91"/>
  <c r="T27" i="91"/>
  <c r="U27" i="91"/>
  <c r="T24" i="88"/>
  <c r="U24" i="88"/>
  <c r="T25" i="88"/>
  <c r="U25" i="88"/>
  <c r="T26" i="88"/>
  <c r="U26" i="88"/>
  <c r="T27" i="88"/>
  <c r="U27" i="88"/>
  <c r="T24" i="86"/>
  <c r="U24" i="86"/>
  <c r="T25" i="86"/>
  <c r="U25" i="86"/>
  <c r="T22" i="85"/>
  <c r="U22" i="85" s="1"/>
  <c r="T23" i="85"/>
  <c r="U23" i="85"/>
  <c r="T24" i="85"/>
  <c r="U24" i="85" s="1"/>
  <c r="T25" i="85"/>
  <c r="U25" i="85"/>
  <c r="T19" i="84"/>
  <c r="U19" i="84"/>
  <c r="T20" i="84"/>
  <c r="U20" i="84"/>
  <c r="T20" i="82"/>
  <c r="U20" i="82" s="1"/>
  <c r="T21" i="82"/>
  <c r="U21" i="82"/>
  <c r="U22" i="81"/>
  <c r="U21" i="81"/>
  <c r="U20" i="80"/>
  <c r="U19" i="80"/>
  <c r="T22" i="81"/>
  <c r="T21" i="81"/>
  <c r="T20" i="80"/>
  <c r="T19" i="80"/>
  <c r="S19" i="80"/>
  <c r="S20" i="80"/>
  <c r="E31" i="80" l="1"/>
  <c r="G24" i="80"/>
  <c r="G19" i="80"/>
  <c r="G18" i="80"/>
  <c r="D15" i="80"/>
  <c r="D11" i="80"/>
  <c r="D14" i="13"/>
  <c r="C14" i="13"/>
  <c r="B14" i="13"/>
  <c r="A14" i="13"/>
  <c r="G25" i="82"/>
  <c r="S27" i="88"/>
  <c r="J27" i="88"/>
  <c r="J23" i="43"/>
  <c r="J24" i="43"/>
  <c r="J22" i="43"/>
  <c r="N22" i="91"/>
  <c r="N21" i="91"/>
  <c r="I22" i="91"/>
  <c r="J22" i="91" s="1"/>
  <c r="I21" i="91"/>
  <c r="I17" i="91"/>
  <c r="I12" i="91"/>
  <c r="E22" i="91"/>
  <c r="E21" i="91"/>
  <c r="P22" i="91"/>
  <c r="E12" i="91"/>
  <c r="A2" i="91"/>
  <c r="A3" i="91"/>
  <c r="N27" i="91"/>
  <c r="J27" i="91"/>
  <c r="S26" i="91"/>
  <c r="S25" i="91"/>
  <c r="P21" i="91"/>
  <c r="D36" i="91"/>
  <c r="P12" i="91"/>
  <c r="A1" i="91"/>
  <c r="J38" i="61"/>
  <c r="J39" i="61"/>
  <c r="J40" i="61"/>
  <c r="C37" i="61"/>
  <c r="B37" i="61"/>
  <c r="A37" i="61"/>
  <c r="H37" i="61"/>
  <c r="J37" i="61" s="1"/>
  <c r="D20" i="80"/>
  <c r="Q12" i="91" l="1"/>
  <c r="S12" i="91" s="1"/>
  <c r="Q17" i="91"/>
  <c r="Q21" i="91"/>
  <c r="S21" i="91" s="1"/>
  <c r="Q22" i="91"/>
  <c r="S22" i="91" s="1"/>
  <c r="T22" i="91" s="1"/>
  <c r="U22" i="91" s="1"/>
  <c r="G22" i="91"/>
  <c r="J21" i="91"/>
  <c r="J17" i="91"/>
  <c r="J12" i="91"/>
  <c r="J25" i="91"/>
  <c r="S27" i="91"/>
  <c r="G12" i="91"/>
  <c r="G17" i="91"/>
  <c r="G21" i="91"/>
  <c r="J26" i="91"/>
  <c r="P17" i="91"/>
  <c r="I38" i="61"/>
  <c r="I37" i="61"/>
  <c r="F9" i="90"/>
  <c r="F12" i="90" s="1"/>
  <c r="H14" i="61"/>
  <c r="H15" i="61"/>
  <c r="H16" i="61"/>
  <c r="H25" i="61"/>
  <c r="H30" i="61"/>
  <c r="H31" i="61"/>
  <c r="H33" i="61"/>
  <c r="H42" i="61"/>
  <c r="H44" i="61"/>
  <c r="H45" i="61"/>
  <c r="H46" i="61"/>
  <c r="H47" i="61"/>
  <c r="H48" i="61"/>
  <c r="H49" i="61"/>
  <c r="H50" i="61"/>
  <c r="H51" i="61"/>
  <c r="H52" i="61"/>
  <c r="F8" i="90"/>
  <c r="F11" i="90" s="1"/>
  <c r="F25" i="43"/>
  <c r="O22" i="43"/>
  <c r="N22" i="43"/>
  <c r="O23" i="43"/>
  <c r="F23" i="43"/>
  <c r="N23" i="43" s="1"/>
  <c r="O21" i="43"/>
  <c r="N21" i="43"/>
  <c r="G21" i="82"/>
  <c r="G20" i="82"/>
  <c r="D17" i="82"/>
  <c r="S24" i="85"/>
  <c r="N24" i="85"/>
  <c r="J24" i="85"/>
  <c r="D42" i="90"/>
  <c r="E42" i="90"/>
  <c r="D43" i="90"/>
  <c r="E43" i="90"/>
  <c r="D44" i="90"/>
  <c r="E44" i="90"/>
  <c r="D45" i="90"/>
  <c r="E45" i="90"/>
  <c r="E41" i="90"/>
  <c r="D41" i="90"/>
  <c r="C40" i="90"/>
  <c r="E39" i="90"/>
  <c r="D39" i="90"/>
  <c r="C38" i="90"/>
  <c r="E37" i="90"/>
  <c r="D37" i="90"/>
  <c r="C36" i="90"/>
  <c r="E32" i="90"/>
  <c r="E33" i="90"/>
  <c r="E34" i="90"/>
  <c r="E29" i="90"/>
  <c r="E30" i="90"/>
  <c r="E24" i="90"/>
  <c r="E25" i="90"/>
  <c r="E26" i="90"/>
  <c r="E21" i="90"/>
  <c r="E22" i="90"/>
  <c r="D33" i="90"/>
  <c r="D34" i="90"/>
  <c r="D32" i="90"/>
  <c r="D29" i="90"/>
  <c r="D30" i="90"/>
  <c r="D28" i="90"/>
  <c r="D25" i="90"/>
  <c r="D26" i="90"/>
  <c r="D24" i="90"/>
  <c r="D22" i="90"/>
  <c r="D21" i="90"/>
  <c r="E18" i="90"/>
  <c r="E19" i="90"/>
  <c r="E17" i="90"/>
  <c r="D18" i="90"/>
  <c r="D19" i="90"/>
  <c r="D17" i="90"/>
  <c r="F76" i="90"/>
  <c r="G75" i="90"/>
  <c r="F75" i="90"/>
  <c r="D75" i="90"/>
  <c r="G74" i="90"/>
  <c r="F74" i="90"/>
  <c r="D74" i="90"/>
  <c r="G73" i="90"/>
  <c r="F73" i="90"/>
  <c r="D73" i="90"/>
  <c r="D72" i="90"/>
  <c r="C72" i="90"/>
  <c r="D71" i="90"/>
  <c r="C71" i="90"/>
  <c r="D70" i="90"/>
  <c r="C70" i="90"/>
  <c r="D69" i="90"/>
  <c r="C69" i="90"/>
  <c r="D68" i="90"/>
  <c r="C68" i="90"/>
  <c r="D67" i="90"/>
  <c r="C67" i="90"/>
  <c r="D66" i="90"/>
  <c r="C66" i="90"/>
  <c r="F60" i="90"/>
  <c r="E60" i="90"/>
  <c r="D60" i="90"/>
  <c r="F59" i="90"/>
  <c r="E59" i="90"/>
  <c r="D59" i="90"/>
  <c r="F58" i="90"/>
  <c r="E58" i="90"/>
  <c r="D58" i="90"/>
  <c r="D57" i="90"/>
  <c r="C57" i="90"/>
  <c r="D56" i="90"/>
  <c r="C56" i="90"/>
  <c r="D55" i="90"/>
  <c r="C55" i="90"/>
  <c r="D54" i="90"/>
  <c r="C54" i="90"/>
  <c r="D53" i="90"/>
  <c r="C53" i="90"/>
  <c r="D52" i="90"/>
  <c r="C52" i="90"/>
  <c r="D51" i="90"/>
  <c r="C51" i="90"/>
  <c r="E14" i="90"/>
  <c r="E9" i="90"/>
  <c r="E12" i="90" s="1"/>
  <c r="E8" i="90"/>
  <c r="E11" i="90" s="1"/>
  <c r="S17" i="91" l="1"/>
  <c r="T17" i="91" s="1"/>
  <c r="U17" i="91" s="1"/>
  <c r="T12" i="91"/>
  <c r="U12" i="91" s="1"/>
  <c r="T21" i="91"/>
  <c r="U21" i="91" s="1"/>
  <c r="J29" i="91"/>
  <c r="G29" i="91"/>
  <c r="Q22" i="43"/>
  <c r="H22" i="43"/>
  <c r="K22" i="43"/>
  <c r="K23" i="43"/>
  <c r="Q23" i="43"/>
  <c r="H23" i="43"/>
  <c r="Q21" i="43"/>
  <c r="H21" i="43"/>
  <c r="K21" i="43"/>
  <c r="A1" i="89"/>
  <c r="S29" i="91" l="1"/>
  <c r="N37" i="61" s="1"/>
  <c r="G33" i="91"/>
  <c r="G35" i="91" s="1"/>
  <c r="E14" i="13"/>
  <c r="F14" i="13" s="1"/>
  <c r="G14" i="13" s="1"/>
  <c r="L37" i="61"/>
  <c r="M37" i="61"/>
  <c r="J33" i="91"/>
  <c r="J35" i="91" s="1"/>
  <c r="N20" i="80"/>
  <c r="T29" i="91" l="1"/>
  <c r="U29" i="91" s="1"/>
  <c r="S31" i="91"/>
  <c r="S35" i="91" s="1"/>
  <c r="Q37" i="61" s="1"/>
  <c r="F58" i="93" s="1"/>
  <c r="O37" i="61"/>
  <c r="E45" i="93" s="1"/>
  <c r="S33" i="91"/>
  <c r="P37" i="61" s="1"/>
  <c r="F45" i="93" s="1"/>
  <c r="G58" i="93" s="1"/>
  <c r="C37" i="70"/>
  <c r="C38" i="70"/>
  <c r="C39" i="70"/>
  <c r="C40" i="70"/>
  <c r="C41" i="70"/>
  <c r="C42" i="70"/>
  <c r="C36" i="70"/>
  <c r="C22" i="70"/>
  <c r="C23" i="70"/>
  <c r="C24" i="70"/>
  <c r="C25" i="70"/>
  <c r="C26" i="70"/>
  <c r="C27" i="70"/>
  <c r="C21" i="70"/>
  <c r="E14" i="70" l="1"/>
  <c r="F14" i="70" l="1"/>
  <c r="F14" i="90"/>
  <c r="O25" i="43" l="1"/>
  <c r="F45" i="90" s="1"/>
  <c r="O24" i="43"/>
  <c r="F44" i="90" s="1"/>
  <c r="O20" i="43"/>
  <c r="F43" i="90" s="1"/>
  <c r="O19" i="43"/>
  <c r="F42" i="90" s="1"/>
  <c r="O18" i="43"/>
  <c r="F41" i="90" s="1"/>
  <c r="O15" i="43"/>
  <c r="F39" i="90" s="1"/>
  <c r="O12" i="43"/>
  <c r="F37" i="90" s="1"/>
  <c r="N23" i="85" l="1"/>
  <c r="N25" i="85"/>
  <c r="N22" i="85"/>
  <c r="E34" i="89"/>
  <c r="F34" i="89"/>
  <c r="O34" i="89" s="1"/>
  <c r="G34" i="89"/>
  <c r="H34" i="89" s="1"/>
  <c r="I34" i="89" s="1"/>
  <c r="J34" i="89" s="1"/>
  <c r="K34" i="89" s="1"/>
  <c r="L34" i="89" s="1"/>
  <c r="M34" i="89" s="1"/>
  <c r="N34" i="89" s="1"/>
  <c r="D34" i="89"/>
  <c r="F378" i="89"/>
  <c r="E378" i="89"/>
  <c r="D378" i="89"/>
  <c r="C378" i="89"/>
  <c r="N377" i="89"/>
  <c r="M377" i="89"/>
  <c r="L377" i="89"/>
  <c r="K377" i="89"/>
  <c r="J377" i="89"/>
  <c r="I377" i="89"/>
  <c r="H377" i="89"/>
  <c r="G377" i="89"/>
  <c r="F377" i="89"/>
  <c r="E377" i="89"/>
  <c r="D377" i="89"/>
  <c r="C377" i="89"/>
  <c r="N376" i="89"/>
  <c r="M376" i="89"/>
  <c r="L376" i="89"/>
  <c r="K376" i="89"/>
  <c r="J376" i="89"/>
  <c r="I376" i="89"/>
  <c r="H376" i="89"/>
  <c r="G376" i="89"/>
  <c r="F376" i="89"/>
  <c r="E376" i="89"/>
  <c r="D376" i="89"/>
  <c r="C376" i="89"/>
  <c r="N375" i="89"/>
  <c r="M375" i="89"/>
  <c r="L375" i="89"/>
  <c r="K375" i="89"/>
  <c r="J375" i="89"/>
  <c r="I375" i="89"/>
  <c r="H375" i="89"/>
  <c r="G375" i="89"/>
  <c r="F375" i="89"/>
  <c r="E375" i="89"/>
  <c r="D375" i="89"/>
  <c r="C375" i="89"/>
  <c r="N374" i="89"/>
  <c r="M374" i="89"/>
  <c r="L374" i="89"/>
  <c r="K374" i="89"/>
  <c r="J374" i="89"/>
  <c r="I374" i="89"/>
  <c r="H374" i="89"/>
  <c r="G374" i="89"/>
  <c r="F374" i="89"/>
  <c r="E374" i="89"/>
  <c r="D374" i="89"/>
  <c r="C374" i="89"/>
  <c r="N373" i="89"/>
  <c r="M373" i="89"/>
  <c r="L373" i="89"/>
  <c r="K373" i="89"/>
  <c r="J373" i="89"/>
  <c r="I373" i="89"/>
  <c r="H373" i="89"/>
  <c r="G373" i="89"/>
  <c r="F373" i="89"/>
  <c r="E373" i="89"/>
  <c r="D373" i="89"/>
  <c r="C373" i="89"/>
  <c r="N372" i="89"/>
  <c r="M372" i="89"/>
  <c r="L372" i="89"/>
  <c r="K372" i="89"/>
  <c r="J372" i="89"/>
  <c r="I372" i="89"/>
  <c r="H372" i="89"/>
  <c r="G372" i="89"/>
  <c r="F372" i="89"/>
  <c r="E372" i="89"/>
  <c r="D372" i="89"/>
  <c r="C372" i="89"/>
  <c r="N371" i="89"/>
  <c r="M371" i="89"/>
  <c r="L371" i="89"/>
  <c r="K371" i="89"/>
  <c r="J371" i="89"/>
  <c r="I371" i="89"/>
  <c r="H371" i="89"/>
  <c r="G371" i="89"/>
  <c r="F371" i="89"/>
  <c r="E371" i="89"/>
  <c r="D371" i="89"/>
  <c r="D379" i="89" s="1"/>
  <c r="C371" i="89"/>
  <c r="N365" i="89"/>
  <c r="M365" i="89"/>
  <c r="L365" i="89"/>
  <c r="K365" i="89"/>
  <c r="J365" i="89"/>
  <c r="I365" i="89"/>
  <c r="H365" i="89"/>
  <c r="G365" i="89"/>
  <c r="F365" i="89"/>
  <c r="E365" i="89"/>
  <c r="D365" i="89"/>
  <c r="C365" i="89"/>
  <c r="O365" i="89" s="1"/>
  <c r="N364" i="89"/>
  <c r="M364" i="89"/>
  <c r="L364" i="89"/>
  <c r="K364" i="89"/>
  <c r="J364" i="89"/>
  <c r="I364" i="89"/>
  <c r="H364" i="89"/>
  <c r="G364" i="89"/>
  <c r="F364" i="89"/>
  <c r="E364" i="89"/>
  <c r="D364" i="89"/>
  <c r="C364" i="89"/>
  <c r="N363" i="89"/>
  <c r="M363" i="89"/>
  <c r="L363" i="89"/>
  <c r="K363" i="89"/>
  <c r="J363" i="89"/>
  <c r="I363" i="89"/>
  <c r="H363" i="89"/>
  <c r="G363" i="89"/>
  <c r="F363" i="89"/>
  <c r="E363" i="89"/>
  <c r="D363" i="89"/>
  <c r="C363" i="89"/>
  <c r="N362" i="89"/>
  <c r="M362" i="89"/>
  <c r="L362" i="89"/>
  <c r="K362" i="89"/>
  <c r="J362" i="89"/>
  <c r="I362" i="89"/>
  <c r="H362" i="89"/>
  <c r="G362" i="89"/>
  <c r="F362" i="89"/>
  <c r="E362" i="89"/>
  <c r="D362" i="89"/>
  <c r="C362" i="89"/>
  <c r="N361" i="89"/>
  <c r="M361" i="89"/>
  <c r="L361" i="89"/>
  <c r="K361" i="89"/>
  <c r="J361" i="89"/>
  <c r="I361" i="89"/>
  <c r="H361" i="89"/>
  <c r="G361" i="89"/>
  <c r="F361" i="89"/>
  <c r="E361" i="89"/>
  <c r="D361" i="89"/>
  <c r="C361" i="89"/>
  <c r="O361" i="89" s="1"/>
  <c r="N360" i="89"/>
  <c r="M360" i="89"/>
  <c r="L360" i="89"/>
  <c r="K360" i="89"/>
  <c r="J360" i="89"/>
  <c r="I360" i="89"/>
  <c r="H360" i="89"/>
  <c r="G360" i="89"/>
  <c r="F360" i="89"/>
  <c r="E360" i="89"/>
  <c r="D360" i="89"/>
  <c r="C360" i="89"/>
  <c r="I359" i="89"/>
  <c r="H359" i="89"/>
  <c r="G359" i="89"/>
  <c r="F359" i="89"/>
  <c r="E359" i="89"/>
  <c r="N334" i="89"/>
  <c r="M334" i="89"/>
  <c r="L334" i="89"/>
  <c r="K334" i="89"/>
  <c r="J334" i="89"/>
  <c r="I334" i="89"/>
  <c r="H334" i="89"/>
  <c r="G334" i="89"/>
  <c r="F334" i="89"/>
  <c r="E334" i="89"/>
  <c r="D334" i="89"/>
  <c r="C334" i="89"/>
  <c r="N333" i="89"/>
  <c r="M333" i="89"/>
  <c r="L333" i="89"/>
  <c r="K333" i="89"/>
  <c r="J333" i="89"/>
  <c r="I333" i="89"/>
  <c r="H333" i="89"/>
  <c r="G333" i="89"/>
  <c r="F333" i="89"/>
  <c r="E333" i="89"/>
  <c r="D333" i="89"/>
  <c r="C333" i="89"/>
  <c r="N332" i="89"/>
  <c r="M332" i="89"/>
  <c r="L332" i="89"/>
  <c r="K332" i="89"/>
  <c r="J332" i="89"/>
  <c r="I332" i="89"/>
  <c r="H332" i="89"/>
  <c r="G332" i="89"/>
  <c r="F332" i="89"/>
  <c r="E332" i="89"/>
  <c r="D332" i="89"/>
  <c r="C332" i="89"/>
  <c r="N331" i="89"/>
  <c r="M331" i="89"/>
  <c r="L331" i="89"/>
  <c r="K331" i="89"/>
  <c r="J331" i="89"/>
  <c r="I331" i="89"/>
  <c r="H331" i="89"/>
  <c r="G331" i="89"/>
  <c r="F331" i="89"/>
  <c r="E331" i="89"/>
  <c r="D331" i="89"/>
  <c r="C331" i="89"/>
  <c r="N330" i="89"/>
  <c r="M330" i="89"/>
  <c r="L330" i="89"/>
  <c r="K330" i="89"/>
  <c r="J330" i="89"/>
  <c r="I330" i="89"/>
  <c r="H330" i="89"/>
  <c r="G330" i="89"/>
  <c r="F330" i="89"/>
  <c r="E330" i="89"/>
  <c r="D330" i="89"/>
  <c r="C330" i="89"/>
  <c r="N329" i="89"/>
  <c r="M329" i="89"/>
  <c r="L329" i="89"/>
  <c r="K329" i="89"/>
  <c r="J329" i="89"/>
  <c r="I329" i="89"/>
  <c r="H329" i="89"/>
  <c r="G329" i="89"/>
  <c r="F329" i="89"/>
  <c r="E329" i="89"/>
  <c r="D329" i="89"/>
  <c r="C329" i="89"/>
  <c r="L328" i="89"/>
  <c r="K328" i="89"/>
  <c r="I328" i="89"/>
  <c r="H328" i="89"/>
  <c r="G328" i="89"/>
  <c r="F328" i="89"/>
  <c r="N322" i="89"/>
  <c r="M322" i="89"/>
  <c r="L322" i="89"/>
  <c r="K322" i="89"/>
  <c r="J322" i="89"/>
  <c r="I322" i="89"/>
  <c r="H322" i="89"/>
  <c r="G322" i="89"/>
  <c r="F322" i="89"/>
  <c r="E322" i="89"/>
  <c r="D322" i="89"/>
  <c r="C322" i="89"/>
  <c r="N321" i="89"/>
  <c r="M321" i="89"/>
  <c r="L321" i="89"/>
  <c r="K321" i="89"/>
  <c r="J321" i="89"/>
  <c r="I321" i="89"/>
  <c r="H321" i="89"/>
  <c r="G321" i="89"/>
  <c r="F321" i="89"/>
  <c r="E321" i="89"/>
  <c r="D321" i="89"/>
  <c r="C321" i="89"/>
  <c r="N320" i="89"/>
  <c r="M320" i="89"/>
  <c r="L320" i="89"/>
  <c r="K320" i="89"/>
  <c r="J320" i="89"/>
  <c r="I320" i="89"/>
  <c r="H320" i="89"/>
  <c r="G320" i="89"/>
  <c r="F320" i="89"/>
  <c r="E320" i="89"/>
  <c r="D320" i="89"/>
  <c r="C320" i="89"/>
  <c r="C317" i="89"/>
  <c r="E316" i="89"/>
  <c r="B302" i="89"/>
  <c r="A298" i="89"/>
  <c r="N188" i="89"/>
  <c r="M188" i="89"/>
  <c r="L188" i="89"/>
  <c r="K188" i="89"/>
  <c r="J188" i="89"/>
  <c r="I188" i="89"/>
  <c r="H188" i="89"/>
  <c r="G188" i="89"/>
  <c r="F188" i="89"/>
  <c r="E188" i="89"/>
  <c r="D188" i="89"/>
  <c r="C188" i="89"/>
  <c r="O187" i="89"/>
  <c r="O186" i="89"/>
  <c r="O185" i="89"/>
  <c r="O184" i="89"/>
  <c r="O183" i="89"/>
  <c r="O182" i="89"/>
  <c r="O181" i="89"/>
  <c r="O180" i="89"/>
  <c r="O179" i="89"/>
  <c r="L171" i="89"/>
  <c r="H171" i="89"/>
  <c r="O170" i="89"/>
  <c r="O169" i="89"/>
  <c r="O168" i="89"/>
  <c r="N167" i="89"/>
  <c r="N171" i="89" s="1"/>
  <c r="M167" i="89"/>
  <c r="M171" i="89" s="1"/>
  <c r="L167" i="89"/>
  <c r="K167" i="89"/>
  <c r="K171" i="89" s="1"/>
  <c r="J167" i="89"/>
  <c r="J171" i="89" s="1"/>
  <c r="I167" i="89"/>
  <c r="I171" i="89" s="1"/>
  <c r="H167" i="89"/>
  <c r="G167" i="89"/>
  <c r="G171" i="89" s="1"/>
  <c r="F167" i="89"/>
  <c r="F171" i="89" s="1"/>
  <c r="E167" i="89"/>
  <c r="E171" i="89" s="1"/>
  <c r="D167" i="89"/>
  <c r="D171" i="89" s="1"/>
  <c r="C167" i="89"/>
  <c r="C171" i="89" s="1"/>
  <c r="O166" i="89"/>
  <c r="O165" i="89"/>
  <c r="O148" i="89"/>
  <c r="N147" i="89"/>
  <c r="M147" i="89"/>
  <c r="L147" i="89"/>
  <c r="L359" i="89" s="1"/>
  <c r="K147" i="89"/>
  <c r="K359" i="89" s="1"/>
  <c r="J147" i="89"/>
  <c r="D147" i="89"/>
  <c r="D359" i="89" s="1"/>
  <c r="C147" i="89"/>
  <c r="O146" i="89"/>
  <c r="J20" i="80" s="1"/>
  <c r="K145" i="89"/>
  <c r="I145" i="89"/>
  <c r="I149" i="89" s="1"/>
  <c r="I340" i="89" s="1"/>
  <c r="H145" i="89"/>
  <c r="H149" i="89" s="1"/>
  <c r="H340" i="89" s="1"/>
  <c r="G145" i="89"/>
  <c r="G149" i="89" s="1"/>
  <c r="G340" i="89" s="1"/>
  <c r="F145" i="89"/>
  <c r="F149" i="89" s="1"/>
  <c r="F340" i="89" s="1"/>
  <c r="N144" i="89"/>
  <c r="N142" i="89" s="1"/>
  <c r="N316" i="89" s="1"/>
  <c r="M144" i="89"/>
  <c r="L144" i="89"/>
  <c r="L142" i="89" s="1"/>
  <c r="L316" i="89" s="1"/>
  <c r="K144" i="89"/>
  <c r="K142" i="89" s="1"/>
  <c r="K316" i="89" s="1"/>
  <c r="J144" i="89"/>
  <c r="J142" i="89" s="1"/>
  <c r="J316" i="89" s="1"/>
  <c r="C144" i="89"/>
  <c r="C142" i="89" s="1"/>
  <c r="C316" i="89" s="1"/>
  <c r="N143" i="89"/>
  <c r="M143" i="89"/>
  <c r="L143" i="89"/>
  <c r="L145" i="89" s="1"/>
  <c r="K143" i="89"/>
  <c r="J143" i="89"/>
  <c r="J328" i="89" s="1"/>
  <c r="E143" i="89"/>
  <c r="D143" i="89"/>
  <c r="D328" i="89" s="1"/>
  <c r="C143" i="89"/>
  <c r="C145" i="89" s="1"/>
  <c r="M142" i="89"/>
  <c r="M316" i="89" s="1"/>
  <c r="I142" i="89"/>
  <c r="I316" i="89" s="1"/>
  <c r="H142" i="89"/>
  <c r="H316" i="89" s="1"/>
  <c r="G142" i="89"/>
  <c r="G316" i="89" s="1"/>
  <c r="F142" i="89"/>
  <c r="F316" i="89" s="1"/>
  <c r="E142" i="89"/>
  <c r="D142" i="89"/>
  <c r="D316" i="89" s="1"/>
  <c r="D137" i="89"/>
  <c r="D346" i="89" s="1"/>
  <c r="O136" i="89"/>
  <c r="O135" i="89"/>
  <c r="N134" i="89"/>
  <c r="M134" i="89"/>
  <c r="L134" i="89"/>
  <c r="K134" i="89"/>
  <c r="J134" i="89"/>
  <c r="I134" i="89"/>
  <c r="H134" i="89"/>
  <c r="G134" i="89"/>
  <c r="F134" i="89"/>
  <c r="E134" i="89"/>
  <c r="E137" i="89" s="1"/>
  <c r="E346" i="89" s="1"/>
  <c r="D134" i="89"/>
  <c r="C134" i="89"/>
  <c r="O133" i="89"/>
  <c r="N132" i="89"/>
  <c r="N131" i="89" s="1"/>
  <c r="N128" i="89" s="1"/>
  <c r="N354" i="89" s="1"/>
  <c r="M132" i="89"/>
  <c r="M131" i="89" s="1"/>
  <c r="M128" i="89" s="1"/>
  <c r="M354" i="89" s="1"/>
  <c r="L132" i="89"/>
  <c r="L131" i="89" s="1"/>
  <c r="K132" i="89"/>
  <c r="K131" i="89" s="1"/>
  <c r="K128" i="89" s="1"/>
  <c r="K354" i="89" s="1"/>
  <c r="J132" i="89"/>
  <c r="J131" i="89" s="1"/>
  <c r="J128" i="89" s="1"/>
  <c r="J354" i="89" s="1"/>
  <c r="I132" i="89"/>
  <c r="H132" i="89"/>
  <c r="H131" i="89" s="1"/>
  <c r="G132" i="89"/>
  <c r="F132" i="89"/>
  <c r="F131" i="89" s="1"/>
  <c r="F128" i="89" s="1"/>
  <c r="F354" i="89" s="1"/>
  <c r="E132" i="89"/>
  <c r="E131" i="89" s="1"/>
  <c r="E128" i="89" s="1"/>
  <c r="E354" i="89" s="1"/>
  <c r="D132" i="89"/>
  <c r="D131" i="89" s="1"/>
  <c r="D128" i="89" s="1"/>
  <c r="D354" i="89" s="1"/>
  <c r="C132" i="89"/>
  <c r="G131" i="89"/>
  <c r="G128" i="89" s="1"/>
  <c r="G354" i="89" s="1"/>
  <c r="C131" i="89"/>
  <c r="C128" i="89" s="1"/>
  <c r="O130" i="89"/>
  <c r="O129" i="89"/>
  <c r="L128" i="89"/>
  <c r="L354" i="89" s="1"/>
  <c r="H128" i="89"/>
  <c r="H354" i="89" s="1"/>
  <c r="M122" i="89"/>
  <c r="E122" i="89"/>
  <c r="O121" i="89"/>
  <c r="O120" i="89"/>
  <c r="O119" i="89"/>
  <c r="N118" i="89"/>
  <c r="N122" i="89" s="1"/>
  <c r="M118" i="89"/>
  <c r="L118" i="89"/>
  <c r="L122" i="89" s="1"/>
  <c r="K118" i="89"/>
  <c r="K122" i="89" s="1"/>
  <c r="J118" i="89"/>
  <c r="J122" i="89" s="1"/>
  <c r="I118" i="89"/>
  <c r="I122" i="89" s="1"/>
  <c r="H118" i="89"/>
  <c r="H122" i="89" s="1"/>
  <c r="G118" i="89"/>
  <c r="G122" i="89" s="1"/>
  <c r="F118" i="89"/>
  <c r="F122" i="89" s="1"/>
  <c r="E118" i="89"/>
  <c r="D118" i="89"/>
  <c r="D122" i="89" s="1"/>
  <c r="C118" i="89"/>
  <c r="C122" i="89" s="1"/>
  <c r="O117" i="89"/>
  <c r="O116" i="89"/>
  <c r="N111" i="89"/>
  <c r="N378" i="89" s="1"/>
  <c r="M111" i="89"/>
  <c r="L111" i="89"/>
  <c r="L378" i="89" s="1"/>
  <c r="K111" i="89"/>
  <c r="K378" i="89" s="1"/>
  <c r="J111" i="89"/>
  <c r="J378" i="89" s="1"/>
  <c r="I111" i="89"/>
  <c r="H111" i="89"/>
  <c r="H378" i="89" s="1"/>
  <c r="G111" i="89"/>
  <c r="G378" i="89" s="1"/>
  <c r="N110" i="89"/>
  <c r="M110" i="89"/>
  <c r="L110" i="89"/>
  <c r="K110" i="89"/>
  <c r="J110" i="89"/>
  <c r="I110" i="89"/>
  <c r="H110" i="89"/>
  <c r="G110" i="89"/>
  <c r="F110" i="89"/>
  <c r="E110" i="89"/>
  <c r="E112" i="89" s="1"/>
  <c r="D110" i="89"/>
  <c r="C110" i="89"/>
  <c r="O109" i="89"/>
  <c r="N108" i="89"/>
  <c r="M108" i="89"/>
  <c r="L108" i="89"/>
  <c r="K108" i="89"/>
  <c r="K112" i="89" s="1"/>
  <c r="J108" i="89"/>
  <c r="I108" i="89"/>
  <c r="H108" i="89"/>
  <c r="G108" i="89"/>
  <c r="G112" i="89" s="1"/>
  <c r="F108" i="89"/>
  <c r="E108" i="89"/>
  <c r="D108" i="89"/>
  <c r="D112" i="89" s="1"/>
  <c r="C108" i="89"/>
  <c r="N107" i="89"/>
  <c r="M107" i="89"/>
  <c r="L107" i="89"/>
  <c r="K107" i="89"/>
  <c r="J107" i="89"/>
  <c r="I107" i="89"/>
  <c r="H107" i="89"/>
  <c r="G107" i="89"/>
  <c r="F107" i="89"/>
  <c r="E107" i="89"/>
  <c r="D107" i="89"/>
  <c r="C107" i="89"/>
  <c r="N106" i="89"/>
  <c r="M106" i="89"/>
  <c r="L106" i="89"/>
  <c r="K106" i="89"/>
  <c r="J106" i="89"/>
  <c r="I106" i="89"/>
  <c r="H106" i="89"/>
  <c r="G106" i="89"/>
  <c r="F106" i="89"/>
  <c r="E106" i="89"/>
  <c r="D106" i="89"/>
  <c r="C106" i="89"/>
  <c r="C102" i="89"/>
  <c r="O101" i="89"/>
  <c r="N100" i="89"/>
  <c r="M100" i="89"/>
  <c r="L100" i="89"/>
  <c r="K100" i="89"/>
  <c r="K102" i="89" s="1"/>
  <c r="J100" i="89"/>
  <c r="J102" i="89" s="1"/>
  <c r="I100" i="89"/>
  <c r="H100" i="89"/>
  <c r="H102" i="89" s="1"/>
  <c r="G100" i="89"/>
  <c r="G102" i="89" s="1"/>
  <c r="F100" i="89"/>
  <c r="E100" i="89"/>
  <c r="D100" i="89"/>
  <c r="C100" i="89"/>
  <c r="O99" i="89"/>
  <c r="N98" i="89"/>
  <c r="M98" i="89"/>
  <c r="L98" i="89"/>
  <c r="K98" i="89"/>
  <c r="J98" i="89"/>
  <c r="I98" i="89"/>
  <c r="H98" i="89"/>
  <c r="G98" i="89"/>
  <c r="F98" i="89"/>
  <c r="E98" i="89"/>
  <c r="D98" i="89"/>
  <c r="C98" i="89"/>
  <c r="N97" i="89"/>
  <c r="M97" i="89"/>
  <c r="L97" i="89"/>
  <c r="K97" i="89"/>
  <c r="J97" i="89"/>
  <c r="I97" i="89"/>
  <c r="H97" i="89"/>
  <c r="G97" i="89"/>
  <c r="F97" i="89"/>
  <c r="E97" i="89"/>
  <c r="D97" i="89"/>
  <c r="C97" i="89"/>
  <c r="N96" i="89"/>
  <c r="M96" i="89"/>
  <c r="L96" i="89"/>
  <c r="K96" i="89"/>
  <c r="J96" i="89"/>
  <c r="I96" i="89"/>
  <c r="H96" i="89"/>
  <c r="G96" i="89"/>
  <c r="F96" i="89"/>
  <c r="E96" i="89"/>
  <c r="D96" i="89"/>
  <c r="C96" i="89"/>
  <c r="O91" i="89"/>
  <c r="N90" i="89"/>
  <c r="N366" i="89" s="1"/>
  <c r="M90" i="89"/>
  <c r="M92" i="89" s="1"/>
  <c r="L90" i="89"/>
  <c r="K90" i="89"/>
  <c r="J90" i="89"/>
  <c r="I90" i="89"/>
  <c r="I92" i="89" s="1"/>
  <c r="H90" i="89"/>
  <c r="G90" i="89"/>
  <c r="F90" i="89"/>
  <c r="E90" i="89"/>
  <c r="E92" i="89" s="1"/>
  <c r="D90" i="89"/>
  <c r="C90" i="89"/>
  <c r="O89" i="89"/>
  <c r="N88" i="89"/>
  <c r="N92" i="89" s="1"/>
  <c r="M88" i="89"/>
  <c r="L88" i="89"/>
  <c r="K88" i="89"/>
  <c r="J88" i="89"/>
  <c r="J92" i="89" s="1"/>
  <c r="I88" i="89"/>
  <c r="H88" i="89"/>
  <c r="G88" i="89"/>
  <c r="F88" i="89"/>
  <c r="F92" i="89" s="1"/>
  <c r="E88" i="89"/>
  <c r="D88" i="89"/>
  <c r="C88" i="89"/>
  <c r="N87" i="89"/>
  <c r="N335" i="89" s="1"/>
  <c r="M87" i="89"/>
  <c r="M335" i="89" s="1"/>
  <c r="L87" i="89"/>
  <c r="K87" i="89"/>
  <c r="K335" i="89" s="1"/>
  <c r="J87" i="89"/>
  <c r="I87" i="89"/>
  <c r="H87" i="89"/>
  <c r="G87" i="89"/>
  <c r="F87" i="89"/>
  <c r="F335" i="89" s="1"/>
  <c r="E87" i="89"/>
  <c r="E335" i="89" s="1"/>
  <c r="D87" i="89"/>
  <c r="C87" i="89"/>
  <c r="C335" i="89" s="1"/>
  <c r="N86" i="89"/>
  <c r="M86" i="89"/>
  <c r="L86" i="89"/>
  <c r="K86" i="89"/>
  <c r="K323" i="89" s="1"/>
  <c r="J86" i="89"/>
  <c r="I86" i="89"/>
  <c r="H86" i="89"/>
  <c r="H323" i="89" s="1"/>
  <c r="G86" i="89"/>
  <c r="G323" i="89" s="1"/>
  <c r="F86" i="89"/>
  <c r="E86" i="89"/>
  <c r="D86" i="89"/>
  <c r="C86" i="89"/>
  <c r="C323" i="89" s="1"/>
  <c r="I82" i="89"/>
  <c r="I345" i="89" s="1"/>
  <c r="O81" i="89"/>
  <c r="O80" i="89"/>
  <c r="N79" i="89"/>
  <c r="N82" i="89" s="1"/>
  <c r="N345" i="89" s="1"/>
  <c r="M79" i="89"/>
  <c r="M82" i="89" s="1"/>
  <c r="M345" i="89" s="1"/>
  <c r="L79" i="89"/>
  <c r="L82" i="89" s="1"/>
  <c r="L345" i="89" s="1"/>
  <c r="K79" i="89"/>
  <c r="K82" i="89" s="1"/>
  <c r="K345" i="89" s="1"/>
  <c r="J79" i="89"/>
  <c r="J82" i="89" s="1"/>
  <c r="J345" i="89" s="1"/>
  <c r="I79" i="89"/>
  <c r="H79" i="89"/>
  <c r="H82" i="89" s="1"/>
  <c r="H345" i="89" s="1"/>
  <c r="G79" i="89"/>
  <c r="G82" i="89" s="1"/>
  <c r="G345" i="89" s="1"/>
  <c r="F79" i="89"/>
  <c r="F82" i="89" s="1"/>
  <c r="F345" i="89" s="1"/>
  <c r="E79" i="89"/>
  <c r="E82" i="89" s="1"/>
  <c r="E345" i="89" s="1"/>
  <c r="D79" i="89"/>
  <c r="D82" i="89" s="1"/>
  <c r="D345" i="89" s="1"/>
  <c r="C79" i="89"/>
  <c r="C82" i="89" s="1"/>
  <c r="O78" i="89"/>
  <c r="O77" i="89"/>
  <c r="O76" i="89"/>
  <c r="N75" i="89"/>
  <c r="N353" i="89" s="1"/>
  <c r="M75" i="89"/>
  <c r="M353" i="89" s="1"/>
  <c r="L75" i="89"/>
  <c r="L353" i="89" s="1"/>
  <c r="K75" i="89"/>
  <c r="K353" i="89" s="1"/>
  <c r="J75" i="89"/>
  <c r="J353" i="89" s="1"/>
  <c r="I75" i="89"/>
  <c r="I353" i="89" s="1"/>
  <c r="H75" i="89"/>
  <c r="H353" i="89" s="1"/>
  <c r="G75" i="89"/>
  <c r="G353" i="89" s="1"/>
  <c r="F75" i="89"/>
  <c r="F353" i="89" s="1"/>
  <c r="E75" i="89"/>
  <c r="E353" i="89" s="1"/>
  <c r="D75" i="89"/>
  <c r="D353" i="89" s="1"/>
  <c r="C75" i="89"/>
  <c r="C353" i="89" s="1"/>
  <c r="M70" i="89"/>
  <c r="M344" i="89" s="1"/>
  <c r="O69" i="89"/>
  <c r="S23" i="85" s="1"/>
  <c r="O68" i="89"/>
  <c r="N67" i="89"/>
  <c r="M67" i="89"/>
  <c r="L67" i="89"/>
  <c r="K67" i="89"/>
  <c r="J67" i="89"/>
  <c r="I67" i="89"/>
  <c r="H67" i="89"/>
  <c r="G67" i="89"/>
  <c r="F67" i="89"/>
  <c r="E67" i="89"/>
  <c r="D67" i="89"/>
  <c r="C67" i="89"/>
  <c r="O66" i="89"/>
  <c r="N65" i="89"/>
  <c r="M65" i="89"/>
  <c r="M64" i="89" s="1"/>
  <c r="L65" i="89"/>
  <c r="L64" i="89" s="1"/>
  <c r="L61" i="89" s="1"/>
  <c r="L352" i="89" s="1"/>
  <c r="K65" i="89"/>
  <c r="K64" i="89" s="1"/>
  <c r="K61" i="89" s="1"/>
  <c r="K352" i="89" s="1"/>
  <c r="K355" i="89" s="1"/>
  <c r="J65" i="89"/>
  <c r="J64" i="89" s="1"/>
  <c r="J61" i="89" s="1"/>
  <c r="J352" i="89" s="1"/>
  <c r="J355" i="89" s="1"/>
  <c r="I65" i="89"/>
  <c r="I64" i="89" s="1"/>
  <c r="I61" i="89" s="1"/>
  <c r="I352" i="89" s="1"/>
  <c r="H65" i="89"/>
  <c r="G65" i="89"/>
  <c r="G64" i="89" s="1"/>
  <c r="G61" i="89" s="1"/>
  <c r="G352" i="89" s="1"/>
  <c r="F65" i="89"/>
  <c r="E65" i="89"/>
  <c r="D65" i="89"/>
  <c r="D64" i="89" s="1"/>
  <c r="D61" i="89" s="1"/>
  <c r="D352" i="89" s="1"/>
  <c r="C65" i="89"/>
  <c r="C64" i="89" s="1"/>
  <c r="C61" i="89" s="1"/>
  <c r="H64" i="89"/>
  <c r="H61" i="89" s="1"/>
  <c r="H352" i="89" s="1"/>
  <c r="O63" i="89"/>
  <c r="O62" i="89"/>
  <c r="M61" i="89"/>
  <c r="M352" i="89" s="1"/>
  <c r="N55" i="89"/>
  <c r="M55" i="89"/>
  <c r="L55" i="89"/>
  <c r="K55" i="89"/>
  <c r="J55" i="89"/>
  <c r="I55" i="89"/>
  <c r="H55" i="89"/>
  <c r="G55" i="89"/>
  <c r="F55" i="89"/>
  <c r="E55" i="89"/>
  <c r="D55" i="89"/>
  <c r="C55" i="89"/>
  <c r="O54" i="89"/>
  <c r="O53" i="89"/>
  <c r="N50" i="89"/>
  <c r="N343" i="89" s="1"/>
  <c r="F50" i="89"/>
  <c r="F343" i="89" s="1"/>
  <c r="E50" i="89"/>
  <c r="E343" i="89" s="1"/>
  <c r="O49" i="89"/>
  <c r="O48" i="89"/>
  <c r="N47" i="89"/>
  <c r="M47" i="89"/>
  <c r="M50" i="89" s="1"/>
  <c r="M343" i="89" s="1"/>
  <c r="L47" i="89"/>
  <c r="L50" i="89" s="1"/>
  <c r="L343" i="89" s="1"/>
  <c r="K47" i="89"/>
  <c r="K50" i="89" s="1"/>
  <c r="K343" i="89" s="1"/>
  <c r="J47" i="89"/>
  <c r="J50" i="89" s="1"/>
  <c r="J343" i="89" s="1"/>
  <c r="I47" i="89"/>
  <c r="I50" i="89" s="1"/>
  <c r="I343" i="89" s="1"/>
  <c r="H47" i="89"/>
  <c r="H50" i="89" s="1"/>
  <c r="H343" i="89" s="1"/>
  <c r="G47" i="89"/>
  <c r="G50" i="89" s="1"/>
  <c r="G343" i="89" s="1"/>
  <c r="F47" i="89"/>
  <c r="E47" i="89"/>
  <c r="D47" i="89"/>
  <c r="D50" i="89" s="1"/>
  <c r="D343" i="89" s="1"/>
  <c r="C47" i="89"/>
  <c r="O46" i="89"/>
  <c r="O45" i="89"/>
  <c r="N44" i="89"/>
  <c r="N319" i="89" s="1"/>
  <c r="M44" i="89"/>
  <c r="M319" i="89" s="1"/>
  <c r="L44" i="89"/>
  <c r="L319" i="89" s="1"/>
  <c r="K44" i="89"/>
  <c r="K319" i="89" s="1"/>
  <c r="J44" i="89"/>
  <c r="J319" i="89" s="1"/>
  <c r="I44" i="89"/>
  <c r="I319" i="89" s="1"/>
  <c r="H44" i="89"/>
  <c r="H319" i="89" s="1"/>
  <c r="G44" i="89"/>
  <c r="G319" i="89" s="1"/>
  <c r="F44" i="89"/>
  <c r="F319" i="89" s="1"/>
  <c r="E44" i="89"/>
  <c r="E319" i="89" s="1"/>
  <c r="D44" i="89"/>
  <c r="D319" i="89" s="1"/>
  <c r="C44" i="89"/>
  <c r="C319" i="89" s="1"/>
  <c r="M39" i="89"/>
  <c r="M341" i="89" s="1"/>
  <c r="J39" i="89"/>
  <c r="J341" i="89" s="1"/>
  <c r="H39" i="89"/>
  <c r="H341" i="89" s="1"/>
  <c r="E39" i="89"/>
  <c r="E341" i="89" s="1"/>
  <c r="O38" i="89"/>
  <c r="O37" i="89"/>
  <c r="N36" i="89"/>
  <c r="N39" i="89" s="1"/>
  <c r="N341" i="89" s="1"/>
  <c r="M36" i="89"/>
  <c r="L36" i="89"/>
  <c r="L39" i="89" s="1"/>
  <c r="L341" i="89" s="1"/>
  <c r="K36" i="89"/>
  <c r="K39" i="89" s="1"/>
  <c r="K341" i="89" s="1"/>
  <c r="J36" i="89"/>
  <c r="I36" i="89"/>
  <c r="I39" i="89" s="1"/>
  <c r="I341" i="89" s="1"/>
  <c r="H36" i="89"/>
  <c r="G36" i="89"/>
  <c r="G39" i="89" s="1"/>
  <c r="G341" i="89" s="1"/>
  <c r="F36" i="89"/>
  <c r="F39" i="89" s="1"/>
  <c r="F341" i="89" s="1"/>
  <c r="E36" i="89"/>
  <c r="D36" i="89"/>
  <c r="D39" i="89" s="1"/>
  <c r="D341" i="89" s="1"/>
  <c r="C36" i="89"/>
  <c r="C39" i="89" s="1"/>
  <c r="O35" i="89"/>
  <c r="J30" i="89"/>
  <c r="G30" i="89"/>
  <c r="O29" i="89"/>
  <c r="O28" i="89"/>
  <c r="N27" i="89"/>
  <c r="N30" i="89" s="1"/>
  <c r="M27" i="89"/>
  <c r="M30" i="89" s="1"/>
  <c r="L27" i="89"/>
  <c r="L30" i="89" s="1"/>
  <c r="K27" i="89"/>
  <c r="K30" i="89" s="1"/>
  <c r="J27" i="89"/>
  <c r="I27" i="89"/>
  <c r="I30" i="89" s="1"/>
  <c r="H27" i="89"/>
  <c r="H30" i="89" s="1"/>
  <c r="G27" i="89"/>
  <c r="F27" i="89"/>
  <c r="F30" i="89" s="1"/>
  <c r="E27" i="89"/>
  <c r="E30" i="89" s="1"/>
  <c r="D27" i="89"/>
  <c r="D30" i="89" s="1"/>
  <c r="C27" i="89"/>
  <c r="C30" i="89" s="1"/>
  <c r="O24" i="89"/>
  <c r="N23" i="89"/>
  <c r="M23" i="89"/>
  <c r="L23" i="89"/>
  <c r="K23" i="89"/>
  <c r="J23" i="89"/>
  <c r="I23" i="89"/>
  <c r="H23" i="89"/>
  <c r="G23" i="89"/>
  <c r="F23" i="89"/>
  <c r="E23" i="89"/>
  <c r="D23" i="89"/>
  <c r="C23" i="89"/>
  <c r="L16" i="89"/>
  <c r="L342" i="89" s="1"/>
  <c r="K16" i="89"/>
  <c r="H16" i="89"/>
  <c r="H342" i="89" s="1"/>
  <c r="D16" i="89"/>
  <c r="O15" i="89"/>
  <c r="O14" i="89"/>
  <c r="N13" i="89"/>
  <c r="N16" i="89" s="1"/>
  <c r="M13" i="89"/>
  <c r="M16" i="89" s="1"/>
  <c r="L13" i="89"/>
  <c r="K13" i="89"/>
  <c r="J13" i="89"/>
  <c r="J16" i="89" s="1"/>
  <c r="I13" i="89"/>
  <c r="I16" i="89" s="1"/>
  <c r="H13" i="89"/>
  <c r="G13" i="89"/>
  <c r="G16" i="89" s="1"/>
  <c r="G342" i="89" s="1"/>
  <c r="F13" i="89"/>
  <c r="F16" i="89" s="1"/>
  <c r="E13" i="89"/>
  <c r="E16" i="89" s="1"/>
  <c r="D13" i="89"/>
  <c r="C13" i="89"/>
  <c r="C16" i="89" s="1"/>
  <c r="C342" i="89" s="1"/>
  <c r="O10" i="89"/>
  <c r="N9" i="89"/>
  <c r="M9" i="89"/>
  <c r="M318" i="89" s="1"/>
  <c r="L9" i="89"/>
  <c r="L318" i="89" s="1"/>
  <c r="K9" i="89"/>
  <c r="J9" i="89"/>
  <c r="J318" i="89" s="1"/>
  <c r="I9" i="89"/>
  <c r="H9" i="89"/>
  <c r="G9" i="89"/>
  <c r="F9" i="89"/>
  <c r="E9" i="89"/>
  <c r="E318" i="89" s="1"/>
  <c r="D9" i="89"/>
  <c r="D318" i="89" s="1"/>
  <c r="C9" i="89"/>
  <c r="D4" i="89"/>
  <c r="D34" i="85" l="1"/>
  <c r="C11" i="13"/>
  <c r="D70" i="89"/>
  <c r="D344" i="89" s="1"/>
  <c r="L70" i="89"/>
  <c r="L344" i="89" s="1"/>
  <c r="D34" i="86"/>
  <c r="C12" i="13"/>
  <c r="D29" i="84"/>
  <c r="C10" i="13"/>
  <c r="D31" i="81"/>
  <c r="K342" i="89"/>
  <c r="O372" i="89"/>
  <c r="D36" i="88"/>
  <c r="O47" i="89"/>
  <c r="O107" i="89"/>
  <c r="H12" i="43"/>
  <c r="K12" i="43"/>
  <c r="N12" i="43"/>
  <c r="Q12" i="43" s="1"/>
  <c r="G379" i="89"/>
  <c r="N318" i="89"/>
  <c r="H70" i="89"/>
  <c r="H344" i="89" s="1"/>
  <c r="H348" i="89" s="1"/>
  <c r="G335" i="89"/>
  <c r="F366" i="89"/>
  <c r="F102" i="89"/>
  <c r="N102" i="89"/>
  <c r="I102" i="89"/>
  <c r="O329" i="89"/>
  <c r="O331" i="89"/>
  <c r="Q45" i="89"/>
  <c r="O376" i="89"/>
  <c r="D342" i="89"/>
  <c r="O23" i="89"/>
  <c r="O319" i="89"/>
  <c r="D323" i="89"/>
  <c r="L323" i="89"/>
  <c r="H335" i="89"/>
  <c r="H336" i="89" s="1"/>
  <c r="K29" i="43"/>
  <c r="Q29" i="43" s="1"/>
  <c r="O97" i="89"/>
  <c r="D19" i="43" s="1"/>
  <c r="K137" i="89"/>
  <c r="K346" i="89" s="1"/>
  <c r="L149" i="89"/>
  <c r="L340" i="89" s="1"/>
  <c r="O321" i="89"/>
  <c r="C328" i="89"/>
  <c r="E379" i="89"/>
  <c r="C13" i="13"/>
  <c r="I70" i="89"/>
  <c r="I344" i="89" s="1"/>
  <c r="O100" i="89"/>
  <c r="H15" i="43"/>
  <c r="N15" i="43"/>
  <c r="Q15" i="43" s="1"/>
  <c r="K15" i="43"/>
  <c r="O360" i="89"/>
  <c r="O55" i="89"/>
  <c r="H318" i="89"/>
  <c r="O13" i="89"/>
  <c r="Q13" i="89" s="1"/>
  <c r="I318" i="89"/>
  <c r="C70" i="89"/>
  <c r="J335" i="89"/>
  <c r="D102" i="89"/>
  <c r="L102" i="89"/>
  <c r="O108" i="89"/>
  <c r="F112" i="89"/>
  <c r="F347" i="89" s="1"/>
  <c r="C379" i="89"/>
  <c r="K379" i="89"/>
  <c r="O377" i="89"/>
  <c r="O330" i="89"/>
  <c r="O332" i="89"/>
  <c r="E102" i="89"/>
  <c r="E347" i="89" s="1"/>
  <c r="M102" i="89"/>
  <c r="F342" i="89"/>
  <c r="C50" i="89"/>
  <c r="C343" i="89" s="1"/>
  <c r="O343" i="89" s="1"/>
  <c r="O98" i="89"/>
  <c r="N24" i="43"/>
  <c r="Q24" i="43" s="1"/>
  <c r="K24" i="43"/>
  <c r="H24" i="43"/>
  <c r="G137" i="89"/>
  <c r="G346" i="89" s="1"/>
  <c r="O320" i="89"/>
  <c r="J23" i="85"/>
  <c r="L112" i="89"/>
  <c r="M328" i="89"/>
  <c r="M336" i="89" s="1"/>
  <c r="M145" i="89"/>
  <c r="O144" i="89"/>
  <c r="O171" i="89"/>
  <c r="E4" i="89"/>
  <c r="F4" i="89" s="1"/>
  <c r="G4" i="89" s="1"/>
  <c r="H4" i="89" s="1"/>
  <c r="I4" i="89" s="1"/>
  <c r="J4" i="89" s="1"/>
  <c r="K4" i="89" s="1"/>
  <c r="L4" i="89" s="1"/>
  <c r="M4" i="89" s="1"/>
  <c r="N4" i="89" s="1"/>
  <c r="B257" i="89" s="1"/>
  <c r="O88" i="89"/>
  <c r="I378" i="89"/>
  <c r="I379" i="89" s="1"/>
  <c r="I112" i="89"/>
  <c r="C137" i="89"/>
  <c r="O142" i="89"/>
  <c r="N328" i="89"/>
  <c r="N336" i="89" s="1"/>
  <c r="N145" i="89"/>
  <c r="N149" i="89" s="1"/>
  <c r="N340" i="89" s="1"/>
  <c r="J145" i="89"/>
  <c r="J149" i="89" s="1"/>
  <c r="J340" i="89" s="1"/>
  <c r="O188" i="89"/>
  <c r="O322" i="89"/>
  <c r="C318" i="89"/>
  <c r="C324" i="89" s="1"/>
  <c r="J342" i="89"/>
  <c r="O27" i="89"/>
  <c r="C341" i="89"/>
  <c r="O341" i="89" s="1"/>
  <c r="O39" i="89"/>
  <c r="O36" i="89"/>
  <c r="G355" i="89"/>
  <c r="L355" i="89"/>
  <c r="G70" i="89"/>
  <c r="G344" i="89" s="1"/>
  <c r="K70" i="89"/>
  <c r="K344" i="89" s="1"/>
  <c r="O67" i="89"/>
  <c r="F323" i="89"/>
  <c r="C92" i="89"/>
  <c r="C366" i="89"/>
  <c r="K92" i="89"/>
  <c r="K347" i="89" s="1"/>
  <c r="K366" i="89"/>
  <c r="K367" i="89" s="1"/>
  <c r="I347" i="89"/>
  <c r="H112" i="89"/>
  <c r="I342" i="89"/>
  <c r="O16" i="89"/>
  <c r="M355" i="89"/>
  <c r="C352" i="89"/>
  <c r="H355" i="89"/>
  <c r="N64" i="89"/>
  <c r="N61" i="89" s="1"/>
  <c r="N352" i="89" s="1"/>
  <c r="N355" i="89" s="1"/>
  <c r="E64" i="89"/>
  <c r="O65" i="89"/>
  <c r="O353" i="89"/>
  <c r="O75" i="89"/>
  <c r="C345" i="89"/>
  <c r="O345" i="89" s="1"/>
  <c r="O82" i="89"/>
  <c r="D12" i="13" s="1"/>
  <c r="O79" i="89"/>
  <c r="O86" i="89"/>
  <c r="D366" i="89"/>
  <c r="D367" i="89" s="1"/>
  <c r="D92" i="89"/>
  <c r="H366" i="89"/>
  <c r="H92" i="89"/>
  <c r="H347" i="89" s="1"/>
  <c r="L366" i="89"/>
  <c r="L92" i="89"/>
  <c r="L347" i="89" s="1"/>
  <c r="O110" i="89"/>
  <c r="C112" i="89"/>
  <c r="I131" i="89"/>
  <c r="I128" i="89" s="1"/>
  <c r="I354" i="89" s="1"/>
  <c r="I355" i="89" s="1"/>
  <c r="J359" i="89"/>
  <c r="N359" i="89"/>
  <c r="N367" i="89" s="1"/>
  <c r="F367" i="89"/>
  <c r="L379" i="89"/>
  <c r="O30" i="89"/>
  <c r="D355" i="89"/>
  <c r="J70" i="89"/>
  <c r="J344" i="89" s="1"/>
  <c r="O87" i="89"/>
  <c r="D26" i="43" s="1"/>
  <c r="O122" i="89"/>
  <c r="E328" i="89"/>
  <c r="E336" i="89" s="1"/>
  <c r="E145" i="89"/>
  <c r="E149" i="89" s="1"/>
  <c r="E340" i="89" s="1"/>
  <c r="K149" i="89"/>
  <c r="K340" i="89" s="1"/>
  <c r="K348" i="89" s="1"/>
  <c r="D317" i="89"/>
  <c r="E317" i="89" s="1"/>
  <c r="F317" i="89" s="1"/>
  <c r="G317" i="89" s="1"/>
  <c r="H317" i="89" s="1"/>
  <c r="I317" i="89" s="1"/>
  <c r="F64" i="89"/>
  <c r="F61" i="89" s="1"/>
  <c r="F352" i="89" s="1"/>
  <c r="F355" i="89" s="1"/>
  <c r="M323" i="89"/>
  <c r="O106" i="89"/>
  <c r="M378" i="89"/>
  <c r="M379" i="89" s="1"/>
  <c r="M112" i="89"/>
  <c r="C354" i="89"/>
  <c r="O134" i="89"/>
  <c r="O316" i="89"/>
  <c r="J336" i="89"/>
  <c r="L348" i="89"/>
  <c r="O333" i="89"/>
  <c r="N342" i="89"/>
  <c r="O44" i="89"/>
  <c r="C344" i="89"/>
  <c r="G366" i="89"/>
  <c r="G92" i="89"/>
  <c r="G347" i="89" s="1"/>
  <c r="O90" i="89"/>
  <c r="O96" i="89"/>
  <c r="M137" i="89"/>
  <c r="M346" i="89" s="1"/>
  <c r="H137" i="89"/>
  <c r="H346" i="89" s="1"/>
  <c r="L137" i="89"/>
  <c r="L346" i="89" s="1"/>
  <c r="D324" i="89"/>
  <c r="K336" i="89"/>
  <c r="C336" i="89"/>
  <c r="O362" i="89"/>
  <c r="O373" i="89"/>
  <c r="E342" i="89"/>
  <c r="O50" i="89"/>
  <c r="D10" i="13" s="1"/>
  <c r="G318" i="89"/>
  <c r="K318" i="89"/>
  <c r="O9" i="89"/>
  <c r="D30" i="82" s="1"/>
  <c r="J323" i="89"/>
  <c r="N323" i="89"/>
  <c r="I335" i="89"/>
  <c r="I336" i="89" s="1"/>
  <c r="J366" i="89"/>
  <c r="O111" i="89"/>
  <c r="J112" i="89"/>
  <c r="J347" i="89" s="1"/>
  <c r="N112" i="89"/>
  <c r="N347" i="89" s="1"/>
  <c r="O118" i="89"/>
  <c r="O132" i="89"/>
  <c r="F137" i="89"/>
  <c r="F346" i="89" s="1"/>
  <c r="J137" i="89"/>
  <c r="J346" i="89" s="1"/>
  <c r="N137" i="89"/>
  <c r="N346" i="89" s="1"/>
  <c r="M359" i="89"/>
  <c r="M149" i="89"/>
  <c r="M340" i="89" s="1"/>
  <c r="D149" i="89"/>
  <c r="D340" i="89" s="1"/>
  <c r="B197" i="89"/>
  <c r="B225" i="89"/>
  <c r="F379" i="89"/>
  <c r="J379" i="89"/>
  <c r="N379" i="89"/>
  <c r="H367" i="89"/>
  <c r="H379" i="89"/>
  <c r="F318" i="89"/>
  <c r="F324" i="89" s="1"/>
  <c r="M342" i="89"/>
  <c r="E323" i="89"/>
  <c r="O323" i="89" s="1"/>
  <c r="I323" i="89"/>
  <c r="D335" i="89"/>
  <c r="O335" i="89" s="1"/>
  <c r="L335" i="89"/>
  <c r="E366" i="89"/>
  <c r="I366" i="89"/>
  <c r="I367" i="89" s="1"/>
  <c r="M366" i="89"/>
  <c r="O143" i="89"/>
  <c r="D29" i="80" s="1"/>
  <c r="E66" i="90" s="1"/>
  <c r="C359" i="89"/>
  <c r="O147" i="89"/>
  <c r="L367" i="89"/>
  <c r="C149" i="89"/>
  <c r="O167" i="89"/>
  <c r="B291" i="89"/>
  <c r="B272" i="89"/>
  <c r="B263" i="89"/>
  <c r="B239" i="89"/>
  <c r="B227" i="89"/>
  <c r="B199" i="89"/>
  <c r="B278" i="89"/>
  <c r="B265" i="89"/>
  <c r="B245" i="89"/>
  <c r="B228" i="89"/>
  <c r="B216" i="89"/>
  <c r="B279" i="89"/>
  <c r="G336" i="89"/>
  <c r="L336" i="89"/>
  <c r="E367" i="89"/>
  <c r="O378" i="89"/>
  <c r="D145" i="89"/>
  <c r="O145" i="89" s="1"/>
  <c r="Q145" i="89" s="1"/>
  <c r="F336" i="89"/>
  <c r="O334" i="89"/>
  <c r="G367" i="89"/>
  <c r="O363" i="89"/>
  <c r="O364" i="89"/>
  <c r="O374" i="89"/>
  <c r="O375" i="89"/>
  <c r="O371" i="89"/>
  <c r="C15" i="13" l="1"/>
  <c r="E68" i="90"/>
  <c r="E38" i="70"/>
  <c r="O342" i="89"/>
  <c r="B271" i="89"/>
  <c r="G348" i="89"/>
  <c r="M347" i="89"/>
  <c r="M348" i="89" s="1"/>
  <c r="K18" i="43"/>
  <c r="H18" i="43"/>
  <c r="N18" i="43"/>
  <c r="Q18" i="43" s="1"/>
  <c r="E69" i="90"/>
  <c r="E39" i="70"/>
  <c r="N19" i="43"/>
  <c r="Q19" i="43" s="1"/>
  <c r="H19" i="43"/>
  <c r="K19" i="43"/>
  <c r="O328" i="89"/>
  <c r="O379" i="89"/>
  <c r="N70" i="89"/>
  <c r="N344" i="89" s="1"/>
  <c r="K25" i="43"/>
  <c r="N25" i="43"/>
  <c r="Q25" i="43" s="1"/>
  <c r="H25" i="43"/>
  <c r="K28" i="43"/>
  <c r="N20" i="43"/>
  <c r="Q20" i="43" s="1"/>
  <c r="H20" i="43"/>
  <c r="K20" i="43"/>
  <c r="J348" i="89"/>
  <c r="E72" i="90"/>
  <c r="E42" i="70"/>
  <c r="E71" i="90"/>
  <c r="E41" i="70"/>
  <c r="B205" i="89"/>
  <c r="B234" i="89"/>
  <c r="B251" i="89"/>
  <c r="B292" i="89"/>
  <c r="B285" i="89"/>
  <c r="F26" i="43"/>
  <c r="D38" i="43" s="1"/>
  <c r="O102" i="89"/>
  <c r="E67" i="90"/>
  <c r="E37" i="70"/>
  <c r="B217" i="89"/>
  <c r="B204" i="89"/>
  <c r="B211" i="89"/>
  <c r="O131" i="89"/>
  <c r="D347" i="89"/>
  <c r="G324" i="89"/>
  <c r="E70" i="90"/>
  <c r="E40" i="70"/>
  <c r="E36" i="70"/>
  <c r="C39" i="79"/>
  <c r="M367" i="89"/>
  <c r="F70" i="89"/>
  <c r="F344" i="89" s="1"/>
  <c r="F348" i="89" s="1"/>
  <c r="C367" i="89"/>
  <c r="O359" i="89"/>
  <c r="D348" i="89"/>
  <c r="J317" i="89"/>
  <c r="I324" i="89"/>
  <c r="C340" i="89"/>
  <c r="O149" i="89"/>
  <c r="D336" i="89"/>
  <c r="B293" i="89"/>
  <c r="O354" i="89"/>
  <c r="B266" i="89"/>
  <c r="C347" i="89"/>
  <c r="O92" i="89"/>
  <c r="B233" i="89"/>
  <c r="B206" i="89"/>
  <c r="E324" i="89"/>
  <c r="O336" i="89"/>
  <c r="J367" i="89"/>
  <c r="O318" i="89"/>
  <c r="O128" i="89"/>
  <c r="N348" i="89"/>
  <c r="O112" i="89"/>
  <c r="O64" i="89"/>
  <c r="Q65" i="89" s="1"/>
  <c r="E61" i="89"/>
  <c r="E70" i="89"/>
  <c r="C355" i="89"/>
  <c r="O366" i="89"/>
  <c r="H324" i="89"/>
  <c r="C346" i="89"/>
  <c r="I137" i="89"/>
  <c r="I346" i="89" s="1"/>
  <c r="I348" i="89" s="1"/>
  <c r="H31" i="43" l="1"/>
  <c r="Q28" i="43"/>
  <c r="K31" i="43"/>
  <c r="M42" i="61" s="1"/>
  <c r="E15" i="13"/>
  <c r="L42" i="61"/>
  <c r="Q31" i="43"/>
  <c r="N42" i="61" s="1"/>
  <c r="O347" i="89"/>
  <c r="H33" i="43" s="1"/>
  <c r="D15" i="13" s="1"/>
  <c r="E352" i="89"/>
  <c r="O61" i="89"/>
  <c r="K317" i="89"/>
  <c r="J324" i="89"/>
  <c r="O137" i="89"/>
  <c r="D13" i="13" s="1"/>
  <c r="O346" i="89"/>
  <c r="O340" i="89"/>
  <c r="C348" i="89"/>
  <c r="E344" i="89"/>
  <c r="O70" i="89"/>
  <c r="D11" i="13" s="1"/>
  <c r="O367" i="89"/>
  <c r="L317" i="89" l="1"/>
  <c r="K324" i="89"/>
  <c r="O344" i="89"/>
  <c r="E348" i="89"/>
  <c r="O348" i="89"/>
  <c r="E355" i="89"/>
  <c r="O355" i="89" s="1"/>
  <c r="O352" i="89"/>
  <c r="M317" i="89" l="1"/>
  <c r="L324" i="89"/>
  <c r="N317" i="89" l="1"/>
  <c r="N324" i="89" s="1"/>
  <c r="M324" i="89"/>
  <c r="O324" i="89" l="1"/>
  <c r="O317" i="89"/>
  <c r="G29" i="61" l="1"/>
  <c r="A3" i="43"/>
  <c r="I21" i="88"/>
  <c r="E21" i="88"/>
  <c r="G21" i="88" s="1"/>
  <c r="G17" i="88"/>
  <c r="E12" i="88"/>
  <c r="A3" i="88"/>
  <c r="S26" i="88"/>
  <c r="N26" i="88"/>
  <c r="J26" i="88"/>
  <c r="S25" i="88"/>
  <c r="J25" i="88"/>
  <c r="S24" i="88"/>
  <c r="A2" i="88"/>
  <c r="A1" i="88"/>
  <c r="I17" i="86"/>
  <c r="E21" i="86"/>
  <c r="E17" i="86"/>
  <c r="E12" i="86"/>
  <c r="I19" i="85"/>
  <c r="J19" i="85" s="1"/>
  <c r="I15" i="85"/>
  <c r="E19" i="85"/>
  <c r="E11" i="85"/>
  <c r="I16" i="84"/>
  <c r="I12" i="84"/>
  <c r="E12" i="84"/>
  <c r="A3" i="86"/>
  <c r="A3" i="85"/>
  <c r="A3" i="84"/>
  <c r="N13" i="82"/>
  <c r="N12" i="82"/>
  <c r="P13" i="82"/>
  <c r="I13" i="82"/>
  <c r="J13" i="82" s="1"/>
  <c r="E13" i="82"/>
  <c r="G13" i="82" s="1"/>
  <c r="E12" i="82"/>
  <c r="E28" i="90" l="1"/>
  <c r="H29" i="61"/>
  <c r="Q15" i="85"/>
  <c r="F25" i="90"/>
  <c r="Q17" i="86"/>
  <c r="F29" i="90"/>
  <c r="Q21" i="86"/>
  <c r="F30" i="90"/>
  <c r="Q13" i="82"/>
  <c r="S13" i="82" s="1"/>
  <c r="T13" i="82" s="1"/>
  <c r="U13" i="82" s="1"/>
  <c r="F18" i="90"/>
  <c r="Q17" i="88"/>
  <c r="F33" i="90"/>
  <c r="Q19" i="85"/>
  <c r="F26" i="90"/>
  <c r="Q12" i="84"/>
  <c r="F21" i="90"/>
  <c r="Q21" i="88"/>
  <c r="F34" i="90"/>
  <c r="I12" i="86"/>
  <c r="I21" i="86"/>
  <c r="I11" i="85"/>
  <c r="I17" i="82"/>
  <c r="I17" i="88"/>
  <c r="J17" i="88" s="1"/>
  <c r="I12" i="88"/>
  <c r="J12" i="88" s="1"/>
  <c r="J21" i="88"/>
  <c r="P12" i="88"/>
  <c r="P17" i="88"/>
  <c r="P21" i="88"/>
  <c r="J24" i="88"/>
  <c r="G12" i="88"/>
  <c r="G19" i="85"/>
  <c r="P19" i="85"/>
  <c r="J29" i="88" l="1"/>
  <c r="G29" i="88"/>
  <c r="E13" i="13" s="1"/>
  <c r="S21" i="88"/>
  <c r="T21" i="88" s="1"/>
  <c r="U21" i="88" s="1"/>
  <c r="S17" i="88"/>
  <c r="T17" i="88" s="1"/>
  <c r="U17" i="88" s="1"/>
  <c r="S19" i="85"/>
  <c r="T19" i="85" s="1"/>
  <c r="U19" i="85" s="1"/>
  <c r="Q11" i="85"/>
  <c r="F24" i="90"/>
  <c r="Q12" i="86"/>
  <c r="F28" i="90"/>
  <c r="Q12" i="88"/>
  <c r="S12" i="88" s="1"/>
  <c r="F32" i="90"/>
  <c r="Q17" i="82"/>
  <c r="F19" i="90"/>
  <c r="G33" i="88"/>
  <c r="T12" i="88" l="1"/>
  <c r="U12" i="88" s="1"/>
  <c r="S29" i="88"/>
  <c r="T29" i="88" s="1"/>
  <c r="U29" i="88" s="1"/>
  <c r="L33" i="61"/>
  <c r="G35" i="88"/>
  <c r="J33" i="88"/>
  <c r="M33" i="61"/>
  <c r="N33" i="61" l="1"/>
  <c r="S31" i="88"/>
  <c r="O33" i="61" s="1"/>
  <c r="J35" i="88"/>
  <c r="E57" i="90" l="1"/>
  <c r="E44" i="93"/>
  <c r="S35" i="88"/>
  <c r="Q33" i="61" s="1"/>
  <c r="S33" i="88"/>
  <c r="P33" i="61" s="1"/>
  <c r="F72" i="90" l="1"/>
  <c r="F57" i="93"/>
  <c r="G72" i="90"/>
  <c r="F44" i="93"/>
  <c r="G57" i="93" s="1"/>
  <c r="F57" i="90"/>
  <c r="I68" i="43"/>
  <c r="I67" i="43"/>
  <c r="I66" i="43"/>
  <c r="I65" i="43"/>
  <c r="I64" i="43"/>
  <c r="I63" i="43"/>
  <c r="I62" i="43"/>
  <c r="I61" i="43"/>
  <c r="I60" i="43"/>
  <c r="I59" i="43"/>
  <c r="D37" i="70" l="1"/>
  <c r="D38" i="70"/>
  <c r="D39" i="70"/>
  <c r="D40" i="70"/>
  <c r="D41" i="70"/>
  <c r="D42" i="70"/>
  <c r="D43" i="70"/>
  <c r="D44" i="70"/>
  <c r="D45" i="70"/>
  <c r="D36" i="70"/>
  <c r="D22" i="70"/>
  <c r="D23" i="70"/>
  <c r="D24" i="70"/>
  <c r="D25" i="70"/>
  <c r="D26" i="70"/>
  <c r="D27" i="70"/>
  <c r="D28" i="70"/>
  <c r="D29" i="70"/>
  <c r="D30" i="70"/>
  <c r="D21" i="70"/>
  <c r="E21" i="13"/>
  <c r="A2" i="43"/>
  <c r="A2" i="86"/>
  <c r="A2" i="85"/>
  <c r="A2" i="84"/>
  <c r="A3" i="82"/>
  <c r="A2" i="82"/>
  <c r="A3" i="81"/>
  <c r="A2" i="81"/>
  <c r="A3" i="80"/>
  <c r="A2" i="80"/>
  <c r="C8" i="13"/>
  <c r="A1" i="86"/>
  <c r="A1" i="85"/>
  <c r="A1" i="84"/>
  <c r="I12" i="82"/>
  <c r="A1" i="82"/>
  <c r="Q17" i="81"/>
  <c r="Q16" i="81"/>
  <c r="Q12" i="81"/>
  <c r="I17" i="81"/>
  <c r="I16" i="81"/>
  <c r="T16" i="81" s="1"/>
  <c r="I12" i="81"/>
  <c r="T12" i="81" s="1"/>
  <c r="E16" i="81"/>
  <c r="E12" i="81"/>
  <c r="A1" i="81"/>
  <c r="Q11" i="80"/>
  <c r="I15" i="80"/>
  <c r="I11" i="80"/>
  <c r="E11" i="80"/>
  <c r="A1" i="80"/>
  <c r="I15" i="61"/>
  <c r="C9" i="13" l="1"/>
  <c r="D9" i="13"/>
  <c r="D7" i="13"/>
  <c r="C7" i="13"/>
  <c r="J35" i="61"/>
  <c r="I35" i="61"/>
  <c r="J15" i="61"/>
  <c r="I26" i="61"/>
  <c r="J26" i="61"/>
  <c r="I27" i="61"/>
  <c r="J27" i="61"/>
  <c r="J19" i="61"/>
  <c r="I19" i="61"/>
  <c r="D8" i="13" l="1"/>
  <c r="F46" i="70"/>
  <c r="C9" i="79"/>
  <c r="C10" i="79" s="1"/>
  <c r="C11" i="79" s="1"/>
  <c r="C12" i="79" s="1"/>
  <c r="C13" i="79" s="1"/>
  <c r="C14" i="79" s="1"/>
  <c r="C15" i="79" s="1"/>
  <c r="C16" i="79" s="1"/>
  <c r="C17" i="79" s="1"/>
  <c r="C18" i="79" s="1"/>
  <c r="C19" i="79" s="1"/>
  <c r="C20" i="79" s="1"/>
  <c r="C21" i="79" s="1"/>
  <c r="C22" i="79" s="1"/>
  <c r="C23" i="79" s="1"/>
  <c r="C24" i="79" s="1"/>
  <c r="C25" i="79" s="1"/>
  <c r="C26" i="79" s="1"/>
  <c r="C27" i="79" s="1"/>
  <c r="C28" i="79" s="1"/>
  <c r="C29" i="79" s="1"/>
  <c r="C30" i="79" s="1"/>
  <c r="C31" i="79" s="1"/>
  <c r="C32" i="79" s="1"/>
  <c r="C33" i="79" s="1"/>
  <c r="C34" i="79" s="1"/>
  <c r="C35" i="79" s="1"/>
  <c r="C36" i="79" s="1"/>
  <c r="C37" i="79" s="1"/>
  <c r="C38" i="79" s="1"/>
  <c r="F45" i="70" l="1"/>
  <c r="E30" i="70"/>
  <c r="S25" i="86" l="1"/>
  <c r="J25" i="86"/>
  <c r="S24" i="86"/>
  <c r="J24" i="86"/>
  <c r="J21" i="86"/>
  <c r="U21" i="86" s="1"/>
  <c r="P21" i="86"/>
  <c r="S21" i="86" s="1"/>
  <c r="G21" i="86"/>
  <c r="G17" i="86"/>
  <c r="J17" i="86"/>
  <c r="U17" i="86" s="1"/>
  <c r="P17" i="86"/>
  <c r="S17" i="86" s="1"/>
  <c r="G12" i="86"/>
  <c r="P12" i="86"/>
  <c r="S12" i="86" s="1"/>
  <c r="J12" i="86"/>
  <c r="U12" i="86" s="1"/>
  <c r="F30" i="70"/>
  <c r="G45" i="70"/>
  <c r="T17" i="86" l="1"/>
  <c r="T12" i="86"/>
  <c r="T21" i="86"/>
  <c r="J27" i="86"/>
  <c r="J22" i="81"/>
  <c r="S22" i="81"/>
  <c r="J19" i="80"/>
  <c r="S21" i="82"/>
  <c r="J21" i="82"/>
  <c r="S20" i="84"/>
  <c r="J20" i="84"/>
  <c r="S25" i="85"/>
  <c r="J25" i="85"/>
  <c r="S20" i="82"/>
  <c r="J20" i="82"/>
  <c r="S21" i="81"/>
  <c r="J21" i="81"/>
  <c r="S19" i="84"/>
  <c r="J19" i="84"/>
  <c r="S22" i="85"/>
  <c r="J22" i="85"/>
  <c r="S27" i="86"/>
  <c r="G27" i="86"/>
  <c r="P17" i="81"/>
  <c r="J17" i="81"/>
  <c r="G17" i="81"/>
  <c r="G12" i="82"/>
  <c r="P12" i="82"/>
  <c r="J12" i="82"/>
  <c r="J11" i="85"/>
  <c r="P11" i="85"/>
  <c r="S11" i="85" s="1"/>
  <c r="G11" i="85"/>
  <c r="P12" i="84"/>
  <c r="S12" i="84" s="1"/>
  <c r="T12" i="84" s="1"/>
  <c r="J12" i="84"/>
  <c r="G12" i="84"/>
  <c r="P12" i="81"/>
  <c r="G12" i="81"/>
  <c r="J12" i="81"/>
  <c r="U12" i="81" s="1"/>
  <c r="P11" i="80"/>
  <c r="G11" i="80"/>
  <c r="T11" i="85" l="1"/>
  <c r="U11" i="85" s="1"/>
  <c r="N29" i="61"/>
  <c r="T27" i="86"/>
  <c r="M29" i="61"/>
  <c r="U27" i="86"/>
  <c r="U12" i="84"/>
  <c r="E12" i="13"/>
  <c r="L29" i="61"/>
  <c r="J31" i="86"/>
  <c r="S29" i="86"/>
  <c r="G15" i="85"/>
  <c r="J15" i="85"/>
  <c r="J38" i="85" s="1"/>
  <c r="P15" i="85"/>
  <c r="S15" i="85" s="1"/>
  <c r="G17" i="82"/>
  <c r="G23" i="82" s="1"/>
  <c r="E9" i="13" s="1"/>
  <c r="P17" i="82"/>
  <c r="S17" i="82" s="1"/>
  <c r="J17" i="82"/>
  <c r="J33" i="82" s="1"/>
  <c r="G31" i="86"/>
  <c r="G33" i="86" s="1"/>
  <c r="G16" i="84"/>
  <c r="J16" i="84"/>
  <c r="J31" i="84" s="1"/>
  <c r="P16" i="84"/>
  <c r="P16" i="81"/>
  <c r="G16" i="81"/>
  <c r="G24" i="81" s="1"/>
  <c r="E8" i="13" s="1"/>
  <c r="J16" i="81"/>
  <c r="G15" i="80"/>
  <c r="P15" i="80"/>
  <c r="T15" i="85" l="1"/>
  <c r="U15" i="85" s="1"/>
  <c r="T17" i="82"/>
  <c r="U17" i="82" s="1"/>
  <c r="J24" i="81"/>
  <c r="M14" i="61" s="1"/>
  <c r="U16" i="81"/>
  <c r="G22" i="80"/>
  <c r="G26" i="80" s="1"/>
  <c r="G28" i="80" s="1"/>
  <c r="J23" i="82"/>
  <c r="J27" i="82" s="1"/>
  <c r="J33" i="86"/>
  <c r="S31" i="86"/>
  <c r="P29" i="61" s="1"/>
  <c r="O29" i="61"/>
  <c r="E56" i="90" s="1"/>
  <c r="S33" i="86"/>
  <c r="Q29" i="61" s="1"/>
  <c r="F71" i="90" s="1"/>
  <c r="J22" i="84"/>
  <c r="G22" i="84"/>
  <c r="E10" i="13" s="1"/>
  <c r="G28" i="81"/>
  <c r="G30" i="81" s="1"/>
  <c r="L14" i="61"/>
  <c r="G27" i="82"/>
  <c r="G29" i="82" s="1"/>
  <c r="L18" i="61"/>
  <c r="J15" i="80"/>
  <c r="J18" i="80" s="1"/>
  <c r="J11" i="80"/>
  <c r="J34" i="80" s="1"/>
  <c r="E8" i="70"/>
  <c r="E11" i="70" s="1"/>
  <c r="D7" i="79"/>
  <c r="D39" i="79" s="1"/>
  <c r="E9" i="70"/>
  <c r="E12" i="70" s="1"/>
  <c r="E7" i="79"/>
  <c r="E39" i="79" s="1"/>
  <c r="L11" i="61" l="1"/>
  <c r="J28" i="81"/>
  <c r="J30" i="81" s="1"/>
  <c r="E7" i="13"/>
  <c r="S18" i="80"/>
  <c r="T18" i="80" s="1"/>
  <c r="U18" i="80" s="1"/>
  <c r="J31" i="80"/>
  <c r="F7" i="79" s="1"/>
  <c r="M18" i="61"/>
  <c r="G71" i="90"/>
  <c r="F56" i="90"/>
  <c r="J29" i="82"/>
  <c r="G26" i="84"/>
  <c r="G28" i="84" s="1"/>
  <c r="L22" i="61"/>
  <c r="M22" i="61"/>
  <c r="J26" i="84"/>
  <c r="J22" i="80"/>
  <c r="J26" i="80" s="1"/>
  <c r="Q15" i="80"/>
  <c r="S15" i="80" s="1"/>
  <c r="T15" i="80" s="1"/>
  <c r="U15" i="80" s="1"/>
  <c r="F9" i="70"/>
  <c r="F12" i="70" s="1"/>
  <c r="I7" i="79"/>
  <c r="I39" i="79" s="1"/>
  <c r="S11" i="80"/>
  <c r="T11" i="80" s="1"/>
  <c r="U11" i="80" s="1"/>
  <c r="H7" i="79"/>
  <c r="H39" i="79" s="1"/>
  <c r="F8" i="70"/>
  <c r="F11" i="70" s="1"/>
  <c r="E14" i="79"/>
  <c r="E8" i="79"/>
  <c r="E9" i="79"/>
  <c r="E13" i="79"/>
  <c r="E12" i="79"/>
  <c r="E15" i="79"/>
  <c r="E11" i="79"/>
  <c r="E17" i="79"/>
  <c r="E10" i="79"/>
  <c r="E16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D31" i="79"/>
  <c r="D9" i="79"/>
  <c r="D10" i="79"/>
  <c r="D11" i="79"/>
  <c r="D27" i="79"/>
  <c r="D22" i="79"/>
  <c r="D23" i="79"/>
  <c r="D8" i="79"/>
  <c r="D24" i="79"/>
  <c r="D29" i="79"/>
  <c r="D17" i="79"/>
  <c r="D33" i="79"/>
  <c r="D20" i="79"/>
  <c r="D25" i="79"/>
  <c r="D18" i="79"/>
  <c r="D35" i="79"/>
  <c r="D30" i="79"/>
  <c r="D28" i="79"/>
  <c r="D26" i="79"/>
  <c r="D19" i="79"/>
  <c r="D13" i="79"/>
  <c r="D12" i="79"/>
  <c r="D34" i="79"/>
  <c r="D37" i="79"/>
  <c r="D14" i="79"/>
  <c r="D38" i="79"/>
  <c r="D16" i="79"/>
  <c r="D32" i="79"/>
  <c r="D21" i="79"/>
  <c r="D15" i="79"/>
  <c r="D36" i="79"/>
  <c r="F9" i="79" l="1"/>
  <c r="G9" i="79" s="1"/>
  <c r="F11" i="79"/>
  <c r="G11" i="79" s="1"/>
  <c r="F13" i="79"/>
  <c r="G13" i="79" s="1"/>
  <c r="F15" i="79"/>
  <c r="G15" i="79" s="1"/>
  <c r="F26" i="79"/>
  <c r="G26" i="79" s="1"/>
  <c r="F34" i="79"/>
  <c r="G34" i="79" s="1"/>
  <c r="F38" i="79"/>
  <c r="G38" i="79" s="1"/>
  <c r="F17" i="79"/>
  <c r="G17" i="79" s="1"/>
  <c r="F19" i="79"/>
  <c r="G19" i="79" s="1"/>
  <c r="F21" i="79"/>
  <c r="G21" i="79" s="1"/>
  <c r="F23" i="79"/>
  <c r="G23" i="79" s="1"/>
  <c r="F32" i="79"/>
  <c r="G32" i="79" s="1"/>
  <c r="F25" i="79"/>
  <c r="G25" i="79" s="1"/>
  <c r="F27" i="79"/>
  <c r="G27" i="79" s="1"/>
  <c r="F29" i="79"/>
  <c r="G29" i="79" s="1"/>
  <c r="F31" i="79"/>
  <c r="G31" i="79" s="1"/>
  <c r="F28" i="79"/>
  <c r="G28" i="79" s="1"/>
  <c r="F8" i="79"/>
  <c r="G8" i="79" s="1"/>
  <c r="J7" i="79"/>
  <c r="F33" i="79"/>
  <c r="G33" i="79" s="1"/>
  <c r="F35" i="79"/>
  <c r="G35" i="79" s="1"/>
  <c r="F37" i="79"/>
  <c r="G37" i="79" s="1"/>
  <c r="F39" i="79"/>
  <c r="G39" i="79" s="1"/>
  <c r="F30" i="79"/>
  <c r="G30" i="79" s="1"/>
  <c r="F36" i="79"/>
  <c r="G36" i="79" s="1"/>
  <c r="F16" i="79"/>
  <c r="G16" i="79" s="1"/>
  <c r="F10" i="79"/>
  <c r="G10" i="79" s="1"/>
  <c r="F12" i="79"/>
  <c r="G12" i="79" s="1"/>
  <c r="F14" i="79"/>
  <c r="G14" i="79" s="1"/>
  <c r="F24" i="79"/>
  <c r="G24" i="79" s="1"/>
  <c r="F18" i="79"/>
  <c r="G18" i="79" s="1"/>
  <c r="F20" i="79"/>
  <c r="G20" i="79" s="1"/>
  <c r="F22" i="79"/>
  <c r="G22" i="79" s="1"/>
  <c r="J28" i="80"/>
  <c r="J28" i="84"/>
  <c r="M11" i="61"/>
  <c r="S22" i="80"/>
  <c r="T22" i="80" s="1"/>
  <c r="U22" i="80" s="1"/>
  <c r="I17" i="79"/>
  <c r="I11" i="79"/>
  <c r="I8" i="79"/>
  <c r="I15" i="79"/>
  <c r="I18" i="79"/>
  <c r="I9" i="79"/>
  <c r="I16" i="79"/>
  <c r="I14" i="79"/>
  <c r="I13" i="79"/>
  <c r="I10" i="79"/>
  <c r="I12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H11" i="79"/>
  <c r="H8" i="79"/>
  <c r="H9" i="79"/>
  <c r="H12" i="79"/>
  <c r="H38" i="79"/>
  <c r="H22" i="79"/>
  <c r="H33" i="79"/>
  <c r="H17" i="79"/>
  <c r="H28" i="79"/>
  <c r="H35" i="79"/>
  <c r="H19" i="79"/>
  <c r="H23" i="79"/>
  <c r="H34" i="79"/>
  <c r="H18" i="79"/>
  <c r="H29" i="79"/>
  <c r="H13" i="79"/>
  <c r="H16" i="79"/>
  <c r="H20" i="79"/>
  <c r="H26" i="79"/>
  <c r="H21" i="79"/>
  <c r="H27" i="79"/>
  <c r="H30" i="79"/>
  <c r="H14" i="79"/>
  <c r="H25" i="79"/>
  <c r="H36" i="79"/>
  <c r="H24" i="79"/>
  <c r="H31" i="79"/>
  <c r="H10" i="79"/>
  <c r="H37" i="79"/>
  <c r="H32" i="79"/>
  <c r="H15" i="79"/>
  <c r="A17" i="13"/>
  <c r="B17" i="13"/>
  <c r="A8" i="13"/>
  <c r="B8" i="13"/>
  <c r="A9" i="13"/>
  <c r="B9" i="13"/>
  <c r="A10" i="13"/>
  <c r="B10" i="13"/>
  <c r="A11" i="13"/>
  <c r="B11" i="13"/>
  <c r="A12" i="13"/>
  <c r="B12" i="13"/>
  <c r="A13" i="13"/>
  <c r="B13" i="13"/>
  <c r="A15" i="13"/>
  <c r="B15" i="13"/>
  <c r="A16" i="13"/>
  <c r="B16" i="13"/>
  <c r="B7" i="13"/>
  <c r="A7" i="13"/>
  <c r="C44" i="61"/>
  <c r="C42" i="61"/>
  <c r="B44" i="61"/>
  <c r="B42" i="61"/>
  <c r="C47" i="61"/>
  <c r="B47" i="61"/>
  <c r="I44" i="61"/>
  <c r="B33" i="61"/>
  <c r="D31" i="90" s="1"/>
  <c r="C33" i="61"/>
  <c r="C31" i="90" s="1"/>
  <c r="C29" i="61"/>
  <c r="C27" i="90" s="1"/>
  <c r="B29" i="61"/>
  <c r="D27" i="90" s="1"/>
  <c r="C25" i="61"/>
  <c r="C23" i="90" s="1"/>
  <c r="B25" i="61"/>
  <c r="D23" i="90" s="1"/>
  <c r="C22" i="61"/>
  <c r="C20" i="90" s="1"/>
  <c r="B22" i="61"/>
  <c r="D20" i="90" s="1"/>
  <c r="C18" i="61"/>
  <c r="C16" i="90" s="1"/>
  <c r="B18" i="61"/>
  <c r="D16" i="90" s="1"/>
  <c r="C14" i="61"/>
  <c r="C13" i="90" s="1"/>
  <c r="C11" i="61"/>
  <c r="C7" i="90" s="1"/>
  <c r="B14" i="61"/>
  <c r="D13" i="90" s="1"/>
  <c r="B11" i="61"/>
  <c r="D7" i="90" s="1"/>
  <c r="J18" i="79" l="1"/>
  <c r="J20" i="79"/>
  <c r="K20" i="79" s="1"/>
  <c r="L20" i="79" s="1"/>
  <c r="M20" i="79" s="1"/>
  <c r="J22" i="79"/>
  <c r="J24" i="79"/>
  <c r="K24" i="79" s="1"/>
  <c r="L24" i="79" s="1"/>
  <c r="M24" i="79" s="1"/>
  <c r="J28" i="79"/>
  <c r="K28" i="79" s="1"/>
  <c r="L28" i="79" s="1"/>
  <c r="M28" i="79" s="1"/>
  <c r="J30" i="79"/>
  <c r="K30" i="79" s="1"/>
  <c r="L30" i="79" s="1"/>
  <c r="M30" i="79" s="1"/>
  <c r="J32" i="79"/>
  <c r="K32" i="79" s="1"/>
  <c r="L32" i="79" s="1"/>
  <c r="M32" i="79" s="1"/>
  <c r="J38" i="79"/>
  <c r="K38" i="79" s="1"/>
  <c r="L38" i="79" s="1"/>
  <c r="M38" i="79" s="1"/>
  <c r="J19" i="79"/>
  <c r="K19" i="79" s="1"/>
  <c r="L19" i="79" s="1"/>
  <c r="M19" i="79" s="1"/>
  <c r="J23" i="79"/>
  <c r="K23" i="79" s="1"/>
  <c r="L23" i="79" s="1"/>
  <c r="M23" i="79" s="1"/>
  <c r="J26" i="79"/>
  <c r="K26" i="79" s="1"/>
  <c r="L26" i="79" s="1"/>
  <c r="M26" i="79" s="1"/>
  <c r="J36" i="79"/>
  <c r="K36" i="79" s="1"/>
  <c r="L36" i="79" s="1"/>
  <c r="M36" i="79" s="1"/>
  <c r="J8" i="79"/>
  <c r="K8" i="79" s="1"/>
  <c r="L8" i="79" s="1"/>
  <c r="M8" i="79" s="1"/>
  <c r="J11" i="79"/>
  <c r="K11" i="79" s="1"/>
  <c r="L11" i="79" s="1"/>
  <c r="M11" i="79" s="1"/>
  <c r="J13" i="79"/>
  <c r="K13" i="79" s="1"/>
  <c r="L13" i="79" s="1"/>
  <c r="M13" i="79" s="1"/>
  <c r="J15" i="79"/>
  <c r="K15" i="79" s="1"/>
  <c r="L15" i="79" s="1"/>
  <c r="M15" i="79" s="1"/>
  <c r="J31" i="79"/>
  <c r="J34" i="79"/>
  <c r="K34" i="79" s="1"/>
  <c r="L34" i="79" s="1"/>
  <c r="M34" i="79" s="1"/>
  <c r="J9" i="79"/>
  <c r="K9" i="79" s="1"/>
  <c r="L9" i="79" s="1"/>
  <c r="M9" i="79" s="1"/>
  <c r="J29" i="79"/>
  <c r="K29" i="79" s="1"/>
  <c r="L29" i="79" s="1"/>
  <c r="M29" i="79" s="1"/>
  <c r="J35" i="79"/>
  <c r="K35" i="79" s="1"/>
  <c r="L35" i="79" s="1"/>
  <c r="M35" i="79" s="1"/>
  <c r="J37" i="79"/>
  <c r="K37" i="79" s="1"/>
  <c r="L37" i="79" s="1"/>
  <c r="M37" i="79" s="1"/>
  <c r="J39" i="79"/>
  <c r="K39" i="79" s="1"/>
  <c r="L39" i="79" s="1"/>
  <c r="M39" i="79" s="1"/>
  <c r="J10" i="79"/>
  <c r="K10" i="79" s="1"/>
  <c r="L10" i="79" s="1"/>
  <c r="M10" i="79" s="1"/>
  <c r="J12" i="79"/>
  <c r="K12" i="79" s="1"/>
  <c r="L12" i="79" s="1"/>
  <c r="M12" i="79" s="1"/>
  <c r="J14" i="79"/>
  <c r="J16" i="79"/>
  <c r="J17" i="79"/>
  <c r="K17" i="79" s="1"/>
  <c r="L17" i="79" s="1"/>
  <c r="M17" i="79" s="1"/>
  <c r="J21" i="79"/>
  <c r="K21" i="79" s="1"/>
  <c r="L21" i="79" s="1"/>
  <c r="M21" i="79" s="1"/>
  <c r="J27" i="79"/>
  <c r="K27" i="79" s="1"/>
  <c r="L27" i="79" s="1"/>
  <c r="M27" i="79" s="1"/>
  <c r="J25" i="79"/>
  <c r="K25" i="79" s="1"/>
  <c r="L25" i="79" s="1"/>
  <c r="M25" i="79" s="1"/>
  <c r="J33" i="79"/>
  <c r="K33" i="79" s="1"/>
  <c r="L33" i="79" s="1"/>
  <c r="M33" i="79" s="1"/>
  <c r="K18" i="79"/>
  <c r="L18" i="79" s="1"/>
  <c r="M18" i="79" s="1"/>
  <c r="K14" i="79"/>
  <c r="L14" i="79" s="1"/>
  <c r="M14" i="79" s="1"/>
  <c r="K31" i="79"/>
  <c r="L31" i="79" s="1"/>
  <c r="M31" i="79" s="1"/>
  <c r="K22" i="79"/>
  <c r="L22" i="79" s="1"/>
  <c r="M22" i="79" s="1"/>
  <c r="K16" i="79"/>
  <c r="L16" i="79" s="1"/>
  <c r="M16" i="79" s="1"/>
  <c r="G27" i="85"/>
  <c r="S24" i="80"/>
  <c r="S28" i="80" s="1"/>
  <c r="Q11" i="61" s="1"/>
  <c r="N11" i="61"/>
  <c r="I22" i="61"/>
  <c r="I42" i="61"/>
  <c r="I45" i="61"/>
  <c r="I20" i="61"/>
  <c r="J20" i="61"/>
  <c r="I12" i="61"/>
  <c r="I47" i="61"/>
  <c r="J16" i="61"/>
  <c r="J14" i="61"/>
  <c r="J11" i="61"/>
  <c r="H18" i="61" s="1"/>
  <c r="I18" i="61" s="1"/>
  <c r="I16" i="61"/>
  <c r="I14" i="61"/>
  <c r="I11" i="61"/>
  <c r="J29" i="61"/>
  <c r="J18" i="61" l="1"/>
  <c r="F66" i="90"/>
  <c r="F52" i="93"/>
  <c r="F14" i="93"/>
  <c r="F17" i="90"/>
  <c r="Q12" i="82"/>
  <c r="S12" i="82" s="1"/>
  <c r="E11" i="13"/>
  <c r="F11" i="13" s="1"/>
  <c r="G11" i="13" s="1"/>
  <c r="L25" i="61"/>
  <c r="G31" i="85"/>
  <c r="G33" i="85" s="1"/>
  <c r="S27" i="85"/>
  <c r="J27" i="85"/>
  <c r="J34" i="61"/>
  <c r="S17" i="81"/>
  <c r="T17" i="81" s="1"/>
  <c r="U17" i="81" s="1"/>
  <c r="S12" i="81"/>
  <c r="S16" i="81"/>
  <c r="S26" i="80"/>
  <c r="P11" i="61" s="1"/>
  <c r="F39" i="93" s="1"/>
  <c r="G52" i="93" s="1"/>
  <c r="O11" i="61"/>
  <c r="J33" i="61"/>
  <c r="J22" i="61"/>
  <c r="F9" i="13"/>
  <c r="G9" i="13" s="1"/>
  <c r="D18" i="13"/>
  <c r="I33" i="61"/>
  <c r="I31" i="61"/>
  <c r="J31" i="61"/>
  <c r="J25" i="61"/>
  <c r="I50" i="61"/>
  <c r="I25" i="61"/>
  <c r="I29" i="61"/>
  <c r="I51" i="61"/>
  <c r="I49" i="61"/>
  <c r="J12" i="61"/>
  <c r="F10" i="13"/>
  <c r="G10" i="13" s="1"/>
  <c r="I48" i="61"/>
  <c r="I34" i="61"/>
  <c r="T12" i="82" l="1"/>
  <c r="U12" i="82" s="1"/>
  <c r="S23" i="82"/>
  <c r="E51" i="90"/>
  <c r="E39" i="93"/>
  <c r="N25" i="61"/>
  <c r="T27" i="85"/>
  <c r="U27" i="85" s="1"/>
  <c r="M25" i="61"/>
  <c r="G66" i="90"/>
  <c r="F51" i="90"/>
  <c r="J31" i="85"/>
  <c r="S29" i="85"/>
  <c r="O25" i="61" s="1"/>
  <c r="S24" i="81"/>
  <c r="T24" i="81" s="1"/>
  <c r="U24" i="81" s="1"/>
  <c r="F13" i="13"/>
  <c r="G13" i="13" s="1"/>
  <c r="F12" i="13"/>
  <c r="G12" i="13" s="1"/>
  <c r="D20" i="13"/>
  <c r="D22" i="13" s="1"/>
  <c r="D23" i="13" s="1"/>
  <c r="E29" i="70"/>
  <c r="N18" i="61" l="1"/>
  <c r="S25" i="82"/>
  <c r="T23" i="82"/>
  <c r="U23" i="82" s="1"/>
  <c r="E55" i="90"/>
  <c r="E43" i="93"/>
  <c r="J33" i="85"/>
  <c r="S33" i="85"/>
  <c r="E26" i="70"/>
  <c r="S31" i="85"/>
  <c r="P25" i="61" s="1"/>
  <c r="F43" i="93" s="1"/>
  <c r="G56" i="93" s="1"/>
  <c r="S26" i="81"/>
  <c r="N14" i="61"/>
  <c r="F8" i="13"/>
  <c r="G8" i="13" s="1"/>
  <c r="F15" i="13"/>
  <c r="G15" i="13" s="1"/>
  <c r="F43" i="70"/>
  <c r="E28" i="70"/>
  <c r="E21" i="70"/>
  <c r="F44" i="70"/>
  <c r="S27" i="82" l="1"/>
  <c r="P18" i="61" s="1"/>
  <c r="O18" i="61"/>
  <c r="S29" i="82"/>
  <c r="Q18" i="61" s="1"/>
  <c r="F55" i="90"/>
  <c r="G70" i="90"/>
  <c r="F41" i="70"/>
  <c r="Q25" i="61"/>
  <c r="S28" i="81"/>
  <c r="P14" i="61" s="1"/>
  <c r="F40" i="93" s="1"/>
  <c r="G53" i="93" s="1"/>
  <c r="O14" i="61"/>
  <c r="E40" i="93" s="1"/>
  <c r="S30" i="81"/>
  <c r="Q14" i="61" s="1"/>
  <c r="E27" i="70"/>
  <c r="F42" i="70"/>
  <c r="F27" i="70"/>
  <c r="G42" i="70"/>
  <c r="G41" i="70"/>
  <c r="F26" i="70"/>
  <c r="G44" i="70"/>
  <c r="F29" i="70"/>
  <c r="G43" i="70"/>
  <c r="F28" i="70"/>
  <c r="F7" i="13"/>
  <c r="G7" i="13" s="1"/>
  <c r="E18" i="13"/>
  <c r="F36" i="70"/>
  <c r="E25" i="70"/>
  <c r="E23" i="70"/>
  <c r="F70" i="90" l="1"/>
  <c r="F56" i="93"/>
  <c r="F68" i="90"/>
  <c r="F54" i="93"/>
  <c r="F38" i="70"/>
  <c r="F67" i="90"/>
  <c r="F53" i="93"/>
  <c r="E53" i="90"/>
  <c r="E41" i="93"/>
  <c r="F41" i="93"/>
  <c r="G54" i="93" s="1"/>
  <c r="G68" i="90"/>
  <c r="F53" i="90"/>
  <c r="G67" i="90"/>
  <c r="F52" i="90"/>
  <c r="E22" i="70"/>
  <c r="E52" i="90"/>
  <c r="F23" i="70"/>
  <c r="G38" i="70"/>
  <c r="G36" i="70"/>
  <c r="F21" i="70"/>
  <c r="G37" i="70"/>
  <c r="F22" i="70"/>
  <c r="F40" i="70"/>
  <c r="F37" i="70"/>
  <c r="G40" i="70" l="1"/>
  <c r="F25" i="70"/>
  <c r="H35" i="43" l="1"/>
  <c r="L53" i="61"/>
  <c r="H37" i="43"/>
  <c r="F18" i="13" l="1"/>
  <c r="K35" i="43"/>
  <c r="M53" i="61"/>
  <c r="E20" i="13"/>
  <c r="E22" i="13" s="1"/>
  <c r="E23" i="13" s="1"/>
  <c r="Q33" i="43"/>
  <c r="Q37" i="43" s="1"/>
  <c r="K37" i="43" l="1"/>
  <c r="Q35" i="43"/>
  <c r="G18" i="13"/>
  <c r="A1" i="79" l="1"/>
  <c r="A1" i="73"/>
  <c r="A1" i="90" s="1"/>
  <c r="A1" i="13" l="1"/>
  <c r="A1" i="70"/>
  <c r="A1" i="43"/>
  <c r="C18" i="13"/>
  <c r="C20" i="13" s="1"/>
  <c r="C22" i="13" s="1"/>
  <c r="C23" i="13" s="1"/>
  <c r="I23" i="61" l="1"/>
  <c r="J23" i="61"/>
  <c r="F22" i="90"/>
  <c r="Q16" i="84"/>
  <c r="S16" i="84" s="1"/>
  <c r="T16" i="84" l="1"/>
  <c r="U16" i="84" s="1"/>
  <c r="S22" i="84"/>
  <c r="S24" i="84" s="1"/>
  <c r="O22" i="61" s="1"/>
  <c r="E42" i="93" s="1"/>
  <c r="N22" i="61" l="1"/>
  <c r="N53" i="61" s="1"/>
  <c r="T22" i="84"/>
  <c r="U22" i="84" s="1"/>
  <c r="S28" i="84"/>
  <c r="Q22" i="61" s="1"/>
  <c r="S26" i="84"/>
  <c r="P22" i="61" s="1"/>
  <c r="O53" i="61"/>
  <c r="E47" i="93" s="1"/>
  <c r="E24" i="70"/>
  <c r="E54" i="90"/>
  <c r="G39" i="70" l="1"/>
  <c r="F42" i="93"/>
  <c r="G55" i="93" s="1"/>
  <c r="F39" i="70"/>
  <c r="F55" i="93"/>
  <c r="F69" i="90"/>
  <c r="F54" i="90"/>
  <c r="F24" i="70"/>
  <c r="G69" i="90"/>
  <c r="O56" i="61"/>
  <c r="E61" i="90"/>
  <c r="P53" i="61"/>
  <c r="E31" i="70"/>
  <c r="O2" i="61" l="1"/>
  <c r="O57" i="61"/>
  <c r="F47" i="93"/>
  <c r="G60" i="93"/>
  <c r="G46" i="70"/>
  <c r="F31" i="70"/>
  <c r="F61" i="90"/>
  <c r="G76" i="9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Holly Eades</author>
  </authors>
  <commentList>
    <comment ref="A34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Holly Eades:</t>
        </r>
        <r>
          <rPr>
            <sz val="8"/>
            <color indexed="81"/>
            <rFont val="Tahoma"/>
            <family val="2"/>
          </rPr>
          <t xml:space="preserve">
Make sure you enter a total # of billings for multi meters.
</t>
        </r>
      </text>
    </comment>
  </commentList>
</comments>
</file>

<file path=xl/sharedStrings.xml><?xml version="1.0" encoding="utf-8"?>
<sst xmlns="http://schemas.openxmlformats.org/spreadsheetml/2006/main" count="1284" uniqueCount="282">
  <si>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</si>
  <si>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</si>
  <si>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</si>
  <si>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</si>
  <si>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</si>
  <si>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</si>
  <si>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</si>
  <si>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</si>
  <si>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Charge</t>
  </si>
  <si>
    <t>Per kWh</t>
  </si>
  <si>
    <t>Difference</t>
  </si>
  <si>
    <t>Customer Class</t>
  </si>
  <si>
    <t>Lights</t>
  </si>
  <si>
    <t>Per Light</t>
  </si>
  <si>
    <t>Revenue Per Books</t>
  </si>
  <si>
    <t>Percentage Difference</t>
  </si>
  <si>
    <t>Percent Difference</t>
  </si>
  <si>
    <t>Test Year Rate</t>
  </si>
  <si>
    <t>Test Year Rate Calculated Billings</t>
  </si>
  <si>
    <t>Facility Charge</t>
  </si>
  <si>
    <t>Billing Total</t>
  </si>
  <si>
    <t>On Peak</t>
  </si>
  <si>
    <t>Off Peak</t>
  </si>
  <si>
    <t>Revenue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</si>
  <si>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</si>
  <si>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</si>
  <si>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</si>
  <si>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</si>
  <si>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</si>
  <si>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</si>
  <si>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</si>
  <si>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</si>
  <si>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</si>
  <si>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</si>
  <si>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</si>
  <si>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</si>
  <si>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</si>
  <si>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Total Rate Revenue</t>
  </si>
  <si>
    <t>Rate Code</t>
  </si>
  <si>
    <t>Total</t>
  </si>
  <si>
    <t>Avg Incr/(Decr) Per Customer Per Month</t>
  </si>
  <si>
    <t>Revenues</t>
  </si>
  <si>
    <t xml:space="preserve">Present </t>
  </si>
  <si>
    <t>Energy Charge (per kWh)</t>
  </si>
  <si>
    <t>Demand Charge (per kW)</t>
  </si>
  <si>
    <t>Proposed Rates</t>
  </si>
  <si>
    <t>Avg Incr/(Decr) Per Light Per Month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</si>
  <si>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</si>
  <si>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</si>
  <si>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</si>
  <si>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</si>
  <si>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</si>
  <si>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</si>
  <si>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</si>
  <si>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</si>
  <si>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ES</t>
  </si>
  <si>
    <t>Annual</t>
  </si>
  <si>
    <t>Monthly</t>
  </si>
  <si>
    <t>Reported Total</t>
  </si>
  <si>
    <t xml:space="preserve">Test Year </t>
  </si>
  <si>
    <t>Over TY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</si>
  <si>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</si>
  <si>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</si>
  <si>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</si>
  <si>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</si>
  <si>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</si>
  <si>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</si>
  <si>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Customer</t>
  </si>
  <si>
    <t>Energy</t>
  </si>
  <si>
    <t>Percent</t>
  </si>
  <si>
    <t>Public Notice of Proposed Rate Revisions</t>
  </si>
  <si>
    <t>Average</t>
  </si>
  <si>
    <t>Usage (kWh)</t>
  </si>
  <si>
    <t>The amount of the change requested in both dollar amounts and percentage change for each customer classification to which the proposed rates will apply is set forth below:</t>
  </si>
  <si>
    <t>The amount of the average usage and the effect upon the average bill for each customer classification to which the proposed rates will apply is set forth below:</t>
  </si>
  <si>
    <t>Dollars</t>
  </si>
  <si>
    <t>#</t>
  </si>
  <si>
    <t xml:space="preserve">Energy </t>
  </si>
  <si>
    <t xml:space="preserve">Customer </t>
  </si>
  <si>
    <t>Present Base Rates</t>
  </si>
  <si>
    <t>Proposed Base Rates</t>
  </si>
  <si>
    <t>All Hours</t>
  </si>
  <si>
    <t>NCP</t>
  </si>
  <si>
    <t>KWH</t>
  </si>
  <si>
    <t xml:space="preserve">Residential </t>
  </si>
  <si>
    <t>NA</t>
  </si>
  <si>
    <t>Energy Charge Per kWh (all kWh)</t>
  </si>
  <si>
    <t>List of Rate Schedules</t>
  </si>
  <si>
    <t>Reconciliation of Actual vs. Calculated Billings</t>
  </si>
  <si>
    <t>R</t>
  </si>
  <si>
    <t>Energy Charge On Pk (per kWh)</t>
  </si>
  <si>
    <t>Energy Charge Off Pk (per kWh)</t>
  </si>
  <si>
    <t>All Members</t>
  </si>
  <si>
    <t>RATE</t>
  </si>
  <si>
    <t>001 - 175W MV</t>
  </si>
  <si>
    <t>002 - 100W Sod Open B</t>
  </si>
  <si>
    <t>003 - 100W Sod Dir Flood</t>
  </si>
  <si>
    <t>004 - 175W MH Dir</t>
  </si>
  <si>
    <t>005 - 400W Sod Cobra</t>
  </si>
  <si>
    <t>006 - 400W Sod Dir</t>
  </si>
  <si>
    <t>008 - LED Open Bottom 6200 L</t>
  </si>
  <si>
    <t>009 - LED Cobra Head 13,650 L</t>
  </si>
  <si>
    <t>010 - LED Dir 18,800 L</t>
  </si>
  <si>
    <t>5 - 400W MH Dir</t>
  </si>
  <si>
    <t>AVG</t>
  </si>
  <si>
    <t>Clark Energy Cooperative</t>
  </si>
  <si>
    <t>C</t>
  </si>
  <si>
    <t>Residential</t>
  </si>
  <si>
    <t>Resid TOU</t>
  </si>
  <si>
    <t>D</t>
  </si>
  <si>
    <t>General Power Service &lt; 50kW</t>
  </si>
  <si>
    <t>Public Facilities</t>
  </si>
  <si>
    <t>E</t>
  </si>
  <si>
    <t>General Power Service 50-500kW</t>
  </si>
  <si>
    <t>L</t>
  </si>
  <si>
    <t>General Power Service 1000-5000kW</t>
  </si>
  <si>
    <t>M</t>
  </si>
  <si>
    <t>General Power Service 500+kW</t>
  </si>
  <si>
    <t>P</t>
  </si>
  <si>
    <t>Facility Charge (per month)</t>
  </si>
  <si>
    <t>Facility Charge 3Ph (per month)</t>
  </si>
  <si>
    <t>Facility Charge 1Ph (per month)</t>
  </si>
  <si>
    <t>Single Phase</t>
  </si>
  <si>
    <t>Three Phase</t>
  </si>
  <si>
    <t>2019</t>
  </si>
  <si>
    <t>Rate C</t>
  </si>
  <si>
    <t>Facility charge rate</t>
  </si>
  <si>
    <t>input</t>
  </si>
  <si>
    <t>Energy Charge Rate</t>
  </si>
  <si>
    <t>Number of Billings</t>
  </si>
  <si>
    <t>calc</t>
  </si>
  <si>
    <t>Facility charge revenue</t>
  </si>
  <si>
    <t>Rate minimum upcharge</t>
  </si>
  <si>
    <t>Energy Charge Revenue</t>
  </si>
  <si>
    <t>Fuel Charge Revenue</t>
  </si>
  <si>
    <t>Envir. Surcharge Revenue</t>
  </si>
  <si>
    <t>Input</t>
  </si>
  <si>
    <t>Total Class Revenue</t>
  </si>
  <si>
    <t>Calc</t>
  </si>
  <si>
    <t>Rate C3</t>
  </si>
  <si>
    <t>Demand Charge Revenue</t>
  </si>
  <si>
    <t>Rate D</t>
  </si>
  <si>
    <t>Rate E</t>
  </si>
  <si>
    <t>Rate GP</t>
  </si>
  <si>
    <t>Green Power Revenue</t>
  </si>
  <si>
    <t>Rate L</t>
  </si>
  <si>
    <t>kW billed demand</t>
  </si>
  <si>
    <t>Demand Upcharge Revenue</t>
  </si>
  <si>
    <t>Rate M</t>
  </si>
  <si>
    <t>Rate O &amp; O-5</t>
  </si>
  <si>
    <t>LED open bottom light</t>
  </si>
  <si>
    <t>Number of Devices</t>
  </si>
  <si>
    <t>DVC kWh</t>
  </si>
  <si>
    <t>DVC Charge Revenue</t>
  </si>
  <si>
    <t>Pole Charge (5.54)</t>
  </si>
  <si>
    <t>Rate O-2 &amp; O-6</t>
  </si>
  <si>
    <t>LED cobra head light</t>
  </si>
  <si>
    <t>Rate O-3 &amp; O-7</t>
  </si>
  <si>
    <t>LED directional flood light</t>
  </si>
  <si>
    <t>Rate O-4</t>
  </si>
  <si>
    <t>LED Ornamental light w pole</t>
  </si>
  <si>
    <t>Rate P</t>
  </si>
  <si>
    <t>kW demand</t>
  </si>
  <si>
    <t>Rate R &amp; R-PP</t>
  </si>
  <si>
    <t>Prepaid Charge (5.00)</t>
  </si>
  <si>
    <t>Rate R-PP</t>
  </si>
  <si>
    <t>Rate S</t>
  </si>
  <si>
    <t>175 Watt Charge Rate</t>
  </si>
  <si>
    <t>175 Watt Charge Revenue</t>
  </si>
  <si>
    <t>DVC Facility Revenue</t>
  </si>
  <si>
    <t>Rate T</t>
  </si>
  <si>
    <t>200 Watt Charge Rate</t>
  </si>
  <si>
    <t>300 Watt Charge Rate</t>
  </si>
  <si>
    <t>400 Watt Charge Rate</t>
  </si>
  <si>
    <t>200 Watt Number of Billings</t>
  </si>
  <si>
    <t>300 Watt Number of Billings</t>
  </si>
  <si>
    <t>400 Watt Number of Billings</t>
  </si>
  <si>
    <t>200 Watt DVC kWh</t>
  </si>
  <si>
    <t>300 Watt DVC kWh</t>
  </si>
  <si>
    <t>400 Watt DVC kWh</t>
  </si>
  <si>
    <t>200 Watt Charge Revenue</t>
  </si>
  <si>
    <t>300 Watt Charge Revenue</t>
  </si>
  <si>
    <t>400 Watt Charge Revenue</t>
  </si>
  <si>
    <t>Summary for Reporting Page</t>
  </si>
  <si>
    <t>Start Date:</t>
  </si>
  <si>
    <t>End Date:</t>
  </si>
  <si>
    <t>RATE C</t>
  </si>
  <si>
    <t>All KWH</t>
  </si>
  <si>
    <t>FUEL</t>
  </si>
  <si>
    <t>ESC</t>
  </si>
  <si>
    <t>TOTAL REVENUE</t>
  </si>
  <si>
    <t>RATE C3</t>
  </si>
  <si>
    <t>DEMAND - OVER 10 KW</t>
  </si>
  <si>
    <t>RATE D</t>
  </si>
  <si>
    <t>RATE E</t>
  </si>
  <si>
    <t>GREEN POWER</t>
  </si>
  <si>
    <t>RATE L</t>
  </si>
  <si>
    <t>DEMAND</t>
  </si>
  <si>
    <t>DEMAND UPCHARGE</t>
  </si>
  <si>
    <t>RATE M</t>
  </si>
  <si>
    <t>RATE O &amp; O-5</t>
  </si>
  <si>
    <t>OPEN BOTTOM LIGHT</t>
  </si>
  <si>
    <t>POLE CHARGE</t>
  </si>
  <si>
    <t>LED COBRA HEAD LIGHT</t>
  </si>
  <si>
    <t>LED DIRECTIONAL FLOOD LIGHT</t>
  </si>
  <si>
    <t xml:space="preserve">LED ORNAMENTAL LIGHT </t>
  </si>
  <si>
    <t>RATE P</t>
  </si>
  <si>
    <t>RATE R</t>
  </si>
  <si>
    <t>PREPAID CHARGE</t>
  </si>
  <si>
    <t>RATE R-PP</t>
  </si>
  <si>
    <t>RATE S</t>
  </si>
  <si>
    <t>175 WATT</t>
  </si>
  <si>
    <t>DVC FACILITY CHARGE</t>
  </si>
  <si>
    <t>RATE T</t>
  </si>
  <si>
    <t>200 WATT</t>
  </si>
  <si>
    <t>300 WATT</t>
  </si>
  <si>
    <t>400 WATT</t>
  </si>
  <si>
    <t>CUSTOMER CHARGE</t>
  </si>
  <si>
    <t>RATE MINIMUM UPCHARGE</t>
  </si>
  <si>
    <t>DEVICE REVENUE</t>
  </si>
  <si>
    <t xml:space="preserve"> </t>
  </si>
  <si>
    <t>CUSTOMERS</t>
  </si>
  <si>
    <t>Lighting</t>
  </si>
  <si>
    <t>S,T,O</t>
  </si>
  <si>
    <t>ENERGY (KWH)</t>
  </si>
  <si>
    <t>TOTAL REVENUE ($)</t>
  </si>
  <si>
    <t>DEMAND (KW)</t>
  </si>
  <si>
    <t>Rate T - Outdoor Lights</t>
  </si>
  <si>
    <t>400 W</t>
  </si>
  <si>
    <t>175 W</t>
  </si>
  <si>
    <t>Rate S - Outdoor Lights</t>
  </si>
  <si>
    <t>Rate O - LED Outdoor Lighting Facilities</t>
  </si>
  <si>
    <t>Open Bottom Light  (4,800-6,800 Lumens)</t>
  </si>
  <si>
    <t>Cobra Head Light (7,200 - 10,000 Lumens)</t>
  </si>
  <si>
    <t>Directional Flood Light (15,00 - 18,000 Lumens)</t>
  </si>
  <si>
    <t>Ornamental Light w/Pole (4,80 - 6,800 Lumens)</t>
  </si>
  <si>
    <t>Additional Pole (30' Wood / if no existing pole available)</t>
  </si>
  <si>
    <t>Annual kWh</t>
  </si>
  <si>
    <t>Various Charges per Light &amp; Pole</t>
  </si>
  <si>
    <t>SubTotal</t>
  </si>
  <si>
    <t>Target Increase&gt;</t>
  </si>
  <si>
    <t>Variance&gt;</t>
  </si>
  <si>
    <t>Facility Charge Per Month</t>
  </si>
  <si>
    <t>Time Of Use Marketing Service</t>
  </si>
  <si>
    <t>Schedule R:  Residential Service</t>
  </si>
  <si>
    <t>Schedule D: Time Of Use Marketing Service</t>
  </si>
  <si>
    <t>No revisions are proposed to any other charges or Rate Schedules.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</si>
  <si>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</si>
  <si>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</si>
  <si>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</si>
  <si>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</si>
  <si>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</si>
  <si>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</si>
  <si>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</si>
  <si>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</si>
  <si>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</si>
  <si>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</si>
  <si>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</si>
  <si>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(1)</t>
  </si>
  <si>
    <t>(2)</t>
  </si>
  <si>
    <t>PrePay Service Rider (for Residential)</t>
  </si>
  <si>
    <t>Prepay Chg</t>
  </si>
  <si>
    <t>Utility Billing Data</t>
  </si>
  <si>
    <t>o</t>
  </si>
  <si>
    <t>o2</t>
  </si>
  <si>
    <t>o3</t>
  </si>
  <si>
    <t>o4</t>
  </si>
  <si>
    <t>o5</t>
  </si>
  <si>
    <t>o6</t>
  </si>
  <si>
    <t>o7</t>
  </si>
  <si>
    <t>Open Bottom Light w/Pole</t>
  </si>
  <si>
    <t>Cobra Head Light w/Pole</t>
  </si>
  <si>
    <t>Directional Flood Light w/Pole</t>
  </si>
  <si>
    <t>B-1</t>
  </si>
  <si>
    <t>Large Industrial Rate</t>
  </si>
  <si>
    <t>Demand Charge (per kW) Contract</t>
  </si>
  <si>
    <t>Demand Charge (per kW) Excess</t>
  </si>
  <si>
    <t>Contract</t>
  </si>
  <si>
    <t>Excess</t>
  </si>
  <si>
    <t>Riders</t>
  </si>
  <si>
    <t>scalars</t>
  </si>
  <si>
    <t>Estimated Monthly Increase by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</si>
</sst>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0"/>
    <numFmt numFmtId="166" formatCode="0.0%"/>
    <numFmt numFmtId="167" formatCode="0.000%"/>
    <numFmt numFmtId="168" formatCode="_(* #,##0_);_(* \(#,##0\);_(* &quot;-&quot;??_);_(@_)"/>
    <numFmt numFmtId="169" formatCode="_(* #,##0.00000_);_(* \(#,##0.00000\);_(* &quot;-&quot;??_);_(@_)"/>
    <numFmt numFmtId="170" formatCode="_(&quot;$&quot;* #,##0.00000_);_(&quot;$&quot;* \(#,##0.00000\);_(&quot;$&quot;* &quot;-&quot;??_);_(@_)"/>
    <numFmt numFmtId="171" formatCode="&quot;$&quot;#,##0.00"/>
    <numFmt numFmtId="172" formatCode="0.000000"/>
    <numFmt numFmtId="173" formatCode="&quot;$&quot;#,##0"/>
    <numFmt numFmtId="174" formatCode="#,##0.00000"/>
    <numFmt numFmtId="175" formatCode="0.00000"/>
    <numFmt numFmtId="176" formatCode="_(* #,##0.000000_);_(* \(#,##0.000000\);_(* &quot;-&quot;??_);_(@_)"/>
    <numFmt numFmtId="177" formatCode="_(&quot;$&quot;* #,##0.000000_);_(&quot;$&quot;* \(#,##0.000000\);_(&quot;$&quot;* &quot;-&quot;??_);_(@_)"/>
    <numFmt numFmtId="178" formatCode="&quot;$&quot;#,##0.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99"/>
      <name val="Times New Roman"/>
      <family val="1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rgb="FF7030A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2"/>
      <name val="Times New Roman"/>
      <family val="1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i/>
      <u/>
      <sz val="12"/>
      <name val="Times New Roman"/>
      <family val="1"/>
    </font>
    <font>
      <sz val="12"/>
      <color rgb="FF0000CC"/>
      <name val="Times New Roman"/>
      <family val="1"/>
    </font>
    <font>
      <sz val="12"/>
      <color rgb="FF0000FF"/>
      <name val="Times New Roman"/>
      <family val="1"/>
    </font>
    <font>
      <sz val="12"/>
      <color rgb="FF7030A0"/>
      <name val="Times New Roman"/>
      <family val="1"/>
    </font>
    <font>
      <u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10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41" fontId="5" fillId="0" borderId="0" xfId="0" applyNumberFormat="1" applyFont="1"/>
    <xf numFmtId="44" fontId="5" fillId="0" borderId="0" xfId="4" applyFont="1"/>
    <xf numFmtId="44" fontId="5" fillId="0" borderId="0" xfId="0" applyNumberFormat="1" applyFont="1"/>
    <xf numFmtId="164" fontId="5" fillId="0" borderId="0" xfId="0" applyNumberFormat="1" applyFont="1"/>
    <xf numFmtId="0" fontId="6" fillId="0" borderId="2" xfId="0" applyFont="1" applyBorder="1"/>
    <xf numFmtId="41" fontId="6" fillId="0" borderId="2" xfId="0" applyNumberFormat="1" applyFont="1" applyBorder="1"/>
    <xf numFmtId="168" fontId="5" fillId="0" borderId="0" xfId="1" applyNumberFormat="1" applyFont="1"/>
    <xf numFmtId="168" fontId="5" fillId="0" borderId="0" xfId="0" applyNumberFormat="1" applyFont="1"/>
    <xf numFmtId="43" fontId="5" fillId="0" borderId="0" xfId="0" applyNumberFormat="1" applyFont="1"/>
    <xf numFmtId="164" fontId="5" fillId="0" borderId="0" xfId="9" applyNumberFormat="1" applyFont="1"/>
    <xf numFmtId="10" fontId="5" fillId="0" borderId="0" xfId="9" applyNumberFormat="1" applyFont="1" applyBorder="1"/>
    <xf numFmtId="164" fontId="5" fillId="0" borderId="3" xfId="0" applyNumberFormat="1" applyFont="1" applyBorder="1"/>
    <xf numFmtId="10" fontId="5" fillId="0" borderId="0" xfId="9" applyNumberFormat="1" applyFont="1"/>
    <xf numFmtId="43" fontId="5" fillId="0" borderId="0" xfId="1" applyFont="1"/>
    <xf numFmtId="0" fontId="4" fillId="0" borderId="2" xfId="0" applyFont="1" applyBorder="1"/>
    <xf numFmtId="0" fontId="4" fillId="0" borderId="2" xfId="0" applyFont="1" applyBorder="1" applyAlignment="1">
      <alignment horizontal="right" wrapText="1"/>
    </xf>
    <xf numFmtId="164" fontId="5" fillId="0" borderId="0" xfId="4" applyNumberFormat="1" applyFont="1"/>
    <xf numFmtId="165" fontId="5" fillId="0" borderId="0" xfId="0" applyNumberFormat="1" applyFont="1"/>
    <xf numFmtId="43" fontId="5" fillId="0" borderId="0" xfId="1" applyFont="1" applyBorder="1"/>
    <xf numFmtId="164" fontId="5" fillId="0" borderId="0" xfId="4" applyNumberFormat="1" applyFont="1" applyBorder="1" applyAlignment="1">
      <alignment horizontal="right"/>
    </xf>
    <xf numFmtId="44" fontId="5" fillId="0" borderId="0" xfId="4" applyFont="1" applyBorder="1"/>
    <xf numFmtId="168" fontId="5" fillId="0" borderId="0" xfId="1" applyNumberFormat="1" applyFont="1" applyBorder="1"/>
    <xf numFmtId="41" fontId="5" fillId="0" borderId="0" xfId="0" applyNumberFormat="1" applyFont="1" applyAlignment="1">
      <alignment horizontal="right"/>
    </xf>
    <xf numFmtId="164" fontId="5" fillId="0" borderId="0" xfId="4" applyNumberFormat="1" applyFont="1" applyBorder="1"/>
    <xf numFmtId="168" fontId="5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 applyAlignment="1">
      <alignment horizontal="left"/>
    </xf>
    <xf numFmtId="168" fontId="5" fillId="0" borderId="0" xfId="1" applyNumberFormat="1" applyFont="1" applyFill="1"/>
    <xf numFmtId="168" fontId="5" fillId="0" borderId="0" xfId="1" applyNumberFormat="1" applyFont="1" applyFill="1" applyBorder="1"/>
    <xf numFmtId="10" fontId="5" fillId="0" borderId="0" xfId="9" applyNumberFormat="1" applyFont="1" applyFill="1" applyBorder="1"/>
    <xf numFmtId="172" fontId="5" fillId="0" borderId="0" xfId="0" applyNumberFormat="1" applyFont="1"/>
    <xf numFmtId="164" fontId="5" fillId="0" borderId="0" xfId="1" applyNumberFormat="1" applyFont="1"/>
    <xf numFmtId="164" fontId="5" fillId="0" borderId="0" xfId="4" applyNumberFormat="1" applyFont="1" applyFill="1" applyBorder="1"/>
    <xf numFmtId="0" fontId="5" fillId="0" borderId="0" xfId="0" applyFont="1" applyAlignment="1">
      <alignment horizontal="center"/>
    </xf>
    <xf numFmtId="2" fontId="5" fillId="0" borderId="0" xfId="0" applyNumberFormat="1" applyFont="1"/>
    <xf numFmtId="41" fontId="5" fillId="0" borderId="3" xfId="0" applyNumberFormat="1" applyFont="1" applyBorder="1"/>
    <xf numFmtId="10" fontId="5" fillId="0" borderId="3" xfId="9" applyNumberFormat="1" applyFont="1" applyFill="1" applyBorder="1"/>
    <xf numFmtId="164" fontId="5" fillId="0" borderId="3" xfId="4" applyNumberFormat="1" applyFont="1" applyFill="1" applyBorder="1"/>
    <xf numFmtId="2" fontId="5" fillId="0" borderId="0" xfId="0" applyNumberFormat="1" applyFont="1" applyAlignment="1">
      <alignment horizontal="right"/>
    </xf>
    <xf numFmtId="44" fontId="5" fillId="0" borderId="0" xfId="4" applyFont="1" applyBorder="1" applyAlignment="1">
      <alignment horizontal="right"/>
    </xf>
    <xf numFmtId="0" fontId="4" fillId="0" borderId="0" xfId="0" applyFont="1" applyAlignment="1">
      <alignment horizontal="right" wrapText="1"/>
    </xf>
    <xf numFmtId="168" fontId="5" fillId="0" borderId="0" xfId="9" applyNumberFormat="1" applyFont="1"/>
    <xf numFmtId="10" fontId="5" fillId="0" borderId="0" xfId="9" applyNumberFormat="1" applyFont="1" applyFill="1" applyBorder="1" applyAlignment="1">
      <alignment horizontal="right"/>
    </xf>
    <xf numFmtId="0" fontId="8" fillId="0" borderId="0" xfId="0" applyFont="1"/>
    <xf numFmtId="0" fontId="4" fillId="0" borderId="2" xfId="0" applyFont="1" applyBorder="1" applyAlignment="1">
      <alignment horizontal="center"/>
    </xf>
    <xf numFmtId="164" fontId="5" fillId="0" borderId="0" xfId="5" applyNumberFormat="1" applyFont="1"/>
    <xf numFmtId="164" fontId="5" fillId="0" borderId="0" xfId="4" applyNumberFormat="1" applyFont="1" applyFill="1" applyAlignment="1">
      <alignment horizontal="right"/>
    </xf>
    <xf numFmtId="164" fontId="5" fillId="0" borderId="0" xfId="4" applyNumberFormat="1" applyFont="1" applyFill="1"/>
    <xf numFmtId="10" fontId="5" fillId="0" borderId="0" xfId="9" applyNumberFormat="1" applyFont="1" applyFill="1"/>
    <xf numFmtId="44" fontId="5" fillId="0" borderId="0" xfId="4" applyFont="1" applyFill="1"/>
    <xf numFmtId="0" fontId="8" fillId="0" borderId="0" xfId="0" applyFont="1" applyAlignment="1">
      <alignment horizontal="center"/>
    </xf>
    <xf numFmtId="0" fontId="6" fillId="0" borderId="0" xfId="0" applyFont="1"/>
    <xf numFmtId="9" fontId="5" fillId="0" borderId="0" xfId="9" applyFont="1"/>
    <xf numFmtId="0" fontId="5" fillId="0" borderId="0" xfId="8" applyFont="1"/>
    <xf numFmtId="0" fontId="8" fillId="0" borderId="0" xfId="8" applyFont="1"/>
    <xf numFmtId="0" fontId="4" fillId="0" borderId="0" xfId="8" applyFont="1"/>
    <xf numFmtId="0" fontId="4" fillId="0" borderId="0" xfId="8" applyFont="1" applyAlignment="1">
      <alignment horizontal="center"/>
    </xf>
    <xf numFmtId="0" fontId="5" fillId="0" borderId="0" xfId="7" applyFont="1"/>
    <xf numFmtId="43" fontId="5" fillId="0" borderId="0" xfId="3" applyFont="1"/>
    <xf numFmtId="164" fontId="5" fillId="0" borderId="0" xfId="8" applyNumberFormat="1" applyFont="1"/>
    <xf numFmtId="169" fontId="5" fillId="0" borderId="0" xfId="3" applyNumberFormat="1" applyFont="1"/>
    <xf numFmtId="0" fontId="5" fillId="2" borderId="0" xfId="7" applyFont="1" applyFill="1"/>
    <xf numFmtId="0" fontId="5" fillId="2" borderId="0" xfId="8" applyFont="1" applyFill="1"/>
    <xf numFmtId="164" fontId="5" fillId="2" borderId="0" xfId="5" applyNumberFormat="1" applyFont="1" applyFill="1"/>
    <xf numFmtId="0" fontId="5" fillId="0" borderId="0" xfId="8" applyFont="1" applyAlignment="1">
      <alignment horizontal="center"/>
    </xf>
    <xf numFmtId="166" fontId="5" fillId="0" borderId="0" xfId="12" applyNumberFormat="1" applyFont="1"/>
    <xf numFmtId="0" fontId="5" fillId="0" borderId="3" xfId="8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6" fontId="5" fillId="0" borderId="3" xfId="12" applyNumberFormat="1" applyFont="1" applyBorder="1" applyAlignment="1">
      <alignment vertical="center"/>
    </xf>
    <xf numFmtId="0" fontId="5" fillId="0" borderId="0" xfId="8" applyFont="1" applyAlignment="1">
      <alignment vertical="center"/>
    </xf>
    <xf numFmtId="166" fontId="5" fillId="0" borderId="0" xfId="8" applyNumberFormat="1" applyFont="1"/>
    <xf numFmtId="5" fontId="5" fillId="0" borderId="0" xfId="4" applyNumberFormat="1" applyFont="1" applyFill="1"/>
    <xf numFmtId="5" fontId="5" fillId="2" borderId="0" xfId="4" applyNumberFormat="1" applyFont="1" applyFill="1"/>
    <xf numFmtId="171" fontId="5" fillId="0" borderId="0" xfId="0" applyNumberFormat="1" applyFont="1"/>
    <xf numFmtId="0" fontId="5" fillId="0" borderId="0" xfId="1" applyNumberFormat="1" applyFont="1" applyFill="1" applyAlignment="1">
      <alignment horizontal="center"/>
    </xf>
    <xf numFmtId="0" fontId="5" fillId="0" borderId="0" xfId="11" applyNumberFormat="1" applyFont="1" applyFill="1" applyAlignment="1">
      <alignment horizontal="center"/>
    </xf>
    <xf numFmtId="0" fontId="5" fillId="2" borderId="0" xfId="11" applyNumberFormat="1" applyFont="1" applyFill="1" applyAlignment="1">
      <alignment horizontal="center"/>
    </xf>
    <xf numFmtId="10" fontId="5" fillId="2" borderId="0" xfId="11" applyNumberFormat="1" applyFont="1" applyFill="1" applyAlignment="1">
      <alignment horizontal="center"/>
    </xf>
    <xf numFmtId="0" fontId="5" fillId="0" borderId="3" xfId="8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0" borderId="5" xfId="0" applyFont="1" applyBorder="1"/>
    <xf numFmtId="164" fontId="5" fillId="0" borderId="5" xfId="0" applyNumberFormat="1" applyFont="1" applyBorder="1"/>
    <xf numFmtId="44" fontId="5" fillId="0" borderId="5" xfId="0" applyNumberFormat="1" applyFont="1" applyBorder="1"/>
    <xf numFmtId="164" fontId="5" fillId="0" borderId="5" xfId="9" applyNumberFormat="1" applyFont="1" applyBorder="1"/>
    <xf numFmtId="10" fontId="5" fillId="0" borderId="5" xfId="9" applyNumberFormat="1" applyFont="1" applyBorder="1"/>
    <xf numFmtId="168" fontId="5" fillId="0" borderId="5" xfId="1" applyNumberFormat="1" applyFont="1" applyBorder="1"/>
    <xf numFmtId="164" fontId="5" fillId="0" borderId="0" xfId="5" applyNumberFormat="1" applyFont="1" applyFill="1"/>
    <xf numFmtId="41" fontId="4" fillId="0" borderId="0" xfId="0" applyNumberFormat="1" applyFont="1" applyAlignment="1">
      <alignment horizontal="right" wrapText="1"/>
    </xf>
    <xf numFmtId="164" fontId="5" fillId="0" borderId="0" xfId="9" applyNumberFormat="1" applyFont="1" applyBorder="1"/>
    <xf numFmtId="0" fontId="6" fillId="0" borderId="2" xfId="0" applyFont="1" applyBorder="1" applyAlignment="1">
      <alignment horizontal="right" wrapText="1"/>
    </xf>
    <xf numFmtId="41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44" fontId="5" fillId="0" borderId="0" xfId="4" applyFont="1" applyAlignment="1">
      <alignment horizontal="right"/>
    </xf>
    <xf numFmtId="171" fontId="5" fillId="0" borderId="0" xfId="0" applyNumberFormat="1" applyFont="1" applyAlignment="1">
      <alignment horizontal="right"/>
    </xf>
    <xf numFmtId="166" fontId="5" fillId="0" borderId="0" xfId="9" applyNumberFormat="1" applyFont="1" applyFill="1"/>
    <xf numFmtId="168" fontId="4" fillId="0" borderId="0" xfId="0" applyNumberFormat="1" applyFont="1" applyAlignment="1">
      <alignment horizontal="right" wrapText="1"/>
    </xf>
    <xf numFmtId="0" fontId="5" fillId="0" borderId="0" xfId="8" applyFont="1" applyAlignment="1">
      <alignment horizontal="right"/>
    </xf>
    <xf numFmtId="0" fontId="5" fillId="0" borderId="0" xfId="8" applyFont="1" applyAlignment="1">
      <alignment horizontal="center" vertical="center"/>
    </xf>
    <xf numFmtId="164" fontId="5" fillId="0" borderId="0" xfId="8" applyNumberFormat="1" applyFont="1" applyAlignment="1">
      <alignment vertical="center"/>
    </xf>
    <xf numFmtId="166" fontId="5" fillId="0" borderId="0" xfId="12" applyNumberFormat="1" applyFont="1" applyBorder="1" applyAlignment="1">
      <alignment vertical="center"/>
    </xf>
    <xf numFmtId="7" fontId="5" fillId="0" borderId="0" xfId="4" applyNumberFormat="1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7" applyFont="1"/>
    <xf numFmtId="0" fontId="14" fillId="0" borderId="0" xfId="0" applyFont="1"/>
    <xf numFmtId="171" fontId="14" fillId="0" borderId="0" xfId="1" quotePrefix="1" applyNumberFormat="1" applyFont="1" applyBorder="1" applyAlignment="1">
      <alignment horizontal="center"/>
    </xf>
    <xf numFmtId="171" fontId="14" fillId="0" borderId="0" xfId="0" applyNumberFormat="1" applyFont="1"/>
    <xf numFmtId="173" fontId="14" fillId="0" borderId="0" xfId="0" applyNumberFormat="1" applyFont="1"/>
    <xf numFmtId="173" fontId="14" fillId="0" borderId="4" xfId="0" applyNumberFormat="1" applyFont="1" applyBorder="1"/>
    <xf numFmtId="168" fontId="0" fillId="0" borderId="0" xfId="1" applyNumberFormat="1" applyFont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164" fontId="5" fillId="0" borderId="0" xfId="4" applyNumberFormat="1" applyFont="1" applyFill="1" applyBorder="1" applyAlignment="1">
      <alignment horizontal="right"/>
    </xf>
    <xf numFmtId="0" fontId="3" fillId="0" borderId="4" xfId="0" applyFont="1" applyBorder="1"/>
    <xf numFmtId="0" fontId="8" fillId="0" borderId="0" xfId="15" applyFont="1"/>
    <xf numFmtId="0" fontId="3" fillId="0" borderId="0" xfId="15" applyAlignment="1">
      <alignment horizontal="center"/>
    </xf>
    <xf numFmtId="0" fontId="3" fillId="0" borderId="0" xfId="15"/>
    <xf numFmtId="0" fontId="8" fillId="0" borderId="0" xfId="15" applyFont="1" applyAlignment="1">
      <alignment horizontal="left"/>
    </xf>
    <xf numFmtId="0" fontId="11" fillId="0" borderId="8" xfId="15" applyFont="1" applyBorder="1" applyAlignment="1">
      <alignment horizontal="center" vertical="center"/>
    </xf>
    <xf numFmtId="0" fontId="11" fillId="0" borderId="9" xfId="15" applyFont="1" applyBorder="1" applyAlignment="1">
      <alignment horizontal="center" vertical="center"/>
    </xf>
    <xf numFmtId="0" fontId="11" fillId="0" borderId="28" xfId="15" applyFont="1" applyBorder="1" applyAlignment="1">
      <alignment horizontal="center" vertical="center"/>
    </xf>
    <xf numFmtId="0" fontId="11" fillId="0" borderId="29" xfId="15" applyFont="1" applyBorder="1" applyAlignment="1">
      <alignment horizontal="center" vertical="center"/>
    </xf>
    <xf numFmtId="0" fontId="11" fillId="0" borderId="30" xfId="15" applyFont="1" applyBorder="1" applyAlignment="1">
      <alignment horizontal="center" vertical="center"/>
    </xf>
    <xf numFmtId="0" fontId="11" fillId="0" borderId="31" xfId="15" applyFont="1" applyBorder="1" applyAlignment="1">
      <alignment horizontal="center" vertical="center"/>
    </xf>
    <xf numFmtId="0" fontId="11" fillId="0" borderId="0" xfId="15" applyFont="1"/>
    <xf numFmtId="0" fontId="11" fillId="0" borderId="10" xfId="15" applyFont="1" applyBorder="1" applyAlignment="1">
      <alignment horizontal="center" vertical="center"/>
    </xf>
    <xf numFmtId="0" fontId="11" fillId="0" borderId="11" xfId="15" applyFont="1" applyBorder="1" applyAlignment="1">
      <alignment horizontal="center" vertical="center"/>
    </xf>
    <xf numFmtId="44" fontId="17" fillId="0" borderId="11" xfId="15" applyNumberFormat="1" applyFont="1" applyBorder="1" applyAlignment="1">
      <alignment horizontal="center" vertical="center"/>
    </xf>
    <xf numFmtId="0" fontId="17" fillId="0" borderId="11" xfId="15" applyFont="1" applyBorder="1" applyAlignment="1">
      <alignment horizontal="center" vertical="center"/>
    </xf>
    <xf numFmtId="0" fontId="11" fillId="0" borderId="32" xfId="15" applyFont="1" applyBorder="1" applyAlignment="1">
      <alignment horizontal="center" vertical="center"/>
    </xf>
    <xf numFmtId="0" fontId="3" fillId="0" borderId="12" xfId="15" applyBorder="1" applyAlignment="1">
      <alignment horizontal="center"/>
    </xf>
    <xf numFmtId="168" fontId="0" fillId="0" borderId="13" xfId="16" applyNumberFormat="1" applyFont="1" applyBorder="1"/>
    <xf numFmtId="44" fontId="3" fillId="0" borderId="14" xfId="15" applyNumberFormat="1" applyBorder="1"/>
    <xf numFmtId="44" fontId="3" fillId="0" borderId="0" xfId="15" applyNumberFormat="1"/>
    <xf numFmtId="44" fontId="3" fillId="0" borderId="5" xfId="15" applyNumberFormat="1" applyBorder="1"/>
    <xf numFmtId="44" fontId="3" fillId="0" borderId="14" xfId="17" applyFont="1" applyBorder="1"/>
    <xf numFmtId="44" fontId="3" fillId="0" borderId="5" xfId="17" applyFont="1" applyBorder="1"/>
    <xf numFmtId="166" fontId="3" fillId="0" borderId="15" xfId="18" applyNumberFormat="1" applyFont="1" applyBorder="1"/>
    <xf numFmtId="0" fontId="3" fillId="0" borderId="10" xfId="15" applyBorder="1" applyAlignment="1">
      <alignment horizontal="center"/>
    </xf>
    <xf numFmtId="44" fontId="3" fillId="0" borderId="16" xfId="15" applyNumberFormat="1" applyBorder="1"/>
    <xf numFmtId="44" fontId="3" fillId="0" borderId="18" xfId="15" applyNumberFormat="1" applyBorder="1"/>
    <xf numFmtId="44" fontId="3" fillId="0" borderId="16" xfId="17" applyFont="1" applyBorder="1"/>
    <xf numFmtId="166" fontId="3" fillId="0" borderId="17" xfId="18" applyNumberFormat="1" applyFont="1" applyBorder="1"/>
    <xf numFmtId="168" fontId="3" fillId="0" borderId="16" xfId="1" applyNumberFormat="1" applyFont="1" applyBorder="1"/>
    <xf numFmtId="170" fontId="17" fillId="0" borderId="11" xfId="4" applyNumberFormat="1" applyFont="1" applyBorder="1" applyAlignment="1">
      <alignment horizontal="center" vertical="center"/>
    </xf>
    <xf numFmtId="0" fontId="3" fillId="0" borderId="0" xfId="8" applyFont="1"/>
    <xf numFmtId="165" fontId="3" fillId="0" borderId="0" xfId="3" applyNumberFormat="1" applyFont="1" applyFill="1"/>
    <xf numFmtId="171" fontId="14" fillId="0" borderId="4" xfId="0" applyNumberFormat="1" applyFont="1" applyBorder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5" fillId="0" borderId="0" xfId="3" applyFont="1" applyFill="1"/>
    <xf numFmtId="169" fontId="5" fillId="0" borderId="0" xfId="3" applyNumberFormat="1" applyFont="1" applyFill="1"/>
    <xf numFmtId="171" fontId="3" fillId="0" borderId="0" xfId="1" applyNumberFormat="1" applyFont="1" applyFill="1"/>
    <xf numFmtId="43" fontId="16" fillId="0" borderId="0" xfId="3" applyFont="1" applyFill="1"/>
    <xf numFmtId="169" fontId="16" fillId="0" borderId="0" xfId="3" applyNumberFormat="1" applyFont="1" applyFill="1"/>
    <xf numFmtId="0" fontId="4" fillId="0" borderId="5" xfId="0" applyFont="1" applyBorder="1"/>
    <xf numFmtId="43" fontId="0" fillId="0" borderId="0" xfId="1" applyFont="1"/>
    <xf numFmtId="9" fontId="5" fillId="0" borderId="0" xfId="8" applyNumberFormat="1" applyFont="1"/>
    <xf numFmtId="10" fontId="5" fillId="0" borderId="0" xfId="11" applyNumberFormat="1" applyFont="1" applyFill="1"/>
    <xf numFmtId="10" fontId="5" fillId="0" borderId="0" xfId="11" applyNumberFormat="1" applyFont="1"/>
    <xf numFmtId="10" fontId="5" fillId="2" borderId="0" xfId="11" applyNumberFormat="1" applyFont="1" applyFill="1"/>
    <xf numFmtId="10" fontId="5" fillId="0" borderId="3" xfId="12" applyNumberFormat="1" applyFont="1" applyBorder="1" applyAlignment="1">
      <alignment vertical="center"/>
    </xf>
    <xf numFmtId="2" fontId="4" fillId="0" borderId="0" xfId="8" applyNumberFormat="1" applyFont="1" applyAlignment="1">
      <alignment horizontal="center"/>
    </xf>
    <xf numFmtId="0" fontId="3" fillId="0" borderId="0" xfId="15" applyAlignment="1">
      <alignment vertical="center"/>
    </xf>
    <xf numFmtId="0" fontId="3" fillId="0" borderId="33" xfId="15" applyBorder="1" applyAlignment="1">
      <alignment horizontal="center" vertical="center"/>
    </xf>
    <xf numFmtId="168" fontId="0" fillId="0" borderId="34" xfId="16" applyNumberFormat="1" applyFont="1" applyBorder="1" applyAlignment="1">
      <alignment vertical="center"/>
    </xf>
    <xf numFmtId="44" fontId="3" fillId="0" borderId="35" xfId="15" applyNumberFormat="1" applyBorder="1" applyAlignment="1">
      <alignment vertical="center"/>
    </xf>
    <xf numFmtId="44" fontId="3" fillId="0" borderId="36" xfId="15" applyNumberFormat="1" applyBorder="1" applyAlignment="1">
      <alignment vertical="center"/>
    </xf>
    <xf numFmtId="44" fontId="3" fillId="0" borderId="35" xfId="17" applyFont="1" applyBorder="1" applyAlignment="1">
      <alignment vertical="center"/>
    </xf>
    <xf numFmtId="166" fontId="3" fillId="0" borderId="37" xfId="18" applyNumberFormat="1" applyFont="1" applyBorder="1" applyAlignment="1">
      <alignment vertical="center"/>
    </xf>
    <xf numFmtId="168" fontId="6" fillId="0" borderId="0" xfId="1" applyNumberFormat="1" applyFont="1"/>
    <xf numFmtId="0" fontId="6" fillId="0" borderId="0" xfId="0" applyFont="1" applyAlignment="1">
      <alignment horizontal="right"/>
    </xf>
    <xf numFmtId="168" fontId="6" fillId="0" borderId="0" xfId="0" applyNumberFormat="1" applyFont="1"/>
    <xf numFmtId="9" fontId="16" fillId="0" borderId="0" xfId="9" applyFont="1" applyFill="1"/>
    <xf numFmtId="171" fontId="16" fillId="0" borderId="0" xfId="4" applyNumberFormat="1" applyFont="1" applyFill="1"/>
    <xf numFmtId="171" fontId="16" fillId="0" borderId="0" xfId="1" applyNumberFormat="1" applyFont="1" applyFill="1"/>
    <xf numFmtId="0" fontId="12" fillId="0" borderId="0" xfId="0" applyFont="1" applyAlignment="1">
      <alignment horizontal="center"/>
    </xf>
    <xf numFmtId="17" fontId="3" fillId="0" borderId="0" xfId="15" applyNumberFormat="1"/>
    <xf numFmtId="17" fontId="11" fillId="0" borderId="0" xfId="15" quotePrefix="1" applyNumberFormat="1" applyFont="1" applyAlignment="1">
      <alignment horizontal="right"/>
    </xf>
    <xf numFmtId="43" fontId="3" fillId="0" borderId="0" xfId="15" applyNumberFormat="1"/>
    <xf numFmtId="0" fontId="11" fillId="0" borderId="0" xfId="15" applyFont="1" applyAlignment="1">
      <alignment horizontal="right"/>
    </xf>
    <xf numFmtId="0" fontId="11" fillId="4" borderId="0" xfId="15" applyFont="1" applyFill="1"/>
    <xf numFmtId="43" fontId="3" fillId="0" borderId="0" xfId="1" applyFont="1" applyAlignment="1">
      <alignment horizontal="left" indent="1"/>
    </xf>
    <xf numFmtId="169" fontId="3" fillId="0" borderId="0" xfId="1" applyNumberFormat="1" applyFont="1" applyAlignment="1">
      <alignment horizontal="left" indent="1"/>
    </xf>
    <xf numFmtId="169" fontId="0" fillId="0" borderId="0" xfId="1" applyNumberFormat="1" applyFont="1"/>
    <xf numFmtId="168" fontId="3" fillId="0" borderId="0" xfId="1" applyNumberFormat="1" applyFont="1" applyAlignment="1">
      <alignment horizontal="left" indent="1"/>
    </xf>
    <xf numFmtId="168" fontId="0" fillId="5" borderId="0" xfId="1" applyNumberFormat="1" applyFont="1" applyFill="1"/>
    <xf numFmtId="168" fontId="3" fillId="6" borderId="0" xfId="1" applyNumberFormat="1" applyFont="1" applyFill="1" applyAlignment="1">
      <alignment horizontal="left" indent="1"/>
    </xf>
    <xf numFmtId="168" fontId="0" fillId="6" borderId="0" xfId="1" applyNumberFormat="1" applyFont="1" applyFill="1"/>
    <xf numFmtId="4" fontId="0" fillId="0" borderId="0" xfId="1" applyNumberFormat="1" applyFont="1"/>
    <xf numFmtId="175" fontId="3" fillId="0" borderId="0" xfId="1" applyNumberFormat="1" applyFont="1" applyAlignment="1">
      <alignment horizontal="left" indent="1"/>
    </xf>
    <xf numFmtId="175" fontId="0" fillId="0" borderId="0" xfId="1" applyNumberFormat="1" applyFont="1"/>
    <xf numFmtId="168" fontId="18" fillId="0" borderId="0" xfId="1" applyNumberFormat="1" applyFont="1" applyAlignment="1">
      <alignment horizontal="left" indent="1"/>
    </xf>
    <xf numFmtId="2" fontId="0" fillId="0" borderId="0" xfId="1" applyNumberFormat="1" applyFont="1"/>
    <xf numFmtId="2" fontId="3" fillId="6" borderId="0" xfId="1" applyNumberFormat="1" applyFont="1" applyFill="1" applyAlignment="1">
      <alignment horizontal="left" indent="1"/>
    </xf>
    <xf numFmtId="2" fontId="0" fillId="6" borderId="0" xfId="1" applyNumberFormat="1" applyFont="1" applyFill="1"/>
    <xf numFmtId="4" fontId="3" fillId="6" borderId="0" xfId="1" applyNumberFormat="1" applyFont="1" applyFill="1" applyAlignment="1">
      <alignment horizontal="left" indent="1"/>
    </xf>
    <xf numFmtId="4" fontId="0" fillId="6" borderId="0" xfId="1" applyNumberFormat="1" applyFont="1" applyFill="1"/>
    <xf numFmtId="4" fontId="3" fillId="0" borderId="0" xfId="1" applyNumberFormat="1" applyFont="1" applyAlignment="1">
      <alignment horizontal="left" indent="1"/>
    </xf>
    <xf numFmtId="4" fontId="0" fillId="5" borderId="0" xfId="1" applyNumberFormat="1" applyFont="1" applyFill="1"/>
    <xf numFmtId="0" fontId="3" fillId="6" borderId="0" xfId="15" applyFill="1" applyAlignment="1">
      <alignment horizontal="left" indent="1"/>
    </xf>
    <xf numFmtId="0" fontId="3" fillId="6" borderId="0" xfId="15" applyFill="1"/>
    <xf numFmtId="0" fontId="3" fillId="0" borderId="0" xfId="15" applyAlignment="1">
      <alignment horizontal="left" indent="1"/>
    </xf>
    <xf numFmtId="0" fontId="3" fillId="5" borderId="0" xfId="15" applyFill="1"/>
    <xf numFmtId="2" fontId="3" fillId="0" borderId="0" xfId="15" applyNumberFormat="1"/>
    <xf numFmtId="43" fontId="0" fillId="5" borderId="0" xfId="1" applyFont="1" applyFill="1"/>
    <xf numFmtId="43" fontId="3" fillId="6" borderId="0" xfId="1" applyFill="1" applyAlignment="1">
      <alignment horizontal="left" indent="1"/>
    </xf>
    <xf numFmtId="43" fontId="0" fillId="6" borderId="0" xfId="1" applyFont="1" applyFill="1"/>
    <xf numFmtId="43" fontId="3" fillId="0" borderId="0" xfId="1" applyAlignment="1">
      <alignment horizontal="left" indent="1"/>
    </xf>
    <xf numFmtId="168" fontId="3" fillId="6" borderId="0" xfId="1" applyNumberFormat="1" applyFill="1" applyAlignment="1">
      <alignment horizontal="left" indent="1"/>
    </xf>
    <xf numFmtId="39" fontId="3" fillId="6" borderId="0" xfId="1" applyNumberFormat="1" applyFont="1" applyFill="1" applyAlignment="1">
      <alignment horizontal="left" indent="1"/>
    </xf>
    <xf numFmtId="39" fontId="0" fillId="6" borderId="0" xfId="1" applyNumberFormat="1" applyFont="1" applyFill="1"/>
    <xf numFmtId="4" fontId="3" fillId="6" borderId="0" xfId="1" applyNumberFormat="1" applyFill="1" applyAlignment="1">
      <alignment horizontal="left" indent="1"/>
    </xf>
    <xf numFmtId="43" fontId="3" fillId="6" borderId="0" xfId="1" applyFont="1" applyFill="1" applyAlignment="1">
      <alignment horizontal="left" indent="1"/>
    </xf>
    <xf numFmtId="168" fontId="11" fillId="0" borderId="0" xfId="1" applyNumberFormat="1" applyFont="1" applyAlignment="1">
      <alignment horizontal="left"/>
    </xf>
    <xf numFmtId="0" fontId="3" fillId="7" borderId="0" xfId="15" applyFill="1"/>
    <xf numFmtId="171" fontId="3" fillId="0" borderId="0" xfId="15" applyNumberFormat="1"/>
    <xf numFmtId="169" fontId="3" fillId="0" borderId="0" xfId="1" applyNumberFormat="1" applyFont="1"/>
    <xf numFmtId="0" fontId="3" fillId="8" borderId="0" xfId="15" applyFill="1"/>
    <xf numFmtId="0" fontId="3" fillId="0" borderId="0" xfId="15" quotePrefix="1"/>
    <xf numFmtId="0" fontId="11" fillId="0" borderId="0" xfId="15" applyFont="1" applyAlignment="1">
      <alignment horizontal="center"/>
    </xf>
    <xf numFmtId="4" fontId="3" fillId="0" borderId="0" xfId="15" applyNumberFormat="1"/>
    <xf numFmtId="37" fontId="3" fillId="0" borderId="0" xfId="15" applyNumberFormat="1"/>
    <xf numFmtId="0" fontId="3" fillId="3" borderId="0" xfId="15" applyFill="1"/>
    <xf numFmtId="0" fontId="3" fillId="9" borderId="0" xfId="15" applyFill="1"/>
    <xf numFmtId="168" fontId="3" fillId="0" borderId="0" xfId="15" applyNumberFormat="1"/>
    <xf numFmtId="168" fontId="19" fillId="0" borderId="0" xfId="15" applyNumberFormat="1" applyFont="1"/>
    <xf numFmtId="0" fontId="3" fillId="0" borderId="4" xfId="15" applyBorder="1"/>
    <xf numFmtId="168" fontId="3" fillId="0" borderId="4" xfId="15" applyNumberFormat="1" applyBorder="1"/>
    <xf numFmtId="168" fontId="0" fillId="0" borderId="4" xfId="1" applyNumberFormat="1" applyFont="1" applyBorder="1"/>
    <xf numFmtId="168" fontId="19" fillId="0" borderId="0" xfId="1" applyNumberFormat="1" applyFont="1"/>
    <xf numFmtId="43" fontId="4" fillId="0" borderId="0" xfId="1" applyFont="1" applyAlignment="1">
      <alignment horizontal="center"/>
    </xf>
    <xf numFmtId="0" fontId="22" fillId="0" borderId="0" xfId="8" applyFont="1"/>
    <xf numFmtId="174" fontId="3" fillId="0" borderId="0" xfId="15" applyNumberFormat="1"/>
    <xf numFmtId="167" fontId="5" fillId="0" borderId="0" xfId="12" applyNumberFormat="1" applyFont="1"/>
    <xf numFmtId="164" fontId="5" fillId="0" borderId="0" xfId="9" applyNumberFormat="1" applyFont="1" applyFill="1" applyBorder="1"/>
    <xf numFmtId="164" fontId="5" fillId="0" borderId="0" xfId="9" applyNumberFormat="1" applyFont="1" applyFill="1"/>
    <xf numFmtId="167" fontId="5" fillId="0" borderId="0" xfId="9" applyNumberFormat="1" applyFont="1" applyFill="1" applyBorder="1"/>
    <xf numFmtId="0" fontId="4" fillId="0" borderId="1" xfId="0" applyFont="1" applyBorder="1"/>
    <xf numFmtId="0" fontId="5" fillId="0" borderId="1" xfId="0" applyFont="1" applyBorder="1"/>
    <xf numFmtId="168" fontId="5" fillId="0" borderId="1" xfId="1" applyNumberFormat="1" applyFont="1" applyFill="1" applyBorder="1"/>
    <xf numFmtId="41" fontId="6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right"/>
    </xf>
    <xf numFmtId="168" fontId="5" fillId="0" borderId="4" xfId="1" applyNumberFormat="1" applyFont="1" applyFill="1" applyBorder="1"/>
    <xf numFmtId="44" fontId="5" fillId="0" borderId="0" xfId="0" applyNumberFormat="1" applyFont="1" applyAlignment="1">
      <alignment horizontal="right"/>
    </xf>
    <xf numFmtId="0" fontId="22" fillId="0" borderId="0" xfId="0" applyFont="1"/>
    <xf numFmtId="168" fontId="5" fillId="0" borderId="4" xfId="0" applyNumberFormat="1" applyFont="1" applyBorder="1"/>
    <xf numFmtId="43" fontId="5" fillId="0" borderId="0" xfId="1" applyFont="1" applyFill="1"/>
    <xf numFmtId="164" fontId="5" fillId="0" borderId="0" xfId="8" applyNumberFormat="1" applyFont="1" applyAlignment="1">
      <alignment horizontal="right"/>
    </xf>
    <xf numFmtId="0" fontId="23" fillId="0" borderId="0" xfId="0" applyFont="1"/>
    <xf numFmtId="168" fontId="3" fillId="0" borderId="0" xfId="1" applyNumberFormat="1" applyFont="1"/>
    <xf numFmtId="164" fontId="5" fillId="0" borderId="0" xfId="8" applyNumberFormat="1" applyFont="1" applyAlignment="1">
      <alignment horizontal="left"/>
    </xf>
    <xf numFmtId="10" fontId="14" fillId="0" borderId="0" xfId="9" applyNumberFormat="1" applyFont="1"/>
    <xf numFmtId="10" fontId="14" fillId="0" borderId="4" xfId="9" applyNumberFormat="1" applyFont="1" applyBorder="1"/>
    <xf numFmtId="168" fontId="3" fillId="0" borderId="0" xfId="1" applyNumberFormat="1" applyFont="1" applyAlignment="1">
      <alignment horizontal="right"/>
    </xf>
    <xf numFmtId="168" fontId="3" fillId="0" borderId="4" xfId="1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4" fillId="2" borderId="0" xfId="8" applyFont="1" applyFill="1"/>
    <xf numFmtId="0" fontId="4" fillId="2" borderId="0" xfId="8" applyFont="1" applyFill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0" xfId="0" applyFont="1"/>
    <xf numFmtId="0" fontId="26" fillId="0" borderId="2" xfId="8" applyFont="1" applyBorder="1" applyAlignment="1">
      <alignment horizontal="center"/>
    </xf>
    <xf numFmtId="0" fontId="26" fillId="0" borderId="2" xfId="8" quotePrefix="1" applyFont="1" applyBorder="1" applyAlignment="1">
      <alignment horizontal="center"/>
    </xf>
    <xf numFmtId="9" fontId="14" fillId="0" borderId="0" xfId="9" applyFont="1"/>
    <xf numFmtId="0" fontId="14" fillId="0" borderId="4" xfId="0" applyFont="1" applyBorder="1"/>
    <xf numFmtId="0" fontId="11" fillId="0" borderId="2" xfId="0" applyFont="1" applyBorder="1"/>
    <xf numFmtId="0" fontId="14" fillId="0" borderId="2" xfId="0" applyFont="1" applyBorder="1"/>
    <xf numFmtId="41" fontId="6" fillId="0" borderId="0" xfId="0" applyNumberFormat="1" applyFont="1" applyAlignment="1">
      <alignment horizontal="left"/>
    </xf>
    <xf numFmtId="0" fontId="4" fillId="0" borderId="0" xfId="0" quotePrefix="1" applyFont="1"/>
    <xf numFmtId="168" fontId="27" fillId="0" borderId="0" xfId="1" applyNumberFormat="1" applyFont="1" applyFill="1"/>
    <xf numFmtId="44" fontId="6" fillId="0" borderId="0" xfId="4" applyFont="1" applyFill="1"/>
    <xf numFmtId="0" fontId="3" fillId="0" borderId="0" xfId="15" applyAlignment="1">
      <alignment horizontal="left"/>
    </xf>
    <xf numFmtId="0" fontId="3" fillId="0" borderId="2" xfId="0" applyFont="1" applyBorder="1"/>
    <xf numFmtId="41" fontId="28" fillId="0" borderId="0" xfId="0" applyNumberFormat="1" applyFont="1"/>
    <xf numFmtId="164" fontId="28" fillId="0" borderId="0" xfId="0" applyNumberFormat="1" applyFont="1"/>
    <xf numFmtId="168" fontId="28" fillId="0" borderId="0" xfId="1" applyNumberFormat="1" applyFont="1" applyFill="1"/>
    <xf numFmtId="168" fontId="28" fillId="0" borderId="0" xfId="1" applyNumberFormat="1" applyFont="1"/>
    <xf numFmtId="43" fontId="28" fillId="0" borderId="0" xfId="1" applyFont="1"/>
    <xf numFmtId="169" fontId="28" fillId="0" borderId="0" xfId="3" applyNumberFormat="1" applyFont="1"/>
    <xf numFmtId="43" fontId="28" fillId="0" borderId="0" xfId="3" applyFont="1"/>
    <xf numFmtId="171" fontId="5" fillId="0" borderId="0" xfId="1" applyNumberFormat="1" applyFont="1" applyFill="1" applyBorder="1"/>
    <xf numFmtId="43" fontId="5" fillId="0" borderId="0" xfId="3" applyFont="1" applyFill="1" applyBorder="1"/>
    <xf numFmtId="9" fontId="5" fillId="0" borderId="0" xfId="9" applyFont="1" applyFill="1" applyBorder="1"/>
    <xf numFmtId="169" fontId="5" fillId="0" borderId="0" xfId="8" applyNumberFormat="1" applyFont="1"/>
    <xf numFmtId="9" fontId="16" fillId="0" borderId="0" xfId="3" applyNumberFormat="1" applyFont="1" applyFill="1" applyBorder="1"/>
    <xf numFmtId="9" fontId="16" fillId="0" borderId="0" xfId="9" applyFont="1" applyFill="1" applyBorder="1"/>
    <xf numFmtId="171" fontId="6" fillId="0" borderId="0" xfId="1" applyNumberFormat="1" applyFont="1" applyFill="1" applyBorder="1"/>
    <xf numFmtId="43" fontId="16" fillId="0" borderId="0" xfId="3" applyFont="1" applyFill="1" applyBorder="1"/>
    <xf numFmtId="171" fontId="16" fillId="0" borderId="0" xfId="1" applyNumberFormat="1" applyFont="1" applyFill="1" applyBorder="1"/>
    <xf numFmtId="44" fontId="29" fillId="0" borderId="0" xfId="0" applyNumberFormat="1" applyFont="1"/>
    <xf numFmtId="176" fontId="28" fillId="0" borderId="0" xfId="3" applyNumberFormat="1" applyFont="1"/>
    <xf numFmtId="41" fontId="29" fillId="0" borderId="0" xfId="0" applyNumberFormat="1" applyFont="1"/>
    <xf numFmtId="164" fontId="29" fillId="0" borderId="0" xfId="0" applyNumberFormat="1" applyFont="1"/>
    <xf numFmtId="44" fontId="30" fillId="0" borderId="0" xfId="0" applyNumberFormat="1" applyFont="1"/>
    <xf numFmtId="164" fontId="29" fillId="0" borderId="0" xfId="4" applyNumberFormat="1" applyFont="1" applyFill="1"/>
    <xf numFmtId="168" fontId="29" fillId="0" borderId="2" xfId="1" applyNumberFormat="1" applyFont="1" applyBorder="1"/>
    <xf numFmtId="168" fontId="29" fillId="0" borderId="2" xfId="1" applyNumberFormat="1" applyFont="1" applyFill="1" applyBorder="1"/>
    <xf numFmtId="177" fontId="5" fillId="0" borderId="0" xfId="0" applyNumberFormat="1" applyFont="1"/>
    <xf numFmtId="166" fontId="5" fillId="0" borderId="0" xfId="9" applyNumberFormat="1" applyFont="1"/>
    <xf numFmtId="169" fontId="29" fillId="10" borderId="0" xfId="1" applyNumberFormat="1" applyFont="1" applyFill="1"/>
    <xf numFmtId="169" fontId="5" fillId="0" borderId="0" xfId="1" applyNumberFormat="1" applyFont="1"/>
    <xf numFmtId="169" fontId="4" fillId="0" borderId="0" xfId="1" applyNumberFormat="1" applyFont="1"/>
    <xf numFmtId="9" fontId="3" fillId="0" borderId="0" xfId="9" applyFont="1"/>
    <xf numFmtId="43" fontId="3" fillId="0" borderId="0" xfId="1" applyFont="1"/>
    <xf numFmtId="43" fontId="14" fillId="0" borderId="0" xfId="1" applyFont="1"/>
    <xf numFmtId="0" fontId="31" fillId="0" borderId="0" xfId="0" applyFont="1"/>
    <xf numFmtId="178" fontId="14" fillId="0" borderId="4" xfId="0" applyNumberFormat="1" applyFont="1" applyBorder="1" applyAlignment="1">
      <alignment horizontal="right"/>
    </xf>
    <xf numFmtId="167" fontId="5" fillId="0" borderId="0" xfId="9" applyNumberFormat="1" applyFont="1"/>
    <xf numFmtId="0" fontId="4" fillId="0" borderId="2" xfId="8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24" xfId="15" applyFont="1" applyBorder="1" applyAlignment="1">
      <alignment horizontal="center" vertical="center"/>
    </xf>
    <xf numFmtId="0" fontId="11" fillId="0" borderId="25" xfId="15" applyFont="1" applyBorder="1" applyAlignment="1">
      <alignment horizontal="center" vertical="center"/>
    </xf>
    <xf numFmtId="0" fontId="11" fillId="0" borderId="26" xfId="15" applyFont="1" applyBorder="1" applyAlignment="1">
      <alignment horizontal="center" vertical="center"/>
    </xf>
    <xf numFmtId="0" fontId="11" fillId="0" borderId="27" xfId="15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5" fillId="0" borderId="2" xfId="0" applyFont="1" applyBorder="1" applyAlignment="1">
      <alignment horizontal="center"/>
    </xf>
    <xf numFmtId="0" fontId="5" fillId="0" borderId="0" xfId="15" applyFont="1"/>
    <xf numFmtId="176" fontId="5" fillId="0" borderId="0" xfId="3" applyNumberFormat="1" applyFont="1"/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omma 3 2" xfId="16" xr:uid="{00000000-0005-0000-0000-000003000000}"/>
    <cellStyle name="Comma 4" xfId="14" xr:uid="{00000000-0005-0000-0000-000004000000}"/>
    <cellStyle name="Currency" xfId="4" builtinId="4"/>
    <cellStyle name="Currency 2" xfId="5" xr:uid="{00000000-0005-0000-0000-000006000000}"/>
    <cellStyle name="Currency 2 2" xfId="17" xr:uid="{00000000-0005-0000-0000-000007000000}"/>
    <cellStyle name="Currency 3" xfId="6" xr:uid="{00000000-0005-0000-0000-000008000000}"/>
    <cellStyle name="Normal" xfId="0" builtinId="0"/>
    <cellStyle name="Normal 2" xfId="7" xr:uid="{00000000-0005-0000-0000-00000A000000}"/>
    <cellStyle name="Normal 2 2" xfId="15" xr:uid="{00000000-0005-0000-0000-00000B000000}"/>
    <cellStyle name="Normal 3" xfId="8" xr:uid="{00000000-0005-0000-0000-00000C000000}"/>
    <cellStyle name="Normal 4" xfId="13" xr:uid="{00000000-0005-0000-0000-00000D000000}"/>
    <cellStyle name="Percent" xfId="9" builtinId="5"/>
    <cellStyle name="Percent 2" xfId="10" xr:uid="{00000000-0005-0000-0000-00000F000000}"/>
    <cellStyle name="Percent 2 2" xfId="11" xr:uid="{00000000-0005-0000-0000-000010000000}"/>
    <cellStyle name="Percent 3" xfId="12" xr:uid="{00000000-0005-0000-0000-000011000000}"/>
    <cellStyle name="Percent 3 2" xfId="18" xr:uid="{00000000-0005-0000-0000-000012000000}"/>
    <cellStyle name="Percent 4" xfId="19" xr:uid="{00000000-0005-0000-0000-000013000000}"/>
  </cellStyles>
  <dxfs count="0"/>
  <tableStyles count="0" defaultTableStyle="TableStyleMedium9" defaultPivotStyle="PivotStyleLight16"/>
  <colors>
    <mruColors>
      <color rgb="FF0000FF"/>
      <color rgb="FFFFFFCC"/>
      <color rgb="FF00009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olly\Local%20Settings\Temporary%20Internet%20Files\OLK2A\Clark%20Energy%20Model%202009%2007-29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Ledger Master"/>
      <sheetName val="Exec Drivers"/>
      <sheetName val="Global Inputs"/>
      <sheetName val="Start"/>
      <sheetName val="Revenue"/>
      <sheetName val="Purch Power"/>
      <sheetName val="Misc Revenue"/>
      <sheetName val="O&amp;M"/>
      <sheetName val="Misc Exp"/>
      <sheetName val="Cnst&amp;Plt"/>
      <sheetName val="RUS Debt (1)"/>
      <sheetName val="RUS Debt (2)"/>
      <sheetName val="CFC Debt"/>
      <sheetName val="FFB Debt"/>
      <sheetName val="End"/>
      <sheetName val="Consolidation"/>
      <sheetName val="Fin Rpts"/>
      <sheetName val="Var Rpt"/>
      <sheetName val="Budget Inc Rpt"/>
      <sheetName val="Actuals"/>
      <sheetName val="Variance"/>
      <sheetName val="Budget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G86"/>
  <sheetViews>
    <sheetView tabSelected="1" view="pageBreakPreview" zoomScale="75" zoomScaleNormal="75" zoomScaleSheetLayoutView="75" workbookViewId="0">
      <selection activeCell="M34" sqref="M34"/>
    </sheetView>
  </sheetViews>
  <sheetFormatPr defaultRowHeight="15.75" x14ac:dyDescent="0.25"/>
  <cols>
    <col min="1" max="1" width="3.5703125" style="72" customWidth="1"/>
    <col min="2" max="2" width="36.5703125" style="61" bestFit="1" customWidth="1"/>
    <col min="3" max="3" width="6.85546875" style="72" bestFit="1" customWidth="1"/>
    <col min="4" max="4" width="32.85546875" style="61" bestFit="1" customWidth="1"/>
    <col min="5" max="5" width="1.5703125" style="61" customWidth="1"/>
    <col min="6" max="6" width="11.5703125" style="61" hidden="1" customWidth="1"/>
    <col min="7" max="8" width="11" style="61" customWidth="1"/>
    <col min="9" max="9" width="12" style="61" hidden="1" customWidth="1"/>
    <col min="10" max="10" width="12.140625" style="61" customWidth="1"/>
    <col min="11" max="11" width="1.5703125" style="61" customWidth="1"/>
    <col min="12" max="12" width="14.28515625" style="61" hidden="1" customWidth="1"/>
    <col min="13" max="13" width="14.28515625" style="61" bestFit="1" customWidth="1"/>
    <col min="14" max="14" width="16.7109375" style="61" bestFit="1" customWidth="1"/>
    <col min="15" max="15" width="17.85546875" style="61" customWidth="1"/>
    <col min="16" max="17" width="9.7109375" style="61" bestFit="1" customWidth="1"/>
    <col min="18" max="18" width="3" style="61" customWidth="1"/>
    <col min="19" max="19" width="17.28515625" style="61" bestFit="1" customWidth="1"/>
    <col min="20" max="20" width="14.7109375" style="61" customWidth="1"/>
    <col min="21" max="21" width="13.7109375" style="61" customWidth="1"/>
    <col min="22" max="29" width="12.7109375" style="61" customWidth="1"/>
    <col min="30" max="44" width="13.7109375" style="61" customWidth="1"/>
    <col min="45" max="16384" width="9.140625" style="61"/>
  </cols>
  <sheetData>
    <row r="1" spans="1:33" ht="18.75" x14ac:dyDescent="0.3">
      <c r="A1" s="51" t="s">
        <v>105</v>
      </c>
      <c r="C1" s="64"/>
      <c r="F1" s="63"/>
      <c r="G1" s="63"/>
      <c r="H1" s="179"/>
      <c r="I1" s="63"/>
      <c r="J1" s="63"/>
      <c r="N1" s="63"/>
      <c r="T1" s="174"/>
    </row>
    <row r="2" spans="1:33" ht="18.75" x14ac:dyDescent="0.3">
      <c r="A2" s="62" t="s">
        <v>24</v>
      </c>
      <c r="F2" s="107"/>
      <c r="G2" s="107"/>
      <c r="H2" s="248"/>
      <c r="N2" s="67"/>
      <c r="O2" s="67">
        <f>O56</f>
        <v>-528.67072001099586</v>
      </c>
    </row>
    <row r="4" spans="1:33" x14ac:dyDescent="0.25">
      <c r="B4" s="325" t="s">
        <v>25</v>
      </c>
      <c r="C4" s="325"/>
      <c r="D4" s="325"/>
      <c r="F4" s="325" t="s">
        <v>26</v>
      </c>
      <c r="G4" s="325"/>
      <c r="H4" s="325"/>
      <c r="I4" s="325"/>
      <c r="J4" s="325"/>
      <c r="L4" s="325" t="s">
        <v>41</v>
      </c>
      <c r="M4" s="325"/>
      <c r="N4" s="325"/>
      <c r="O4" s="325"/>
      <c r="P4" s="325"/>
      <c r="Q4" s="325"/>
    </row>
    <row r="5" spans="1:33" ht="12" customHeight="1" x14ac:dyDescent="0.25">
      <c r="E5" s="70"/>
      <c r="K5" s="70"/>
      <c r="U5" s="63"/>
      <c r="V5" s="63"/>
      <c r="W5" s="63"/>
      <c r="X5" s="63"/>
      <c r="Y5" s="63"/>
      <c r="Z5" s="63"/>
      <c r="AA5" s="63"/>
      <c r="AB5" s="63"/>
      <c r="AC5" s="63"/>
    </row>
    <row r="6" spans="1:33" s="63" customFormat="1" x14ac:dyDescent="0.25">
      <c r="A6" s="64"/>
      <c r="C6" s="64"/>
      <c r="D6" s="64" t="s">
        <v>27</v>
      </c>
      <c r="E6" s="274"/>
      <c r="F6" s="64" t="s">
        <v>59</v>
      </c>
      <c r="G6" s="64" t="s">
        <v>28</v>
      </c>
      <c r="H6" s="64" t="s">
        <v>29</v>
      </c>
      <c r="I6" s="64" t="s">
        <v>65</v>
      </c>
      <c r="J6" s="64" t="s">
        <v>65</v>
      </c>
      <c r="K6" s="275"/>
      <c r="L6" s="64" t="s">
        <v>61</v>
      </c>
      <c r="M6" s="64" t="s">
        <v>42</v>
      </c>
      <c r="N6" s="64" t="s">
        <v>29</v>
      </c>
      <c r="O6" s="64" t="s">
        <v>30</v>
      </c>
      <c r="P6" s="64" t="s">
        <v>30</v>
      </c>
      <c r="Q6" s="64" t="s">
        <v>30</v>
      </c>
      <c r="R6" s="64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</row>
    <row r="7" spans="1:33" s="63" customFormat="1" x14ac:dyDescent="0.25">
      <c r="A7" s="64"/>
      <c r="B7" s="64" t="s">
        <v>31</v>
      </c>
      <c r="C7" s="64" t="s">
        <v>32</v>
      </c>
      <c r="D7" s="64" t="s">
        <v>33</v>
      </c>
      <c r="E7" s="274"/>
      <c r="F7" s="64" t="s">
        <v>4</v>
      </c>
      <c r="G7" s="64" t="s">
        <v>4</v>
      </c>
      <c r="H7" s="64" t="s">
        <v>4</v>
      </c>
      <c r="I7" s="64" t="s">
        <v>60</v>
      </c>
      <c r="J7" s="64" t="s">
        <v>66</v>
      </c>
      <c r="K7" s="275"/>
      <c r="L7" s="64" t="s">
        <v>23</v>
      </c>
      <c r="M7" s="64" t="s">
        <v>23</v>
      </c>
      <c r="N7" s="64" t="s">
        <v>23</v>
      </c>
      <c r="O7" s="64" t="s">
        <v>34</v>
      </c>
      <c r="P7" s="64" t="s">
        <v>35</v>
      </c>
      <c r="Q7" s="64" t="s">
        <v>47</v>
      </c>
      <c r="R7" s="64"/>
      <c r="S7" s="61"/>
      <c r="T7" s="61"/>
    </row>
    <row r="8" spans="1:33" s="277" customFormat="1" x14ac:dyDescent="0.25">
      <c r="A8" s="276" t="s">
        <v>76</v>
      </c>
      <c r="B8" s="279" t="s">
        <v>258</v>
      </c>
      <c r="C8" s="279" t="s">
        <v>259</v>
      </c>
      <c r="D8" s="278" t="s">
        <v>247</v>
      </c>
      <c r="E8" s="274"/>
      <c r="F8" s="278" t="s">
        <v>248</v>
      </c>
      <c r="G8" s="278" t="s">
        <v>249</v>
      </c>
      <c r="H8" s="278" t="s">
        <v>250</v>
      </c>
      <c r="I8" s="278" t="s">
        <v>250</v>
      </c>
      <c r="J8" s="278" t="s">
        <v>251</v>
      </c>
      <c r="K8" s="275"/>
      <c r="L8" s="278" t="s">
        <v>252</v>
      </c>
      <c r="M8" s="278" t="s">
        <v>253</v>
      </c>
      <c r="N8" s="278" t="s">
        <v>254</v>
      </c>
      <c r="O8" s="278" t="s">
        <v>255</v>
      </c>
      <c r="P8" s="278" t="s">
        <v>256</v>
      </c>
      <c r="Q8" s="278" t="s">
        <v>257</v>
      </c>
      <c r="T8" s="61"/>
      <c r="U8" s="61"/>
      <c r="V8" s="61"/>
      <c r="W8" s="61"/>
      <c r="X8" s="61"/>
      <c r="Y8" s="61"/>
      <c r="Z8" s="61"/>
      <c r="AA8" s="61"/>
      <c r="AB8" s="61"/>
      <c r="AC8" s="61"/>
    </row>
    <row r="9" spans="1:33" s="63" customFormat="1" x14ac:dyDescent="0.25">
      <c r="A9" s="64"/>
      <c r="C9" s="64"/>
      <c r="D9" s="64"/>
      <c r="E9" s="70"/>
      <c r="F9" s="273"/>
      <c r="G9" s="273"/>
      <c r="H9" s="273"/>
      <c r="I9" s="273"/>
      <c r="J9" s="273"/>
      <c r="K9" s="70"/>
      <c r="L9" s="273"/>
      <c r="M9" s="273"/>
      <c r="N9" s="273"/>
      <c r="O9" s="273"/>
      <c r="P9" s="273"/>
      <c r="Q9" s="273"/>
      <c r="R9" s="64"/>
      <c r="S9" s="61"/>
      <c r="T9" s="107" t="s">
        <v>280</v>
      </c>
    </row>
    <row r="10" spans="1:33" x14ac:dyDescent="0.25">
      <c r="E10" s="70"/>
      <c r="K10" s="70"/>
    </row>
    <row r="11" spans="1:33" ht="15" customHeight="1" x14ac:dyDescent="0.25">
      <c r="A11" s="72">
        <v>1</v>
      </c>
      <c r="B11" s="2" t="str">
        <f>List!B6</f>
        <v>Residential</v>
      </c>
      <c r="C11" s="82" t="str">
        <f>List!C6</f>
        <v>R</v>
      </c>
      <c r="D11" s="61" t="s">
        <v>119</v>
      </c>
      <c r="E11" s="70"/>
      <c r="F11" s="294">
        <v>18.62</v>
      </c>
      <c r="G11" s="20">
        <v>18.62</v>
      </c>
      <c r="H11" s="20">
        <f>G11*T11</f>
        <v>33</v>
      </c>
      <c r="I11" s="167">
        <f>H11-F11</f>
        <v>14.379999999999999</v>
      </c>
      <c r="J11" s="167">
        <f>H11-G11</f>
        <v>14.379999999999999</v>
      </c>
      <c r="K11" s="70"/>
      <c r="L11" s="53">
        <f>'R'!G22</f>
        <v>42136795.791220009</v>
      </c>
      <c r="M11" s="53">
        <f>'R'!J22</f>
        <v>42136795.791220009</v>
      </c>
      <c r="N11" s="53">
        <f>'R'!S22</f>
        <v>44957346.070500001</v>
      </c>
      <c r="O11" s="96">
        <f>'R'!S24</f>
        <v>2820550.279279992</v>
      </c>
      <c r="P11" s="175">
        <f>'R'!S26</f>
        <v>6.6937939307376251E-2</v>
      </c>
      <c r="Q11" s="57">
        <f>'R'!S28</f>
        <v>9.1477108566683913</v>
      </c>
      <c r="T11" s="316">
        <v>1.7722878625134264</v>
      </c>
      <c r="U11" s="63"/>
      <c r="V11" s="63"/>
      <c r="W11" s="63"/>
      <c r="X11" s="63"/>
      <c r="Y11" s="63"/>
      <c r="Z11" s="63"/>
      <c r="AA11" s="63"/>
      <c r="AB11" s="63"/>
      <c r="AC11" s="63"/>
      <c r="AD11" s="170"/>
      <c r="AE11" s="170"/>
      <c r="AF11" s="170"/>
      <c r="AG11" s="170"/>
    </row>
    <row r="12" spans="1:33" ht="15" customHeight="1" x14ac:dyDescent="0.25">
      <c r="B12" s="65"/>
      <c r="C12" s="83"/>
      <c r="D12" s="61" t="s">
        <v>43</v>
      </c>
      <c r="E12" s="70"/>
      <c r="F12" s="295">
        <v>8.9450000000000002E-2</v>
      </c>
      <c r="G12" s="68">
        <v>0.10123</v>
      </c>
      <c r="H12" s="68">
        <f>ROUND(G12*T12,5)</f>
        <v>9.6210000000000004E-2</v>
      </c>
      <c r="I12" s="168">
        <f>H12-F12</f>
        <v>6.7600000000000021E-3</v>
      </c>
      <c r="J12" s="168">
        <f>H12-G12</f>
        <v>-5.0199999999999967E-3</v>
      </c>
      <c r="K12" s="70"/>
      <c r="L12" s="53"/>
      <c r="M12" s="53"/>
      <c r="N12" s="53"/>
      <c r="O12" s="53"/>
      <c r="P12" s="176"/>
      <c r="Q12" s="79"/>
      <c r="T12" s="316">
        <v>0.95045000000000002</v>
      </c>
      <c r="U12" s="297"/>
      <c r="V12" s="297"/>
      <c r="W12" s="297"/>
      <c r="X12" s="297"/>
      <c r="Y12" s="297"/>
      <c r="Z12" s="297"/>
      <c r="AA12" s="297"/>
      <c r="AB12" s="297"/>
      <c r="AC12" s="297"/>
      <c r="AD12" s="170"/>
      <c r="AE12" s="170"/>
      <c r="AF12" s="170"/>
      <c r="AG12" s="170"/>
    </row>
    <row r="13" spans="1:33" ht="9" customHeight="1" x14ac:dyDescent="0.25">
      <c r="B13" s="69"/>
      <c r="C13" s="84"/>
      <c r="D13" s="70"/>
      <c r="E13" s="70"/>
      <c r="F13" s="70"/>
      <c r="G13" s="70"/>
      <c r="H13" s="70"/>
      <c r="I13" s="70"/>
      <c r="J13" s="70"/>
      <c r="K13" s="70"/>
      <c r="L13" s="71"/>
      <c r="M13" s="71"/>
      <c r="N13" s="71"/>
      <c r="O13" s="71"/>
      <c r="P13" s="177"/>
      <c r="Q13" s="80"/>
      <c r="T13" s="317"/>
      <c r="AD13" s="171"/>
      <c r="AE13" s="171"/>
      <c r="AF13" s="171"/>
      <c r="AG13" s="171"/>
    </row>
    <row r="14" spans="1:33" ht="15" customHeight="1" x14ac:dyDescent="0.25">
      <c r="A14" s="72">
        <v>2</v>
      </c>
      <c r="B14" s="2" t="str">
        <f>List!B7</f>
        <v>Time Of Use Marketing Service</v>
      </c>
      <c r="C14" s="83" t="str">
        <f>List!C7</f>
        <v>D</v>
      </c>
      <c r="D14" s="61" t="s">
        <v>119</v>
      </c>
      <c r="E14" s="70"/>
      <c r="F14" s="20">
        <v>0</v>
      </c>
      <c r="G14" s="20">
        <v>0</v>
      </c>
      <c r="H14" s="20">
        <f t="shared" ref="H14:H52" si="0">G14</f>
        <v>0</v>
      </c>
      <c r="I14" s="66">
        <f>H14-F14</f>
        <v>0</v>
      </c>
      <c r="J14" s="66">
        <f>H14-G14</f>
        <v>0</v>
      </c>
      <c r="K14" s="70"/>
      <c r="L14" s="53">
        <f>'D-RTOD'!G24</f>
        <v>24266.468675000004</v>
      </c>
      <c r="M14" s="53">
        <f>'D-RTOD'!J24</f>
        <v>27157.13048</v>
      </c>
      <c r="N14" s="53">
        <f>'D-RTOD'!S24</f>
        <v>27157.13048</v>
      </c>
      <c r="O14" s="53">
        <f>'D-RTOD'!S26</f>
        <v>0</v>
      </c>
      <c r="P14" s="176">
        <f>'D-RTOD'!S28</f>
        <v>0</v>
      </c>
      <c r="Q14" s="57">
        <f>'D-RTOD'!S30</f>
        <v>0</v>
      </c>
      <c r="T14" s="317"/>
      <c r="U14" s="297"/>
      <c r="V14" s="297"/>
      <c r="W14" s="297"/>
      <c r="X14" s="297"/>
      <c r="Y14" s="297"/>
      <c r="Z14" s="297"/>
      <c r="AA14" s="297"/>
      <c r="AB14" s="297"/>
      <c r="AC14" s="297"/>
    </row>
    <row r="15" spans="1:33" ht="15" customHeight="1" x14ac:dyDescent="0.25">
      <c r="B15" s="65"/>
      <c r="C15" s="83"/>
      <c r="D15" s="61" t="s">
        <v>90</v>
      </c>
      <c r="E15" s="70"/>
      <c r="F15" s="68">
        <v>0</v>
      </c>
      <c r="G15" s="68">
        <v>0</v>
      </c>
      <c r="H15" s="68">
        <f t="shared" si="0"/>
        <v>0</v>
      </c>
      <c r="I15" s="68">
        <f>H15-F15</f>
        <v>0</v>
      </c>
      <c r="J15" s="68">
        <f>H15-G15</f>
        <v>0</v>
      </c>
      <c r="K15" s="70"/>
      <c r="L15" s="53"/>
      <c r="M15" s="53"/>
      <c r="N15" s="53"/>
      <c r="O15" s="53"/>
      <c r="P15" s="176"/>
      <c r="Q15" s="79"/>
      <c r="T15" s="317"/>
    </row>
    <row r="16" spans="1:33" ht="15" customHeight="1" x14ac:dyDescent="0.25">
      <c r="B16" s="65"/>
      <c r="C16" s="83"/>
      <c r="D16" s="61" t="s">
        <v>91</v>
      </c>
      <c r="E16" s="70"/>
      <c r="F16" s="295">
        <v>6.4780000000000004E-2</v>
      </c>
      <c r="G16" s="68">
        <v>7.6560000000000003E-2</v>
      </c>
      <c r="H16" s="68">
        <f t="shared" si="0"/>
        <v>7.6560000000000003E-2</v>
      </c>
      <c r="I16" s="68">
        <f>H16-F16</f>
        <v>1.1779999999999999E-2</v>
      </c>
      <c r="J16" s="68">
        <f>H16-G16</f>
        <v>0</v>
      </c>
      <c r="K16" s="70"/>
      <c r="L16" s="53"/>
      <c r="M16" s="53"/>
      <c r="N16" s="53"/>
      <c r="O16" s="53"/>
      <c r="P16" s="176"/>
      <c r="Q16" s="79"/>
      <c r="T16" s="317"/>
      <c r="X16" s="63"/>
      <c r="Y16" s="63"/>
    </row>
    <row r="17" spans="1:25" ht="9" customHeight="1" x14ac:dyDescent="0.25">
      <c r="B17" s="69"/>
      <c r="C17" s="84"/>
      <c r="D17" s="70"/>
      <c r="E17" s="70"/>
      <c r="F17" s="70"/>
      <c r="G17" s="70"/>
      <c r="H17" s="70"/>
      <c r="I17" s="70"/>
      <c r="J17" s="70"/>
      <c r="K17" s="70"/>
      <c r="L17" s="71"/>
      <c r="M17" s="71"/>
      <c r="N17" s="71"/>
      <c r="O17" s="71"/>
      <c r="P17" s="177"/>
      <c r="Q17" s="80"/>
      <c r="T17" s="317"/>
    </row>
    <row r="18" spans="1:25" ht="15" customHeight="1" x14ac:dyDescent="0.25">
      <c r="A18" s="72">
        <v>3</v>
      </c>
      <c r="B18" s="2" t="str">
        <f>List!B8</f>
        <v>General Power Service &lt; 50kW</v>
      </c>
      <c r="C18" s="82" t="str">
        <f>List!C8</f>
        <v>C</v>
      </c>
      <c r="D18" s="61" t="s">
        <v>121</v>
      </c>
      <c r="E18" s="70"/>
      <c r="F18" s="294">
        <v>26.2</v>
      </c>
      <c r="G18" s="20">
        <v>26.2</v>
      </c>
      <c r="H18" s="20">
        <f>G18+J11</f>
        <v>40.58</v>
      </c>
      <c r="I18" s="66">
        <f>H18-F18</f>
        <v>14.379999999999999</v>
      </c>
      <c r="J18" s="66">
        <f>H18-G18</f>
        <v>14.379999999999999</v>
      </c>
      <c r="K18" s="70"/>
      <c r="L18" s="53">
        <f>'C'!G23</f>
        <v>4676484.0284249997</v>
      </c>
      <c r="M18" s="53">
        <f>'C'!J23</f>
        <v>4959835.7397599993</v>
      </c>
      <c r="N18" s="53">
        <f>'C'!S23</f>
        <v>4959835.7397599965</v>
      </c>
      <c r="O18" s="53">
        <f>'C'!S25</f>
        <v>0</v>
      </c>
      <c r="P18" s="176">
        <f>'C'!S27</f>
        <v>0</v>
      </c>
      <c r="Q18" s="57">
        <f>'C'!S29</f>
        <v>0</v>
      </c>
      <c r="T18" s="318"/>
      <c r="U18" s="249"/>
      <c r="V18" s="249"/>
      <c r="W18" s="249"/>
      <c r="X18" s="249"/>
      <c r="Y18" s="249"/>
    </row>
    <row r="19" spans="1:25" ht="15" customHeight="1" x14ac:dyDescent="0.25">
      <c r="B19" s="65"/>
      <c r="C19" s="83"/>
      <c r="D19" s="61" t="s">
        <v>120</v>
      </c>
      <c r="E19" s="70"/>
      <c r="F19" s="294">
        <v>51.85</v>
      </c>
      <c r="G19" s="20">
        <v>51.85</v>
      </c>
      <c r="H19" s="20">
        <f t="shared" si="0"/>
        <v>51.85</v>
      </c>
      <c r="I19" s="68">
        <f>H19-F19</f>
        <v>0</v>
      </c>
      <c r="J19" s="68">
        <f>H19-G19</f>
        <v>0</v>
      </c>
      <c r="K19" s="70"/>
      <c r="L19" s="53"/>
      <c r="M19" s="53"/>
      <c r="N19" s="53"/>
      <c r="O19" s="53"/>
      <c r="P19" s="176"/>
      <c r="Q19" s="79"/>
      <c r="T19" s="317"/>
    </row>
    <row r="20" spans="1:25" ht="15" customHeight="1" x14ac:dyDescent="0.25">
      <c r="B20" s="65"/>
      <c r="C20" s="83"/>
      <c r="D20" s="61" t="s">
        <v>43</v>
      </c>
      <c r="E20" s="70"/>
      <c r="F20" s="295">
        <v>9.7979999999999998E-2</v>
      </c>
      <c r="G20" s="68">
        <v>0.10976</v>
      </c>
      <c r="H20" s="68">
        <f>G20*T20</f>
        <v>0.10009217809169571</v>
      </c>
      <c r="I20" s="68">
        <f>H20-F20</f>
        <v>2.1121780916957128E-3</v>
      </c>
      <c r="J20" s="68">
        <f>H20-G20</f>
        <v>-9.667821908304286E-3</v>
      </c>
      <c r="K20" s="70"/>
      <c r="L20" s="53"/>
      <c r="M20" s="53"/>
      <c r="N20" s="53"/>
      <c r="O20" s="53"/>
      <c r="P20" s="176"/>
      <c r="Q20" s="79"/>
      <c r="T20" s="316">
        <v>0.91191853217652796</v>
      </c>
      <c r="U20" s="300"/>
      <c r="V20" s="300"/>
      <c r="W20" s="298"/>
      <c r="X20" s="301"/>
      <c r="Y20" s="191"/>
    </row>
    <row r="21" spans="1:25" ht="9" customHeight="1" x14ac:dyDescent="0.25">
      <c r="B21" s="69"/>
      <c r="C21" s="84"/>
      <c r="D21" s="70"/>
      <c r="E21" s="70"/>
      <c r="F21" s="70"/>
      <c r="G21" s="70"/>
      <c r="H21" s="70"/>
      <c r="I21" s="70"/>
      <c r="J21" s="70"/>
      <c r="K21" s="70"/>
      <c r="L21" s="71"/>
      <c r="M21" s="71"/>
      <c r="N21" s="71"/>
      <c r="O21" s="71"/>
      <c r="P21" s="177"/>
      <c r="Q21" s="80"/>
      <c r="T21" s="317"/>
      <c r="X21" s="301"/>
      <c r="Y21" s="191"/>
    </row>
    <row r="22" spans="1:25" ht="15" customHeight="1" x14ac:dyDescent="0.25">
      <c r="A22" s="72">
        <v>4</v>
      </c>
      <c r="B22" s="2" t="str">
        <f>List!B9</f>
        <v>Public Facilities</v>
      </c>
      <c r="C22" s="82" t="str">
        <f>List!C9</f>
        <v>E</v>
      </c>
      <c r="D22" s="61" t="s">
        <v>119</v>
      </c>
      <c r="E22" s="70"/>
      <c r="F22" s="294">
        <v>18.62</v>
      </c>
      <c r="G22" s="20">
        <v>18.62</v>
      </c>
      <c r="H22" s="20">
        <f>H11</f>
        <v>33</v>
      </c>
      <c r="I22" s="66">
        <f>H22-F22</f>
        <v>14.379999999999999</v>
      </c>
      <c r="J22" s="66">
        <f>H22-G22</f>
        <v>14.379999999999999</v>
      </c>
      <c r="K22" s="70"/>
      <c r="L22" s="53">
        <f>E!G22</f>
        <v>524795.39495500003</v>
      </c>
      <c r="M22" s="53">
        <f>E!J22</f>
        <v>557039.49609999999</v>
      </c>
      <c r="N22" s="53">
        <f>E!S22</f>
        <v>557039.49609999999</v>
      </c>
      <c r="O22" s="53">
        <f>E!S24</f>
        <v>0</v>
      </c>
      <c r="P22" s="176">
        <f>E!S26</f>
        <v>0</v>
      </c>
      <c r="Q22" s="57">
        <f>E!S28</f>
        <v>0</v>
      </c>
      <c r="T22" s="317"/>
      <c r="U22" s="300"/>
      <c r="V22" s="300"/>
      <c r="W22" s="298"/>
      <c r="X22" s="302"/>
      <c r="Y22" s="191"/>
    </row>
    <row r="23" spans="1:25" ht="15" customHeight="1" x14ac:dyDescent="0.25">
      <c r="B23" s="65"/>
      <c r="C23" s="83"/>
      <c r="D23" s="61" t="s">
        <v>43</v>
      </c>
      <c r="E23" s="70"/>
      <c r="F23" s="295">
        <v>9.8519999999999996E-2</v>
      </c>
      <c r="G23" s="68">
        <v>0.1103</v>
      </c>
      <c r="H23" s="68">
        <f>G23*T23</f>
        <v>9.5449492257617091E-2</v>
      </c>
      <c r="I23" s="68">
        <f>H23-F23</f>
        <v>-3.0705077423829052E-3</v>
      </c>
      <c r="J23" s="68">
        <f>H23-G23</f>
        <v>-1.4850507742382904E-2</v>
      </c>
      <c r="K23" s="70"/>
      <c r="L23" s="53"/>
      <c r="M23" s="53"/>
      <c r="N23" s="53"/>
      <c r="O23" s="53"/>
      <c r="P23" s="176"/>
      <c r="Q23" s="79"/>
      <c r="T23" s="316">
        <v>0.86536257713161469</v>
      </c>
      <c r="U23" s="300"/>
      <c r="V23" s="300"/>
      <c r="W23" s="299"/>
      <c r="X23" s="299"/>
      <c r="Y23" s="191"/>
    </row>
    <row r="24" spans="1:25" ht="9" customHeight="1" x14ac:dyDescent="0.25">
      <c r="B24" s="69"/>
      <c r="C24" s="84"/>
      <c r="D24" s="70"/>
      <c r="E24" s="70"/>
      <c r="F24" s="70"/>
      <c r="G24" s="70"/>
      <c r="H24" s="70"/>
      <c r="I24" s="70"/>
      <c r="J24" s="70"/>
      <c r="K24" s="70"/>
      <c r="L24" s="71"/>
      <c r="M24" s="71"/>
      <c r="N24" s="71"/>
      <c r="O24" s="71"/>
      <c r="P24" s="177"/>
      <c r="Q24" s="80"/>
      <c r="T24" s="317"/>
      <c r="U24" s="303"/>
      <c r="V24" s="297"/>
      <c r="Y24" s="191"/>
    </row>
    <row r="25" spans="1:25" ht="15" customHeight="1" x14ac:dyDescent="0.25">
      <c r="A25" s="72">
        <v>5</v>
      </c>
      <c r="B25" s="2" t="str">
        <f>List!B10</f>
        <v>General Power Service 50-500kW</v>
      </c>
      <c r="C25" s="83" t="str">
        <f>List!C10</f>
        <v>L</v>
      </c>
      <c r="D25" s="61" t="s">
        <v>119</v>
      </c>
      <c r="E25" s="70"/>
      <c r="F25" s="296">
        <v>65.989999999999995</v>
      </c>
      <c r="G25" s="66">
        <v>65.989999999999995</v>
      </c>
      <c r="H25" s="66">
        <f t="shared" si="0"/>
        <v>65.989999999999995</v>
      </c>
      <c r="I25" s="66">
        <f>H25-F25</f>
        <v>0</v>
      </c>
      <c r="J25" s="66">
        <f>H25-G25</f>
        <v>0</v>
      </c>
      <c r="K25" s="70"/>
      <c r="L25" s="53">
        <f>L!G27</f>
        <v>5158221.0344199995</v>
      </c>
      <c r="M25" s="53">
        <f>L!J27</f>
        <v>5533674.2899599997</v>
      </c>
      <c r="N25" s="53">
        <f>L!S27</f>
        <v>5533674.2899599979</v>
      </c>
      <c r="O25" s="53">
        <f>L!S29</f>
        <v>0</v>
      </c>
      <c r="P25" s="176">
        <f>L!S31</f>
        <v>0</v>
      </c>
      <c r="Q25" s="57">
        <f>L!S33</f>
        <v>0</v>
      </c>
      <c r="T25" s="317"/>
      <c r="W25" s="304"/>
    </row>
    <row r="26" spans="1:25" ht="15" customHeight="1" x14ac:dyDescent="0.25">
      <c r="B26" s="65"/>
      <c r="C26" s="83"/>
      <c r="D26" s="61" t="s">
        <v>43</v>
      </c>
      <c r="E26" s="70"/>
      <c r="F26" s="295">
        <v>6.9510000000000002E-2</v>
      </c>
      <c r="G26" s="68">
        <v>8.1290000000000001E-2</v>
      </c>
      <c r="H26" s="68">
        <f>G26*T26</f>
        <v>7.7428409860084632E-2</v>
      </c>
      <c r="I26" s="68">
        <f>H26-F26</f>
        <v>7.9184098600846298E-3</v>
      </c>
      <c r="J26" s="68">
        <f>H26-G26</f>
        <v>-3.861590139915369E-3</v>
      </c>
      <c r="K26" s="70"/>
      <c r="L26" s="53"/>
      <c r="M26" s="53"/>
      <c r="N26" s="53"/>
      <c r="O26" s="53"/>
      <c r="P26" s="176"/>
      <c r="Q26" s="79"/>
      <c r="T26" s="316">
        <v>0.95249612326343502</v>
      </c>
      <c r="U26" s="305"/>
      <c r="V26" s="305"/>
      <c r="W26" s="304"/>
    </row>
    <row r="27" spans="1:25" ht="15" customHeight="1" x14ac:dyDescent="0.25">
      <c r="B27" s="65"/>
      <c r="C27" s="83"/>
      <c r="D27" s="61" t="s">
        <v>44</v>
      </c>
      <c r="E27" s="70"/>
      <c r="F27" s="294">
        <v>6.69</v>
      </c>
      <c r="G27" s="20">
        <v>6.69</v>
      </c>
      <c r="H27" s="20">
        <v>7.75</v>
      </c>
      <c r="I27" s="68">
        <f>H27-F27</f>
        <v>1.0599999999999996</v>
      </c>
      <c r="J27" s="66">
        <f>H27-G27</f>
        <v>1.0599999999999996</v>
      </c>
      <c r="K27" s="70"/>
      <c r="L27" s="53"/>
      <c r="M27" s="53"/>
      <c r="N27" s="53"/>
      <c r="O27" s="53"/>
      <c r="P27" s="176"/>
      <c r="Q27" s="79"/>
      <c r="T27" s="317"/>
      <c r="U27" s="192"/>
      <c r="V27" s="192"/>
      <c r="W27" s="190"/>
    </row>
    <row r="28" spans="1:25" ht="9" customHeight="1" x14ac:dyDescent="0.25">
      <c r="B28" s="69"/>
      <c r="C28" s="84"/>
      <c r="D28" s="70"/>
      <c r="E28" s="70"/>
      <c r="F28" s="70"/>
      <c r="G28" s="70"/>
      <c r="H28" s="70"/>
      <c r="I28" s="70"/>
      <c r="J28" s="70"/>
      <c r="K28" s="70"/>
      <c r="L28" s="71"/>
      <c r="M28" s="71"/>
      <c r="N28" s="71"/>
      <c r="O28" s="71"/>
      <c r="P28" s="177"/>
      <c r="Q28" s="80"/>
      <c r="T28" s="317"/>
    </row>
    <row r="29" spans="1:25" ht="15" hidden="1" customHeight="1" x14ac:dyDescent="0.25">
      <c r="A29" s="72">
        <v>6</v>
      </c>
      <c r="B29" s="2" t="str">
        <f>List!B11</f>
        <v>General Power Service 1000-5000kW</v>
      </c>
      <c r="C29" s="83" t="str">
        <f>List!C11</f>
        <v>M</v>
      </c>
      <c r="D29" s="61" t="s">
        <v>119</v>
      </c>
      <c r="E29" s="70"/>
      <c r="F29" s="66">
        <v>0</v>
      </c>
      <c r="G29" s="66">
        <f t="shared" ref="G29" si="1">F29</f>
        <v>0</v>
      </c>
      <c r="H29" s="66">
        <f t="shared" si="0"/>
        <v>0</v>
      </c>
      <c r="I29" s="66">
        <f>H29-F29</f>
        <v>0</v>
      </c>
      <c r="J29" s="66">
        <f>H29-G29</f>
        <v>0</v>
      </c>
      <c r="K29" s="70"/>
      <c r="L29" s="53">
        <f>M!G27</f>
        <v>0</v>
      </c>
      <c r="M29" s="53">
        <f>M!J27</f>
        <v>0</v>
      </c>
      <c r="N29" s="53">
        <f>M!S27</f>
        <v>0</v>
      </c>
      <c r="O29" s="53">
        <f>M!S29</f>
        <v>0</v>
      </c>
      <c r="P29" s="176" t="e">
        <f>M!S31</f>
        <v>#DIV/0!</v>
      </c>
      <c r="Q29" s="57" t="e">
        <f>M!S33</f>
        <v>#DIV/0!</v>
      </c>
      <c r="T29" s="317"/>
    </row>
    <row r="30" spans="1:25" ht="15" hidden="1" customHeight="1" x14ac:dyDescent="0.25">
      <c r="B30" s="2"/>
      <c r="C30" s="83"/>
      <c r="D30" s="61" t="s">
        <v>43</v>
      </c>
      <c r="E30" s="70"/>
      <c r="F30" s="68">
        <v>6.2050000000000001E-2</v>
      </c>
      <c r="G30" s="68">
        <v>7.4300000000000005E-2</v>
      </c>
      <c r="H30" s="68">
        <f t="shared" si="0"/>
        <v>7.4300000000000005E-2</v>
      </c>
      <c r="I30" s="66"/>
      <c r="J30" s="66"/>
      <c r="K30" s="70"/>
      <c r="L30" s="53"/>
      <c r="M30" s="53"/>
      <c r="N30" s="53"/>
      <c r="O30" s="53"/>
      <c r="P30" s="176"/>
      <c r="Q30" s="57"/>
      <c r="T30" s="317"/>
    </row>
    <row r="31" spans="1:25" ht="15" hidden="1" customHeight="1" x14ac:dyDescent="0.25">
      <c r="B31" s="65"/>
      <c r="C31" s="83"/>
      <c r="D31" s="61" t="s">
        <v>44</v>
      </c>
      <c r="E31" s="70"/>
      <c r="F31" s="20">
        <v>10.07</v>
      </c>
      <c r="G31" s="20">
        <v>10.41</v>
      </c>
      <c r="H31" s="20">
        <f t="shared" si="0"/>
        <v>10.41</v>
      </c>
      <c r="I31" s="68">
        <f>H31-F31</f>
        <v>0.33999999999999986</v>
      </c>
      <c r="J31" s="68">
        <f>H31-G31</f>
        <v>0</v>
      </c>
      <c r="K31" s="70"/>
      <c r="L31" s="53"/>
      <c r="M31" s="53"/>
      <c r="N31" s="53"/>
      <c r="O31" s="53"/>
      <c r="P31" s="176"/>
      <c r="Q31" s="79"/>
      <c r="T31" s="317"/>
    </row>
    <row r="32" spans="1:25" ht="9" hidden="1" customHeight="1" x14ac:dyDescent="0.25">
      <c r="B32" s="69"/>
      <c r="C32" s="84"/>
      <c r="D32" s="70"/>
      <c r="E32" s="70"/>
      <c r="F32" s="70"/>
      <c r="G32" s="70"/>
      <c r="H32" s="70"/>
      <c r="I32" s="70"/>
      <c r="J32" s="70"/>
      <c r="K32" s="70"/>
      <c r="L32" s="71"/>
      <c r="M32" s="71"/>
      <c r="N32" s="71"/>
      <c r="O32" s="71"/>
      <c r="P32" s="177"/>
      <c r="Q32" s="80"/>
      <c r="T32" s="317"/>
    </row>
    <row r="33" spans="1:20" ht="15" customHeight="1" x14ac:dyDescent="0.25">
      <c r="A33" s="72">
        <v>7</v>
      </c>
      <c r="B33" s="2" t="str">
        <f>List!B12</f>
        <v>General Power Service 500+kW</v>
      </c>
      <c r="C33" s="83" t="str">
        <f>List!C12</f>
        <v>P</v>
      </c>
      <c r="D33" s="61" t="s">
        <v>119</v>
      </c>
      <c r="E33" s="70"/>
      <c r="F33" s="296">
        <v>89.85</v>
      </c>
      <c r="G33" s="66">
        <v>89.85</v>
      </c>
      <c r="H33" s="66">
        <f t="shared" si="0"/>
        <v>89.85</v>
      </c>
      <c r="I33" s="66">
        <f>H33-F33</f>
        <v>0</v>
      </c>
      <c r="J33" s="66">
        <f>H33-G33</f>
        <v>0</v>
      </c>
      <c r="K33" s="70"/>
      <c r="L33" s="53">
        <f>P!G29</f>
        <v>2207411.7396</v>
      </c>
      <c r="M33" s="53">
        <f>P!J29</f>
        <v>2395043.1083999998</v>
      </c>
      <c r="N33" s="53">
        <f>P!S29</f>
        <v>2395043.1083999979</v>
      </c>
      <c r="O33" s="53">
        <f>P!S31</f>
        <v>0</v>
      </c>
      <c r="P33" s="176">
        <f>P!S33</f>
        <v>0</v>
      </c>
      <c r="Q33" s="57">
        <f>P!S35</f>
        <v>0</v>
      </c>
      <c r="T33" s="317"/>
    </row>
    <row r="34" spans="1:20" ht="15" customHeight="1" x14ac:dyDescent="0.25">
      <c r="B34" s="65"/>
      <c r="C34" s="83"/>
      <c r="D34" s="61" t="s">
        <v>43</v>
      </c>
      <c r="E34" s="70"/>
      <c r="F34" s="295">
        <v>5.8999999999999997E-2</v>
      </c>
      <c r="G34" s="68">
        <v>7.0779999999999996E-2</v>
      </c>
      <c r="H34" s="68">
        <f>G34*T34</f>
        <v>6.6428794370572794E-2</v>
      </c>
      <c r="I34" s="68">
        <f>H34-F34</f>
        <v>7.4287943705727971E-3</v>
      </c>
      <c r="J34" s="68">
        <f>H34-G34</f>
        <v>-4.3512056294272017E-3</v>
      </c>
      <c r="K34" s="70"/>
      <c r="L34" s="53"/>
      <c r="M34" s="53"/>
      <c r="N34" s="53"/>
      <c r="O34" s="53"/>
      <c r="P34" s="176"/>
      <c r="Q34" s="79"/>
      <c r="T34" s="316">
        <v>0.9385249275299915</v>
      </c>
    </row>
    <row r="35" spans="1:20" ht="15" customHeight="1" x14ac:dyDescent="0.25">
      <c r="B35" s="65"/>
      <c r="C35" s="83"/>
      <c r="D35" s="61" t="s">
        <v>44</v>
      </c>
      <c r="E35" s="70"/>
      <c r="F35" s="294">
        <v>6.42</v>
      </c>
      <c r="G35" s="20">
        <v>6.42</v>
      </c>
      <c r="H35" s="20">
        <v>7.75</v>
      </c>
      <c r="I35" s="66">
        <f>H35-F35</f>
        <v>1.33</v>
      </c>
      <c r="J35" s="66">
        <f>H35-G35</f>
        <v>1.33</v>
      </c>
      <c r="K35" s="70"/>
      <c r="L35" s="53"/>
      <c r="M35" s="53"/>
      <c r="N35" s="53"/>
      <c r="O35" s="53"/>
      <c r="P35" s="176"/>
      <c r="Q35" s="79"/>
      <c r="T35" s="317"/>
    </row>
    <row r="36" spans="1:20" ht="9" customHeight="1" x14ac:dyDescent="0.25">
      <c r="B36" s="69"/>
      <c r="C36" s="84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1"/>
      <c r="P36" s="177"/>
      <c r="Q36" s="80"/>
      <c r="T36" s="317"/>
    </row>
    <row r="37" spans="1:20" ht="15" customHeight="1" x14ac:dyDescent="0.25">
      <c r="A37" s="72">
        <f>List!A13</f>
        <v>8</v>
      </c>
      <c r="B37" s="2" t="str">
        <f>List!B13</f>
        <v>Large Industrial Rate</v>
      </c>
      <c r="C37" s="83" t="str">
        <f>List!C13</f>
        <v>B-1</v>
      </c>
      <c r="D37" s="61" t="s">
        <v>119</v>
      </c>
      <c r="E37" s="70"/>
      <c r="F37" s="296">
        <v>868.72</v>
      </c>
      <c r="G37" s="66">
        <v>868.72</v>
      </c>
      <c r="H37" s="66">
        <f>G37</f>
        <v>868.72</v>
      </c>
      <c r="I37" s="66">
        <f>H37-F37</f>
        <v>0</v>
      </c>
      <c r="J37" s="66">
        <f>H37-G37</f>
        <v>0</v>
      </c>
      <c r="K37" s="70"/>
      <c r="L37" s="96">
        <f>'B-1'!G29</f>
        <v>859344.7399119999</v>
      </c>
      <c r="M37" s="96">
        <f>'B-1'!J29</f>
        <v>944129.979208</v>
      </c>
      <c r="N37" s="96">
        <f>'B-1'!S29</f>
        <v>944129.979208</v>
      </c>
      <c r="O37" s="96">
        <f>'B-1'!S31</f>
        <v>0</v>
      </c>
      <c r="P37" s="175">
        <f>'B-1'!S33</f>
        <v>0</v>
      </c>
      <c r="Q37" s="57">
        <f>'B-1'!S35</f>
        <v>0</v>
      </c>
      <c r="T37" s="317"/>
    </row>
    <row r="38" spans="1:20" ht="15" customHeight="1" x14ac:dyDescent="0.25">
      <c r="B38" s="2"/>
      <c r="C38" s="83"/>
      <c r="D38" s="61" t="s">
        <v>275</v>
      </c>
      <c r="E38" s="70"/>
      <c r="F38" s="294">
        <v>7.41</v>
      </c>
      <c r="G38" s="20">
        <v>7.41</v>
      </c>
      <c r="H38" s="20">
        <v>9.25</v>
      </c>
      <c r="I38" s="66">
        <f>H38-F38</f>
        <v>1.8399999999999999</v>
      </c>
      <c r="J38" s="66">
        <f>H38-G38</f>
        <v>1.8399999999999999</v>
      </c>
      <c r="K38" s="70"/>
      <c r="L38" s="53"/>
      <c r="M38" s="53"/>
      <c r="N38" s="53"/>
      <c r="O38" s="53"/>
      <c r="P38" s="176"/>
      <c r="Q38" s="57"/>
      <c r="T38" s="317"/>
    </row>
    <row r="39" spans="1:20" ht="15" customHeight="1" x14ac:dyDescent="0.25">
      <c r="B39" s="2"/>
      <c r="C39" s="83"/>
      <c r="D39" s="61" t="s">
        <v>276</v>
      </c>
      <c r="E39" s="70"/>
      <c r="F39" s="294">
        <v>10.32</v>
      </c>
      <c r="G39" s="20">
        <v>10.32</v>
      </c>
      <c r="H39" s="20">
        <v>10.75</v>
      </c>
      <c r="I39" s="66"/>
      <c r="J39" s="66">
        <f t="shared" ref="J39:J40" si="2">H39-G39</f>
        <v>0.42999999999999972</v>
      </c>
      <c r="K39" s="70"/>
      <c r="L39" s="53"/>
      <c r="M39" s="53"/>
      <c r="N39" s="53"/>
      <c r="O39" s="53"/>
      <c r="P39" s="176"/>
      <c r="Q39" s="57"/>
      <c r="T39" s="317"/>
    </row>
    <row r="40" spans="1:20" ht="15" customHeight="1" x14ac:dyDescent="0.25">
      <c r="B40" s="65"/>
      <c r="C40" s="83"/>
      <c r="D40" s="61" t="s">
        <v>43</v>
      </c>
      <c r="E40" s="70"/>
      <c r="F40" s="307">
        <v>5.0659999999999997E-2</v>
      </c>
      <c r="G40" s="341">
        <v>6.2435999999999998E-2</v>
      </c>
      <c r="H40" s="341">
        <f>G40*T40</f>
        <v>5.9780337546139081E-2</v>
      </c>
      <c r="J40" s="66">
        <f t="shared" si="2"/>
        <v>-2.6556624538609172E-3</v>
      </c>
      <c r="K40" s="70"/>
      <c r="Q40" s="79"/>
      <c r="T40" s="316">
        <v>0.95746584576428795</v>
      </c>
    </row>
    <row r="41" spans="1:20" ht="9" customHeight="1" x14ac:dyDescent="0.25">
      <c r="B41" s="69"/>
      <c r="C41" s="84"/>
      <c r="D41" s="70"/>
      <c r="E41" s="70"/>
      <c r="F41" s="70"/>
      <c r="G41" s="70"/>
      <c r="H41" s="70"/>
      <c r="I41" s="70"/>
      <c r="J41" s="70"/>
      <c r="K41" s="70"/>
      <c r="L41" s="71"/>
      <c r="M41" s="71"/>
      <c r="N41" s="71"/>
      <c r="O41" s="71"/>
      <c r="P41" s="177"/>
      <c r="Q41" s="80"/>
    </row>
    <row r="42" spans="1:20" ht="15" customHeight="1" x14ac:dyDescent="0.25">
      <c r="A42" s="72">
        <v>8</v>
      </c>
      <c r="B42" s="2" t="str">
        <f>List!B14</f>
        <v>Lighting</v>
      </c>
      <c r="C42" s="83" t="str">
        <f>List!C14</f>
        <v>S,T,O</v>
      </c>
      <c r="D42" s="61" t="s">
        <v>238</v>
      </c>
      <c r="E42" s="70"/>
      <c r="F42" s="264"/>
      <c r="G42" s="264"/>
      <c r="H42" s="264">
        <f t="shared" si="0"/>
        <v>0</v>
      </c>
      <c r="I42" s="167">
        <f>H42-F42</f>
        <v>0</v>
      </c>
      <c r="J42" s="167"/>
      <c r="K42" s="70"/>
      <c r="L42" s="53">
        <f>'S,T,O Lights'!H31</f>
        <v>1331957.0999999999</v>
      </c>
      <c r="M42" s="53">
        <f>'S,T,O Lights'!K31</f>
        <v>1391569.33</v>
      </c>
      <c r="N42" s="53">
        <f>'S,T,O Lights'!Q31</f>
        <v>1391569.33</v>
      </c>
      <c r="O42" s="53">
        <v>0</v>
      </c>
      <c r="P42" s="176">
        <v>0</v>
      </c>
      <c r="Q42" s="57">
        <v>0</v>
      </c>
    </row>
    <row r="43" spans="1:20" ht="9" customHeight="1" x14ac:dyDescent="0.25">
      <c r="B43" s="69"/>
      <c r="C43" s="84"/>
      <c r="D43" s="70"/>
      <c r="E43" s="70"/>
      <c r="F43" s="70"/>
      <c r="G43" s="70"/>
      <c r="H43" s="70"/>
      <c r="I43" s="70"/>
      <c r="J43" s="70"/>
      <c r="K43" s="70"/>
      <c r="L43" s="71"/>
      <c r="M43" s="71"/>
      <c r="N43" s="71"/>
      <c r="O43" s="71"/>
      <c r="P43" s="177"/>
      <c r="Q43" s="80"/>
    </row>
    <row r="44" spans="1:20" ht="15" hidden="1" customHeight="1" x14ac:dyDescent="0.25">
      <c r="B44" s="2" t="e">
        <f>List!#REF!</f>
        <v>#REF!</v>
      </c>
      <c r="C44" s="83" t="e">
        <f>List!#REF!</f>
        <v>#REF!</v>
      </c>
      <c r="E44" s="70"/>
      <c r="F44" s="20"/>
      <c r="G44" s="20"/>
      <c r="H44" s="20">
        <f t="shared" si="0"/>
        <v>0</v>
      </c>
      <c r="I44" s="66">
        <f>H44-F44</f>
        <v>0</v>
      </c>
      <c r="J44" s="66"/>
      <c r="K44" s="70"/>
      <c r="L44" s="53"/>
      <c r="M44" s="53"/>
      <c r="N44" s="53"/>
      <c r="O44" s="53"/>
      <c r="P44" s="176"/>
      <c r="Q44" s="111"/>
    </row>
    <row r="45" spans="1:20" hidden="1" x14ac:dyDescent="0.25">
      <c r="B45" s="65"/>
      <c r="C45" s="83"/>
      <c r="E45" s="70"/>
      <c r="F45" s="68"/>
      <c r="G45" s="68"/>
      <c r="H45" s="68">
        <f t="shared" si="0"/>
        <v>0</v>
      </c>
      <c r="I45" s="68">
        <f>H45-F45</f>
        <v>0</v>
      </c>
      <c r="J45" s="68"/>
      <c r="K45" s="70"/>
      <c r="L45" s="53"/>
      <c r="M45" s="53"/>
      <c r="N45" s="53"/>
      <c r="O45" s="53"/>
      <c r="P45" s="176"/>
      <c r="Q45" s="79"/>
    </row>
    <row r="46" spans="1:20" hidden="1" x14ac:dyDescent="0.25">
      <c r="B46" s="69"/>
      <c r="C46" s="84"/>
      <c r="D46" s="70"/>
      <c r="E46" s="70"/>
      <c r="F46" s="70"/>
      <c r="G46" s="70"/>
      <c r="H46" s="70">
        <f t="shared" si="0"/>
        <v>0</v>
      </c>
      <c r="I46" s="70"/>
      <c r="J46" s="70"/>
      <c r="K46" s="70"/>
      <c r="L46" s="71"/>
      <c r="M46" s="71"/>
      <c r="N46" s="71"/>
      <c r="O46" s="71"/>
      <c r="P46" s="177"/>
      <c r="Q46" s="80"/>
    </row>
    <row r="47" spans="1:20" ht="8.25" hidden="1" customHeight="1" x14ac:dyDescent="0.25">
      <c r="B47" s="65">
        <f>List!B15</f>
        <v>0</v>
      </c>
      <c r="C47" s="83">
        <f>List!C15</f>
        <v>0</v>
      </c>
      <c r="D47" s="2"/>
      <c r="E47" s="70"/>
      <c r="F47" s="66"/>
      <c r="G47" s="66"/>
      <c r="H47" s="66">
        <f t="shared" si="0"/>
        <v>0</v>
      </c>
      <c r="I47" s="66">
        <f>H47-F47</f>
        <v>0</v>
      </c>
      <c r="J47" s="66"/>
      <c r="K47" s="70"/>
      <c r="L47" s="96"/>
      <c r="M47" s="96"/>
      <c r="N47" s="96"/>
      <c r="O47" s="96"/>
      <c r="P47" s="175"/>
      <c r="Q47" s="111"/>
    </row>
    <row r="48" spans="1:20" hidden="1" x14ac:dyDescent="0.25">
      <c r="B48" s="65"/>
      <c r="C48" s="83"/>
      <c r="D48" s="2"/>
      <c r="E48" s="70"/>
      <c r="F48" s="66"/>
      <c r="G48" s="66"/>
      <c r="H48" s="66">
        <f t="shared" si="0"/>
        <v>0</v>
      </c>
      <c r="I48" s="66">
        <f>H48-F48</f>
        <v>0</v>
      </c>
      <c r="J48" s="66"/>
      <c r="K48" s="70"/>
      <c r="L48" s="53"/>
      <c r="M48" s="53"/>
      <c r="N48" s="53"/>
      <c r="O48" s="53"/>
      <c r="P48" s="176"/>
      <c r="R48" s="78"/>
    </row>
    <row r="49" spans="1:22" hidden="1" x14ac:dyDescent="0.25">
      <c r="B49" s="65"/>
      <c r="C49" s="83"/>
      <c r="D49" s="2"/>
      <c r="E49" s="70"/>
      <c r="F49" s="66"/>
      <c r="G49" s="66"/>
      <c r="H49" s="66">
        <f t="shared" si="0"/>
        <v>0</v>
      </c>
      <c r="I49" s="66">
        <f>H49-F49</f>
        <v>0</v>
      </c>
      <c r="J49" s="66"/>
      <c r="K49" s="70"/>
      <c r="L49" s="53"/>
      <c r="M49" s="53"/>
      <c r="N49" s="53"/>
      <c r="O49" s="53"/>
      <c r="P49" s="176"/>
      <c r="Q49" s="35"/>
    </row>
    <row r="50" spans="1:22" hidden="1" x14ac:dyDescent="0.25">
      <c r="B50" s="65"/>
      <c r="C50" s="83"/>
      <c r="D50" s="2"/>
      <c r="E50" s="70"/>
      <c r="F50" s="66"/>
      <c r="G50" s="66"/>
      <c r="H50" s="66">
        <f t="shared" si="0"/>
        <v>0</v>
      </c>
      <c r="I50" s="66">
        <f>H50-F50</f>
        <v>0</v>
      </c>
      <c r="J50" s="66"/>
      <c r="K50" s="70"/>
      <c r="L50" s="53"/>
      <c r="M50" s="53"/>
      <c r="N50" s="53"/>
      <c r="O50" s="53"/>
      <c r="P50" s="176"/>
    </row>
    <row r="51" spans="1:22" hidden="1" x14ac:dyDescent="0.25">
      <c r="B51" s="65"/>
      <c r="C51" s="83"/>
      <c r="D51" s="2"/>
      <c r="E51" s="70"/>
      <c r="F51" s="66"/>
      <c r="G51" s="66"/>
      <c r="H51" s="66">
        <f t="shared" si="0"/>
        <v>0</v>
      </c>
      <c r="I51" s="66">
        <f>H51-F51</f>
        <v>0</v>
      </c>
      <c r="J51" s="66"/>
      <c r="K51" s="70"/>
      <c r="L51" s="53"/>
      <c r="M51" s="53"/>
      <c r="N51" s="53"/>
      <c r="O51" s="53"/>
      <c r="P51" s="176"/>
    </row>
    <row r="52" spans="1:22" ht="9" hidden="1" customHeight="1" x14ac:dyDescent="0.25">
      <c r="B52" s="69"/>
      <c r="C52" s="85"/>
      <c r="D52" s="70"/>
      <c r="E52" s="70"/>
      <c r="F52" s="70"/>
      <c r="G52" s="70"/>
      <c r="H52" s="70">
        <f t="shared" si="0"/>
        <v>0</v>
      </c>
      <c r="I52" s="70"/>
      <c r="J52" s="70"/>
      <c r="K52" s="70"/>
      <c r="L52" s="71"/>
      <c r="M52" s="71"/>
      <c r="N52" s="71"/>
      <c r="O52" s="71"/>
      <c r="P52" s="177"/>
      <c r="Q52" s="70"/>
    </row>
    <row r="53" spans="1:22" ht="33" customHeight="1" thickBot="1" x14ac:dyDescent="0.3">
      <c r="A53" s="108">
        <v>9</v>
      </c>
      <c r="B53" s="74" t="s">
        <v>36</v>
      </c>
      <c r="C53" s="86"/>
      <c r="D53" s="74"/>
      <c r="E53" s="70"/>
      <c r="F53" s="74"/>
      <c r="G53" s="74"/>
      <c r="H53" s="74"/>
      <c r="I53" s="74"/>
      <c r="J53" s="74"/>
      <c r="K53" s="70"/>
      <c r="L53" s="75">
        <f>SUM(L11:L52)</f>
        <v>56919276.29720702</v>
      </c>
      <c r="M53" s="75">
        <f>SUM(M11:M52)</f>
        <v>57945244.865128003</v>
      </c>
      <c r="N53" s="75">
        <f>SUM(N11:N52)</f>
        <v>60765795.144407988</v>
      </c>
      <c r="O53" s="75">
        <f>SUM(O11:O52)</f>
        <v>2820550.279279992</v>
      </c>
      <c r="P53" s="178">
        <f>O53/M53</f>
        <v>4.8676130126726343E-2</v>
      </c>
      <c r="Q53" s="76"/>
    </row>
    <row r="54" spans="1:22" s="77" customFormat="1" ht="8.25" customHeight="1" thickTop="1" x14ac:dyDescent="0.25">
      <c r="A54" s="108"/>
      <c r="C54" s="108"/>
      <c r="L54" s="109"/>
      <c r="M54" s="109"/>
      <c r="N54" s="109"/>
      <c r="O54" s="109"/>
      <c r="P54" s="110"/>
      <c r="Q54" s="110"/>
      <c r="S54" s="61"/>
      <c r="T54" s="67"/>
      <c r="U54" s="105"/>
      <c r="V54" s="78"/>
    </row>
    <row r="55" spans="1:22" s="77" customFormat="1" ht="15.75" customHeight="1" x14ac:dyDescent="0.25">
      <c r="A55" s="72"/>
      <c r="B55" s="61"/>
      <c r="C55" s="72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107" t="s">
        <v>240</v>
      </c>
      <c r="O55" s="55">
        <v>2821078.950000003</v>
      </c>
      <c r="P55" s="61"/>
      <c r="Q55" s="61"/>
      <c r="S55" s="61"/>
      <c r="T55" s="67"/>
      <c r="U55" s="105"/>
      <c r="V55" s="78"/>
    </row>
    <row r="56" spans="1:22" x14ac:dyDescent="0.25">
      <c r="D56" s="72"/>
      <c r="E56" s="72"/>
      <c r="F56" s="72"/>
      <c r="G56" s="72"/>
      <c r="H56" s="72"/>
      <c r="I56" s="72"/>
      <c r="J56" s="72"/>
      <c r="K56" s="72"/>
      <c r="L56" s="265"/>
      <c r="M56" s="268"/>
      <c r="N56" s="107" t="s">
        <v>241</v>
      </c>
      <c r="O56" s="23">
        <f>O53-O55</f>
        <v>-528.67072001099586</v>
      </c>
    </row>
    <row r="57" spans="1:22" x14ac:dyDescent="0.25">
      <c r="N57" s="23"/>
      <c r="O57" s="324">
        <f>O56/O55</f>
        <v>-1.8740018602137856E-4</v>
      </c>
      <c r="P57" s="73"/>
    </row>
    <row r="58" spans="1:22" x14ac:dyDescent="0.25">
      <c r="N58" s="67"/>
      <c r="P58" s="251"/>
    </row>
    <row r="59" spans="1:22" x14ac:dyDescent="0.25">
      <c r="M59" s="107"/>
      <c r="N59" s="13"/>
    </row>
    <row r="60" spans="1:22" x14ac:dyDescent="0.25">
      <c r="N60" s="67"/>
    </row>
    <row r="61" spans="1:22" x14ac:dyDescent="0.25">
      <c r="M61" s="107"/>
      <c r="N61" s="13"/>
    </row>
    <row r="62" spans="1:22" x14ac:dyDescent="0.25">
      <c r="N62" s="67"/>
    </row>
    <row r="63" spans="1:22" x14ac:dyDescent="0.25">
      <c r="M63" s="107"/>
      <c r="N63" s="13"/>
    </row>
    <row r="64" spans="1:22" x14ac:dyDescent="0.25">
      <c r="N64" s="67"/>
    </row>
    <row r="79" spans="6:6" x14ac:dyDescent="0.25">
      <c r="F79" s="72"/>
    </row>
    <row r="80" spans="6:6" x14ac:dyDescent="0.25">
      <c r="F80" s="72"/>
    </row>
    <row r="81" spans="3:7" x14ac:dyDescent="0.25">
      <c r="C81" s="61"/>
      <c r="F81" s="67"/>
      <c r="G81" s="78"/>
    </row>
    <row r="82" spans="3:7" x14ac:dyDescent="0.25">
      <c r="C82" s="61"/>
    </row>
    <row r="83" spans="3:7" x14ac:dyDescent="0.25">
      <c r="C83" s="61"/>
    </row>
    <row r="84" spans="3:7" x14ac:dyDescent="0.25">
      <c r="C84" s="61"/>
    </row>
    <row r="85" spans="3:7" x14ac:dyDescent="0.25">
      <c r="C85" s="61"/>
    </row>
    <row r="86" spans="3:7" x14ac:dyDescent="0.25">
      <c r="C86" s="61"/>
    </row>
  </sheetData>
  <dataConsolidate/>
  <mergeCells count="3">
    <mergeCell ref="B4:D4"/>
    <mergeCell ref="L4:Q4"/>
    <mergeCell ref="F4:J4"/>
  </mergeCells>
  <printOptions horizontalCentered="1"/>
  <pageMargins left="0.5" right="0.5" top="1.5" bottom="0.5" header="0.3" footer="0.3"/>
  <pageSetup scale="70" orientation="landscape" r:id="rId1"/>
  <headerFooter>
    <oddFooter>&amp;RExhibit JW-9
Page &amp;P of &amp;N</oddFooter>
  </headerFooter>
  <colBreaks count="1" manualBreakCount="1">
    <brk id="17" max="49" man="1"/>
  </colBreaks>
  <ignoredErrors>
    <ignoredError sqref="D8 F8:J8 L8:Q8 B8:C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AB121"/>
  <sheetViews>
    <sheetView view="pageBreakPreview" zoomScale="75" zoomScaleNormal="100" zoomScaleSheetLayoutView="75" workbookViewId="0">
      <selection activeCell="D59" sqref="D59"/>
    </sheetView>
  </sheetViews>
  <sheetFormatPr defaultRowHeight="15.75" x14ac:dyDescent="0.25"/>
  <cols>
    <col min="1" max="2" width="4.28515625" style="2" customWidth="1"/>
    <col min="3" max="3" width="54.42578125" style="2" bestFit="1" customWidth="1"/>
    <col min="4" max="4" width="14.28515625" style="2" customWidth="1"/>
    <col min="5" max="5" width="3.140625" style="13" customWidth="1"/>
    <col min="6" max="6" width="10.42578125" style="2" bestFit="1" customWidth="1"/>
    <col min="7" max="7" width="10.85546875" style="2" bestFit="1" customWidth="1"/>
    <col min="8" max="8" width="14.140625" style="2" customWidth="1"/>
    <col min="9" max="9" width="3.28515625" style="2" customWidth="1"/>
    <col min="10" max="10" width="10.85546875" style="2" bestFit="1" customWidth="1"/>
    <col min="11" max="11" width="15.28515625" style="2" customWidth="1"/>
    <col min="12" max="12" width="2" style="2" customWidth="1"/>
    <col min="13" max="13" width="2.7109375" style="2" customWidth="1"/>
    <col min="14" max="14" width="16.5703125" style="2" customWidth="1"/>
    <col min="15" max="15" width="15.140625" style="2" customWidth="1"/>
    <col min="16" max="16" width="7.5703125" style="2" customWidth="1"/>
    <col min="17" max="17" width="15.28515625" style="2" customWidth="1"/>
    <col min="18" max="18" width="13.140625" style="2" bestFit="1" customWidth="1"/>
    <col min="19" max="19" width="8.85546875" style="2" bestFit="1" customWidth="1"/>
    <col min="20" max="20" width="9.140625" style="2"/>
    <col min="21" max="22" width="6.7109375" style="2" customWidth="1"/>
    <col min="23" max="23" width="27.5703125" style="2" customWidth="1"/>
    <col min="24" max="24" width="11.7109375" style="2" customWidth="1"/>
    <col min="25" max="25" width="13" style="2" customWidth="1"/>
    <col min="26" max="26" width="10.5703125" style="2" customWidth="1"/>
    <col min="27" max="27" width="2.7109375" style="2" customWidth="1"/>
    <col min="28" max="28" width="16.7109375" style="2" customWidth="1"/>
    <col min="29" max="16384" width="9.140625" style="2"/>
  </cols>
  <sheetData>
    <row r="1" spans="1:28" x14ac:dyDescent="0.25">
      <c r="A1" s="1" t="str">
        <f>List!A1</f>
        <v>Clark Energy Cooperative</v>
      </c>
      <c r="B1" s="1"/>
      <c r="C1" s="1"/>
      <c r="D1" s="1"/>
      <c r="E1" s="35"/>
    </row>
    <row r="2" spans="1:28" x14ac:dyDescent="0.25">
      <c r="A2" s="1" t="str">
        <f>List!B14</f>
        <v>Lighting</v>
      </c>
      <c r="B2" s="1"/>
      <c r="C2" s="1"/>
      <c r="D2" s="1"/>
      <c r="E2" s="35"/>
    </row>
    <row r="3" spans="1:28" ht="16.5" thickBot="1" x14ac:dyDescent="0.3">
      <c r="A3" s="1" t="str">
        <f>List!C14</f>
        <v>S,T,O</v>
      </c>
      <c r="B3" s="1"/>
      <c r="C3" s="1"/>
      <c r="D3" s="1"/>
      <c r="E3" s="35"/>
    </row>
    <row r="4" spans="1:28" x14ac:dyDescent="0.25">
      <c r="E4" s="35"/>
      <c r="F4" s="326" t="s">
        <v>17</v>
      </c>
      <c r="G4" s="327"/>
      <c r="H4" s="328"/>
      <c r="I4" s="3"/>
      <c r="J4" s="326" t="s">
        <v>62</v>
      </c>
      <c r="K4" s="328"/>
      <c r="L4" s="90"/>
      <c r="M4" s="3"/>
      <c r="N4" s="326" t="s">
        <v>45</v>
      </c>
      <c r="O4" s="327"/>
      <c r="P4" s="327"/>
      <c r="Q4" s="328"/>
      <c r="Y4" s="332"/>
      <c r="Z4" s="332"/>
      <c r="AA4" s="332"/>
      <c r="AB4" s="332"/>
    </row>
    <row r="5" spans="1:28" ht="16.5" thickBot="1" x14ac:dyDescent="0.3">
      <c r="E5" s="35"/>
      <c r="F5" s="329"/>
      <c r="G5" s="330"/>
      <c r="H5" s="331"/>
      <c r="I5" s="3"/>
      <c r="J5" s="329"/>
      <c r="K5" s="331"/>
      <c r="L5" s="90"/>
      <c r="M5" s="3"/>
      <c r="N5" s="329"/>
      <c r="O5" s="330"/>
      <c r="P5" s="330"/>
      <c r="Q5" s="331"/>
      <c r="U5" s="3"/>
      <c r="V5" s="3"/>
      <c r="W5" s="3"/>
      <c r="X5" s="3"/>
      <c r="Y5" s="332"/>
      <c r="Z5" s="332"/>
      <c r="AA5" s="332"/>
      <c r="AB5" s="332"/>
    </row>
    <row r="6" spans="1:28" x14ac:dyDescent="0.25">
      <c r="E6" s="35"/>
      <c r="F6" s="4" t="s">
        <v>0</v>
      </c>
      <c r="G6" s="4"/>
      <c r="H6" s="4" t="s">
        <v>1</v>
      </c>
      <c r="I6" s="4"/>
      <c r="J6" s="4"/>
      <c r="K6" s="4" t="s">
        <v>1</v>
      </c>
      <c r="L6" s="90"/>
      <c r="M6" s="4"/>
      <c r="N6" s="4" t="s">
        <v>0</v>
      </c>
      <c r="O6" s="4"/>
      <c r="P6" s="4"/>
      <c r="Q6" s="4" t="s">
        <v>1</v>
      </c>
      <c r="U6" s="4"/>
      <c r="V6" s="4"/>
      <c r="W6" s="4"/>
      <c r="X6" s="4"/>
      <c r="Y6" s="4"/>
      <c r="Z6" s="4"/>
      <c r="AA6" s="4"/>
      <c r="AB6" s="4"/>
    </row>
    <row r="7" spans="1:28" ht="16.5" thickBot="1" x14ac:dyDescent="0.3">
      <c r="A7" s="255" t="s">
        <v>2</v>
      </c>
      <c r="B7" s="255"/>
      <c r="C7" s="255"/>
      <c r="D7" s="255"/>
      <c r="E7" s="257"/>
      <c r="F7" s="5" t="s">
        <v>3</v>
      </c>
      <c r="G7" s="5" t="s">
        <v>4</v>
      </c>
      <c r="H7" s="5" t="s">
        <v>5</v>
      </c>
      <c r="I7" s="256"/>
      <c r="J7" s="5" t="s">
        <v>4</v>
      </c>
      <c r="K7" s="5" t="s">
        <v>5</v>
      </c>
      <c r="L7" s="89"/>
      <c r="M7" s="4"/>
      <c r="N7" s="5" t="s">
        <v>3</v>
      </c>
      <c r="O7" s="5" t="s">
        <v>4</v>
      </c>
      <c r="P7" s="5"/>
      <c r="Q7" s="5" t="s">
        <v>5</v>
      </c>
      <c r="R7" s="5" t="s">
        <v>30</v>
      </c>
      <c r="S7" s="5" t="s">
        <v>35</v>
      </c>
      <c r="U7" s="4"/>
      <c r="V7" s="4"/>
      <c r="W7" s="4"/>
      <c r="X7" s="4"/>
      <c r="Y7" s="4"/>
      <c r="Z7" s="332"/>
      <c r="AA7" s="332"/>
      <c r="AB7" s="4"/>
    </row>
    <row r="8" spans="1:28" x14ac:dyDescent="0.25">
      <c r="E8" s="35"/>
      <c r="L8" s="90"/>
    </row>
    <row r="9" spans="1:28" x14ac:dyDescent="0.25">
      <c r="A9" s="1" t="s">
        <v>12</v>
      </c>
      <c r="B9" s="1"/>
      <c r="C9" s="1"/>
      <c r="D9" s="1"/>
      <c r="E9" s="35"/>
      <c r="F9" s="258" t="s">
        <v>56</v>
      </c>
      <c r="G9" s="188"/>
      <c r="H9" s="9"/>
      <c r="I9" s="9"/>
      <c r="J9" s="9"/>
      <c r="K9" s="9"/>
      <c r="L9" s="90"/>
      <c r="M9" s="9"/>
      <c r="N9" s="258" t="s">
        <v>56</v>
      </c>
      <c r="O9" s="188"/>
      <c r="P9" s="188"/>
      <c r="Q9" s="9"/>
      <c r="U9" s="1"/>
      <c r="Y9" s="7"/>
      <c r="AB9" s="9"/>
    </row>
    <row r="10" spans="1:28" x14ac:dyDescent="0.25">
      <c r="D10" s="259" t="s">
        <v>237</v>
      </c>
      <c r="E10" s="35"/>
      <c r="F10" s="100" t="s">
        <v>12</v>
      </c>
      <c r="G10" s="101" t="s">
        <v>13</v>
      </c>
      <c r="H10" s="9"/>
      <c r="I10" s="9"/>
      <c r="J10" s="259" t="s">
        <v>13</v>
      </c>
      <c r="K10" s="9"/>
      <c r="L10" s="91"/>
      <c r="M10" s="9"/>
      <c r="N10" s="100" t="s">
        <v>12</v>
      </c>
      <c r="O10" s="101" t="s">
        <v>13</v>
      </c>
      <c r="P10" s="188"/>
      <c r="Q10" s="9"/>
      <c r="X10" s="32"/>
      <c r="Y10" s="284"/>
      <c r="Z10" s="59"/>
      <c r="AB10" s="9"/>
    </row>
    <row r="11" spans="1:28" x14ac:dyDescent="0.25">
      <c r="B11" s="262" t="s">
        <v>227</v>
      </c>
      <c r="E11" s="35"/>
      <c r="F11" s="258"/>
      <c r="G11" s="188"/>
      <c r="H11" s="9"/>
      <c r="I11" s="9"/>
      <c r="J11" s="32"/>
      <c r="K11" s="9"/>
      <c r="L11" s="91"/>
      <c r="M11" s="9"/>
      <c r="N11" s="258"/>
      <c r="O11" s="188"/>
      <c r="P11" s="188"/>
      <c r="Q11" s="9"/>
      <c r="R11" s="10"/>
      <c r="S11" s="315"/>
      <c r="X11" s="32"/>
      <c r="Y11" s="284"/>
      <c r="Z11" s="59"/>
      <c r="AB11" s="9"/>
    </row>
    <row r="12" spans="1:28" x14ac:dyDescent="0.25">
      <c r="C12" s="2" t="s">
        <v>228</v>
      </c>
      <c r="D12" s="293">
        <v>295372</v>
      </c>
      <c r="E12" s="35"/>
      <c r="F12" s="292">
        <v>1918</v>
      </c>
      <c r="G12" s="32">
        <v>17.28</v>
      </c>
      <c r="H12" s="55">
        <f>G12*F12</f>
        <v>33143.040000000001</v>
      </c>
      <c r="I12" s="9"/>
      <c r="J12" s="306">
        <v>19.420000000000002</v>
      </c>
      <c r="K12" s="55">
        <f>J12*F12</f>
        <v>37247.560000000005</v>
      </c>
      <c r="L12" s="91"/>
      <c r="M12" s="9"/>
      <c r="N12" s="29">
        <f>F12</f>
        <v>1918</v>
      </c>
      <c r="O12" s="261">
        <f>J12</f>
        <v>19.420000000000002</v>
      </c>
      <c r="P12" s="188"/>
      <c r="Q12" s="55">
        <f>O12*N12</f>
        <v>37247.560000000005</v>
      </c>
      <c r="R12" s="10">
        <f t="shared" ref="R12:R31" si="0">Q12-K12</f>
        <v>0</v>
      </c>
      <c r="S12" s="315">
        <f t="shared" ref="S12:S31" si="1">IF(K12=0,0,R12/K12)</f>
        <v>0</v>
      </c>
      <c r="X12" s="32"/>
      <c r="Y12" s="284"/>
      <c r="Z12" s="59"/>
      <c r="AB12" s="9"/>
    </row>
    <row r="13" spans="1:28" x14ac:dyDescent="0.25">
      <c r="D13" s="13"/>
      <c r="E13" s="35"/>
      <c r="F13" s="35"/>
      <c r="G13" s="32"/>
      <c r="H13" s="55"/>
      <c r="I13" s="9"/>
      <c r="J13" s="9"/>
      <c r="K13" s="55"/>
      <c r="L13" s="91"/>
      <c r="M13" s="9"/>
      <c r="N13" s="29"/>
      <c r="O13" s="188"/>
      <c r="P13" s="188"/>
      <c r="Q13" s="55"/>
      <c r="R13" s="10"/>
      <c r="S13" s="315"/>
      <c r="X13" s="32"/>
      <c r="Y13" s="284"/>
      <c r="Z13" s="59"/>
      <c r="AB13" s="9"/>
    </row>
    <row r="14" spans="1:28" x14ac:dyDescent="0.25">
      <c r="B14" s="262" t="s">
        <v>230</v>
      </c>
      <c r="D14" s="13"/>
      <c r="E14" s="35"/>
      <c r="F14" s="35"/>
      <c r="G14" s="32"/>
      <c r="H14" s="55"/>
      <c r="I14" s="9"/>
      <c r="J14" s="9"/>
      <c r="K14" s="55"/>
      <c r="L14" s="91"/>
      <c r="M14" s="9"/>
      <c r="N14" s="29"/>
      <c r="O14" s="188"/>
      <c r="P14" s="188"/>
      <c r="Q14" s="55"/>
      <c r="R14" s="10"/>
      <c r="S14" s="315"/>
      <c r="X14" s="32"/>
      <c r="Y14" s="284"/>
      <c r="Z14" s="59"/>
      <c r="AB14" s="9"/>
    </row>
    <row r="15" spans="1:28" x14ac:dyDescent="0.25">
      <c r="C15" s="2" t="s">
        <v>229</v>
      </c>
      <c r="D15" s="293">
        <v>1709610</v>
      </c>
      <c r="E15" s="35"/>
      <c r="F15" s="292">
        <v>24626</v>
      </c>
      <c r="G15" s="32">
        <v>9.4499999999999993</v>
      </c>
      <c r="H15" s="55">
        <f>G15*F15</f>
        <v>232715.69999999998</v>
      </c>
      <c r="I15" s="9"/>
      <c r="J15" s="306">
        <v>10.48</v>
      </c>
      <c r="K15" s="55">
        <f>J15*F15</f>
        <v>258080.48</v>
      </c>
      <c r="L15" s="91"/>
      <c r="M15" s="9"/>
      <c r="N15" s="29">
        <f>F15</f>
        <v>24626</v>
      </c>
      <c r="O15" s="261">
        <f>J15</f>
        <v>10.48</v>
      </c>
      <c r="P15" s="188"/>
      <c r="Q15" s="55">
        <f>O15*N15</f>
        <v>258080.48</v>
      </c>
      <c r="R15" s="10">
        <f t="shared" si="0"/>
        <v>0</v>
      </c>
      <c r="S15" s="315">
        <f t="shared" si="1"/>
        <v>0</v>
      </c>
      <c r="X15" s="32"/>
      <c r="Y15" s="284"/>
      <c r="Z15" s="59"/>
      <c r="AB15" s="9"/>
    </row>
    <row r="16" spans="1:28" x14ac:dyDescent="0.25">
      <c r="D16" s="13"/>
      <c r="E16" s="35"/>
      <c r="F16" s="35"/>
      <c r="G16" s="32"/>
      <c r="H16" s="55"/>
      <c r="I16" s="9"/>
      <c r="J16" s="9"/>
      <c r="K16" s="55"/>
      <c r="L16" s="91"/>
      <c r="M16" s="9"/>
      <c r="N16" s="29"/>
      <c r="O16" s="188"/>
      <c r="P16" s="188"/>
      <c r="Q16" s="55"/>
      <c r="R16" s="10"/>
      <c r="S16" s="315"/>
      <c r="X16" s="32"/>
      <c r="Y16" s="284"/>
      <c r="Z16" s="59"/>
      <c r="AB16" s="9"/>
    </row>
    <row r="17" spans="1:28" x14ac:dyDescent="0.25">
      <c r="B17" s="262" t="s">
        <v>231</v>
      </c>
      <c r="D17" s="13"/>
      <c r="E17" s="35"/>
      <c r="F17" s="35"/>
      <c r="G17" s="32"/>
      <c r="H17" s="55"/>
      <c r="I17" s="9"/>
      <c r="J17" s="9"/>
      <c r="K17" s="55"/>
      <c r="L17" s="91"/>
      <c r="M17" s="9"/>
      <c r="N17" s="29"/>
      <c r="O17" s="188"/>
      <c r="P17" s="188"/>
      <c r="Q17" s="55"/>
      <c r="R17" s="10"/>
      <c r="S17" s="315"/>
      <c r="X17" s="32"/>
      <c r="Y17" s="284"/>
      <c r="Z17" s="59"/>
      <c r="AB17" s="9"/>
    </row>
    <row r="18" spans="1:28" ht="18" customHeight="1" x14ac:dyDescent="0.25">
      <c r="B18" s="2" t="s">
        <v>263</v>
      </c>
      <c r="C18" s="2" t="s">
        <v>232</v>
      </c>
      <c r="D18" s="293">
        <v>1380791</v>
      </c>
      <c r="E18" s="35"/>
      <c r="F18" s="292">
        <v>81223</v>
      </c>
      <c r="G18" s="32">
        <v>9.52</v>
      </c>
      <c r="H18" s="55">
        <f t="shared" ref="H18:H25" si="2">G18*F18</f>
        <v>773242.96</v>
      </c>
      <c r="I18" s="9"/>
      <c r="J18" s="306">
        <v>10.01</v>
      </c>
      <c r="K18" s="55">
        <f t="shared" ref="K18:K25" si="3">J18*F18</f>
        <v>813042.23</v>
      </c>
      <c r="L18" s="91"/>
      <c r="M18" s="9"/>
      <c r="N18" s="29">
        <f t="shared" ref="N18:N25" si="4">F18</f>
        <v>81223</v>
      </c>
      <c r="O18" s="261">
        <f t="shared" ref="O18:O25" si="5">J18</f>
        <v>10.01</v>
      </c>
      <c r="P18" s="188"/>
      <c r="Q18" s="55">
        <f t="shared" ref="Q18:Q25" si="6">O18*N18</f>
        <v>813042.23</v>
      </c>
      <c r="R18" s="10">
        <f t="shared" si="0"/>
        <v>0</v>
      </c>
      <c r="S18" s="315">
        <f t="shared" si="1"/>
        <v>0</v>
      </c>
      <c r="X18" s="32"/>
      <c r="Y18" s="284"/>
      <c r="Z18" s="59"/>
      <c r="AB18" s="9"/>
    </row>
    <row r="19" spans="1:28" ht="18" customHeight="1" x14ac:dyDescent="0.25">
      <c r="B19" s="2" t="s">
        <v>264</v>
      </c>
      <c r="C19" s="2" t="s">
        <v>233</v>
      </c>
      <c r="D19" s="293">
        <f>'Billing Determ'!O97</f>
        <v>85824</v>
      </c>
      <c r="E19" s="35"/>
      <c r="F19" s="292">
        <v>3376</v>
      </c>
      <c r="G19" s="32">
        <v>14.66</v>
      </c>
      <c r="H19" s="55">
        <f t="shared" si="2"/>
        <v>49492.160000000003</v>
      </c>
      <c r="I19" s="9"/>
      <c r="J19" s="306">
        <v>15.52</v>
      </c>
      <c r="K19" s="55">
        <f t="shared" si="3"/>
        <v>52395.519999999997</v>
      </c>
      <c r="L19" s="91"/>
      <c r="M19" s="9"/>
      <c r="N19" s="29">
        <f t="shared" si="4"/>
        <v>3376</v>
      </c>
      <c r="O19" s="261">
        <f t="shared" si="5"/>
        <v>15.52</v>
      </c>
      <c r="P19" s="188"/>
      <c r="Q19" s="55">
        <f t="shared" si="6"/>
        <v>52395.519999999997</v>
      </c>
      <c r="R19" s="10">
        <f t="shared" si="0"/>
        <v>0</v>
      </c>
      <c r="S19" s="315">
        <f t="shared" si="1"/>
        <v>0</v>
      </c>
      <c r="X19" s="32"/>
      <c r="Y19" s="284"/>
      <c r="Z19" s="59"/>
      <c r="AB19" s="9"/>
    </row>
    <row r="20" spans="1:28" ht="18" customHeight="1" x14ac:dyDescent="0.25">
      <c r="B20" s="2" t="s">
        <v>265</v>
      </c>
      <c r="C20" s="2" t="s">
        <v>234</v>
      </c>
      <c r="D20" s="293">
        <v>389376</v>
      </c>
      <c r="E20" s="35"/>
      <c r="F20" s="35">
        <v>5408</v>
      </c>
      <c r="G20" s="32">
        <v>21.93</v>
      </c>
      <c r="H20" s="55">
        <f t="shared" si="2"/>
        <v>118597.44</v>
      </c>
      <c r="I20" s="9"/>
      <c r="J20" s="306">
        <v>23.41</v>
      </c>
      <c r="K20" s="55">
        <f t="shared" si="3"/>
        <v>126601.28</v>
      </c>
      <c r="L20" s="91"/>
      <c r="M20" s="9"/>
      <c r="N20" s="29">
        <f t="shared" si="4"/>
        <v>5408</v>
      </c>
      <c r="O20" s="261">
        <f t="shared" si="5"/>
        <v>23.41</v>
      </c>
      <c r="P20" s="188"/>
      <c r="Q20" s="55">
        <f t="shared" si="6"/>
        <v>126601.28</v>
      </c>
      <c r="R20" s="10">
        <f t="shared" si="0"/>
        <v>0</v>
      </c>
      <c r="S20" s="315">
        <f t="shared" si="1"/>
        <v>0</v>
      </c>
      <c r="X20" s="32"/>
      <c r="Y20" s="284"/>
      <c r="Z20" s="59"/>
      <c r="AB20" s="9"/>
    </row>
    <row r="21" spans="1:28" ht="18" customHeight="1" x14ac:dyDescent="0.25">
      <c r="B21" s="2" t="s">
        <v>266</v>
      </c>
      <c r="C21" s="2" t="s">
        <v>235</v>
      </c>
      <c r="D21" s="293">
        <v>22997</v>
      </c>
      <c r="E21" s="292"/>
      <c r="F21" s="292">
        <v>793</v>
      </c>
      <c r="G21" s="32">
        <v>20.23</v>
      </c>
      <c r="H21" s="55">
        <f t="shared" si="2"/>
        <v>16042.390000000001</v>
      </c>
      <c r="I21" s="9"/>
      <c r="J21" s="306">
        <v>21.21</v>
      </c>
      <c r="K21" s="55">
        <f t="shared" si="3"/>
        <v>16819.530000000002</v>
      </c>
      <c r="L21" s="91"/>
      <c r="M21" s="9"/>
      <c r="N21" s="29">
        <f t="shared" si="4"/>
        <v>793</v>
      </c>
      <c r="O21" s="261">
        <f t="shared" si="5"/>
        <v>21.21</v>
      </c>
      <c r="P21" s="188"/>
      <c r="Q21" s="55">
        <f t="shared" si="6"/>
        <v>16819.530000000002</v>
      </c>
      <c r="R21" s="10">
        <f t="shared" si="0"/>
        <v>0</v>
      </c>
      <c r="S21" s="315">
        <f t="shared" si="1"/>
        <v>0</v>
      </c>
      <c r="X21" s="32"/>
      <c r="Y21" s="284"/>
      <c r="Z21" s="59"/>
      <c r="AB21" s="9"/>
    </row>
    <row r="22" spans="1:28" ht="18" customHeight="1" x14ac:dyDescent="0.25">
      <c r="B22" s="2" t="s">
        <v>267</v>
      </c>
      <c r="C22" s="2" t="s">
        <v>270</v>
      </c>
      <c r="D22" s="293">
        <v>36295</v>
      </c>
      <c r="E22" s="292"/>
      <c r="F22" s="292">
        <v>2135</v>
      </c>
      <c r="G22" s="32">
        <v>20.23</v>
      </c>
      <c r="H22" s="55">
        <f t="shared" si="2"/>
        <v>43191.05</v>
      </c>
      <c r="I22" s="9"/>
      <c r="J22" s="310">
        <f>J18</f>
        <v>10.01</v>
      </c>
      <c r="K22" s="55">
        <f t="shared" si="3"/>
        <v>21371.35</v>
      </c>
      <c r="L22" s="91"/>
      <c r="M22" s="9"/>
      <c r="N22" s="29">
        <f t="shared" si="4"/>
        <v>2135</v>
      </c>
      <c r="O22" s="261">
        <f t="shared" si="5"/>
        <v>10.01</v>
      </c>
      <c r="P22" s="188"/>
      <c r="Q22" s="55">
        <f t="shared" si="6"/>
        <v>21371.35</v>
      </c>
      <c r="R22" s="10">
        <f t="shared" si="0"/>
        <v>0</v>
      </c>
      <c r="S22" s="315">
        <f t="shared" si="1"/>
        <v>0</v>
      </c>
      <c r="X22" s="32"/>
      <c r="Y22" s="284"/>
      <c r="Z22" s="59"/>
      <c r="AB22" s="9"/>
    </row>
    <row r="23" spans="1:28" ht="18" customHeight="1" x14ac:dyDescent="0.25">
      <c r="B23" s="2" t="s">
        <v>268</v>
      </c>
      <c r="C23" s="2" t="s">
        <v>271</v>
      </c>
      <c r="D23" s="293">
        <v>4320</v>
      </c>
      <c r="E23" s="292"/>
      <c r="F23" s="292">
        <f>'Billing Determ'!O116</f>
        <v>120</v>
      </c>
      <c r="G23" s="32">
        <v>20.23</v>
      </c>
      <c r="H23" s="55">
        <f t="shared" si="2"/>
        <v>2427.6</v>
      </c>
      <c r="I23" s="9"/>
      <c r="J23" s="310">
        <f t="shared" ref="J23:J24" si="7">J19</f>
        <v>15.52</v>
      </c>
      <c r="K23" s="55">
        <f t="shared" si="3"/>
        <v>1862.3999999999999</v>
      </c>
      <c r="L23" s="91"/>
      <c r="M23" s="9"/>
      <c r="N23" s="29">
        <f t="shared" si="4"/>
        <v>120</v>
      </c>
      <c r="O23" s="261">
        <f t="shared" si="5"/>
        <v>15.52</v>
      </c>
      <c r="P23" s="188"/>
      <c r="Q23" s="55">
        <f t="shared" si="6"/>
        <v>1862.3999999999999</v>
      </c>
      <c r="R23" s="10">
        <f t="shared" si="0"/>
        <v>0</v>
      </c>
      <c r="S23" s="315">
        <f t="shared" si="1"/>
        <v>0</v>
      </c>
      <c r="X23" s="32"/>
      <c r="Y23" s="284"/>
      <c r="Z23" s="59"/>
      <c r="AB23" s="9"/>
    </row>
    <row r="24" spans="1:28" ht="18" customHeight="1" x14ac:dyDescent="0.25">
      <c r="B24" s="2" t="s">
        <v>269</v>
      </c>
      <c r="C24" s="2" t="s">
        <v>272</v>
      </c>
      <c r="D24" s="293">
        <v>18360</v>
      </c>
      <c r="E24" s="292"/>
      <c r="F24" s="292">
        <v>255</v>
      </c>
      <c r="G24" s="32">
        <v>20.23</v>
      </c>
      <c r="H24" s="55">
        <f t="shared" si="2"/>
        <v>5158.6500000000005</v>
      </c>
      <c r="I24" s="9"/>
      <c r="J24" s="310">
        <f t="shared" si="7"/>
        <v>23.41</v>
      </c>
      <c r="K24" s="55">
        <f t="shared" si="3"/>
        <v>5969.55</v>
      </c>
      <c r="L24" s="91"/>
      <c r="M24" s="9"/>
      <c r="N24" s="29">
        <f t="shared" si="4"/>
        <v>255</v>
      </c>
      <c r="O24" s="261">
        <f t="shared" si="5"/>
        <v>23.41</v>
      </c>
      <c r="P24" s="188"/>
      <c r="Q24" s="55">
        <f t="shared" si="6"/>
        <v>5969.55</v>
      </c>
      <c r="R24" s="10">
        <f t="shared" si="0"/>
        <v>0</v>
      </c>
      <c r="S24" s="315">
        <f t="shared" si="1"/>
        <v>0</v>
      </c>
      <c r="X24" s="32"/>
      <c r="Y24" s="284"/>
      <c r="Z24" s="59"/>
      <c r="AB24" s="9"/>
    </row>
    <row r="25" spans="1:28" ht="18" customHeight="1" x14ac:dyDescent="0.25">
      <c r="C25" s="2" t="s">
        <v>236</v>
      </c>
      <c r="D25" s="13">
        <v>0</v>
      </c>
      <c r="E25" s="35"/>
      <c r="F25" s="292">
        <f>238+238+752</f>
        <v>1228</v>
      </c>
      <c r="G25" s="32">
        <v>5.54</v>
      </c>
      <c r="H25" s="55">
        <f t="shared" si="2"/>
        <v>6803.12</v>
      </c>
      <c r="I25" s="9"/>
      <c r="J25" s="306">
        <v>5.73</v>
      </c>
      <c r="K25" s="55">
        <f t="shared" si="3"/>
        <v>7036.4400000000005</v>
      </c>
      <c r="L25" s="91"/>
      <c r="M25" s="9"/>
      <c r="N25" s="29">
        <f t="shared" si="4"/>
        <v>1228</v>
      </c>
      <c r="O25" s="261">
        <f t="shared" si="5"/>
        <v>5.73</v>
      </c>
      <c r="P25" s="188"/>
      <c r="Q25" s="55">
        <f t="shared" si="6"/>
        <v>7036.4400000000005</v>
      </c>
      <c r="R25" s="10">
        <f t="shared" si="0"/>
        <v>0</v>
      </c>
      <c r="S25" s="315">
        <f t="shared" si="1"/>
        <v>0</v>
      </c>
      <c r="X25" s="32"/>
      <c r="Y25" s="284"/>
      <c r="Z25" s="59"/>
      <c r="AB25" s="9"/>
    </row>
    <row r="26" spans="1:28" ht="18" customHeight="1" x14ac:dyDescent="0.25">
      <c r="D26" s="263">
        <f>SUM(D12:D25)</f>
        <v>3942945</v>
      </c>
      <c r="E26" s="35"/>
      <c r="F26" s="260">
        <f>SUM(F12:F25)</f>
        <v>121082</v>
      </c>
      <c r="G26" s="188"/>
      <c r="H26" s="55"/>
      <c r="I26" s="9"/>
      <c r="J26" s="32"/>
      <c r="K26" s="55"/>
      <c r="L26" s="91"/>
      <c r="M26" s="9"/>
      <c r="N26" s="258"/>
      <c r="O26" s="188"/>
      <c r="P26" s="188"/>
      <c r="Q26" s="55"/>
      <c r="R26" s="10"/>
      <c r="S26" s="315"/>
      <c r="X26" s="32"/>
      <c r="Y26" s="284"/>
      <c r="Z26" s="59"/>
      <c r="AB26" s="9"/>
    </row>
    <row r="27" spans="1:28" ht="18" customHeight="1" x14ac:dyDescent="0.25">
      <c r="A27" s="1" t="s">
        <v>54</v>
      </c>
      <c r="B27" s="1"/>
      <c r="C27" s="59"/>
      <c r="D27" s="7"/>
      <c r="E27" s="10"/>
      <c r="F27" s="36"/>
      <c r="G27" s="188"/>
      <c r="H27" s="55"/>
      <c r="I27" s="9"/>
      <c r="J27" s="32"/>
      <c r="K27" s="55"/>
      <c r="L27" s="91"/>
      <c r="M27" s="9"/>
      <c r="N27" s="258"/>
      <c r="O27" s="188"/>
      <c r="P27" s="188"/>
      <c r="Q27" s="55"/>
      <c r="R27" s="10"/>
      <c r="S27" s="315"/>
      <c r="X27" s="32"/>
      <c r="Y27" s="284"/>
      <c r="Z27" s="59"/>
      <c r="AB27" s="9"/>
    </row>
    <row r="28" spans="1:28" ht="18" customHeight="1" x14ac:dyDescent="0.25">
      <c r="A28" s="1"/>
      <c r="B28" s="2" t="s">
        <v>48</v>
      </c>
      <c r="C28" s="59"/>
      <c r="D28" s="7"/>
      <c r="E28" s="10"/>
      <c r="F28" s="36"/>
      <c r="G28" s="188"/>
      <c r="H28" s="311">
        <v>30511.71</v>
      </c>
      <c r="I28" s="9"/>
      <c r="J28" s="32"/>
      <c r="K28" s="55">
        <f>H28</f>
        <v>30511.71</v>
      </c>
      <c r="L28" s="91"/>
      <c r="M28" s="9"/>
      <c r="N28" s="258"/>
      <c r="O28" s="188"/>
      <c r="P28" s="188"/>
      <c r="Q28" s="55">
        <f>K28</f>
        <v>30511.71</v>
      </c>
      <c r="R28" s="10">
        <f t="shared" si="0"/>
        <v>0</v>
      </c>
      <c r="S28" s="315">
        <f t="shared" si="1"/>
        <v>0</v>
      </c>
      <c r="X28" s="32"/>
      <c r="Y28" s="284"/>
      <c r="Z28" s="59"/>
      <c r="AB28" s="9"/>
    </row>
    <row r="29" spans="1:28" ht="18" customHeight="1" x14ac:dyDescent="0.25">
      <c r="A29" s="1"/>
      <c r="B29" s="2" t="s">
        <v>55</v>
      </c>
      <c r="C29" s="59"/>
      <c r="D29" s="7"/>
      <c r="E29" s="10"/>
      <c r="F29" s="36"/>
      <c r="G29" s="188"/>
      <c r="H29" s="311">
        <v>20631.28</v>
      </c>
      <c r="I29" s="9"/>
      <c r="J29" s="32"/>
      <c r="K29" s="55">
        <f>H29</f>
        <v>20631.28</v>
      </c>
      <c r="L29" s="91"/>
      <c r="M29" s="9"/>
      <c r="N29" s="258"/>
      <c r="O29" s="188"/>
      <c r="P29" s="188"/>
      <c r="Q29" s="55">
        <f>K29</f>
        <v>20631.28</v>
      </c>
      <c r="R29" s="10">
        <f t="shared" si="0"/>
        <v>0</v>
      </c>
      <c r="S29" s="315">
        <f t="shared" si="1"/>
        <v>0</v>
      </c>
      <c r="X29" s="32"/>
      <c r="Y29" s="284"/>
      <c r="Z29" s="59"/>
      <c r="AB29" s="9"/>
    </row>
    <row r="30" spans="1:28" x14ac:dyDescent="0.25">
      <c r="E30" s="35"/>
      <c r="F30" s="7"/>
      <c r="H30" s="10"/>
      <c r="I30" s="10"/>
      <c r="J30" s="10"/>
      <c r="K30" s="10"/>
      <c r="L30" s="91"/>
      <c r="M30" s="10"/>
      <c r="N30" s="7"/>
      <c r="Q30" s="10"/>
      <c r="R30" s="10"/>
      <c r="S30" s="315"/>
      <c r="Y30" s="7"/>
      <c r="AB30" s="10"/>
    </row>
    <row r="31" spans="1:28" ht="16.5" thickBot="1" x14ac:dyDescent="0.3">
      <c r="A31" s="1" t="s">
        <v>37</v>
      </c>
      <c r="B31" s="1"/>
      <c r="C31" s="1"/>
      <c r="D31" s="1"/>
      <c r="E31" s="35"/>
      <c r="H31" s="45">
        <f>SUM(H12:H25)+H28+H29</f>
        <v>1331957.0999999999</v>
      </c>
      <c r="I31" s="40"/>
      <c r="J31" s="40"/>
      <c r="K31" s="45">
        <f>SUM(K12:K25)+K28+K29</f>
        <v>1391569.33</v>
      </c>
      <c r="L31" s="91"/>
      <c r="M31" s="40"/>
      <c r="N31" s="1" t="s">
        <v>37</v>
      </c>
      <c r="Q31" s="45">
        <f>SUM(Q12:Q25)+Q28+Q29</f>
        <v>1391569.33</v>
      </c>
      <c r="R31" s="10">
        <f t="shared" si="0"/>
        <v>0</v>
      </c>
      <c r="S31" s="315">
        <f t="shared" si="1"/>
        <v>0</v>
      </c>
      <c r="U31" s="1"/>
      <c r="AB31" s="40"/>
    </row>
    <row r="32" spans="1:28" ht="16.5" thickTop="1" x14ac:dyDescent="0.25">
      <c r="A32" s="1"/>
      <c r="B32" s="1"/>
      <c r="C32" s="1"/>
      <c r="D32" s="1"/>
      <c r="E32" s="35"/>
      <c r="H32" s="10"/>
      <c r="I32" s="10"/>
      <c r="J32" s="10"/>
      <c r="K32" s="10"/>
      <c r="L32" s="91"/>
      <c r="M32" s="10"/>
      <c r="N32" s="1"/>
      <c r="Q32" s="10"/>
      <c r="U32" s="1"/>
      <c r="AB32" s="10"/>
    </row>
    <row r="33" spans="1:28" x14ac:dyDescent="0.25">
      <c r="A33" s="1" t="s">
        <v>14</v>
      </c>
      <c r="B33" s="1"/>
      <c r="C33" s="1"/>
      <c r="D33" s="1"/>
      <c r="E33" s="35"/>
      <c r="F33" s="36"/>
      <c r="H33" s="10">
        <f>'Billing Determ'!O347</f>
        <v>1187646.0499999998</v>
      </c>
      <c r="I33" s="10"/>
      <c r="J33" s="10"/>
      <c r="K33" s="10"/>
      <c r="L33" s="91"/>
      <c r="M33" s="10"/>
      <c r="N33" s="1" t="s">
        <v>63</v>
      </c>
      <c r="Q33" s="23">
        <f>Q31-K31</f>
        <v>0</v>
      </c>
      <c r="U33" s="1"/>
      <c r="Y33" s="252"/>
      <c r="AB33" s="252"/>
    </row>
    <row r="34" spans="1:28" x14ac:dyDescent="0.25">
      <c r="A34" s="9"/>
      <c r="B34" s="9"/>
      <c r="C34" s="9"/>
      <c r="D34" s="9"/>
      <c r="E34" s="35"/>
      <c r="H34" s="9"/>
      <c r="I34" s="9"/>
      <c r="J34" s="9"/>
      <c r="K34" s="9"/>
      <c r="L34" s="91"/>
      <c r="M34" s="9"/>
      <c r="Q34" s="9"/>
      <c r="U34" s="9"/>
      <c r="Y34" s="10"/>
      <c r="AB34" s="10"/>
    </row>
    <row r="35" spans="1:28" x14ac:dyDescent="0.25">
      <c r="A35" s="1" t="s">
        <v>10</v>
      </c>
      <c r="B35" s="1"/>
      <c r="C35" s="1"/>
      <c r="D35" s="1"/>
      <c r="E35" s="35"/>
      <c r="F35" s="252"/>
      <c r="H35" s="253">
        <f>H31-H33</f>
        <v>144311.05000000005</v>
      </c>
      <c r="I35" s="253"/>
      <c r="J35" s="253"/>
      <c r="K35" s="253">
        <f>K31-H31</f>
        <v>59612.230000000214</v>
      </c>
      <c r="L35" s="91"/>
      <c r="M35" s="253"/>
      <c r="N35" s="1" t="s">
        <v>64</v>
      </c>
      <c r="Q35" s="60">
        <f>IF(K31=0,0,Q33/K31)</f>
        <v>0</v>
      </c>
      <c r="U35" s="1"/>
      <c r="Y35" s="254"/>
      <c r="AB35" s="254"/>
    </row>
    <row r="36" spans="1:28" x14ac:dyDescent="0.25">
      <c r="A36" s="9"/>
      <c r="B36" s="9"/>
      <c r="C36" s="9"/>
      <c r="D36" s="9"/>
      <c r="E36" s="35"/>
      <c r="F36" s="10"/>
      <c r="H36" s="10"/>
      <c r="I36" s="10"/>
      <c r="J36" s="10"/>
      <c r="K36" s="10"/>
      <c r="L36" s="91"/>
      <c r="M36" s="10"/>
      <c r="Q36" s="10"/>
    </row>
    <row r="37" spans="1:28" x14ac:dyDescent="0.25">
      <c r="A37" s="1" t="s">
        <v>16</v>
      </c>
      <c r="B37" s="1"/>
      <c r="C37" s="1"/>
      <c r="D37" s="1"/>
      <c r="E37" s="35"/>
      <c r="F37" s="254"/>
      <c r="H37" s="254">
        <f>(H31-H33)/H33</f>
        <v>0.12151015026741349</v>
      </c>
      <c r="I37" s="254"/>
      <c r="J37" s="254"/>
      <c r="K37" s="17">
        <f>K35/H33</f>
        <v>5.0193599347213104E-2</v>
      </c>
      <c r="L37" s="91"/>
      <c r="M37" s="254"/>
      <c r="N37" s="1" t="s">
        <v>46</v>
      </c>
      <c r="Q37" s="27">
        <f>Q33/F26</f>
        <v>0</v>
      </c>
    </row>
    <row r="38" spans="1:28" x14ac:dyDescent="0.25">
      <c r="A38" s="10"/>
      <c r="B38" s="10"/>
      <c r="C38" s="10"/>
      <c r="D38" s="13">
        <f>D26/F26</f>
        <v>32.564253976643926</v>
      </c>
      <c r="E38" s="35"/>
      <c r="H38" s="10"/>
      <c r="I38" s="10"/>
      <c r="J38" s="10"/>
      <c r="K38" s="10"/>
      <c r="M38" s="10"/>
      <c r="Q38" s="10"/>
      <c r="U38" s="10"/>
      <c r="V38" s="10"/>
      <c r="W38" s="10"/>
      <c r="AB38" s="25"/>
    </row>
    <row r="39" spans="1:28" x14ac:dyDescent="0.25">
      <c r="E39" s="35"/>
      <c r="H39" s="10"/>
      <c r="I39" s="10"/>
      <c r="J39" s="10"/>
      <c r="K39" s="10"/>
      <c r="L39" s="94"/>
      <c r="M39" s="10"/>
      <c r="N39" s="35"/>
      <c r="O39" s="24"/>
      <c r="P39" s="24"/>
      <c r="Q39" s="10"/>
      <c r="V39" s="285"/>
      <c r="X39" s="14"/>
      <c r="Y39" s="7"/>
      <c r="Z39" s="24"/>
      <c r="AB39" s="10"/>
    </row>
    <row r="40" spans="1:28" x14ac:dyDescent="0.25">
      <c r="E40" s="35"/>
      <c r="H40" s="10"/>
      <c r="I40" s="10"/>
      <c r="J40" s="10"/>
      <c r="K40" s="10"/>
      <c r="L40" s="94"/>
      <c r="M40" s="10"/>
      <c r="N40" s="35"/>
      <c r="O40" s="24"/>
      <c r="P40" s="24"/>
      <c r="Q40" s="10"/>
      <c r="V40" s="285"/>
      <c r="X40" s="14"/>
      <c r="Y40" s="7"/>
      <c r="Z40" s="24"/>
      <c r="AB40" s="10"/>
    </row>
    <row r="41" spans="1:28" ht="15" customHeight="1" x14ac:dyDescent="0.25">
      <c r="E41" s="35"/>
      <c r="H41" s="9"/>
      <c r="I41" s="9"/>
      <c r="J41" s="9"/>
      <c r="K41" s="9"/>
      <c r="M41" s="9"/>
      <c r="Q41" s="9"/>
      <c r="R41" s="46"/>
      <c r="U41" s="9"/>
      <c r="V41" s="9"/>
      <c r="W41" s="9"/>
    </row>
    <row r="42" spans="1:28" x14ac:dyDescent="0.25">
      <c r="E42" s="35"/>
      <c r="H42" s="9"/>
      <c r="I42" s="9"/>
      <c r="J42" s="9"/>
      <c r="K42" s="9"/>
      <c r="M42" s="9"/>
      <c r="Q42" s="9"/>
      <c r="R42" s="46"/>
      <c r="U42" s="10"/>
      <c r="V42" s="10"/>
      <c r="Y42" s="32"/>
      <c r="AB42" s="15"/>
    </row>
    <row r="43" spans="1:28" x14ac:dyDescent="0.25">
      <c r="D43" s="2">
        <v>65471</v>
      </c>
      <c r="E43" s="35"/>
      <c r="H43" s="9"/>
      <c r="I43" s="9"/>
      <c r="J43" s="9"/>
      <c r="K43" s="9"/>
      <c r="M43" s="9"/>
      <c r="Q43" s="9"/>
      <c r="R43" s="46"/>
      <c r="U43" s="9"/>
      <c r="V43" s="9"/>
      <c r="W43" s="32"/>
      <c r="X43" s="32"/>
      <c r="Y43" s="32"/>
    </row>
    <row r="44" spans="1:28" x14ac:dyDescent="0.25">
      <c r="C44" s="2" t="s">
        <v>94</v>
      </c>
      <c r="D44" s="2">
        <v>15677</v>
      </c>
      <c r="E44" s="35"/>
      <c r="H44" s="9"/>
      <c r="I44" s="9"/>
      <c r="J44" s="9"/>
      <c r="K44" s="9"/>
      <c r="M44" s="9"/>
      <c r="Q44" s="9"/>
      <c r="R44" s="46"/>
      <c r="U44" s="16"/>
      <c r="V44" s="16"/>
      <c r="W44" s="33"/>
      <c r="X44" s="38"/>
      <c r="Y44" s="28"/>
    </row>
    <row r="45" spans="1:28" x14ac:dyDescent="0.25">
      <c r="C45" s="2" t="s">
        <v>95</v>
      </c>
      <c r="D45" s="2">
        <v>714</v>
      </c>
      <c r="E45" s="35"/>
      <c r="H45" s="9"/>
      <c r="I45" s="9"/>
      <c r="J45" s="9"/>
      <c r="K45" s="9"/>
      <c r="M45" s="9"/>
      <c r="Q45" s="9"/>
      <c r="R45" s="46"/>
      <c r="U45" s="17"/>
      <c r="V45" s="17"/>
      <c r="W45" s="33"/>
      <c r="X45" s="38"/>
      <c r="Y45" s="28"/>
    </row>
    <row r="46" spans="1:28" x14ac:dyDescent="0.25">
      <c r="C46" s="2" t="s">
        <v>96</v>
      </c>
      <c r="D46" s="2">
        <v>792</v>
      </c>
      <c r="H46" s="9"/>
      <c r="I46" s="9"/>
      <c r="J46" s="9"/>
      <c r="K46" s="9"/>
      <c r="M46" s="9"/>
      <c r="Q46" s="9"/>
      <c r="R46" s="46"/>
      <c r="W46" s="33"/>
      <c r="X46" s="38"/>
      <c r="Y46" s="28"/>
    </row>
    <row r="47" spans="1:28" x14ac:dyDescent="0.25">
      <c r="C47" s="2" t="s">
        <v>97</v>
      </c>
      <c r="D47" s="2">
        <v>11845</v>
      </c>
      <c r="H47" s="9"/>
      <c r="I47" s="9"/>
      <c r="J47" s="9"/>
      <c r="K47" s="9"/>
      <c r="M47" s="9"/>
      <c r="Q47" s="9"/>
      <c r="R47" s="46"/>
      <c r="W47" s="33"/>
      <c r="X47" s="38"/>
      <c r="Y47" s="28"/>
    </row>
    <row r="48" spans="1:28" x14ac:dyDescent="0.25">
      <c r="C48" s="2" t="s">
        <v>98</v>
      </c>
      <c r="D48" s="2">
        <v>2867</v>
      </c>
      <c r="H48" s="9"/>
      <c r="I48" s="9"/>
      <c r="J48" s="9"/>
      <c r="K48" s="9"/>
      <c r="M48" s="9"/>
      <c r="Q48" s="9"/>
      <c r="R48" s="46"/>
      <c r="W48" s="33"/>
      <c r="X48" s="38"/>
      <c r="Y48" s="28"/>
    </row>
    <row r="49" spans="3:25" x14ac:dyDescent="0.25">
      <c r="C49" s="2" t="s">
        <v>99</v>
      </c>
      <c r="D49" s="2">
        <v>21129</v>
      </c>
      <c r="H49" s="9"/>
      <c r="I49" s="9"/>
      <c r="J49" s="9"/>
      <c r="K49" s="9"/>
      <c r="M49" s="9"/>
      <c r="Q49" s="9"/>
      <c r="R49" s="46"/>
      <c r="W49" s="33"/>
      <c r="X49" s="38"/>
      <c r="Y49" s="28"/>
    </row>
    <row r="50" spans="3:25" x14ac:dyDescent="0.25">
      <c r="C50" s="2" t="s">
        <v>100</v>
      </c>
      <c r="D50" s="2">
        <v>9911</v>
      </c>
      <c r="F50" s="41"/>
      <c r="G50" s="28"/>
      <c r="H50" s="9"/>
      <c r="I50" s="9"/>
      <c r="J50" s="9"/>
      <c r="K50" s="9"/>
      <c r="M50" s="9"/>
      <c r="N50" s="41"/>
      <c r="O50" s="28"/>
      <c r="P50" s="28"/>
      <c r="Q50" s="9"/>
      <c r="R50" s="46"/>
      <c r="Y50" s="28"/>
    </row>
    <row r="51" spans="3:25" x14ac:dyDescent="0.25">
      <c r="C51" s="2" t="s">
        <v>101</v>
      </c>
      <c r="D51" s="2">
        <v>0</v>
      </c>
      <c r="E51" s="28"/>
      <c r="G51" s="32"/>
      <c r="H51" s="9"/>
      <c r="I51" s="9"/>
      <c r="J51" s="9"/>
      <c r="K51" s="9"/>
      <c r="M51" s="9"/>
      <c r="O51" s="32"/>
      <c r="P51" s="32"/>
      <c r="Q51" s="9"/>
      <c r="R51" s="46"/>
      <c r="Y51" s="14"/>
    </row>
    <row r="52" spans="3:25" x14ac:dyDescent="0.25">
      <c r="C52" s="2" t="s">
        <v>102</v>
      </c>
      <c r="D52" s="2">
        <v>9185</v>
      </c>
      <c r="E52" s="31"/>
      <c r="F52" s="41"/>
      <c r="G52" s="32"/>
      <c r="H52" s="9"/>
      <c r="I52" s="9"/>
      <c r="J52" s="9"/>
      <c r="K52" s="9"/>
      <c r="M52" s="9"/>
      <c r="N52" s="41"/>
      <c r="O52" s="32"/>
      <c r="P52" s="32"/>
      <c r="Q52" s="9"/>
      <c r="R52" s="46"/>
    </row>
    <row r="53" spans="3:25" x14ac:dyDescent="0.25">
      <c r="C53" s="2" t="s">
        <v>103</v>
      </c>
      <c r="E53" s="31"/>
      <c r="F53" s="41"/>
      <c r="G53" s="32"/>
      <c r="H53" s="9"/>
      <c r="I53" s="9"/>
      <c r="J53" s="9"/>
      <c r="K53" s="9"/>
      <c r="M53" s="9"/>
      <c r="N53" s="41"/>
      <c r="O53" s="32"/>
      <c r="P53" s="32"/>
      <c r="Q53" s="9"/>
    </row>
    <row r="54" spans="3:25" x14ac:dyDescent="0.25">
      <c r="E54" s="31"/>
      <c r="F54" s="41"/>
      <c r="G54" s="32"/>
      <c r="H54" s="9"/>
      <c r="I54" s="9"/>
      <c r="J54" s="9"/>
      <c r="K54" s="9"/>
      <c r="M54" s="9"/>
      <c r="N54" s="41"/>
      <c r="O54" s="32"/>
      <c r="P54" s="32"/>
      <c r="Q54" s="9"/>
    </row>
    <row r="55" spans="3:25" x14ac:dyDescent="0.25">
      <c r="E55" s="31"/>
      <c r="F55" s="41"/>
      <c r="G55" s="32"/>
      <c r="H55" s="9"/>
      <c r="I55" s="9"/>
      <c r="J55" s="9"/>
      <c r="K55" s="9"/>
      <c r="M55" s="9"/>
      <c r="N55" s="41"/>
      <c r="O55" s="32"/>
      <c r="P55" s="32"/>
      <c r="Q55" s="9"/>
      <c r="R55" s="32"/>
    </row>
    <row r="56" spans="3:25" x14ac:dyDescent="0.25">
      <c r="E56" s="31"/>
      <c r="F56" s="41"/>
      <c r="G56" s="32"/>
      <c r="H56" s="9"/>
      <c r="I56" s="9"/>
      <c r="J56" s="9"/>
      <c r="K56" s="9"/>
      <c r="M56" s="9"/>
      <c r="N56" s="41"/>
      <c r="O56" s="32"/>
      <c r="P56" s="32"/>
      <c r="Q56" s="9"/>
      <c r="R56" s="32"/>
    </row>
    <row r="57" spans="3:25" x14ac:dyDescent="0.25">
      <c r="E57" s="31"/>
      <c r="F57" s="41"/>
      <c r="G57" s="32"/>
      <c r="H57" s="9"/>
      <c r="I57" s="9"/>
      <c r="J57" s="9"/>
      <c r="K57" s="9"/>
      <c r="M57" s="9"/>
      <c r="N57" s="41"/>
      <c r="O57" s="32"/>
      <c r="P57" s="32"/>
      <c r="Q57" s="9"/>
    </row>
    <row r="58" spans="3:25" x14ac:dyDescent="0.25">
      <c r="E58" s="2"/>
      <c r="G58" s="258"/>
      <c r="H58" s="188"/>
      <c r="I58" s="9"/>
      <c r="J58" s="9"/>
      <c r="K58" s="9"/>
      <c r="M58" s="9"/>
      <c r="N58" s="41"/>
      <c r="O58" s="32"/>
      <c r="P58" s="32"/>
      <c r="Q58" s="9"/>
      <c r="R58" s="32"/>
    </row>
    <row r="59" spans="3:25" x14ac:dyDescent="0.25">
      <c r="D59" s="2" t="s">
        <v>94</v>
      </c>
      <c r="E59" s="2"/>
      <c r="G59" s="35">
        <v>65471</v>
      </c>
      <c r="H59" s="188"/>
      <c r="I59" s="9">
        <f>H59*G59</f>
        <v>0</v>
      </c>
      <c r="J59" s="9"/>
      <c r="K59" s="9"/>
      <c r="M59" s="9"/>
      <c r="N59" s="41"/>
      <c r="O59" s="32"/>
      <c r="P59" s="32"/>
      <c r="Q59" s="9"/>
      <c r="R59" s="32"/>
    </row>
    <row r="60" spans="3:25" x14ac:dyDescent="0.25">
      <c r="D60" s="2" t="s">
        <v>95</v>
      </c>
      <c r="E60" s="2"/>
      <c r="G60" s="35">
        <v>15677</v>
      </c>
      <c r="H60" s="188"/>
      <c r="I60" s="9">
        <f t="shared" ref="I60:I68" si="8">H60*G60</f>
        <v>0</v>
      </c>
      <c r="J60" s="9"/>
      <c r="K60" s="9"/>
      <c r="M60" s="9"/>
      <c r="N60" s="41"/>
      <c r="O60" s="32"/>
      <c r="P60" s="32"/>
      <c r="Q60" s="9"/>
      <c r="R60" s="32"/>
    </row>
    <row r="61" spans="3:25" x14ac:dyDescent="0.25">
      <c r="D61" s="2" t="s">
        <v>96</v>
      </c>
      <c r="E61" s="2"/>
      <c r="G61" s="35">
        <v>714</v>
      </c>
      <c r="H61" s="188"/>
      <c r="I61" s="9">
        <f t="shared" si="8"/>
        <v>0</v>
      </c>
      <c r="J61" s="9"/>
      <c r="K61" s="9"/>
      <c r="M61" s="9"/>
      <c r="N61" s="41"/>
      <c r="O61" s="32"/>
      <c r="P61" s="32"/>
      <c r="Q61" s="9"/>
      <c r="R61" s="32"/>
    </row>
    <row r="62" spans="3:25" x14ac:dyDescent="0.25">
      <c r="D62" s="2" t="s">
        <v>97</v>
      </c>
      <c r="E62" s="2"/>
      <c r="G62" s="35">
        <v>792</v>
      </c>
      <c r="H62" s="188"/>
      <c r="I62" s="9">
        <f t="shared" si="8"/>
        <v>0</v>
      </c>
      <c r="J62" s="9"/>
      <c r="K62" s="9"/>
      <c r="M62" s="9"/>
      <c r="N62" s="41"/>
      <c r="O62" s="32"/>
      <c r="P62" s="32"/>
      <c r="Q62" s="9"/>
      <c r="R62" s="32"/>
    </row>
    <row r="63" spans="3:25" x14ac:dyDescent="0.25">
      <c r="D63" s="2" t="s">
        <v>98</v>
      </c>
      <c r="E63" s="2"/>
      <c r="G63" s="35">
        <v>11845</v>
      </c>
      <c r="H63" s="188"/>
      <c r="I63" s="9">
        <f t="shared" si="8"/>
        <v>0</v>
      </c>
      <c r="J63" s="9"/>
      <c r="K63" s="9"/>
      <c r="M63" s="9"/>
      <c r="N63" s="41"/>
      <c r="O63" s="32"/>
      <c r="P63" s="32"/>
      <c r="Q63" s="9"/>
      <c r="R63" s="32"/>
    </row>
    <row r="64" spans="3:25" x14ac:dyDescent="0.25">
      <c r="D64" s="2" t="s">
        <v>99</v>
      </c>
      <c r="E64" s="2"/>
      <c r="G64" s="35">
        <v>2867</v>
      </c>
      <c r="H64" s="188"/>
      <c r="I64" s="9">
        <f t="shared" si="8"/>
        <v>0</v>
      </c>
      <c r="J64" s="9"/>
      <c r="K64" s="9"/>
      <c r="M64" s="9"/>
      <c r="N64" s="41"/>
      <c r="O64" s="32"/>
      <c r="P64" s="32"/>
      <c r="Q64" s="9"/>
      <c r="R64" s="32"/>
    </row>
    <row r="65" spans="4:18" x14ac:dyDescent="0.25">
      <c r="D65" s="2" t="s">
        <v>100</v>
      </c>
      <c r="E65" s="2"/>
      <c r="G65" s="35">
        <v>21129</v>
      </c>
      <c r="H65" s="188"/>
      <c r="I65" s="9">
        <f t="shared" si="8"/>
        <v>0</v>
      </c>
      <c r="J65" s="9"/>
      <c r="K65" s="9"/>
      <c r="M65" s="9"/>
      <c r="N65" s="41"/>
      <c r="O65" s="32"/>
      <c r="P65" s="32"/>
      <c r="Q65" s="9"/>
      <c r="R65" s="32"/>
    </row>
    <row r="66" spans="4:18" x14ac:dyDescent="0.25">
      <c r="D66" s="2" t="s">
        <v>101</v>
      </c>
      <c r="E66" s="2"/>
      <c r="G66" s="35">
        <v>9911</v>
      </c>
      <c r="H66" s="188"/>
      <c r="I66" s="9">
        <f t="shared" si="8"/>
        <v>0</v>
      </c>
      <c r="J66" s="9"/>
      <c r="K66" s="9"/>
      <c r="M66" s="9"/>
      <c r="N66" s="41"/>
      <c r="O66" s="32"/>
      <c r="P66" s="32"/>
      <c r="Q66" s="9"/>
      <c r="R66" s="32"/>
    </row>
    <row r="67" spans="4:18" x14ac:dyDescent="0.25">
      <c r="D67" s="2" t="s">
        <v>102</v>
      </c>
      <c r="E67" s="2"/>
      <c r="G67" s="35">
        <v>0</v>
      </c>
      <c r="H67" s="188"/>
      <c r="I67" s="9">
        <f t="shared" si="8"/>
        <v>0</v>
      </c>
      <c r="J67" s="9"/>
      <c r="K67" s="9"/>
      <c r="M67" s="9"/>
      <c r="N67" s="41"/>
      <c r="O67" s="32"/>
      <c r="P67" s="32"/>
      <c r="Q67" s="9"/>
      <c r="R67" s="32"/>
    </row>
    <row r="68" spans="4:18" x14ac:dyDescent="0.25">
      <c r="D68" s="2" t="s">
        <v>103</v>
      </c>
      <c r="E68" s="2"/>
      <c r="G68" s="35">
        <v>9185</v>
      </c>
      <c r="H68" s="188"/>
      <c r="I68" s="9">
        <f t="shared" si="8"/>
        <v>0</v>
      </c>
      <c r="J68" s="9"/>
      <c r="K68" s="9"/>
      <c r="M68" s="9"/>
      <c r="N68" s="41"/>
      <c r="O68" s="32"/>
      <c r="P68" s="32"/>
      <c r="Q68" s="9"/>
      <c r="R68" s="32"/>
    </row>
    <row r="69" spans="4:18" x14ac:dyDescent="0.25">
      <c r="E69" s="35"/>
      <c r="G69" s="258"/>
      <c r="H69" s="188"/>
      <c r="I69" s="9"/>
      <c r="J69" s="9"/>
      <c r="K69" s="9"/>
      <c r="M69" s="9"/>
      <c r="N69" s="41"/>
      <c r="O69" s="32"/>
      <c r="P69" s="32"/>
      <c r="Q69" s="9"/>
      <c r="R69" s="32"/>
    </row>
    <row r="70" spans="4:18" x14ac:dyDescent="0.25">
      <c r="E70" s="35"/>
      <c r="G70" s="258"/>
      <c r="H70" s="188"/>
      <c r="I70" s="9"/>
      <c r="J70" s="33"/>
      <c r="K70" s="33"/>
      <c r="M70" s="33"/>
      <c r="N70" s="41"/>
      <c r="O70" s="32"/>
      <c r="P70" s="32"/>
      <c r="Q70" s="33"/>
      <c r="R70" s="47"/>
    </row>
    <row r="71" spans="4:18" x14ac:dyDescent="0.25">
      <c r="E71" s="286"/>
      <c r="F71" s="35"/>
      <c r="G71" s="35"/>
      <c r="H71" s="287"/>
      <c r="I71" s="40"/>
      <c r="J71" s="33"/>
      <c r="K71" s="33"/>
      <c r="M71" s="33"/>
      <c r="N71" s="41"/>
      <c r="O71" s="32"/>
      <c r="P71" s="32"/>
      <c r="Q71" s="33"/>
      <c r="R71" s="47"/>
    </row>
    <row r="72" spans="4:18" x14ac:dyDescent="0.25">
      <c r="E72" s="31"/>
      <c r="F72" s="41"/>
      <c r="G72" s="32"/>
      <c r="H72" s="33"/>
      <c r="I72" s="33"/>
      <c r="J72" s="33"/>
      <c r="K72" s="33"/>
      <c r="M72" s="33"/>
      <c r="N72" s="41"/>
      <c r="O72" s="32"/>
      <c r="P72" s="32"/>
      <c r="Q72" s="33"/>
      <c r="R72" s="47"/>
    </row>
    <row r="73" spans="4:18" x14ac:dyDescent="0.25">
      <c r="E73" s="31"/>
      <c r="F73" s="41"/>
      <c r="G73" s="32"/>
      <c r="H73" s="33"/>
      <c r="I73" s="33"/>
      <c r="J73" s="33"/>
      <c r="K73" s="33"/>
      <c r="M73" s="33"/>
      <c r="N73" s="41"/>
      <c r="O73" s="32"/>
      <c r="P73" s="32"/>
      <c r="Q73" s="33"/>
      <c r="R73" s="47"/>
    </row>
    <row r="74" spans="4:18" x14ac:dyDescent="0.25">
      <c r="E74" s="31"/>
      <c r="F74" s="41"/>
      <c r="G74" s="32"/>
      <c r="H74" s="33"/>
      <c r="I74" s="33"/>
      <c r="J74" s="33"/>
      <c r="K74" s="33"/>
      <c r="M74" s="33"/>
      <c r="N74" s="41"/>
      <c r="O74" s="32"/>
      <c r="P74" s="32"/>
      <c r="Q74" s="33"/>
      <c r="R74" s="47"/>
    </row>
    <row r="75" spans="4:18" x14ac:dyDescent="0.25">
      <c r="E75" s="31"/>
      <c r="F75" s="41"/>
      <c r="G75" s="32"/>
      <c r="H75" s="33"/>
      <c r="I75" s="33"/>
      <c r="J75" s="33"/>
      <c r="K75" s="33"/>
      <c r="M75" s="33"/>
      <c r="N75" s="41"/>
      <c r="O75" s="32"/>
      <c r="P75" s="32"/>
      <c r="Q75" s="33"/>
      <c r="R75" s="47"/>
    </row>
    <row r="76" spans="4:18" x14ac:dyDescent="0.25">
      <c r="E76" s="31"/>
      <c r="F76" s="41"/>
      <c r="G76" s="32"/>
      <c r="H76" s="33"/>
      <c r="I76" s="33"/>
      <c r="J76" s="33"/>
      <c r="K76" s="33"/>
      <c r="M76" s="33"/>
      <c r="N76" s="41"/>
      <c r="O76" s="32"/>
      <c r="P76" s="32"/>
      <c r="Q76" s="33"/>
      <c r="R76" s="47"/>
    </row>
    <row r="77" spans="4:18" x14ac:dyDescent="0.25">
      <c r="E77" s="31"/>
      <c r="F77" s="41"/>
      <c r="G77" s="32"/>
      <c r="H77" s="33"/>
      <c r="I77" s="33"/>
      <c r="J77" s="33"/>
      <c r="K77" s="33"/>
      <c r="M77" s="33"/>
      <c r="N77" s="41"/>
      <c r="O77" s="32"/>
      <c r="P77" s="32"/>
      <c r="Q77" s="33"/>
      <c r="R77" s="47"/>
    </row>
    <row r="78" spans="4:18" x14ac:dyDescent="0.25">
      <c r="E78" s="31"/>
      <c r="F78" s="41"/>
      <c r="G78" s="32"/>
      <c r="H78" s="33"/>
      <c r="I78" s="33"/>
      <c r="J78" s="33"/>
      <c r="K78" s="33"/>
      <c r="M78" s="33"/>
      <c r="N78" s="41"/>
      <c r="O78" s="32"/>
      <c r="P78" s="32"/>
      <c r="Q78" s="33"/>
      <c r="R78" s="47"/>
    </row>
    <row r="79" spans="4:18" x14ac:dyDescent="0.25">
      <c r="E79" s="31"/>
      <c r="F79" s="41"/>
      <c r="G79" s="32"/>
      <c r="H79" s="33"/>
      <c r="I79" s="33"/>
      <c r="J79" s="33"/>
      <c r="K79" s="33"/>
      <c r="M79" s="33"/>
      <c r="N79" s="41"/>
      <c r="O79" s="32"/>
      <c r="P79" s="32"/>
      <c r="Q79" s="33"/>
      <c r="R79" s="47"/>
    </row>
    <row r="80" spans="4:18" x14ac:dyDescent="0.25">
      <c r="E80" s="31"/>
      <c r="F80" s="41"/>
      <c r="G80" s="32"/>
      <c r="H80" s="33"/>
      <c r="I80" s="33"/>
      <c r="J80" s="33"/>
      <c r="K80" s="33"/>
      <c r="M80" s="33"/>
      <c r="N80" s="41"/>
      <c r="O80" s="32"/>
      <c r="P80" s="32"/>
      <c r="Q80" s="33"/>
      <c r="R80" s="47"/>
    </row>
    <row r="81" spans="5:18" x14ac:dyDescent="0.25">
      <c r="E81" s="31"/>
      <c r="F81" s="41"/>
      <c r="G81" s="32"/>
      <c r="H81" s="33"/>
      <c r="I81" s="33"/>
      <c r="J81" s="33"/>
      <c r="K81" s="33"/>
      <c r="M81" s="33"/>
      <c r="N81" s="41"/>
      <c r="O81" s="32"/>
      <c r="P81" s="32"/>
      <c r="Q81" s="33"/>
      <c r="R81" s="47"/>
    </row>
    <row r="82" spans="5:18" x14ac:dyDescent="0.25">
      <c r="E82" s="31"/>
      <c r="F82" s="41"/>
      <c r="G82" s="32"/>
      <c r="H82" s="33"/>
      <c r="I82" s="33"/>
      <c r="J82" s="33"/>
      <c r="K82" s="33"/>
      <c r="M82" s="33"/>
      <c r="N82" s="41"/>
      <c r="O82" s="32"/>
      <c r="P82" s="32"/>
      <c r="Q82" s="33"/>
      <c r="R82" s="47"/>
    </row>
    <row r="83" spans="5:18" x14ac:dyDescent="0.25">
      <c r="E83" s="31"/>
      <c r="F83" s="41"/>
      <c r="G83" s="32"/>
      <c r="H83" s="33"/>
      <c r="I83" s="33"/>
      <c r="J83" s="33"/>
      <c r="K83" s="33"/>
      <c r="M83" s="33"/>
      <c r="N83" s="41"/>
      <c r="O83" s="32"/>
      <c r="P83" s="32"/>
      <c r="Q83" s="33"/>
      <c r="R83" s="47"/>
    </row>
    <row r="84" spans="5:18" x14ac:dyDescent="0.25">
      <c r="E84" s="31"/>
      <c r="F84" s="41"/>
      <c r="G84" s="32"/>
      <c r="H84" s="33"/>
      <c r="I84" s="33"/>
      <c r="J84" s="33"/>
      <c r="K84" s="33"/>
      <c r="M84" s="33"/>
      <c r="N84" s="41"/>
      <c r="O84" s="32"/>
      <c r="P84" s="32"/>
      <c r="Q84" s="33"/>
      <c r="R84" s="47"/>
    </row>
    <row r="85" spans="5:18" x14ac:dyDescent="0.25">
      <c r="E85" s="31"/>
      <c r="F85" s="41"/>
      <c r="G85" s="32"/>
      <c r="H85" s="33"/>
      <c r="I85" s="33"/>
      <c r="J85" s="33"/>
      <c r="K85" s="33"/>
      <c r="M85" s="33"/>
      <c r="N85" s="41"/>
      <c r="O85" s="32"/>
      <c r="P85" s="32"/>
      <c r="Q85" s="33"/>
      <c r="R85" s="47"/>
    </row>
    <row r="86" spans="5:18" x14ac:dyDescent="0.25">
      <c r="E86" s="31"/>
      <c r="F86" s="41"/>
      <c r="G86" s="32"/>
      <c r="H86" s="33"/>
      <c r="I86" s="33"/>
      <c r="J86" s="33"/>
      <c r="K86" s="33"/>
      <c r="M86" s="33"/>
      <c r="N86" s="41"/>
      <c r="O86" s="32"/>
      <c r="P86" s="32"/>
      <c r="Q86" s="33"/>
      <c r="R86" s="47"/>
    </row>
    <row r="87" spans="5:18" x14ac:dyDescent="0.25">
      <c r="E87" s="31"/>
      <c r="F87" s="41"/>
      <c r="G87" s="32"/>
      <c r="H87" s="33"/>
      <c r="I87" s="33"/>
      <c r="J87" s="33"/>
      <c r="K87" s="33"/>
      <c r="M87" s="33"/>
      <c r="N87" s="41"/>
      <c r="O87" s="32"/>
      <c r="P87" s="32"/>
      <c r="Q87" s="33"/>
      <c r="R87" s="47"/>
    </row>
    <row r="88" spans="5:18" x14ac:dyDescent="0.25">
      <c r="E88" s="31"/>
      <c r="F88" s="41"/>
      <c r="G88" s="32"/>
      <c r="H88" s="33"/>
      <c r="I88" s="33"/>
      <c r="J88" s="33"/>
      <c r="K88" s="33"/>
      <c r="M88" s="33"/>
      <c r="N88" s="41"/>
      <c r="O88" s="32"/>
      <c r="P88" s="32"/>
      <c r="Q88" s="33"/>
      <c r="R88" s="47"/>
    </row>
    <row r="89" spans="5:18" x14ac:dyDescent="0.25">
      <c r="E89" s="28"/>
      <c r="F89" s="28"/>
      <c r="G89" s="28"/>
      <c r="H89" s="33"/>
      <c r="I89" s="33"/>
      <c r="J89" s="33"/>
      <c r="K89" s="33"/>
      <c r="M89" s="33"/>
      <c r="N89" s="28"/>
      <c r="O89" s="28"/>
      <c r="P89" s="28"/>
      <c r="Q89" s="33"/>
      <c r="R89" s="47"/>
    </row>
    <row r="90" spans="5:18" x14ac:dyDescent="0.25">
      <c r="E90" s="28"/>
      <c r="F90" s="28"/>
      <c r="G90" s="28"/>
      <c r="H90" s="33"/>
      <c r="I90" s="33"/>
      <c r="J90" s="33"/>
      <c r="K90" s="33"/>
      <c r="M90" s="33"/>
      <c r="N90" s="28"/>
      <c r="O90" s="28"/>
      <c r="P90" s="28"/>
      <c r="Q90" s="33"/>
      <c r="R90" s="47"/>
    </row>
    <row r="91" spans="5:18" x14ac:dyDescent="0.25">
      <c r="E91" s="28"/>
      <c r="F91" s="28"/>
      <c r="G91" s="28"/>
      <c r="H91" s="33"/>
      <c r="I91" s="33"/>
      <c r="J91" s="33"/>
      <c r="K91" s="33"/>
      <c r="M91" s="33"/>
      <c r="N91" s="28"/>
      <c r="O91" s="28"/>
      <c r="P91" s="28"/>
      <c r="Q91" s="33"/>
      <c r="R91" s="47"/>
    </row>
    <row r="92" spans="5:18" x14ac:dyDescent="0.25">
      <c r="E92" s="28"/>
      <c r="H92" s="25"/>
      <c r="I92" s="25"/>
      <c r="J92" s="25"/>
      <c r="K92" s="25"/>
      <c r="M92" s="25"/>
      <c r="Q92" s="25"/>
      <c r="R92" s="47"/>
    </row>
    <row r="93" spans="5:18" x14ac:dyDescent="0.25">
      <c r="E93" s="28"/>
      <c r="F93" s="28"/>
      <c r="G93" s="28"/>
      <c r="N93" s="28"/>
      <c r="O93" s="28"/>
      <c r="P93" s="28"/>
      <c r="R93" s="47"/>
    </row>
    <row r="94" spans="5:18" x14ac:dyDescent="0.25">
      <c r="E94" s="28"/>
      <c r="F94" s="28"/>
      <c r="G94" s="28"/>
      <c r="H94" s="32"/>
      <c r="I94" s="32"/>
      <c r="J94" s="32"/>
      <c r="K94" s="32"/>
      <c r="M94" s="32"/>
      <c r="N94" s="28"/>
      <c r="O94" s="28"/>
      <c r="P94" s="28"/>
      <c r="Q94" s="32"/>
      <c r="R94" s="47"/>
    </row>
    <row r="95" spans="5:18" x14ac:dyDescent="0.25">
      <c r="E95" s="28"/>
      <c r="F95" s="28"/>
      <c r="G95" s="28"/>
      <c r="H95" s="33"/>
      <c r="I95" s="33"/>
      <c r="J95" s="33"/>
      <c r="K95" s="33"/>
      <c r="M95" s="33"/>
      <c r="N95" s="28"/>
      <c r="O95" s="28"/>
      <c r="P95" s="28"/>
      <c r="Q95" s="33"/>
      <c r="R95" s="47"/>
    </row>
    <row r="96" spans="5:18" x14ac:dyDescent="0.25">
      <c r="E96" s="28"/>
      <c r="F96" s="28"/>
      <c r="G96" s="28"/>
      <c r="H96" s="33"/>
      <c r="I96" s="33"/>
      <c r="J96" s="33"/>
      <c r="K96" s="33"/>
      <c r="M96" s="33"/>
      <c r="N96" s="28"/>
      <c r="O96" s="28"/>
      <c r="P96" s="28"/>
      <c r="Q96" s="33"/>
      <c r="R96" s="47"/>
    </row>
    <row r="97" spans="5:18" x14ac:dyDescent="0.25">
      <c r="E97" s="28"/>
      <c r="F97" s="28"/>
      <c r="G97" s="28"/>
      <c r="H97" s="33"/>
      <c r="I97" s="33"/>
      <c r="J97" s="33"/>
      <c r="K97" s="33"/>
      <c r="M97" s="33"/>
      <c r="N97" s="28"/>
      <c r="O97" s="28"/>
      <c r="P97" s="28"/>
      <c r="Q97" s="33"/>
      <c r="R97" s="47"/>
    </row>
    <row r="98" spans="5:18" x14ac:dyDescent="0.25">
      <c r="E98" s="28"/>
      <c r="F98" s="14"/>
      <c r="G98" s="14"/>
      <c r="H98" s="33"/>
      <c r="I98" s="33"/>
      <c r="J98" s="33"/>
      <c r="K98" s="33"/>
      <c r="M98" s="33"/>
      <c r="N98" s="14"/>
      <c r="O98" s="14"/>
      <c r="P98" s="14"/>
      <c r="Q98" s="33"/>
      <c r="R98" s="47"/>
    </row>
    <row r="99" spans="5:18" x14ac:dyDescent="0.25">
      <c r="E99" s="28"/>
      <c r="H99" s="33"/>
      <c r="I99" s="33"/>
      <c r="J99" s="33"/>
      <c r="K99" s="33"/>
      <c r="M99" s="33"/>
      <c r="Q99" s="33"/>
      <c r="R99" s="47"/>
    </row>
    <row r="100" spans="5:18" x14ac:dyDescent="0.25">
      <c r="E100" s="28"/>
      <c r="F100" s="14"/>
      <c r="H100" s="33"/>
      <c r="I100" s="33"/>
      <c r="J100" s="33"/>
      <c r="K100" s="33"/>
      <c r="M100" s="33"/>
      <c r="N100" s="14"/>
      <c r="Q100" s="33"/>
      <c r="R100" s="47"/>
    </row>
    <row r="101" spans="5:18" x14ac:dyDescent="0.25">
      <c r="H101" s="33"/>
      <c r="I101" s="33"/>
      <c r="J101" s="33"/>
      <c r="K101" s="33"/>
      <c r="M101" s="33"/>
      <c r="Q101" s="33"/>
      <c r="R101" s="47"/>
    </row>
    <row r="102" spans="5:18" x14ac:dyDescent="0.25">
      <c r="H102" s="33"/>
      <c r="I102" s="33"/>
      <c r="J102" s="33"/>
      <c r="K102" s="33"/>
      <c r="M102" s="33"/>
      <c r="Q102" s="33"/>
      <c r="R102" s="47"/>
    </row>
    <row r="103" spans="5:18" x14ac:dyDescent="0.25">
      <c r="H103" s="33"/>
      <c r="I103" s="33"/>
      <c r="J103" s="33"/>
      <c r="K103" s="33"/>
      <c r="M103" s="33"/>
      <c r="Q103" s="33"/>
      <c r="R103" s="47"/>
    </row>
    <row r="104" spans="5:18" x14ac:dyDescent="0.25">
      <c r="H104" s="33"/>
      <c r="I104" s="33"/>
      <c r="J104" s="33"/>
      <c r="K104" s="33"/>
      <c r="M104" s="33"/>
      <c r="Q104" s="33"/>
      <c r="R104" s="47"/>
    </row>
    <row r="105" spans="5:18" x14ac:dyDescent="0.25">
      <c r="H105" s="33"/>
      <c r="I105" s="33"/>
      <c r="J105" s="33"/>
      <c r="K105" s="33"/>
      <c r="M105" s="33"/>
      <c r="Q105" s="33"/>
      <c r="R105" s="47"/>
    </row>
    <row r="106" spans="5:18" x14ac:dyDescent="0.25">
      <c r="H106" s="33"/>
      <c r="I106" s="33"/>
      <c r="J106" s="33"/>
      <c r="K106" s="33"/>
      <c r="M106" s="33"/>
      <c r="Q106" s="33"/>
      <c r="R106" s="47"/>
    </row>
    <row r="107" spans="5:18" x14ac:dyDescent="0.25">
      <c r="H107" s="28"/>
      <c r="I107" s="28"/>
      <c r="J107" s="28"/>
      <c r="K107" s="28"/>
      <c r="M107" s="28"/>
      <c r="Q107" s="28"/>
      <c r="R107" s="47"/>
    </row>
    <row r="108" spans="5:18" x14ac:dyDescent="0.25">
      <c r="H108" s="28"/>
      <c r="I108" s="28"/>
      <c r="J108" s="28"/>
      <c r="K108" s="28"/>
      <c r="M108" s="28"/>
      <c r="Q108" s="28"/>
      <c r="R108" s="47"/>
    </row>
    <row r="109" spans="5:18" x14ac:dyDescent="0.25">
      <c r="H109" s="32"/>
      <c r="I109" s="32"/>
      <c r="J109" s="32"/>
      <c r="K109" s="32"/>
      <c r="M109" s="32"/>
      <c r="Q109" s="32"/>
      <c r="R109" s="47"/>
    </row>
    <row r="110" spans="5:18" x14ac:dyDescent="0.25">
      <c r="H110" s="33"/>
      <c r="I110" s="33"/>
      <c r="J110" s="33"/>
      <c r="K110" s="33"/>
      <c r="M110" s="33"/>
      <c r="Q110" s="33"/>
      <c r="R110" s="47"/>
    </row>
    <row r="111" spans="5:18" x14ac:dyDescent="0.25">
      <c r="H111" s="33"/>
      <c r="I111" s="33"/>
      <c r="J111" s="33"/>
      <c r="K111" s="33"/>
      <c r="M111" s="33"/>
      <c r="Q111" s="33"/>
      <c r="R111" s="47"/>
    </row>
    <row r="112" spans="5:18" x14ac:dyDescent="0.25">
      <c r="H112" s="33"/>
      <c r="I112" s="33"/>
      <c r="J112" s="33"/>
      <c r="K112" s="33"/>
      <c r="M112" s="33"/>
      <c r="Q112" s="33"/>
      <c r="R112" s="47"/>
    </row>
    <row r="113" spans="8:18" x14ac:dyDescent="0.25">
      <c r="H113" s="33"/>
      <c r="I113" s="33"/>
      <c r="J113" s="33"/>
      <c r="K113" s="33"/>
      <c r="M113" s="33"/>
      <c r="Q113" s="33"/>
      <c r="R113" s="47"/>
    </row>
    <row r="114" spans="8:18" x14ac:dyDescent="0.25">
      <c r="H114" s="33"/>
      <c r="I114" s="33"/>
      <c r="J114" s="33"/>
      <c r="K114" s="33"/>
      <c r="M114" s="33"/>
      <c r="Q114" s="33"/>
      <c r="R114" s="47"/>
    </row>
    <row r="115" spans="8:18" x14ac:dyDescent="0.25">
      <c r="H115" s="33"/>
      <c r="I115" s="33"/>
      <c r="J115" s="33"/>
      <c r="K115" s="33"/>
      <c r="M115" s="33"/>
      <c r="Q115" s="33"/>
      <c r="R115" s="47"/>
    </row>
    <row r="116" spans="8:18" x14ac:dyDescent="0.25">
      <c r="H116" s="33"/>
      <c r="I116" s="33"/>
      <c r="J116" s="33"/>
      <c r="K116" s="33"/>
      <c r="M116" s="33"/>
      <c r="Q116" s="33"/>
    </row>
    <row r="117" spans="8:18" x14ac:dyDescent="0.25">
      <c r="H117" s="33"/>
      <c r="I117" s="33"/>
      <c r="J117" s="33"/>
      <c r="K117" s="33"/>
      <c r="M117" s="33"/>
      <c r="Q117" s="33"/>
    </row>
    <row r="118" spans="8:18" x14ac:dyDescent="0.25">
      <c r="H118" s="33"/>
      <c r="I118" s="33"/>
      <c r="J118" s="33"/>
      <c r="K118" s="33"/>
      <c r="M118" s="33"/>
      <c r="Q118" s="33"/>
    </row>
    <row r="119" spans="8:18" x14ac:dyDescent="0.25">
      <c r="H119" s="33"/>
      <c r="I119" s="33"/>
      <c r="J119" s="33"/>
      <c r="K119" s="33"/>
      <c r="M119" s="33"/>
      <c r="Q119" s="33"/>
    </row>
    <row r="120" spans="8:18" x14ac:dyDescent="0.25">
      <c r="H120" s="33"/>
      <c r="I120" s="33"/>
      <c r="J120" s="33"/>
      <c r="K120" s="33"/>
      <c r="M120" s="33"/>
      <c r="Q120" s="33"/>
    </row>
    <row r="121" spans="8:18" x14ac:dyDescent="0.25">
      <c r="H121" s="33"/>
      <c r="I121" s="33"/>
      <c r="J121" s="33"/>
      <c r="K121" s="33"/>
      <c r="M121" s="33"/>
      <c r="Q121" s="33"/>
    </row>
  </sheetData>
  <mergeCells count="5">
    <mergeCell ref="F4:H5"/>
    <mergeCell ref="Y4:AB5"/>
    <mergeCell ref="Z7:AA7"/>
    <mergeCell ref="N4:Q5"/>
    <mergeCell ref="J4:K5"/>
  </mergeCells>
  <pageMargins left="0.75" right="0.75" top="1" bottom="1" header="0.5" footer="0.5"/>
  <pageSetup scale="54" orientation="landscape" r:id="rId1"/>
  <headerFooter alignWithMargins="0">
    <oddFooter>&amp;RExhibit JW-9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pageSetUpPr fitToPage="1"/>
  </sheetPr>
  <dimension ref="A1:O57"/>
  <sheetViews>
    <sheetView zoomScaleNormal="100" workbookViewId="0">
      <selection activeCell="D59" sqref="D59"/>
    </sheetView>
  </sheetViews>
  <sheetFormatPr defaultRowHeight="12.75" x14ac:dyDescent="0.2"/>
  <cols>
    <col min="1" max="1" width="3.42578125" style="133" customWidth="1"/>
    <col min="2" max="2" width="5.28515625" style="132" customWidth="1"/>
    <col min="3" max="4" width="9.140625" style="133"/>
    <col min="5" max="5" width="10.28515625" style="133" bestFit="1" customWidth="1"/>
    <col min="6" max="6" width="10.28515625" style="133" customWidth="1"/>
    <col min="7" max="7" width="9.140625" style="133"/>
    <col min="8" max="8" width="10.5703125" style="133" customWidth="1"/>
    <col min="9" max="9" width="10.28515625" style="133" bestFit="1" customWidth="1"/>
    <col min="10" max="10" width="10.28515625" style="133" customWidth="1"/>
    <col min="11" max="11" width="9.140625" style="133"/>
    <col min="12" max="12" width="8.28515625" style="133" bestFit="1" customWidth="1"/>
    <col min="13" max="13" width="7.7109375" style="133" customWidth="1"/>
    <col min="14" max="16384" width="9.140625" style="133"/>
  </cols>
  <sheetData>
    <row r="1" spans="1:13" ht="18.75" x14ac:dyDescent="0.3">
      <c r="A1" s="131" t="str">
        <f>'Present and Proposed Rates'!A1</f>
        <v>Clark Energy Cooperative</v>
      </c>
    </row>
    <row r="2" spans="1:13" ht="18.75" x14ac:dyDescent="0.3">
      <c r="A2" s="62" t="s">
        <v>281</v>
      </c>
      <c r="I2" s="134"/>
      <c r="J2" s="134"/>
    </row>
    <row r="3" spans="1:13" ht="18.75" x14ac:dyDescent="0.3">
      <c r="A3" s="131" t="s">
        <v>84</v>
      </c>
    </row>
    <row r="4" spans="1:13" ht="13.5" thickBot="1" x14ac:dyDescent="0.25"/>
    <row r="5" spans="1:13" ht="21" customHeight="1" thickTop="1" x14ac:dyDescent="0.2">
      <c r="B5" s="135"/>
      <c r="C5" s="136" t="s">
        <v>57</v>
      </c>
      <c r="D5" s="333" t="s">
        <v>79</v>
      </c>
      <c r="E5" s="333"/>
      <c r="F5" s="333"/>
      <c r="G5" s="334"/>
      <c r="H5" s="335" t="s">
        <v>80</v>
      </c>
      <c r="I5" s="333"/>
      <c r="J5" s="333"/>
      <c r="K5" s="334"/>
      <c r="L5" s="335" t="s">
        <v>30</v>
      </c>
      <c r="M5" s="336"/>
    </row>
    <row r="6" spans="1:13" ht="23.25" customHeight="1" x14ac:dyDescent="0.2">
      <c r="B6" s="137" t="s">
        <v>76</v>
      </c>
      <c r="C6" s="138" t="s">
        <v>7</v>
      </c>
      <c r="D6" s="139" t="s">
        <v>67</v>
      </c>
      <c r="E6" s="139" t="s">
        <v>77</v>
      </c>
      <c r="F6" s="139" t="s">
        <v>279</v>
      </c>
      <c r="G6" s="139" t="s">
        <v>239</v>
      </c>
      <c r="H6" s="139" t="s">
        <v>78</v>
      </c>
      <c r="I6" s="139" t="s">
        <v>68</v>
      </c>
      <c r="J6" s="139" t="s">
        <v>279</v>
      </c>
      <c r="K6" s="139" t="s">
        <v>239</v>
      </c>
      <c r="L6" s="139" t="s">
        <v>34</v>
      </c>
      <c r="M6" s="140" t="s">
        <v>35</v>
      </c>
    </row>
    <row r="7" spans="1:13" s="141" customFormat="1" ht="18" customHeight="1" thickBot="1" x14ac:dyDescent="0.25">
      <c r="B7" s="142"/>
      <c r="C7" s="143"/>
      <c r="D7" s="144">
        <f>'Present and Proposed Rates'!G11</f>
        <v>18.62</v>
      </c>
      <c r="E7" s="161">
        <f>'Present and Proposed Rates'!G12</f>
        <v>0.10123</v>
      </c>
      <c r="F7" s="161">
        <f>'R'!J31</f>
        <v>1.197618918140974E-2</v>
      </c>
      <c r="G7" s="145"/>
      <c r="H7" s="144">
        <f>'Present and Proposed Rates'!H11</f>
        <v>33</v>
      </c>
      <c r="I7" s="161">
        <f>'Present and Proposed Rates'!H12</f>
        <v>9.6210000000000004E-2</v>
      </c>
      <c r="J7" s="161">
        <f>F7</f>
        <v>1.197618918140974E-2</v>
      </c>
      <c r="K7" s="143"/>
      <c r="L7" s="143"/>
      <c r="M7" s="146"/>
    </row>
    <row r="8" spans="1:13" ht="13.5" thickTop="1" x14ac:dyDescent="0.2">
      <c r="B8" s="147">
        <v>1</v>
      </c>
      <c r="C8" s="148">
        <v>0</v>
      </c>
      <c r="D8" s="149">
        <f>D$7</f>
        <v>18.62</v>
      </c>
      <c r="E8" s="150">
        <f>$E$7*C8</f>
        <v>0</v>
      </c>
      <c r="F8" s="150">
        <f>$F$7*C8</f>
        <v>0</v>
      </c>
      <c r="G8" s="151">
        <f>E8+D8+F8</f>
        <v>18.62</v>
      </c>
      <c r="H8" s="152">
        <f>$H$7</f>
        <v>33</v>
      </c>
      <c r="I8" s="150">
        <f>$I$7*C8</f>
        <v>0</v>
      </c>
      <c r="J8" s="150">
        <f>$J$7*C8</f>
        <v>0</v>
      </c>
      <c r="K8" s="153">
        <f>H8+I8+J8</f>
        <v>33</v>
      </c>
      <c r="L8" s="152">
        <f t="shared" ref="L8:L38" si="0">K8-G8</f>
        <v>14.379999999999999</v>
      </c>
      <c r="M8" s="154">
        <f t="shared" ref="M8:M38" si="1">L8/G8</f>
        <v>0.77228786251342629</v>
      </c>
    </row>
    <row r="9" spans="1:13" x14ac:dyDescent="0.2">
      <c r="B9" s="147">
        <v>2</v>
      </c>
      <c r="C9" s="148">
        <f t="shared" ref="C9:C38" si="2">C8+100</f>
        <v>100</v>
      </c>
      <c r="D9" s="149">
        <f t="shared" ref="D9:D12" si="3">D$7</f>
        <v>18.62</v>
      </c>
      <c r="E9" s="150">
        <f t="shared" ref="E9" si="4">$E$7*C9</f>
        <v>10.122999999999999</v>
      </c>
      <c r="F9" s="150">
        <f t="shared" ref="F9:F39" si="5">$F$7*C9</f>
        <v>1.197618918140974</v>
      </c>
      <c r="G9" s="151">
        <f t="shared" ref="G9:G39" si="6">E9+D9+F9</f>
        <v>29.940618918140977</v>
      </c>
      <c r="H9" s="152">
        <f t="shared" ref="H9:H12" si="7">$H$7</f>
        <v>33</v>
      </c>
      <c r="I9" s="150">
        <f t="shared" ref="I9" si="8">$I$7*C9</f>
        <v>9.6210000000000004</v>
      </c>
      <c r="J9" s="150">
        <f t="shared" ref="J9:J39" si="9">$J$7*C9</f>
        <v>1.197618918140974</v>
      </c>
      <c r="K9" s="153">
        <f t="shared" ref="K9:K39" si="10">H9+I9+J9</f>
        <v>43.818618918140977</v>
      </c>
      <c r="L9" s="152">
        <f t="shared" si="0"/>
        <v>13.878</v>
      </c>
      <c r="M9" s="154">
        <f t="shared" si="1"/>
        <v>0.46351747229885554</v>
      </c>
    </row>
    <row r="10" spans="1:13" x14ac:dyDescent="0.2">
      <c r="B10" s="147">
        <v>2</v>
      </c>
      <c r="C10" s="148">
        <f t="shared" si="2"/>
        <v>200</v>
      </c>
      <c r="D10" s="149">
        <f t="shared" si="3"/>
        <v>18.62</v>
      </c>
      <c r="E10" s="150">
        <f t="shared" ref="E10:E12" si="11">$E$7*C10</f>
        <v>20.245999999999999</v>
      </c>
      <c r="F10" s="150">
        <f t="shared" si="5"/>
        <v>2.395237836281948</v>
      </c>
      <c r="G10" s="151">
        <f t="shared" si="6"/>
        <v>41.26123783628195</v>
      </c>
      <c r="H10" s="152">
        <f t="shared" si="7"/>
        <v>33</v>
      </c>
      <c r="I10" s="150">
        <f t="shared" ref="I10:I12" si="12">$I$7*C10</f>
        <v>19.242000000000001</v>
      </c>
      <c r="J10" s="150">
        <f t="shared" si="9"/>
        <v>2.395237836281948</v>
      </c>
      <c r="K10" s="153">
        <f t="shared" si="10"/>
        <v>54.637237836281955</v>
      </c>
      <c r="L10" s="152">
        <f t="shared" ref="L10:L12" si="13">K10-G10</f>
        <v>13.376000000000005</v>
      </c>
      <c r="M10" s="154">
        <f t="shared" ref="M10:M12" si="14">L10/G10</f>
        <v>0.32417834998246664</v>
      </c>
    </row>
    <row r="11" spans="1:13" x14ac:dyDescent="0.2">
      <c r="B11" s="147">
        <v>3</v>
      </c>
      <c r="C11" s="148">
        <f t="shared" si="2"/>
        <v>300</v>
      </c>
      <c r="D11" s="149">
        <f t="shared" si="3"/>
        <v>18.62</v>
      </c>
      <c r="E11" s="150">
        <f t="shared" si="11"/>
        <v>30.369</v>
      </c>
      <c r="F11" s="150">
        <f t="shared" si="5"/>
        <v>3.5928567544229217</v>
      </c>
      <c r="G11" s="151">
        <f t="shared" si="6"/>
        <v>52.58185675442293</v>
      </c>
      <c r="H11" s="152">
        <f t="shared" si="7"/>
        <v>33</v>
      </c>
      <c r="I11" s="150">
        <f t="shared" si="12"/>
        <v>28.863</v>
      </c>
      <c r="J11" s="150">
        <f t="shared" si="9"/>
        <v>3.5928567544229217</v>
      </c>
      <c r="K11" s="153">
        <f t="shared" si="10"/>
        <v>65.455856754422925</v>
      </c>
      <c r="L11" s="152">
        <f t="shared" si="13"/>
        <v>12.873999999999995</v>
      </c>
      <c r="M11" s="154">
        <f t="shared" si="14"/>
        <v>0.24483730310487936</v>
      </c>
    </row>
    <row r="12" spans="1:13" x14ac:dyDescent="0.2">
      <c r="B12" s="147">
        <v>4</v>
      </c>
      <c r="C12" s="148">
        <f t="shared" si="2"/>
        <v>400</v>
      </c>
      <c r="D12" s="149">
        <f t="shared" si="3"/>
        <v>18.62</v>
      </c>
      <c r="E12" s="150">
        <f t="shared" si="11"/>
        <v>40.491999999999997</v>
      </c>
      <c r="F12" s="150">
        <f t="shared" si="5"/>
        <v>4.7904756725638959</v>
      </c>
      <c r="G12" s="151">
        <f t="shared" si="6"/>
        <v>63.902475672563888</v>
      </c>
      <c r="H12" s="152">
        <f t="shared" si="7"/>
        <v>33</v>
      </c>
      <c r="I12" s="150">
        <f t="shared" si="12"/>
        <v>38.484000000000002</v>
      </c>
      <c r="J12" s="150">
        <f t="shared" si="9"/>
        <v>4.7904756725638959</v>
      </c>
      <c r="K12" s="153">
        <f t="shared" si="10"/>
        <v>76.274475672563909</v>
      </c>
      <c r="L12" s="152">
        <f t="shared" si="13"/>
        <v>12.372000000000021</v>
      </c>
      <c r="M12" s="154">
        <f t="shared" si="14"/>
        <v>0.19360752255349412</v>
      </c>
    </row>
    <row r="13" spans="1:13" x14ac:dyDescent="0.2">
      <c r="B13" s="147">
        <v>2</v>
      </c>
      <c r="C13" s="148">
        <f t="shared" si="2"/>
        <v>500</v>
      </c>
      <c r="D13" s="149">
        <f t="shared" ref="D13:D39" si="15">D$7</f>
        <v>18.62</v>
      </c>
      <c r="E13" s="150">
        <f t="shared" ref="E13:E38" si="16">$E$7*C13</f>
        <v>50.615000000000002</v>
      </c>
      <c r="F13" s="150">
        <f t="shared" si="5"/>
        <v>5.9880945907048702</v>
      </c>
      <c r="G13" s="151">
        <f t="shared" si="6"/>
        <v>75.223094590704875</v>
      </c>
      <c r="H13" s="152">
        <f t="shared" ref="H13:H39" si="17">$H$7</f>
        <v>33</v>
      </c>
      <c r="I13" s="150">
        <f t="shared" ref="I13:I38" si="18">$I$7*C13</f>
        <v>48.105000000000004</v>
      </c>
      <c r="J13" s="150">
        <f t="shared" si="9"/>
        <v>5.9880945907048702</v>
      </c>
      <c r="K13" s="153">
        <f t="shared" si="10"/>
        <v>87.093094590704879</v>
      </c>
      <c r="L13" s="152">
        <f t="shared" si="0"/>
        <v>11.870000000000005</v>
      </c>
      <c r="M13" s="154">
        <f t="shared" si="1"/>
        <v>0.15779728372763263</v>
      </c>
    </row>
    <row r="14" spans="1:13" x14ac:dyDescent="0.2">
      <c r="B14" s="147">
        <v>3</v>
      </c>
      <c r="C14" s="148">
        <f t="shared" si="2"/>
        <v>600</v>
      </c>
      <c r="D14" s="149">
        <f t="shared" si="15"/>
        <v>18.62</v>
      </c>
      <c r="E14" s="150">
        <f t="shared" si="16"/>
        <v>60.738</v>
      </c>
      <c r="F14" s="150">
        <f t="shared" si="5"/>
        <v>7.1857135088458435</v>
      </c>
      <c r="G14" s="151">
        <f t="shared" si="6"/>
        <v>86.543713508845855</v>
      </c>
      <c r="H14" s="152">
        <f t="shared" si="17"/>
        <v>33</v>
      </c>
      <c r="I14" s="150">
        <f t="shared" si="18"/>
        <v>57.725999999999999</v>
      </c>
      <c r="J14" s="150">
        <f t="shared" si="9"/>
        <v>7.1857135088458435</v>
      </c>
      <c r="K14" s="153">
        <f t="shared" si="10"/>
        <v>97.91171350884585</v>
      </c>
      <c r="L14" s="152">
        <f t="shared" si="0"/>
        <v>11.367999999999995</v>
      </c>
      <c r="M14" s="154">
        <f t="shared" si="1"/>
        <v>0.13135558365932659</v>
      </c>
    </row>
    <row r="15" spans="1:13" x14ac:dyDescent="0.2">
      <c r="B15" s="147">
        <v>4</v>
      </c>
      <c r="C15" s="148">
        <f t="shared" si="2"/>
        <v>700</v>
      </c>
      <c r="D15" s="149">
        <f t="shared" si="15"/>
        <v>18.62</v>
      </c>
      <c r="E15" s="150">
        <f t="shared" si="16"/>
        <v>70.861000000000004</v>
      </c>
      <c r="F15" s="150">
        <f t="shared" si="5"/>
        <v>8.3833324269868186</v>
      </c>
      <c r="G15" s="151">
        <f t="shared" si="6"/>
        <v>97.864332426986834</v>
      </c>
      <c r="H15" s="152">
        <f t="shared" si="17"/>
        <v>33</v>
      </c>
      <c r="I15" s="150">
        <f t="shared" si="18"/>
        <v>67.347000000000008</v>
      </c>
      <c r="J15" s="150">
        <f t="shared" si="9"/>
        <v>8.3833324269868186</v>
      </c>
      <c r="K15" s="153">
        <f t="shared" si="10"/>
        <v>108.73033242698682</v>
      </c>
      <c r="L15" s="152">
        <f t="shared" si="0"/>
        <v>10.865999999999985</v>
      </c>
      <c r="M15" s="154">
        <f t="shared" si="1"/>
        <v>0.11103125858551918</v>
      </c>
    </row>
    <row r="16" spans="1:13" x14ac:dyDescent="0.2">
      <c r="B16" s="147">
        <v>5</v>
      </c>
      <c r="C16" s="148">
        <f t="shared" si="2"/>
        <v>800</v>
      </c>
      <c r="D16" s="149">
        <f t="shared" si="15"/>
        <v>18.62</v>
      </c>
      <c r="E16" s="150">
        <f t="shared" si="16"/>
        <v>80.983999999999995</v>
      </c>
      <c r="F16" s="150">
        <f t="shared" si="5"/>
        <v>9.5809513451277919</v>
      </c>
      <c r="G16" s="151">
        <f t="shared" si="6"/>
        <v>109.18495134512779</v>
      </c>
      <c r="H16" s="152">
        <f t="shared" si="17"/>
        <v>33</v>
      </c>
      <c r="I16" s="150">
        <f t="shared" si="18"/>
        <v>76.968000000000004</v>
      </c>
      <c r="J16" s="150">
        <f t="shared" si="9"/>
        <v>9.5809513451277919</v>
      </c>
      <c r="K16" s="153">
        <f t="shared" si="10"/>
        <v>119.54895134512779</v>
      </c>
      <c r="L16" s="152">
        <f t="shared" si="0"/>
        <v>10.364000000000004</v>
      </c>
      <c r="M16" s="154">
        <f t="shared" si="1"/>
        <v>9.4921505869796613E-2</v>
      </c>
    </row>
    <row r="17" spans="2:13" x14ac:dyDescent="0.2">
      <c r="B17" s="147">
        <v>6</v>
      </c>
      <c r="C17" s="148">
        <f t="shared" si="2"/>
        <v>900</v>
      </c>
      <c r="D17" s="149">
        <f t="shared" si="15"/>
        <v>18.62</v>
      </c>
      <c r="E17" s="150">
        <f t="shared" si="16"/>
        <v>91.106999999999999</v>
      </c>
      <c r="F17" s="150">
        <f t="shared" si="5"/>
        <v>10.778570263268765</v>
      </c>
      <c r="G17" s="151">
        <f t="shared" si="6"/>
        <v>120.50557026326877</v>
      </c>
      <c r="H17" s="152">
        <f t="shared" si="17"/>
        <v>33</v>
      </c>
      <c r="I17" s="150">
        <f t="shared" si="18"/>
        <v>86.588999999999999</v>
      </c>
      <c r="J17" s="150">
        <f t="shared" si="9"/>
        <v>10.778570263268765</v>
      </c>
      <c r="K17" s="153">
        <f t="shared" si="10"/>
        <v>130.36757026326876</v>
      </c>
      <c r="L17" s="152">
        <f t="shared" si="0"/>
        <v>9.8619999999999948</v>
      </c>
      <c r="M17" s="154">
        <f t="shared" si="1"/>
        <v>8.1838540562518922E-2</v>
      </c>
    </row>
    <row r="18" spans="2:13" x14ac:dyDescent="0.2">
      <c r="B18" s="147">
        <v>7</v>
      </c>
      <c r="C18" s="148">
        <f t="shared" si="2"/>
        <v>1000</v>
      </c>
      <c r="D18" s="149">
        <f t="shared" si="15"/>
        <v>18.62</v>
      </c>
      <c r="E18" s="150">
        <f t="shared" si="16"/>
        <v>101.23</v>
      </c>
      <c r="F18" s="150">
        <f t="shared" si="5"/>
        <v>11.97618918140974</v>
      </c>
      <c r="G18" s="151">
        <f t="shared" si="6"/>
        <v>131.82618918140975</v>
      </c>
      <c r="H18" s="152">
        <f t="shared" si="17"/>
        <v>33</v>
      </c>
      <c r="I18" s="150">
        <f t="shared" si="18"/>
        <v>96.210000000000008</v>
      </c>
      <c r="J18" s="150">
        <f t="shared" si="9"/>
        <v>11.97618918140974</v>
      </c>
      <c r="K18" s="153">
        <f t="shared" si="10"/>
        <v>141.18618918140976</v>
      </c>
      <c r="L18" s="152">
        <f t="shared" si="0"/>
        <v>9.3600000000000136</v>
      </c>
      <c r="M18" s="154">
        <f t="shared" si="1"/>
        <v>7.1002583463286292E-2</v>
      </c>
    </row>
    <row r="19" spans="2:13" x14ac:dyDescent="0.2">
      <c r="B19" s="147">
        <v>8</v>
      </c>
      <c r="C19" s="148">
        <f t="shared" si="2"/>
        <v>1100</v>
      </c>
      <c r="D19" s="149">
        <f t="shared" si="15"/>
        <v>18.62</v>
      </c>
      <c r="E19" s="150">
        <f t="shared" si="16"/>
        <v>111.35299999999999</v>
      </c>
      <c r="F19" s="150">
        <f t="shared" si="5"/>
        <v>13.173808099550714</v>
      </c>
      <c r="G19" s="151">
        <f t="shared" si="6"/>
        <v>143.1468080995507</v>
      </c>
      <c r="H19" s="152">
        <f t="shared" si="17"/>
        <v>33</v>
      </c>
      <c r="I19" s="150">
        <f t="shared" si="18"/>
        <v>105.831</v>
      </c>
      <c r="J19" s="150">
        <f t="shared" si="9"/>
        <v>13.173808099550714</v>
      </c>
      <c r="K19" s="153">
        <f t="shared" si="10"/>
        <v>152.00480809955073</v>
      </c>
      <c r="L19" s="152">
        <f t="shared" si="0"/>
        <v>8.8580000000000325</v>
      </c>
      <c r="M19" s="154">
        <f t="shared" si="1"/>
        <v>6.1880527533941118E-2</v>
      </c>
    </row>
    <row r="20" spans="2:13" x14ac:dyDescent="0.2">
      <c r="B20" s="147">
        <v>9</v>
      </c>
      <c r="C20" s="148">
        <f t="shared" si="2"/>
        <v>1200</v>
      </c>
      <c r="D20" s="149">
        <f t="shared" si="15"/>
        <v>18.62</v>
      </c>
      <c r="E20" s="150">
        <f t="shared" si="16"/>
        <v>121.476</v>
      </c>
      <c r="F20" s="150">
        <f t="shared" si="5"/>
        <v>14.371427017691687</v>
      </c>
      <c r="G20" s="151">
        <f t="shared" si="6"/>
        <v>154.4674270176917</v>
      </c>
      <c r="H20" s="152">
        <f t="shared" si="17"/>
        <v>33</v>
      </c>
      <c r="I20" s="150">
        <f t="shared" si="18"/>
        <v>115.452</v>
      </c>
      <c r="J20" s="150">
        <f t="shared" si="9"/>
        <v>14.371427017691687</v>
      </c>
      <c r="K20" s="153">
        <f t="shared" si="10"/>
        <v>162.8234270176917</v>
      </c>
      <c r="L20" s="152">
        <f t="shared" si="0"/>
        <v>8.3559999999999945</v>
      </c>
      <c r="M20" s="154">
        <f t="shared" si="1"/>
        <v>5.4095547270577325E-2</v>
      </c>
    </row>
    <row r="21" spans="2:13" x14ac:dyDescent="0.2">
      <c r="B21" s="147">
        <v>10</v>
      </c>
      <c r="C21" s="148">
        <f t="shared" si="2"/>
        <v>1300</v>
      </c>
      <c r="D21" s="149">
        <f t="shared" si="15"/>
        <v>18.62</v>
      </c>
      <c r="E21" s="150">
        <f t="shared" si="16"/>
        <v>131.59899999999999</v>
      </c>
      <c r="F21" s="150">
        <f t="shared" si="5"/>
        <v>15.569045935832662</v>
      </c>
      <c r="G21" s="151">
        <f t="shared" si="6"/>
        <v>165.78804593583266</v>
      </c>
      <c r="H21" s="152">
        <f t="shared" si="17"/>
        <v>33</v>
      </c>
      <c r="I21" s="150">
        <f t="shared" si="18"/>
        <v>125.07300000000001</v>
      </c>
      <c r="J21" s="150">
        <f t="shared" si="9"/>
        <v>15.569045935832662</v>
      </c>
      <c r="K21" s="153">
        <f t="shared" si="10"/>
        <v>173.64204593583267</v>
      </c>
      <c r="L21" s="152">
        <f t="shared" si="0"/>
        <v>7.8540000000000134</v>
      </c>
      <c r="M21" s="154">
        <f t="shared" si="1"/>
        <v>4.7373741307258431E-2</v>
      </c>
    </row>
    <row r="22" spans="2:13" x14ac:dyDescent="0.2">
      <c r="B22" s="147">
        <v>11</v>
      </c>
      <c r="C22" s="148">
        <f t="shared" si="2"/>
        <v>1400</v>
      </c>
      <c r="D22" s="149">
        <f t="shared" si="15"/>
        <v>18.62</v>
      </c>
      <c r="E22" s="150">
        <f t="shared" si="16"/>
        <v>141.72200000000001</v>
      </c>
      <c r="F22" s="150">
        <f t="shared" si="5"/>
        <v>16.766664853973637</v>
      </c>
      <c r="G22" s="151">
        <f t="shared" si="6"/>
        <v>177.10866485397366</v>
      </c>
      <c r="H22" s="152">
        <f t="shared" si="17"/>
        <v>33</v>
      </c>
      <c r="I22" s="150">
        <f t="shared" si="18"/>
        <v>134.69400000000002</v>
      </c>
      <c r="J22" s="150">
        <f t="shared" si="9"/>
        <v>16.766664853973637</v>
      </c>
      <c r="K22" s="153">
        <f t="shared" si="10"/>
        <v>184.46066485397364</v>
      </c>
      <c r="L22" s="152">
        <f t="shared" si="0"/>
        <v>7.3519999999999754</v>
      </c>
      <c r="M22" s="154">
        <f t="shared" si="1"/>
        <v>4.1511238346591962E-2</v>
      </c>
    </row>
    <row r="23" spans="2:13" x14ac:dyDescent="0.2">
      <c r="B23" s="147">
        <v>12</v>
      </c>
      <c r="C23" s="148">
        <f t="shared" si="2"/>
        <v>1500</v>
      </c>
      <c r="D23" s="149">
        <f t="shared" si="15"/>
        <v>18.62</v>
      </c>
      <c r="E23" s="150">
        <f t="shared" si="16"/>
        <v>151.845</v>
      </c>
      <c r="F23" s="150">
        <f t="shared" si="5"/>
        <v>17.964283772114609</v>
      </c>
      <c r="G23" s="151">
        <f t="shared" si="6"/>
        <v>188.42928377211462</v>
      </c>
      <c r="H23" s="152">
        <f t="shared" si="17"/>
        <v>33</v>
      </c>
      <c r="I23" s="150">
        <f t="shared" si="18"/>
        <v>144.315</v>
      </c>
      <c r="J23" s="150">
        <f t="shared" si="9"/>
        <v>17.964283772114609</v>
      </c>
      <c r="K23" s="153">
        <f t="shared" si="10"/>
        <v>195.27928377211461</v>
      </c>
      <c r="L23" s="152">
        <f t="shared" si="0"/>
        <v>6.8499999999999943</v>
      </c>
      <c r="M23" s="154">
        <f t="shared" si="1"/>
        <v>3.6353160521930064E-2</v>
      </c>
    </row>
    <row r="24" spans="2:13" x14ac:dyDescent="0.2">
      <c r="B24" s="147">
        <v>13</v>
      </c>
      <c r="C24" s="148">
        <f t="shared" si="2"/>
        <v>1600</v>
      </c>
      <c r="D24" s="149">
        <f t="shared" si="15"/>
        <v>18.62</v>
      </c>
      <c r="E24" s="150">
        <f t="shared" si="16"/>
        <v>161.96799999999999</v>
      </c>
      <c r="F24" s="150">
        <f t="shared" si="5"/>
        <v>19.161902690255584</v>
      </c>
      <c r="G24" s="151">
        <f t="shared" si="6"/>
        <v>199.74990269025557</v>
      </c>
      <c r="H24" s="152">
        <f t="shared" si="17"/>
        <v>33</v>
      </c>
      <c r="I24" s="150">
        <f t="shared" si="18"/>
        <v>153.93600000000001</v>
      </c>
      <c r="J24" s="150">
        <f t="shared" si="9"/>
        <v>19.161902690255584</v>
      </c>
      <c r="K24" s="153">
        <f t="shared" si="10"/>
        <v>206.09790269025558</v>
      </c>
      <c r="L24" s="152">
        <f t="shared" si="0"/>
        <v>6.3480000000000132</v>
      </c>
      <c r="M24" s="154">
        <f t="shared" si="1"/>
        <v>3.1779740137563975E-2</v>
      </c>
    </row>
    <row r="25" spans="2:13" x14ac:dyDescent="0.2">
      <c r="B25" s="147">
        <v>14</v>
      </c>
      <c r="C25" s="148">
        <f t="shared" si="2"/>
        <v>1700</v>
      </c>
      <c r="D25" s="149">
        <f t="shared" si="15"/>
        <v>18.62</v>
      </c>
      <c r="E25" s="150">
        <f t="shared" si="16"/>
        <v>172.09100000000001</v>
      </c>
      <c r="F25" s="150">
        <f t="shared" si="5"/>
        <v>20.359521608396559</v>
      </c>
      <c r="G25" s="151">
        <f t="shared" si="6"/>
        <v>211.07052160839658</v>
      </c>
      <c r="H25" s="152">
        <f t="shared" si="17"/>
        <v>33</v>
      </c>
      <c r="I25" s="150">
        <f t="shared" si="18"/>
        <v>163.55700000000002</v>
      </c>
      <c r="J25" s="150">
        <f t="shared" si="9"/>
        <v>20.359521608396559</v>
      </c>
      <c r="K25" s="153">
        <f t="shared" si="10"/>
        <v>216.91652160839658</v>
      </c>
      <c r="L25" s="152">
        <f t="shared" si="0"/>
        <v>5.8460000000000036</v>
      </c>
      <c r="M25" s="154">
        <f t="shared" si="1"/>
        <v>2.7696904122150257E-2</v>
      </c>
    </row>
    <row r="26" spans="2:13" x14ac:dyDescent="0.2">
      <c r="B26" s="147">
        <v>15</v>
      </c>
      <c r="C26" s="148">
        <f t="shared" si="2"/>
        <v>1800</v>
      </c>
      <c r="D26" s="149">
        <f t="shared" si="15"/>
        <v>18.62</v>
      </c>
      <c r="E26" s="150">
        <f t="shared" si="16"/>
        <v>182.214</v>
      </c>
      <c r="F26" s="150">
        <f t="shared" si="5"/>
        <v>21.55714052653753</v>
      </c>
      <c r="G26" s="151">
        <f t="shared" si="6"/>
        <v>222.39114052653753</v>
      </c>
      <c r="H26" s="152">
        <f t="shared" si="17"/>
        <v>33</v>
      </c>
      <c r="I26" s="150">
        <f t="shared" si="18"/>
        <v>173.178</v>
      </c>
      <c r="J26" s="150">
        <f t="shared" si="9"/>
        <v>21.55714052653753</v>
      </c>
      <c r="K26" s="153">
        <f t="shared" si="10"/>
        <v>227.73514052653752</v>
      </c>
      <c r="L26" s="152">
        <f t="shared" si="0"/>
        <v>5.3439999999999941</v>
      </c>
      <c r="M26" s="154">
        <f t="shared" si="1"/>
        <v>2.4029734221189914E-2</v>
      </c>
    </row>
    <row r="27" spans="2:13" x14ac:dyDescent="0.2">
      <c r="B27" s="147">
        <v>16</v>
      </c>
      <c r="C27" s="148">
        <f t="shared" si="2"/>
        <v>1900</v>
      </c>
      <c r="D27" s="149">
        <f t="shared" si="15"/>
        <v>18.62</v>
      </c>
      <c r="E27" s="150">
        <f t="shared" si="16"/>
        <v>192.33699999999999</v>
      </c>
      <c r="F27" s="150">
        <f t="shared" si="5"/>
        <v>22.754759444678506</v>
      </c>
      <c r="G27" s="151">
        <f t="shared" si="6"/>
        <v>233.71175944467851</v>
      </c>
      <c r="H27" s="152">
        <f t="shared" si="17"/>
        <v>33</v>
      </c>
      <c r="I27" s="150">
        <f t="shared" si="18"/>
        <v>182.79900000000001</v>
      </c>
      <c r="J27" s="150">
        <f t="shared" si="9"/>
        <v>22.754759444678506</v>
      </c>
      <c r="K27" s="153">
        <f t="shared" si="10"/>
        <v>238.55375944467852</v>
      </c>
      <c r="L27" s="152">
        <f t="shared" si="0"/>
        <v>4.842000000000013</v>
      </c>
      <c r="M27" s="154">
        <f t="shared" si="1"/>
        <v>2.0717827855581884E-2</v>
      </c>
    </row>
    <row r="28" spans="2:13" x14ac:dyDescent="0.2">
      <c r="B28" s="147">
        <v>17</v>
      </c>
      <c r="C28" s="148">
        <f t="shared" si="2"/>
        <v>2000</v>
      </c>
      <c r="D28" s="149">
        <f t="shared" si="15"/>
        <v>18.62</v>
      </c>
      <c r="E28" s="150">
        <f t="shared" si="16"/>
        <v>202.46</v>
      </c>
      <c r="F28" s="150">
        <f t="shared" si="5"/>
        <v>23.952378362819481</v>
      </c>
      <c r="G28" s="151">
        <f t="shared" si="6"/>
        <v>245.03237836281949</v>
      </c>
      <c r="H28" s="152">
        <f t="shared" si="17"/>
        <v>33</v>
      </c>
      <c r="I28" s="150">
        <f t="shared" si="18"/>
        <v>192.42000000000002</v>
      </c>
      <c r="J28" s="150">
        <f t="shared" si="9"/>
        <v>23.952378362819481</v>
      </c>
      <c r="K28" s="153">
        <f t="shared" si="10"/>
        <v>249.37237836281949</v>
      </c>
      <c r="L28" s="152">
        <f t="shared" si="0"/>
        <v>4.3400000000000034</v>
      </c>
      <c r="M28" s="154">
        <f t="shared" si="1"/>
        <v>1.7711944964162101E-2</v>
      </c>
    </row>
    <row r="29" spans="2:13" x14ac:dyDescent="0.2">
      <c r="B29" s="147">
        <v>18</v>
      </c>
      <c r="C29" s="148">
        <f t="shared" si="2"/>
        <v>2100</v>
      </c>
      <c r="D29" s="149">
        <f t="shared" si="15"/>
        <v>18.62</v>
      </c>
      <c r="E29" s="150">
        <f t="shared" si="16"/>
        <v>212.583</v>
      </c>
      <c r="F29" s="150">
        <f t="shared" si="5"/>
        <v>25.149997280960452</v>
      </c>
      <c r="G29" s="151">
        <f t="shared" si="6"/>
        <v>256.35299728096044</v>
      </c>
      <c r="H29" s="152">
        <f t="shared" si="17"/>
        <v>33</v>
      </c>
      <c r="I29" s="150">
        <f t="shared" si="18"/>
        <v>202.041</v>
      </c>
      <c r="J29" s="150">
        <f t="shared" si="9"/>
        <v>25.149997280960452</v>
      </c>
      <c r="K29" s="153">
        <f t="shared" si="10"/>
        <v>260.19099728096046</v>
      </c>
      <c r="L29" s="152">
        <f t="shared" si="0"/>
        <v>3.8380000000000223</v>
      </c>
      <c r="M29" s="154">
        <f t="shared" si="1"/>
        <v>1.4971543304382008E-2</v>
      </c>
    </row>
    <row r="30" spans="2:13" x14ac:dyDescent="0.2">
      <c r="B30" s="147">
        <v>19</v>
      </c>
      <c r="C30" s="148">
        <f t="shared" si="2"/>
        <v>2200</v>
      </c>
      <c r="D30" s="149">
        <f t="shared" si="15"/>
        <v>18.62</v>
      </c>
      <c r="E30" s="150">
        <f t="shared" si="16"/>
        <v>222.70599999999999</v>
      </c>
      <c r="F30" s="150">
        <f t="shared" si="5"/>
        <v>26.347616199101427</v>
      </c>
      <c r="G30" s="151">
        <f t="shared" si="6"/>
        <v>267.67361619910145</v>
      </c>
      <c r="H30" s="152">
        <f t="shared" si="17"/>
        <v>33</v>
      </c>
      <c r="I30" s="150">
        <f t="shared" si="18"/>
        <v>211.66200000000001</v>
      </c>
      <c r="J30" s="150">
        <f t="shared" si="9"/>
        <v>26.347616199101427</v>
      </c>
      <c r="K30" s="153">
        <f t="shared" si="10"/>
        <v>271.00961619910146</v>
      </c>
      <c r="L30" s="152">
        <f t="shared" si="0"/>
        <v>3.3360000000000127</v>
      </c>
      <c r="M30" s="154">
        <f t="shared" si="1"/>
        <v>1.2462939184557598E-2</v>
      </c>
    </row>
    <row r="31" spans="2:13" x14ac:dyDescent="0.2">
      <c r="B31" s="147">
        <v>20</v>
      </c>
      <c r="C31" s="148">
        <f t="shared" si="2"/>
        <v>2300</v>
      </c>
      <c r="D31" s="149">
        <f t="shared" si="15"/>
        <v>18.62</v>
      </c>
      <c r="E31" s="150">
        <f t="shared" si="16"/>
        <v>232.82900000000001</v>
      </c>
      <c r="F31" s="150">
        <f t="shared" si="5"/>
        <v>27.545235117242402</v>
      </c>
      <c r="G31" s="151">
        <f t="shared" si="6"/>
        <v>278.9942351172424</v>
      </c>
      <c r="H31" s="152">
        <f t="shared" si="17"/>
        <v>33</v>
      </c>
      <c r="I31" s="150">
        <f t="shared" si="18"/>
        <v>221.28300000000002</v>
      </c>
      <c r="J31" s="150">
        <f t="shared" si="9"/>
        <v>27.545235117242402</v>
      </c>
      <c r="K31" s="153">
        <f t="shared" si="10"/>
        <v>281.8282351172424</v>
      </c>
      <c r="L31" s="152">
        <f t="shared" si="0"/>
        <v>2.8340000000000032</v>
      </c>
      <c r="M31" s="154">
        <f t="shared" si="1"/>
        <v>1.0157915982776723E-2</v>
      </c>
    </row>
    <row r="32" spans="2:13" x14ac:dyDescent="0.2">
      <c r="B32" s="147">
        <v>21</v>
      </c>
      <c r="C32" s="148">
        <f t="shared" si="2"/>
        <v>2400</v>
      </c>
      <c r="D32" s="149">
        <f t="shared" si="15"/>
        <v>18.62</v>
      </c>
      <c r="E32" s="150">
        <f t="shared" si="16"/>
        <v>242.952</v>
      </c>
      <c r="F32" s="150">
        <f t="shared" si="5"/>
        <v>28.742854035383374</v>
      </c>
      <c r="G32" s="151">
        <f t="shared" si="6"/>
        <v>290.31485403538341</v>
      </c>
      <c r="H32" s="152">
        <f t="shared" si="17"/>
        <v>33</v>
      </c>
      <c r="I32" s="150">
        <f t="shared" si="18"/>
        <v>230.904</v>
      </c>
      <c r="J32" s="150">
        <f t="shared" si="9"/>
        <v>28.742854035383374</v>
      </c>
      <c r="K32" s="153">
        <f t="shared" si="10"/>
        <v>292.6468540353834</v>
      </c>
      <c r="L32" s="152">
        <f t="shared" si="0"/>
        <v>2.3319999999999936</v>
      </c>
      <c r="M32" s="154">
        <f t="shared" si="1"/>
        <v>8.0326582246314226E-3</v>
      </c>
    </row>
    <row r="33" spans="2:13" x14ac:dyDescent="0.2">
      <c r="B33" s="147">
        <v>22</v>
      </c>
      <c r="C33" s="148">
        <f t="shared" si="2"/>
        <v>2500</v>
      </c>
      <c r="D33" s="149">
        <f t="shared" si="15"/>
        <v>18.62</v>
      </c>
      <c r="E33" s="150">
        <f t="shared" si="16"/>
        <v>253.07499999999999</v>
      </c>
      <c r="F33" s="150">
        <f t="shared" si="5"/>
        <v>29.940472953524349</v>
      </c>
      <c r="G33" s="151">
        <f t="shared" si="6"/>
        <v>301.63547295352436</v>
      </c>
      <c r="H33" s="152">
        <f t="shared" si="17"/>
        <v>33</v>
      </c>
      <c r="I33" s="150">
        <f t="shared" si="18"/>
        <v>240.52500000000001</v>
      </c>
      <c r="J33" s="150">
        <f t="shared" si="9"/>
        <v>29.940472953524349</v>
      </c>
      <c r="K33" s="153">
        <f t="shared" si="10"/>
        <v>303.46547295352434</v>
      </c>
      <c r="L33" s="152">
        <f t="shared" si="0"/>
        <v>1.8299999999999841</v>
      </c>
      <c r="M33" s="154">
        <f t="shared" si="1"/>
        <v>6.0669256904076008E-3</v>
      </c>
    </row>
    <row r="34" spans="2:13" x14ac:dyDescent="0.2">
      <c r="B34" s="147">
        <v>23</v>
      </c>
      <c r="C34" s="148">
        <f t="shared" si="2"/>
        <v>2600</v>
      </c>
      <c r="D34" s="149">
        <f t="shared" si="15"/>
        <v>18.62</v>
      </c>
      <c r="E34" s="150">
        <f t="shared" si="16"/>
        <v>263.19799999999998</v>
      </c>
      <c r="F34" s="150">
        <f t="shared" si="5"/>
        <v>31.138091871665324</v>
      </c>
      <c r="G34" s="151">
        <f t="shared" si="6"/>
        <v>312.95609187166531</v>
      </c>
      <c r="H34" s="152">
        <f t="shared" si="17"/>
        <v>33</v>
      </c>
      <c r="I34" s="150">
        <f t="shared" si="18"/>
        <v>250.14600000000002</v>
      </c>
      <c r="J34" s="150">
        <f t="shared" si="9"/>
        <v>31.138091871665324</v>
      </c>
      <c r="K34" s="153">
        <f t="shared" si="10"/>
        <v>314.28409187166534</v>
      </c>
      <c r="L34" s="152">
        <f t="shared" si="0"/>
        <v>1.3280000000000314</v>
      </c>
      <c r="M34" s="154">
        <f t="shared" si="1"/>
        <v>4.2434067733201622E-3</v>
      </c>
    </row>
    <row r="35" spans="2:13" x14ac:dyDescent="0.2">
      <c r="B35" s="147">
        <v>24</v>
      </c>
      <c r="C35" s="148">
        <f t="shared" si="2"/>
        <v>2700</v>
      </c>
      <c r="D35" s="149">
        <f t="shared" si="15"/>
        <v>18.62</v>
      </c>
      <c r="E35" s="150">
        <f t="shared" si="16"/>
        <v>273.32100000000003</v>
      </c>
      <c r="F35" s="150">
        <f t="shared" si="5"/>
        <v>32.335710789806299</v>
      </c>
      <c r="G35" s="151">
        <f t="shared" si="6"/>
        <v>324.27671078980632</v>
      </c>
      <c r="H35" s="152">
        <f t="shared" si="17"/>
        <v>33</v>
      </c>
      <c r="I35" s="150">
        <f t="shared" si="18"/>
        <v>259.767</v>
      </c>
      <c r="J35" s="150">
        <f t="shared" si="9"/>
        <v>32.335710789806299</v>
      </c>
      <c r="K35" s="153">
        <f t="shared" si="10"/>
        <v>325.10271078980628</v>
      </c>
      <c r="L35" s="152">
        <f t="shared" si="0"/>
        <v>0.82599999999996498</v>
      </c>
      <c r="M35" s="154">
        <f t="shared" si="1"/>
        <v>2.5472072847543218E-3</v>
      </c>
    </row>
    <row r="36" spans="2:13" x14ac:dyDescent="0.2">
      <c r="B36" s="147">
        <v>25</v>
      </c>
      <c r="C36" s="148">
        <f t="shared" si="2"/>
        <v>2800</v>
      </c>
      <c r="D36" s="149">
        <f t="shared" si="15"/>
        <v>18.62</v>
      </c>
      <c r="E36" s="150">
        <f t="shared" si="16"/>
        <v>283.44400000000002</v>
      </c>
      <c r="F36" s="150">
        <f t="shared" si="5"/>
        <v>33.533329707947274</v>
      </c>
      <c r="G36" s="151">
        <f t="shared" si="6"/>
        <v>335.59732970794732</v>
      </c>
      <c r="H36" s="152">
        <f t="shared" si="17"/>
        <v>33</v>
      </c>
      <c r="I36" s="150">
        <f t="shared" si="18"/>
        <v>269.38800000000003</v>
      </c>
      <c r="J36" s="150">
        <f t="shared" si="9"/>
        <v>33.533329707947274</v>
      </c>
      <c r="K36" s="153">
        <f t="shared" si="10"/>
        <v>335.92132970794728</v>
      </c>
      <c r="L36" s="152">
        <f t="shared" si="0"/>
        <v>0.32399999999995543</v>
      </c>
      <c r="M36" s="154">
        <f t="shared" si="1"/>
        <v>9.6544272352201243E-4</v>
      </c>
    </row>
    <row r="37" spans="2:13" x14ac:dyDescent="0.2">
      <c r="B37" s="147">
        <v>26</v>
      </c>
      <c r="C37" s="148">
        <f t="shared" si="2"/>
        <v>2900</v>
      </c>
      <c r="D37" s="149">
        <f t="shared" si="15"/>
        <v>18.62</v>
      </c>
      <c r="E37" s="150">
        <f t="shared" si="16"/>
        <v>293.56700000000001</v>
      </c>
      <c r="F37" s="150">
        <f t="shared" si="5"/>
        <v>34.730948626088242</v>
      </c>
      <c r="G37" s="151">
        <f t="shared" si="6"/>
        <v>346.91794862608828</v>
      </c>
      <c r="H37" s="152">
        <f t="shared" si="17"/>
        <v>33</v>
      </c>
      <c r="I37" s="150">
        <f t="shared" si="18"/>
        <v>279.00900000000001</v>
      </c>
      <c r="J37" s="150">
        <f t="shared" si="9"/>
        <v>34.730948626088242</v>
      </c>
      <c r="K37" s="153">
        <f t="shared" si="10"/>
        <v>346.73994862608828</v>
      </c>
      <c r="L37" s="152">
        <f t="shared" si="0"/>
        <v>-0.17799999999999727</v>
      </c>
      <c r="M37" s="154">
        <f t="shared" si="1"/>
        <v>-5.1308962452054476E-4</v>
      </c>
    </row>
    <row r="38" spans="2:13" ht="13.5" thickBot="1" x14ac:dyDescent="0.25">
      <c r="B38" s="155">
        <v>27</v>
      </c>
      <c r="C38" s="160">
        <f t="shared" si="2"/>
        <v>3000</v>
      </c>
      <c r="D38" s="156">
        <f t="shared" si="15"/>
        <v>18.62</v>
      </c>
      <c r="E38" s="157">
        <f t="shared" si="16"/>
        <v>303.69</v>
      </c>
      <c r="F38" s="157">
        <f t="shared" si="5"/>
        <v>35.928567544229217</v>
      </c>
      <c r="G38" s="151">
        <f t="shared" si="6"/>
        <v>358.23856754422923</v>
      </c>
      <c r="H38" s="158">
        <f t="shared" si="17"/>
        <v>33</v>
      </c>
      <c r="I38" s="157">
        <f t="shared" si="18"/>
        <v>288.63</v>
      </c>
      <c r="J38" s="157">
        <f t="shared" si="9"/>
        <v>35.928567544229217</v>
      </c>
      <c r="K38" s="153">
        <f t="shared" si="10"/>
        <v>357.55856754422922</v>
      </c>
      <c r="L38" s="158">
        <f t="shared" si="0"/>
        <v>-0.68000000000000682</v>
      </c>
      <c r="M38" s="159">
        <f t="shared" si="1"/>
        <v>-1.8981764154024313E-3</v>
      </c>
    </row>
    <row r="39" spans="2:13" s="180" customFormat="1" ht="21.75" customHeight="1" thickTop="1" thickBot="1" x14ac:dyDescent="0.25">
      <c r="B39" s="181" t="s">
        <v>104</v>
      </c>
      <c r="C39" s="182">
        <f>'R'!D29</f>
        <v>1042.2886739704347</v>
      </c>
      <c r="D39" s="183">
        <f t="shared" si="15"/>
        <v>18.62</v>
      </c>
      <c r="E39" s="184">
        <f t="shared" ref="E39" si="19">$E$7*C39</f>
        <v>105.51088246602711</v>
      </c>
      <c r="F39" s="184">
        <f t="shared" si="5"/>
        <v>12.482646341110623</v>
      </c>
      <c r="G39" s="184">
        <f t="shared" si="6"/>
        <v>136.61352880713775</v>
      </c>
      <c r="H39" s="185">
        <f t="shared" si="17"/>
        <v>33</v>
      </c>
      <c r="I39" s="184">
        <f t="shared" ref="I39" si="20">$I$7*C39</f>
        <v>100.27859332269553</v>
      </c>
      <c r="J39" s="184">
        <f t="shared" si="9"/>
        <v>12.482646341110623</v>
      </c>
      <c r="K39" s="184">
        <f t="shared" si="10"/>
        <v>145.76123966380618</v>
      </c>
      <c r="L39" s="185">
        <f t="shared" ref="L39" si="21">K39-G39</f>
        <v>9.1477108566684251</v>
      </c>
      <c r="M39" s="186">
        <f t="shared" ref="M39" si="22">L39/G39</f>
        <v>6.6960504838306151E-2</v>
      </c>
    </row>
    <row r="40" spans="2:13" ht="13.5" thickTop="1" x14ac:dyDescent="0.2"/>
    <row r="41" spans="2:13" x14ac:dyDescent="0.2">
      <c r="B41" s="288"/>
    </row>
    <row r="57" spans="15:15" ht="15.75" x14ac:dyDescent="0.25">
      <c r="O57" s="340"/>
    </row>
  </sheetData>
  <mergeCells count="3">
    <mergeCell ref="D5:G5"/>
    <mergeCell ref="H5:K5"/>
    <mergeCell ref="L5:M5"/>
  </mergeCells>
  <printOptions horizontalCentered="1"/>
  <pageMargins left="1" right="0.75" top="0.75" bottom="0.75" header="0.3" footer="0.3"/>
  <pageSetup scale="76" fitToHeight="2" orientation="portrait" r:id="rId1"/>
  <headerFooter>
    <oddFooter>&amp;RExhibit JW-9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8677-B369-4F89-9350-D1D561D17A15}">
  <sheetPr>
    <tabColor theme="5" tint="0.79998168889431442"/>
    <pageSetUpPr fitToPage="1"/>
  </sheetPr>
  <dimension ref="A1:K60"/>
  <sheetViews>
    <sheetView topLeftCell="A33" zoomScaleNormal="100" workbookViewId="0">
      <selection activeCell="J58" sqref="J58"/>
    </sheetView>
  </sheetViews>
  <sheetFormatPr defaultRowHeight="12.75" x14ac:dyDescent="0.2"/>
  <cols>
    <col min="1" max="2" width="3.28515625" style="116" customWidth="1"/>
    <col min="3" max="3" width="5.42578125" style="116" customWidth="1"/>
    <col min="4" max="4" width="46.28515625" style="116" customWidth="1"/>
    <col min="5" max="5" width="12.28515625" style="116" bestFit="1" customWidth="1"/>
    <col min="6" max="7" width="11.7109375" style="116" customWidth="1"/>
    <col min="8" max="8" width="9.140625" style="116"/>
    <col min="9" max="9" width="37" style="125" bestFit="1" customWidth="1"/>
    <col min="10" max="10" width="14.7109375" style="125" customWidth="1"/>
    <col min="11" max="11" width="10.140625" style="116" customWidth="1"/>
    <col min="12" max="14" width="9.140625" style="125"/>
    <col min="15" max="15" width="52" style="125" bestFit="1" customWidth="1"/>
    <col min="16" max="16384" width="9.140625" style="125"/>
  </cols>
  <sheetData>
    <row r="1" spans="1:11" ht="18" x14ac:dyDescent="0.25">
      <c r="A1" s="266" t="str">
        <f>List!A1</f>
        <v>Clark Energy Cooperative</v>
      </c>
      <c r="B1" s="266"/>
      <c r="C1" s="125"/>
      <c r="D1" s="125"/>
      <c r="E1" s="125"/>
      <c r="F1" s="125"/>
      <c r="G1" s="125"/>
      <c r="H1" s="125"/>
      <c r="K1" s="125"/>
    </row>
    <row r="2" spans="1:11" x14ac:dyDescent="0.2">
      <c r="A2" s="112"/>
      <c r="B2" s="112"/>
      <c r="C2" s="125"/>
      <c r="D2" s="125"/>
      <c r="E2" s="125"/>
      <c r="F2" s="125"/>
      <c r="G2" s="125"/>
      <c r="H2" s="125"/>
      <c r="K2" s="125"/>
    </row>
    <row r="3" spans="1:11" x14ac:dyDescent="0.2">
      <c r="A3" s="112" t="s">
        <v>70</v>
      </c>
      <c r="B3" s="112"/>
      <c r="C3" s="125"/>
      <c r="D3" s="125"/>
      <c r="E3" s="125"/>
      <c r="F3" s="125"/>
      <c r="G3" s="125"/>
      <c r="H3" s="125"/>
      <c r="K3" s="125"/>
    </row>
    <row r="4" spans="1:11" ht="12.75" customHeight="1" x14ac:dyDescent="0.2">
      <c r="A4" s="125"/>
      <c r="B4" s="125"/>
      <c r="C4" s="125"/>
      <c r="D4" s="125"/>
      <c r="E4" s="125"/>
      <c r="F4" s="125"/>
      <c r="G4" s="125"/>
      <c r="H4" s="125"/>
    </row>
    <row r="5" spans="1:11" ht="12.75" customHeight="1" x14ac:dyDescent="0.2">
      <c r="A5" s="125"/>
      <c r="B5" s="125"/>
      <c r="C5" s="282" t="s">
        <v>25</v>
      </c>
      <c r="D5" s="289"/>
      <c r="E5" s="337" t="s">
        <v>26</v>
      </c>
      <c r="F5" s="337"/>
      <c r="G5" s="125"/>
      <c r="H5" s="125"/>
      <c r="J5" s="116"/>
      <c r="K5" s="125"/>
    </row>
    <row r="6" spans="1:11" x14ac:dyDescent="0.2">
      <c r="A6" s="125"/>
      <c r="B6" s="125"/>
      <c r="D6" s="125"/>
      <c r="E6" s="193" t="s">
        <v>28</v>
      </c>
      <c r="F6" s="193" t="s">
        <v>29</v>
      </c>
      <c r="G6" s="125"/>
      <c r="H6" s="125"/>
      <c r="J6" s="116"/>
      <c r="K6" s="125"/>
    </row>
    <row r="7" spans="1:11" x14ac:dyDescent="0.2">
      <c r="A7" s="125"/>
      <c r="B7" s="125"/>
      <c r="C7" s="114" t="str">
        <f>'Present and Proposed Rates'!C11</f>
        <v>R</v>
      </c>
      <c r="D7" s="114" t="str">
        <f>'Present and Proposed Rates'!B11</f>
        <v>Residential</v>
      </c>
      <c r="E7" s="125"/>
      <c r="F7" s="125"/>
      <c r="G7" s="125"/>
      <c r="H7" s="125"/>
      <c r="J7" s="116"/>
      <c r="K7" s="125"/>
    </row>
    <row r="8" spans="1:11" x14ac:dyDescent="0.2">
      <c r="A8" s="125"/>
      <c r="B8" s="125"/>
      <c r="C8" s="114"/>
      <c r="D8" s="162" t="s">
        <v>242</v>
      </c>
      <c r="E8" s="169">
        <f>'Present and Proposed Rates'!G11</f>
        <v>18.62</v>
      </c>
      <c r="F8" s="169">
        <f>'Present and Proposed Rates'!H11</f>
        <v>33</v>
      </c>
      <c r="G8" s="320"/>
      <c r="H8" s="319"/>
      <c r="J8" s="116"/>
      <c r="K8" s="125"/>
    </row>
    <row r="9" spans="1:11" x14ac:dyDescent="0.2">
      <c r="A9" s="125"/>
      <c r="B9" s="125"/>
      <c r="C9" s="115"/>
      <c r="D9" s="162" t="s">
        <v>86</v>
      </c>
      <c r="E9" s="163">
        <f>'Present and Proposed Rates'!G12</f>
        <v>0.10123</v>
      </c>
      <c r="F9" s="163">
        <f>'Present and Proposed Rates'!H12</f>
        <v>9.6210000000000004E-2</v>
      </c>
      <c r="G9" s="234"/>
      <c r="H9" s="319"/>
      <c r="J9" s="116"/>
      <c r="K9" s="125"/>
    </row>
    <row r="10" spans="1:11" x14ac:dyDescent="0.2">
      <c r="A10" s="125"/>
      <c r="B10" s="125"/>
      <c r="C10" s="114" t="s">
        <v>260</v>
      </c>
      <c r="D10" s="114"/>
      <c r="E10" s="163"/>
      <c r="F10" s="163"/>
      <c r="G10" s="320"/>
      <c r="H10" s="125"/>
      <c r="J10" s="116"/>
      <c r="K10" s="125"/>
    </row>
    <row r="11" spans="1:11" x14ac:dyDescent="0.2">
      <c r="A11" s="125"/>
      <c r="B11" s="125"/>
      <c r="C11" s="114"/>
      <c r="D11" s="162" t="s">
        <v>242</v>
      </c>
      <c r="E11" s="169">
        <f>E8</f>
        <v>18.62</v>
      </c>
      <c r="F11" s="169">
        <f>F8</f>
        <v>33</v>
      </c>
      <c r="G11" s="320"/>
      <c r="H11" s="319"/>
      <c r="J11" s="116"/>
      <c r="K11" s="125"/>
    </row>
    <row r="12" spans="1:11" x14ac:dyDescent="0.2">
      <c r="A12" s="125"/>
      <c r="B12" s="125"/>
      <c r="C12" s="115"/>
      <c r="D12" s="162" t="s">
        <v>86</v>
      </c>
      <c r="E12" s="163">
        <f>E9</f>
        <v>0.10123</v>
      </c>
      <c r="F12" s="163">
        <f>F9</f>
        <v>9.6210000000000004E-2</v>
      </c>
      <c r="G12" s="234"/>
      <c r="H12" s="319"/>
      <c r="J12" s="116"/>
      <c r="K12" s="125"/>
    </row>
    <row r="13" spans="1:11" x14ac:dyDescent="0.2">
      <c r="C13" s="114" t="str">
        <f>'Present and Proposed Rates'!C18</f>
        <v>C</v>
      </c>
      <c r="D13" s="114" t="str">
        <f>'Present and Proposed Rates'!B18</f>
        <v>General Power Service &lt; 50kW</v>
      </c>
      <c r="G13" s="321"/>
    </row>
    <row r="14" spans="1:11" s="116" customFormat="1" x14ac:dyDescent="0.2">
      <c r="D14" s="116" t="str">
        <f>'Present and Proposed Rates'!D18</f>
        <v>Facility Charge 1Ph (per month)</v>
      </c>
      <c r="E14" s="169">
        <f>'Present and Proposed Rates'!G18</f>
        <v>26.2</v>
      </c>
      <c r="F14" s="169">
        <f>'Present and Proposed Rates'!H18</f>
        <v>40.58</v>
      </c>
      <c r="G14" s="320"/>
      <c r="H14" s="319"/>
      <c r="I14" s="125"/>
      <c r="J14" s="125"/>
    </row>
    <row r="15" spans="1:11" s="116" customFormat="1" x14ac:dyDescent="0.2">
      <c r="D15" s="116" t="str">
        <f>'Present and Proposed Rates'!D19</f>
        <v>Facility Charge 3Ph (per month)</v>
      </c>
      <c r="E15" s="169">
        <f>'Present and Proposed Rates'!G19</f>
        <v>51.85</v>
      </c>
      <c r="F15" s="169">
        <f>'Present and Proposed Rates'!H19</f>
        <v>51.85</v>
      </c>
      <c r="G15" s="320"/>
      <c r="H15" s="319"/>
      <c r="I15" s="125"/>
      <c r="J15" s="125"/>
    </row>
    <row r="16" spans="1:11" s="116" customFormat="1" x14ac:dyDescent="0.2">
      <c r="D16" s="116" t="str">
        <f>'Present and Proposed Rates'!D20</f>
        <v>Energy Charge (per kWh)</v>
      </c>
      <c r="E16" s="163">
        <f>'Present and Proposed Rates'!G20</f>
        <v>0.10976</v>
      </c>
      <c r="F16" s="163">
        <f>'Present and Proposed Rates'!H20</f>
        <v>0.10009217809169571</v>
      </c>
      <c r="G16" s="234"/>
      <c r="H16" s="319"/>
      <c r="I16" s="125"/>
      <c r="J16" s="125"/>
    </row>
    <row r="17" spans="3:10" s="116" customFormat="1" x14ac:dyDescent="0.2">
      <c r="C17" s="322" t="str">
        <f>'Present and Proposed Rates'!C22</f>
        <v>E</v>
      </c>
      <c r="D17" s="322" t="str">
        <f>'Present and Proposed Rates'!B22</f>
        <v>Public Facilities</v>
      </c>
      <c r="G17" s="321"/>
      <c r="I17" s="125"/>
      <c r="J17" s="125"/>
    </row>
    <row r="18" spans="3:10" s="116" customFormat="1" x14ac:dyDescent="0.2">
      <c r="D18" s="116" t="str">
        <f>'Present and Proposed Rates'!D22</f>
        <v>Facility Charge (per month)</v>
      </c>
      <c r="E18" s="169">
        <f>'Present and Proposed Rates'!G22</f>
        <v>18.62</v>
      </c>
      <c r="F18" s="169">
        <f>'Present and Proposed Rates'!H22</f>
        <v>33</v>
      </c>
      <c r="G18" s="320"/>
      <c r="H18" s="319"/>
    </row>
    <row r="19" spans="3:10" s="116" customFormat="1" x14ac:dyDescent="0.2">
      <c r="D19" s="116" t="str">
        <f>'Present and Proposed Rates'!D23</f>
        <v>Energy Charge (per kWh)</v>
      </c>
      <c r="E19" s="163">
        <f>'Present and Proposed Rates'!G23</f>
        <v>0.1103</v>
      </c>
      <c r="F19" s="163">
        <f>'Present and Proposed Rates'!H23</f>
        <v>9.5449492257617091E-2</v>
      </c>
      <c r="G19" s="234"/>
      <c r="H19" s="319"/>
    </row>
    <row r="20" spans="3:10" s="116" customFormat="1" x14ac:dyDescent="0.2">
      <c r="C20" s="322" t="str">
        <f>'Present and Proposed Rates'!C25</f>
        <v>L</v>
      </c>
      <c r="D20" s="322" t="str">
        <f>'Present and Proposed Rates'!B25</f>
        <v>General Power Service 50-500kW</v>
      </c>
      <c r="G20" s="320"/>
      <c r="H20" s="125"/>
      <c r="I20" s="125"/>
      <c r="J20" s="125"/>
    </row>
    <row r="21" spans="3:10" s="116" customFormat="1" x14ac:dyDescent="0.2">
      <c r="D21" s="116" t="str">
        <f>'Present and Proposed Rates'!D25</f>
        <v>Facility Charge (per month)</v>
      </c>
      <c r="E21" s="169">
        <f>'Present and Proposed Rates'!G25</f>
        <v>65.989999999999995</v>
      </c>
      <c r="F21" s="169">
        <f>'Present and Proposed Rates'!H25</f>
        <v>65.989999999999995</v>
      </c>
      <c r="G21" s="320"/>
      <c r="H21" s="319"/>
    </row>
    <row r="22" spans="3:10" s="116" customFormat="1" x14ac:dyDescent="0.2">
      <c r="D22" s="116" t="str">
        <f>'Present and Proposed Rates'!D26</f>
        <v>Energy Charge (per kWh)</v>
      </c>
      <c r="E22" s="163">
        <f>'Present and Proposed Rates'!G26</f>
        <v>8.1290000000000001E-2</v>
      </c>
      <c r="F22" s="163">
        <f>'Present and Proposed Rates'!H26</f>
        <v>7.7428409860084632E-2</v>
      </c>
      <c r="G22" s="234"/>
      <c r="H22" s="319"/>
    </row>
    <row r="23" spans="3:10" s="116" customFormat="1" x14ac:dyDescent="0.2">
      <c r="D23" s="116" t="str">
        <f>'Present and Proposed Rates'!D27</f>
        <v>Demand Charge (per kW)</v>
      </c>
      <c r="E23" s="169">
        <f>'Present and Proposed Rates'!G27</f>
        <v>6.69</v>
      </c>
      <c r="F23" s="169">
        <f>'Present and Proposed Rates'!H27</f>
        <v>7.75</v>
      </c>
      <c r="G23" s="320"/>
      <c r="H23" s="319"/>
    </row>
    <row r="24" spans="3:10" s="116" customFormat="1" x14ac:dyDescent="0.2">
      <c r="C24" s="322" t="str">
        <f>'Present and Proposed Rates'!C33</f>
        <v>P</v>
      </c>
      <c r="D24" s="322" t="str">
        <f>'Present and Proposed Rates'!B33</f>
        <v>General Power Service 500+kW</v>
      </c>
      <c r="G24" s="320"/>
      <c r="H24" s="125"/>
      <c r="I24" s="125"/>
      <c r="J24" s="125"/>
    </row>
    <row r="25" spans="3:10" s="116" customFormat="1" x14ac:dyDescent="0.2">
      <c r="D25" s="116" t="str">
        <f>'Present and Proposed Rates'!D33</f>
        <v>Facility Charge (per month)</v>
      </c>
      <c r="E25" s="169">
        <f>'Present and Proposed Rates'!G33</f>
        <v>89.85</v>
      </c>
      <c r="F25" s="169">
        <f>'Present and Proposed Rates'!H33</f>
        <v>89.85</v>
      </c>
      <c r="G25" s="320"/>
      <c r="H25" s="319"/>
    </row>
    <row r="26" spans="3:10" s="116" customFormat="1" x14ac:dyDescent="0.2">
      <c r="D26" s="116" t="str">
        <f>'Present and Proposed Rates'!D34</f>
        <v>Energy Charge (per kWh)</v>
      </c>
      <c r="E26" s="163">
        <f>'Present and Proposed Rates'!G34</f>
        <v>7.0779999999999996E-2</v>
      </c>
      <c r="F26" s="163">
        <f>'Present and Proposed Rates'!H34</f>
        <v>6.6428794370572794E-2</v>
      </c>
      <c r="G26" s="234"/>
      <c r="H26" s="319"/>
    </row>
    <row r="27" spans="3:10" s="116" customFormat="1" x14ac:dyDescent="0.2">
      <c r="D27" s="116" t="str">
        <f>'Present and Proposed Rates'!D35</f>
        <v>Demand Charge (per kW)</v>
      </c>
      <c r="E27" s="169">
        <f>'Present and Proposed Rates'!G35</f>
        <v>6.42</v>
      </c>
      <c r="F27" s="169">
        <f>'Present and Proposed Rates'!H35</f>
        <v>7.75</v>
      </c>
      <c r="G27" s="320"/>
      <c r="H27" s="319"/>
    </row>
    <row r="28" spans="3:10" s="116" customFormat="1" x14ac:dyDescent="0.2">
      <c r="C28" s="322" t="str">
        <f>'Present and Proposed Rates'!C37</f>
        <v>B-1</v>
      </c>
      <c r="D28" s="322" t="str">
        <f>'Present and Proposed Rates'!B37</f>
        <v>Large Industrial Rate</v>
      </c>
      <c r="E28" s="169"/>
      <c r="F28" s="169"/>
      <c r="G28" s="320"/>
      <c r="H28" s="319"/>
    </row>
    <row r="29" spans="3:10" s="116" customFormat="1" x14ac:dyDescent="0.2">
      <c r="D29" s="116" t="str">
        <f>'Present and Proposed Rates'!D37</f>
        <v>Facility Charge (per month)</v>
      </c>
      <c r="E29" s="169">
        <f>'Present and Proposed Rates'!G37</f>
        <v>868.72</v>
      </c>
      <c r="F29" s="169">
        <f>'Present and Proposed Rates'!H37</f>
        <v>868.72</v>
      </c>
      <c r="G29" s="320"/>
      <c r="H29" s="319"/>
    </row>
    <row r="30" spans="3:10" s="116" customFormat="1" x14ac:dyDescent="0.2">
      <c r="D30" s="116" t="str">
        <f>'Present and Proposed Rates'!D38</f>
        <v>Demand Charge (per kW) Contract</v>
      </c>
      <c r="E30" s="169">
        <f>'Present and Proposed Rates'!G38</f>
        <v>7.41</v>
      </c>
      <c r="F30" s="169">
        <f>'Present and Proposed Rates'!H38</f>
        <v>9.25</v>
      </c>
      <c r="G30" s="320"/>
      <c r="H30" s="319"/>
    </row>
    <row r="31" spans="3:10" s="116" customFormat="1" x14ac:dyDescent="0.2">
      <c r="D31" s="116" t="str">
        <f>'Present and Proposed Rates'!D39</f>
        <v>Demand Charge (per kW) Excess</v>
      </c>
      <c r="E31" s="169">
        <f>'Present and Proposed Rates'!G39</f>
        <v>10.32</v>
      </c>
      <c r="F31" s="169">
        <f>'Present and Proposed Rates'!H39</f>
        <v>10.75</v>
      </c>
      <c r="G31" s="320"/>
      <c r="H31" s="319"/>
    </row>
    <row r="32" spans="3:10" s="116" customFormat="1" x14ac:dyDescent="0.2">
      <c r="D32" s="116" t="str">
        <f>'Present and Proposed Rates'!D40</f>
        <v>Energy Charge (per kWh)</v>
      </c>
      <c r="E32" s="163">
        <f>'Present and Proposed Rates'!G40</f>
        <v>6.2435999999999998E-2</v>
      </c>
      <c r="F32" s="163">
        <f>'Present and Proposed Rates'!H40</f>
        <v>5.9780337546139081E-2</v>
      </c>
      <c r="G32" s="320"/>
      <c r="H32" s="319"/>
    </row>
    <row r="33" spans="1:11" s="116" customFormat="1" x14ac:dyDescent="0.2">
      <c r="E33" s="169"/>
      <c r="F33" s="169"/>
      <c r="G33" s="125"/>
      <c r="H33" s="125"/>
    </row>
    <row r="34" spans="1:11" s="116" customFormat="1" x14ac:dyDescent="0.2">
      <c r="C34" s="125" t="s">
        <v>246</v>
      </c>
      <c r="E34" s="169"/>
      <c r="F34" s="169"/>
      <c r="G34" s="125"/>
      <c r="H34" s="125"/>
    </row>
    <row r="35" spans="1:11" s="116" customFormat="1" x14ac:dyDescent="0.2">
      <c r="A35" s="125"/>
      <c r="B35" s="125"/>
      <c r="H35" s="125"/>
      <c r="I35" s="125"/>
      <c r="J35" s="125"/>
    </row>
    <row r="36" spans="1:11" s="116" customFormat="1" ht="48.75" customHeight="1" x14ac:dyDescent="0.2">
      <c r="A36" s="125"/>
      <c r="B36" s="338" t="s">
        <v>73</v>
      </c>
      <c r="C36" s="338"/>
      <c r="D36" s="338"/>
      <c r="E36" s="338"/>
      <c r="F36" s="338"/>
      <c r="H36" s="125"/>
      <c r="I36" s="125"/>
      <c r="J36" s="125"/>
    </row>
    <row r="37" spans="1:11" x14ac:dyDescent="0.2">
      <c r="E37" s="339" t="s">
        <v>30</v>
      </c>
      <c r="F37" s="339"/>
    </row>
    <row r="38" spans="1:11" x14ac:dyDescent="0.2">
      <c r="C38" s="282" t="s">
        <v>25</v>
      </c>
      <c r="D38" s="283"/>
      <c r="E38" s="124" t="s">
        <v>75</v>
      </c>
      <c r="F38" s="124" t="s">
        <v>69</v>
      </c>
    </row>
    <row r="39" spans="1:11" x14ac:dyDescent="0.2">
      <c r="C39" s="116" t="str">
        <f>List!C6</f>
        <v>R</v>
      </c>
      <c r="D39" s="125" t="str">
        <f>List!B6</f>
        <v>Residential</v>
      </c>
      <c r="E39" s="119">
        <f>'Present and Proposed Rates'!O11</f>
        <v>2820550.279279992</v>
      </c>
      <c r="F39" s="269">
        <f>'Present and Proposed Rates'!P11</f>
        <v>6.6937939307376251E-2</v>
      </c>
    </row>
    <row r="40" spans="1:11" x14ac:dyDescent="0.2">
      <c r="C40" s="116" t="str">
        <f>List!C7</f>
        <v>D</v>
      </c>
      <c r="D40" s="125" t="str">
        <f>List!B7</f>
        <v>Time Of Use Marketing Service</v>
      </c>
      <c r="E40" s="119">
        <f>'Present and Proposed Rates'!O14</f>
        <v>0</v>
      </c>
      <c r="F40" s="280">
        <f>'Present and Proposed Rates'!P14</f>
        <v>0</v>
      </c>
    </row>
    <row r="41" spans="1:11" x14ac:dyDescent="0.2">
      <c r="C41" s="116" t="str">
        <f>List!C8</f>
        <v>C</v>
      </c>
      <c r="D41" s="125" t="str">
        <f>List!B8</f>
        <v>General Power Service &lt; 50kW</v>
      </c>
      <c r="E41" s="119">
        <f>'Present and Proposed Rates'!O18</f>
        <v>0</v>
      </c>
      <c r="F41" s="280">
        <f>'Present and Proposed Rates'!P18</f>
        <v>0</v>
      </c>
    </row>
    <row r="42" spans="1:11" x14ac:dyDescent="0.2">
      <c r="C42" s="116" t="str">
        <f>List!C9</f>
        <v>E</v>
      </c>
      <c r="D42" s="125" t="str">
        <f>List!B9</f>
        <v>Public Facilities</v>
      </c>
      <c r="E42" s="119">
        <f>'Present and Proposed Rates'!O22</f>
        <v>0</v>
      </c>
      <c r="F42" s="280">
        <f>'Present and Proposed Rates'!P22</f>
        <v>0</v>
      </c>
    </row>
    <row r="43" spans="1:11" x14ac:dyDescent="0.2">
      <c r="C43" s="116" t="str">
        <f>List!C10</f>
        <v>L</v>
      </c>
      <c r="D43" s="125" t="str">
        <f>List!B10</f>
        <v>General Power Service 50-500kW</v>
      </c>
      <c r="E43" s="119">
        <f>'Present and Proposed Rates'!O25</f>
        <v>0</v>
      </c>
      <c r="F43" s="280">
        <f>'Present and Proposed Rates'!P25</f>
        <v>0</v>
      </c>
    </row>
    <row r="44" spans="1:11" x14ac:dyDescent="0.2">
      <c r="C44" s="116" t="str">
        <f>List!C12</f>
        <v>P</v>
      </c>
      <c r="D44" s="125" t="str">
        <f>List!B12</f>
        <v>General Power Service 500+kW</v>
      </c>
      <c r="E44" s="119">
        <f>'Present and Proposed Rates'!O33</f>
        <v>0</v>
      </c>
      <c r="F44" s="280">
        <f>'Present and Proposed Rates'!P33</f>
        <v>0</v>
      </c>
      <c r="K44" s="117"/>
    </row>
    <row r="45" spans="1:11" x14ac:dyDescent="0.2">
      <c r="C45" s="116" t="str">
        <f>List!C13</f>
        <v>B-1</v>
      </c>
      <c r="D45" s="125" t="str">
        <f>List!B13</f>
        <v>Large Industrial Rate</v>
      </c>
      <c r="E45" s="119">
        <f>'Present and Proposed Rates'!O37</f>
        <v>0</v>
      </c>
      <c r="F45" s="280">
        <f>'Present and Proposed Rates'!P37</f>
        <v>0</v>
      </c>
      <c r="K45" s="117"/>
    </row>
    <row r="46" spans="1:11" x14ac:dyDescent="0.2">
      <c r="C46" s="116" t="str">
        <f>List!C14</f>
        <v>S,T,O</v>
      </c>
      <c r="D46" s="125" t="str">
        <f>List!B14</f>
        <v>Lighting</v>
      </c>
      <c r="E46" s="119">
        <f>'Present and Proposed Rates'!O42</f>
        <v>0</v>
      </c>
      <c r="F46" s="280">
        <f>'Present and Proposed Rates'!P42</f>
        <v>0</v>
      </c>
      <c r="H46" s="118"/>
      <c r="K46" s="117"/>
    </row>
    <row r="47" spans="1:11" x14ac:dyDescent="0.2">
      <c r="C47" s="130" t="s">
        <v>39</v>
      </c>
      <c r="D47" s="281"/>
      <c r="E47" s="120">
        <f>'Present and Proposed Rates'!O53</f>
        <v>2820550.279279992</v>
      </c>
      <c r="F47" s="270">
        <f>'Present and Proposed Rates'!P53</f>
        <v>4.8676130126726343E-2</v>
      </c>
      <c r="H47" s="118"/>
      <c r="K47" s="117"/>
    </row>
    <row r="48" spans="1:11" ht="16.5" customHeight="1" x14ac:dyDescent="0.2">
      <c r="H48" s="118"/>
      <c r="K48" s="117"/>
    </row>
    <row r="49" spans="2:11" ht="36.75" customHeight="1" x14ac:dyDescent="0.2">
      <c r="B49" s="338" t="s">
        <v>74</v>
      </c>
      <c r="C49" s="338"/>
      <c r="D49" s="338"/>
      <c r="E49" s="338"/>
      <c r="F49" s="338"/>
      <c r="G49" s="338"/>
      <c r="H49" s="118"/>
      <c r="K49" s="117"/>
    </row>
    <row r="50" spans="2:11" x14ac:dyDescent="0.2">
      <c r="E50" s="122" t="s">
        <v>71</v>
      </c>
      <c r="F50" s="339" t="s">
        <v>30</v>
      </c>
      <c r="G50" s="339"/>
      <c r="H50" s="118"/>
    </row>
    <row r="51" spans="2:11" x14ac:dyDescent="0.2">
      <c r="C51" s="282" t="s">
        <v>25</v>
      </c>
      <c r="D51" s="283"/>
      <c r="E51" s="123" t="s">
        <v>72</v>
      </c>
      <c r="F51" s="124" t="s">
        <v>75</v>
      </c>
      <c r="G51" s="124" t="s">
        <v>69</v>
      </c>
      <c r="H51" s="118"/>
    </row>
    <row r="52" spans="2:11" x14ac:dyDescent="0.2">
      <c r="C52" s="116" t="str">
        <f>List!C6</f>
        <v>R</v>
      </c>
      <c r="D52" s="125" t="str">
        <f>List!B6</f>
        <v>Residential</v>
      </c>
      <c r="E52" s="267">
        <f>'R'!D29</f>
        <v>1042.2886739704347</v>
      </c>
      <c r="F52" s="118">
        <f>'Present and Proposed Rates'!Q11</f>
        <v>9.1477108566683913</v>
      </c>
      <c r="G52" s="269">
        <f>F39</f>
        <v>6.6937939307376251E-2</v>
      </c>
    </row>
    <row r="53" spans="2:11" x14ac:dyDescent="0.2">
      <c r="C53" s="116" t="str">
        <f>List!C7</f>
        <v>D</v>
      </c>
      <c r="D53" s="125" t="str">
        <f>List!B7</f>
        <v>Time Of Use Marketing Service</v>
      </c>
      <c r="E53" s="267">
        <f>'D-RTOD'!D31</f>
        <v>27265.25</v>
      </c>
      <c r="F53" s="119">
        <f>'Present and Proposed Rates'!Q14</f>
        <v>0</v>
      </c>
      <c r="G53" s="280">
        <f t="shared" ref="G53:G59" si="0">F40</f>
        <v>0</v>
      </c>
    </row>
    <row r="54" spans="2:11" x14ac:dyDescent="0.2">
      <c r="C54" s="116" t="str">
        <f>List!C8</f>
        <v>C</v>
      </c>
      <c r="D54" s="125" t="str">
        <f>List!B8</f>
        <v>General Power Service &lt; 50kW</v>
      </c>
      <c r="E54" s="267">
        <f>'C'!D30</f>
        <v>1315.3221916909322</v>
      </c>
      <c r="F54" s="119">
        <f>'Present and Proposed Rates'!Q18</f>
        <v>0</v>
      </c>
      <c r="G54" s="280">
        <f t="shared" si="0"/>
        <v>0</v>
      </c>
    </row>
    <row r="55" spans="2:11" x14ac:dyDescent="0.2">
      <c r="C55" s="116" t="str">
        <f>List!C9</f>
        <v>E</v>
      </c>
      <c r="D55" s="125" t="str">
        <f>List!B9</f>
        <v>Public Facilities</v>
      </c>
      <c r="E55" s="267">
        <f>E!D29</f>
        <v>968.31706022817718</v>
      </c>
      <c r="F55" s="119">
        <f>'Present and Proposed Rates'!Q22</f>
        <v>0</v>
      </c>
      <c r="G55" s="280">
        <f t="shared" si="0"/>
        <v>0</v>
      </c>
    </row>
    <row r="56" spans="2:11" x14ac:dyDescent="0.2">
      <c r="C56" s="116" t="str">
        <f>List!C10</f>
        <v>L</v>
      </c>
      <c r="D56" s="125" t="str">
        <f>List!B10</f>
        <v>General Power Service 50-500kW</v>
      </c>
      <c r="E56" s="267">
        <f>L!D34</f>
        <v>29676.064245810056</v>
      </c>
      <c r="F56" s="119">
        <f>'Present and Proposed Rates'!Q25</f>
        <v>0</v>
      </c>
      <c r="G56" s="280">
        <f t="shared" si="0"/>
        <v>0</v>
      </c>
    </row>
    <row r="57" spans="2:11" x14ac:dyDescent="0.2">
      <c r="C57" s="116" t="str">
        <f>List!C12</f>
        <v>P</v>
      </c>
      <c r="D57" s="125" t="str">
        <f>List!B12</f>
        <v>General Power Service 500+kW</v>
      </c>
      <c r="E57" s="271">
        <f>P!D36</f>
        <v>221221.66666666666</v>
      </c>
      <c r="F57" s="119">
        <f>'Present and Proposed Rates'!Q33</f>
        <v>0</v>
      </c>
      <c r="G57" s="280">
        <f t="shared" si="0"/>
        <v>0</v>
      </c>
    </row>
    <row r="58" spans="2:11" x14ac:dyDescent="0.2">
      <c r="C58" s="116" t="str">
        <f>List!C13</f>
        <v>B-1</v>
      </c>
      <c r="D58" s="125" t="str">
        <f>List!B13</f>
        <v>Large Industrial Rate</v>
      </c>
      <c r="E58" s="267">
        <f>'B-1'!D36</f>
        <v>799981.5</v>
      </c>
      <c r="F58" s="119">
        <f>'Present and Proposed Rates'!Q37</f>
        <v>0</v>
      </c>
      <c r="G58" s="280">
        <f t="shared" si="0"/>
        <v>0</v>
      </c>
    </row>
    <row r="59" spans="2:11" x14ac:dyDescent="0.2">
      <c r="C59" s="116" t="str">
        <f>List!C14</f>
        <v>S,T,O</v>
      </c>
      <c r="D59" s="125" t="str">
        <f>List!B14</f>
        <v>Lighting</v>
      </c>
      <c r="E59" s="165" t="s">
        <v>85</v>
      </c>
      <c r="F59" s="119">
        <f>'Present and Proposed Rates'!Q42</f>
        <v>0</v>
      </c>
      <c r="G59" s="280">
        <f t="shared" si="0"/>
        <v>0</v>
      </c>
    </row>
    <row r="60" spans="2:11" x14ac:dyDescent="0.2">
      <c r="C60" s="130" t="s">
        <v>39</v>
      </c>
      <c r="D60" s="281"/>
      <c r="E60" s="272" t="s">
        <v>85</v>
      </c>
      <c r="F60" s="323" t="s">
        <v>85</v>
      </c>
      <c r="G60" s="270">
        <f>'Present and Proposed Rates'!P53</f>
        <v>4.8676130126726343E-2</v>
      </c>
    </row>
  </sheetData>
  <mergeCells count="5">
    <mergeCell ref="E5:F5"/>
    <mergeCell ref="B36:F36"/>
    <mergeCell ref="E37:F37"/>
    <mergeCell ref="B49:G49"/>
    <mergeCell ref="F50:G5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9" tint="0.59999389629810485"/>
    <pageSetUpPr fitToPage="1"/>
  </sheetPr>
  <dimension ref="A1:M43"/>
  <sheetViews>
    <sheetView view="pageBreakPreview" zoomScale="75" zoomScaleNormal="75" zoomScaleSheetLayoutView="75" workbookViewId="0">
      <selection activeCell="K36" sqref="K36"/>
    </sheetView>
  </sheetViews>
  <sheetFormatPr defaultRowHeight="15.75" x14ac:dyDescent="0.25"/>
  <cols>
    <col min="1" max="1" width="36" style="2" customWidth="1"/>
    <col min="2" max="2" width="15.5703125" style="41" bestFit="1" customWidth="1"/>
    <col min="3" max="3" width="15" style="2" bestFit="1" customWidth="1"/>
    <col min="4" max="4" width="17.140625" style="2" customWidth="1"/>
    <col min="5" max="5" width="16.5703125" style="2" customWidth="1"/>
    <col min="6" max="6" width="14.140625" style="2" customWidth="1"/>
    <col min="7" max="7" width="12.5703125" style="2" bestFit="1" customWidth="1"/>
    <col min="8" max="8" width="1.42578125" style="2" customWidth="1"/>
    <col min="9" max="9" width="16.28515625" style="2" customWidth="1"/>
    <col min="10" max="10" width="15.85546875" style="2" customWidth="1"/>
    <col min="11" max="11" width="15.7109375" style="2" customWidth="1"/>
    <col min="12" max="12" width="4.5703125" style="2" customWidth="1"/>
    <col min="13" max="13" width="20" style="2" customWidth="1"/>
    <col min="14" max="14" width="18.140625" style="2" bestFit="1" customWidth="1"/>
    <col min="15" max="15" width="15.140625" style="2" customWidth="1"/>
    <col min="16" max="16" width="18.42578125" style="2" customWidth="1"/>
    <col min="17" max="17" width="9.140625" style="2"/>
    <col min="18" max="18" width="10.7109375" style="2" customWidth="1"/>
    <col min="19" max="16384" width="9.140625" style="2"/>
  </cols>
  <sheetData>
    <row r="1" spans="1:13" ht="18.75" x14ac:dyDescent="0.3">
      <c r="A1" s="51" t="str">
        <f>List!A1</f>
        <v>Clark Energy Cooperative</v>
      </c>
      <c r="B1" s="58"/>
    </row>
    <row r="2" spans="1:13" x14ac:dyDescent="0.25">
      <c r="A2" s="1" t="s">
        <v>88</v>
      </c>
    </row>
    <row r="5" spans="1:13" ht="57" customHeight="1" x14ac:dyDescent="0.25">
      <c r="A5" s="21" t="s">
        <v>11</v>
      </c>
      <c r="B5" s="52" t="s">
        <v>38</v>
      </c>
      <c r="C5" s="22" t="s">
        <v>7</v>
      </c>
      <c r="D5" s="22" t="s">
        <v>14</v>
      </c>
      <c r="E5" s="22" t="s">
        <v>18</v>
      </c>
      <c r="F5" s="22" t="s">
        <v>10</v>
      </c>
      <c r="G5" s="22" t="s">
        <v>15</v>
      </c>
      <c r="H5" s="22"/>
    </row>
    <row r="7" spans="1:13" x14ac:dyDescent="0.25">
      <c r="A7" s="2" t="str">
        <f>List!B6</f>
        <v>Residential</v>
      </c>
      <c r="B7" s="41" t="str">
        <f>List!C6</f>
        <v>R</v>
      </c>
      <c r="C7" s="29">
        <f>'R'!D15</f>
        <v>321373036</v>
      </c>
      <c r="D7" s="54">
        <f>'R'!G24</f>
        <v>42005561.815520003</v>
      </c>
      <c r="E7" s="55">
        <f>'R'!G22</f>
        <v>42136795.791220009</v>
      </c>
      <c r="F7" s="55">
        <f t="shared" ref="F7:F15" si="0">E7-D7</f>
        <v>131233.97570000589</v>
      </c>
      <c r="G7" s="56">
        <f t="shared" ref="G7:G15" si="1">F7/D7</f>
        <v>3.1242047487987225E-3</v>
      </c>
      <c r="H7" s="56"/>
      <c r="K7" s="13"/>
      <c r="M7" s="15"/>
    </row>
    <row r="8" spans="1:13" x14ac:dyDescent="0.25">
      <c r="A8" s="2" t="str">
        <f>List!B7</f>
        <v>Time Of Use Marketing Service</v>
      </c>
      <c r="B8" s="41" t="str">
        <f>List!C7</f>
        <v>D</v>
      </c>
      <c r="C8" s="29">
        <f>'D-RTOD'!D16+'D-RTOD'!D17</f>
        <v>327183</v>
      </c>
      <c r="D8" s="54">
        <f>'D-RTOD'!G26</f>
        <v>24044</v>
      </c>
      <c r="E8" s="55">
        <f>'D-RTOD'!G24</f>
        <v>24266.468675000004</v>
      </c>
      <c r="F8" s="55">
        <f t="shared" si="0"/>
        <v>222.46867500000371</v>
      </c>
      <c r="G8" s="56">
        <f t="shared" si="1"/>
        <v>9.2525650890036473E-3</v>
      </c>
      <c r="H8" s="56"/>
      <c r="K8" s="13"/>
      <c r="M8" s="15"/>
    </row>
    <row r="9" spans="1:13" x14ac:dyDescent="0.25">
      <c r="A9" s="2" t="str">
        <f>List!B8</f>
        <v>General Power Service &lt; 50kW</v>
      </c>
      <c r="B9" s="41" t="str">
        <f>List!C8</f>
        <v>C</v>
      </c>
      <c r="C9" s="29">
        <f>'C'!D17+'C'!D18</f>
        <v>32071501</v>
      </c>
      <c r="D9" s="54">
        <f>'C'!G25</f>
        <v>4669689.5269399993</v>
      </c>
      <c r="E9" s="55">
        <f>'C'!G23</f>
        <v>4676484.0284249997</v>
      </c>
      <c r="F9" s="55">
        <f t="shared" si="0"/>
        <v>6794.5014850003645</v>
      </c>
      <c r="G9" s="56">
        <f t="shared" si="1"/>
        <v>1.4550221049605269E-3</v>
      </c>
      <c r="H9" s="56"/>
      <c r="K9" s="13"/>
      <c r="M9" s="15"/>
    </row>
    <row r="10" spans="1:13" x14ac:dyDescent="0.25">
      <c r="A10" s="2" t="str">
        <f>List!B9</f>
        <v>Public Facilities</v>
      </c>
      <c r="B10" s="41" t="str">
        <f>List!C9</f>
        <v>E</v>
      </c>
      <c r="C10" s="29">
        <f>E!D16</f>
        <v>3649587</v>
      </c>
      <c r="D10" s="129">
        <f>E!G24</f>
        <v>522504.48239999998</v>
      </c>
      <c r="E10" s="40">
        <f>E!G22</f>
        <v>524795.39495500003</v>
      </c>
      <c r="F10" s="40">
        <f t="shared" si="0"/>
        <v>2290.9125550000463</v>
      </c>
      <c r="G10" s="56">
        <f t="shared" si="1"/>
        <v>4.3844840229451901E-3</v>
      </c>
      <c r="H10" s="56"/>
      <c r="K10" s="13"/>
      <c r="M10" s="15"/>
    </row>
    <row r="11" spans="1:13" x14ac:dyDescent="0.25">
      <c r="A11" s="2" t="str">
        <f>List!B10</f>
        <v>General Power Service 50-500kW</v>
      </c>
      <c r="B11" s="41" t="str">
        <f>List!C10</f>
        <v>L</v>
      </c>
      <c r="C11" s="29">
        <f>L!D15</f>
        <v>42496124</v>
      </c>
      <c r="D11" s="129">
        <f>L!G29</f>
        <v>5150171.1242999993</v>
      </c>
      <c r="E11" s="40">
        <f>L!G27</f>
        <v>5158221.0344199995</v>
      </c>
      <c r="F11" s="40">
        <f t="shared" si="0"/>
        <v>8049.9101200001314</v>
      </c>
      <c r="G11" s="56">
        <f t="shared" si="1"/>
        <v>1.5630374070520344E-3</v>
      </c>
      <c r="H11" s="56"/>
      <c r="K11" s="13"/>
      <c r="M11" s="15"/>
    </row>
    <row r="12" spans="1:13" x14ac:dyDescent="0.25">
      <c r="A12" s="2" t="str">
        <f>List!B11</f>
        <v>General Power Service 1000-5000kW</v>
      </c>
      <c r="B12" s="41" t="str">
        <f>List!C11</f>
        <v>M</v>
      </c>
      <c r="C12" s="29">
        <f>M!D17</f>
        <v>0</v>
      </c>
      <c r="D12" s="129">
        <f>M!G29</f>
        <v>0</v>
      </c>
      <c r="E12" s="40">
        <f>M!G27</f>
        <v>0</v>
      </c>
      <c r="F12" s="40">
        <f t="shared" si="0"/>
        <v>0</v>
      </c>
      <c r="G12" s="56" t="e">
        <f t="shared" si="1"/>
        <v>#DIV/0!</v>
      </c>
      <c r="H12" s="56"/>
      <c r="K12" s="36"/>
      <c r="M12" s="15"/>
    </row>
    <row r="13" spans="1:13" x14ac:dyDescent="0.25">
      <c r="A13" s="2" t="str">
        <f>List!B12</f>
        <v>General Power Service 500+kW</v>
      </c>
      <c r="B13" s="41" t="str">
        <f>List!C12</f>
        <v>P</v>
      </c>
      <c r="C13" s="29">
        <f>P!D17</f>
        <v>21237280</v>
      </c>
      <c r="D13" s="54">
        <f>P!G31</f>
        <v>2213581.8679999998</v>
      </c>
      <c r="E13" s="55">
        <f>P!G29</f>
        <v>2207411.7396</v>
      </c>
      <c r="F13" s="55">
        <f t="shared" si="0"/>
        <v>-6170.1283999998122</v>
      </c>
      <c r="G13" s="56">
        <f t="shared" si="1"/>
        <v>-2.7873956184754096E-3</v>
      </c>
      <c r="H13" s="56"/>
      <c r="K13" s="13"/>
      <c r="M13" s="15"/>
    </row>
    <row r="14" spans="1:13" x14ac:dyDescent="0.25">
      <c r="A14" s="2" t="str">
        <f>List!B13</f>
        <v>Large Industrial Rate</v>
      </c>
      <c r="B14" s="41" t="str">
        <f>List!C13</f>
        <v>B-1</v>
      </c>
      <c r="C14" s="29">
        <f>'B-1'!D17</f>
        <v>9599778</v>
      </c>
      <c r="D14" s="54">
        <f>'B-1'!G31</f>
        <v>857825.64365600003</v>
      </c>
      <c r="E14" s="55">
        <f>'B-1'!G29</f>
        <v>859344.7399119999</v>
      </c>
      <c r="F14" s="55">
        <f t="shared" ref="F14" si="2">E14-D14</f>
        <v>1519.0962559998734</v>
      </c>
      <c r="G14" s="56">
        <f t="shared" ref="G14" si="3">F14/D14</f>
        <v>1.7708683194938995E-3</v>
      </c>
      <c r="H14" s="56"/>
      <c r="K14" s="13"/>
      <c r="M14" s="15"/>
    </row>
    <row r="15" spans="1:13" x14ac:dyDescent="0.25">
      <c r="A15" s="2" t="str">
        <f>List!B14</f>
        <v>Lighting</v>
      </c>
      <c r="B15" s="41" t="str">
        <f>List!C14</f>
        <v>S,T,O</v>
      </c>
      <c r="C15" s="29">
        <f>'S,T,O Lights'!D26</f>
        <v>3942945</v>
      </c>
      <c r="D15" s="54">
        <f>'S,T,O Lights'!H33</f>
        <v>1187646.0499999998</v>
      </c>
      <c r="E15" s="40">
        <f>'S,T,O Lights'!H31</f>
        <v>1331957.0999999999</v>
      </c>
      <c r="F15" s="55">
        <f t="shared" si="0"/>
        <v>144311.05000000005</v>
      </c>
      <c r="G15" s="56">
        <f t="shared" si="1"/>
        <v>0.12151015026741349</v>
      </c>
      <c r="H15" s="56"/>
      <c r="M15" s="15"/>
    </row>
    <row r="16" spans="1:13" hidden="1" x14ac:dyDescent="0.25">
      <c r="A16" s="2" t="e">
        <f>List!#REF!</f>
        <v>#REF!</v>
      </c>
      <c r="B16" s="41" t="e">
        <f>List!#REF!</f>
        <v>#REF!</v>
      </c>
      <c r="C16" s="29">
        <v>0</v>
      </c>
      <c r="D16" s="129">
        <v>0</v>
      </c>
      <c r="E16" s="40">
        <v>0</v>
      </c>
      <c r="F16" s="40">
        <v>0</v>
      </c>
      <c r="G16" s="56">
        <v>0</v>
      </c>
      <c r="H16" s="56"/>
    </row>
    <row r="17" spans="1:13" hidden="1" x14ac:dyDescent="0.25">
      <c r="A17" s="2">
        <f>List!B15</f>
        <v>0</v>
      </c>
      <c r="B17" s="41">
        <f>List!C15</f>
        <v>0</v>
      </c>
      <c r="C17" s="29">
        <v>0</v>
      </c>
      <c r="D17" s="129">
        <v>0</v>
      </c>
      <c r="E17" s="40">
        <v>0</v>
      </c>
      <c r="F17" s="40">
        <v>0</v>
      </c>
      <c r="G17" s="56">
        <v>0</v>
      </c>
      <c r="H17" s="56"/>
    </row>
    <row r="18" spans="1:13" ht="16.5" thickBot="1" x14ac:dyDescent="0.3">
      <c r="C18" s="43">
        <f>SUM(C7:C17)</f>
        <v>434697434</v>
      </c>
      <c r="D18" s="18">
        <f t="shared" ref="D18:F18" si="4">SUM(D7:D17)</f>
        <v>56631024.510816008</v>
      </c>
      <c r="E18" s="18">
        <f t="shared" si="4"/>
        <v>56919276.29720702</v>
      </c>
      <c r="F18" s="18">
        <f t="shared" si="4"/>
        <v>288251.78639100655</v>
      </c>
      <c r="G18" s="44">
        <f>F18/D18</f>
        <v>5.0899977332381314E-3</v>
      </c>
      <c r="H18" s="44"/>
    </row>
    <row r="19" spans="1:13" ht="16.5" thickTop="1" x14ac:dyDescent="0.25">
      <c r="E19" s="10"/>
    </row>
    <row r="20" spans="1:13" ht="15.75" customHeight="1" x14ac:dyDescent="0.25">
      <c r="B20" s="41" t="s">
        <v>20</v>
      </c>
      <c r="C20" s="35">
        <f>C18</f>
        <v>434697434</v>
      </c>
      <c r="D20" s="13">
        <f>D18</f>
        <v>56631024.510816008</v>
      </c>
      <c r="E20" s="13">
        <f>E18</f>
        <v>56919276.29720702</v>
      </c>
    </row>
    <row r="21" spans="1:13" ht="15.75" customHeight="1" x14ac:dyDescent="0.25">
      <c r="B21" s="41" t="s">
        <v>58</v>
      </c>
      <c r="C21" s="313">
        <v>430754489</v>
      </c>
      <c r="D21" s="312">
        <v>56814671.845116004</v>
      </c>
      <c r="E21" s="312">
        <f>D21</f>
        <v>56814671.845116004</v>
      </c>
      <c r="G21" s="14"/>
      <c r="H21" s="14"/>
    </row>
    <row r="22" spans="1:13" ht="15.75" customHeight="1" x14ac:dyDescent="0.25">
      <c r="B22" s="41" t="s">
        <v>10</v>
      </c>
      <c r="C22" s="13">
        <f>C21-C20</f>
        <v>-3942945</v>
      </c>
      <c r="D22" s="13">
        <f>D21-D20</f>
        <v>183647.3342999965</v>
      </c>
      <c r="E22" s="13">
        <f>E21-E20</f>
        <v>-104604.45209101588</v>
      </c>
      <c r="F22" s="14"/>
      <c r="I22" s="50"/>
    </row>
    <row r="23" spans="1:13" ht="15.75" customHeight="1" x14ac:dyDescent="0.25">
      <c r="B23" s="41" t="s">
        <v>10</v>
      </c>
      <c r="C23" s="19">
        <f>C22/C21</f>
        <v>-9.1535784320056143E-3</v>
      </c>
      <c r="D23" s="19">
        <f>D22/D21</f>
        <v>3.232392766443189E-3</v>
      </c>
      <c r="E23" s="19">
        <f>E22/E21</f>
        <v>-1.8411520949409136E-3</v>
      </c>
      <c r="F23" s="49"/>
      <c r="G23" s="19"/>
      <c r="H23" s="19"/>
      <c r="I23" s="7"/>
      <c r="M23" s="13"/>
    </row>
    <row r="24" spans="1:13" ht="15.75" customHeight="1" x14ac:dyDescent="0.25">
      <c r="C24" s="14"/>
      <c r="D24" s="14"/>
      <c r="F24" s="14"/>
    </row>
    <row r="25" spans="1:13" x14ac:dyDescent="0.25">
      <c r="A25" s="32"/>
      <c r="C25" s="35"/>
      <c r="D25" s="35"/>
      <c r="E25" s="34"/>
    </row>
    <row r="26" spans="1:13" x14ac:dyDescent="0.25">
      <c r="A26" s="1"/>
      <c r="B26" s="3"/>
      <c r="C26" s="97"/>
      <c r="D26" s="106"/>
      <c r="E26" s="48"/>
      <c r="F26" s="48"/>
      <c r="G26" s="48"/>
      <c r="H26" s="48"/>
      <c r="I26" s="48"/>
      <c r="J26" s="48"/>
    </row>
    <row r="27" spans="1:13" x14ac:dyDescent="0.25">
      <c r="C27" s="4"/>
      <c r="D27" s="4"/>
      <c r="E27" s="4"/>
      <c r="F27" s="4"/>
      <c r="G27" s="4"/>
      <c r="H27" s="4"/>
      <c r="I27" s="4"/>
    </row>
    <row r="28" spans="1:13" x14ac:dyDescent="0.25">
      <c r="A28" s="32"/>
      <c r="C28" s="29"/>
      <c r="D28" s="31"/>
      <c r="E28" s="17"/>
      <c r="F28" s="30"/>
      <c r="G28" s="30"/>
      <c r="H28" s="30"/>
      <c r="I28" s="17"/>
      <c r="J28" s="30"/>
    </row>
    <row r="29" spans="1:13" x14ac:dyDescent="0.25">
      <c r="A29" s="32"/>
      <c r="C29" s="29"/>
      <c r="D29" s="26"/>
      <c r="E29" s="36"/>
      <c r="F29" s="40"/>
      <c r="G29" s="37"/>
      <c r="H29" s="37"/>
      <c r="I29" s="36"/>
      <c r="J29" s="40"/>
    </row>
    <row r="30" spans="1:13" x14ac:dyDescent="0.25">
      <c r="A30" s="32"/>
      <c r="C30" s="29"/>
      <c r="D30" s="31"/>
      <c r="E30" s="17"/>
      <c r="F30" s="36"/>
      <c r="G30" s="36"/>
      <c r="H30" s="36"/>
      <c r="I30" s="17"/>
      <c r="J30" s="40"/>
    </row>
    <row r="31" spans="1:13" x14ac:dyDescent="0.25">
      <c r="A31" s="32"/>
      <c r="C31" s="29"/>
      <c r="D31" s="26"/>
      <c r="E31" s="36"/>
      <c r="F31" s="36"/>
      <c r="G31" s="36"/>
      <c r="H31" s="36"/>
      <c r="I31" s="36"/>
      <c r="J31" s="40"/>
    </row>
    <row r="32" spans="1:13" x14ac:dyDescent="0.25">
      <c r="A32" s="32"/>
      <c r="C32" s="29"/>
      <c r="D32" s="31"/>
      <c r="E32" s="17"/>
      <c r="F32" s="36"/>
      <c r="G32" s="36"/>
      <c r="H32" s="36"/>
      <c r="I32" s="17"/>
      <c r="J32" s="40"/>
    </row>
    <row r="33" spans="1:10" x14ac:dyDescent="0.25">
      <c r="A33" s="32"/>
      <c r="C33" s="29"/>
      <c r="D33" s="26"/>
      <c r="E33" s="36"/>
      <c r="F33" s="36"/>
      <c r="G33" s="36"/>
      <c r="H33" s="36"/>
      <c r="I33" s="36"/>
      <c r="J33" s="40"/>
    </row>
    <row r="34" spans="1:10" x14ac:dyDescent="0.25">
      <c r="A34" s="32"/>
      <c r="C34" s="31"/>
      <c r="D34" s="31"/>
      <c r="E34" s="17"/>
      <c r="F34" s="36"/>
      <c r="G34" s="36"/>
      <c r="H34" s="36"/>
      <c r="I34" s="17"/>
      <c r="J34" s="40"/>
    </row>
    <row r="35" spans="1:10" x14ac:dyDescent="0.25">
      <c r="A35" s="32"/>
      <c r="C35" s="7"/>
      <c r="D35" s="27"/>
      <c r="E35" s="25"/>
      <c r="F35" s="28"/>
      <c r="G35" s="28"/>
      <c r="H35" s="28"/>
      <c r="I35" s="25"/>
      <c r="J35" s="10"/>
    </row>
    <row r="36" spans="1:10" x14ac:dyDescent="0.25">
      <c r="A36" s="32"/>
      <c r="C36" s="7"/>
      <c r="D36" s="31"/>
      <c r="E36" s="17"/>
      <c r="F36" s="13"/>
      <c r="G36" s="13"/>
      <c r="H36" s="13"/>
      <c r="I36" s="17"/>
    </row>
    <row r="37" spans="1:10" x14ac:dyDescent="0.25">
      <c r="C37" s="7"/>
      <c r="E37" s="20"/>
      <c r="F37" s="15"/>
      <c r="I37" s="39"/>
    </row>
    <row r="38" spans="1:10" x14ac:dyDescent="0.25">
      <c r="C38" s="7"/>
      <c r="F38" s="7"/>
      <c r="G38" s="7"/>
      <c r="H38" s="7"/>
    </row>
    <row r="40" spans="1:10" x14ac:dyDescent="0.25">
      <c r="G40" s="19"/>
      <c r="H40" s="19"/>
    </row>
    <row r="42" spans="1:10" x14ac:dyDescent="0.25">
      <c r="A42" s="32"/>
      <c r="C42" s="8"/>
    </row>
    <row r="43" spans="1:10" x14ac:dyDescent="0.25">
      <c r="A43" s="32"/>
    </row>
  </sheetData>
  <phoneticPr fontId="0" type="noConversion"/>
  <pageMargins left="0.75" right="0.35" top="1" bottom="1" header="0.5" footer="0.5"/>
  <pageSetup orientation="landscape" r:id="rId1"/>
  <headerFooter alignWithMargins="0">
    <oddFooter>&amp;RExhibit JW-9
Page &amp;P of &amp;N</oddFooter>
  </headerFooter>
  <ignoredErrors>
    <ignoredError sqref="G1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FF0000"/>
    <pageSetUpPr fitToPage="1"/>
  </sheetPr>
  <dimension ref="A1:K46"/>
  <sheetViews>
    <sheetView zoomScaleNormal="100" workbookViewId="0">
      <selection activeCell="H49" sqref="H49"/>
    </sheetView>
  </sheetViews>
  <sheetFormatPr defaultRowHeight="12.75" x14ac:dyDescent="0.2"/>
  <cols>
    <col min="1" max="2" width="3.28515625" style="116" customWidth="1"/>
    <col min="3" max="3" width="2.7109375" style="116" customWidth="1"/>
    <col min="4" max="4" width="35.42578125" style="116" customWidth="1"/>
    <col min="5" max="5" width="12.28515625" style="116" bestFit="1" customWidth="1"/>
    <col min="6" max="7" width="11.7109375" style="116" customWidth="1"/>
    <col min="8" max="8" width="9.140625" style="116"/>
    <col min="9" max="9" width="37" style="125" bestFit="1" customWidth="1"/>
    <col min="10" max="10" width="14.7109375" style="125" customWidth="1"/>
    <col min="11" max="11" width="10.140625" style="116" customWidth="1"/>
    <col min="12" max="14" width="9.140625" style="125"/>
    <col min="15" max="15" width="52" style="125" bestFit="1" customWidth="1"/>
    <col min="16" max="16384" width="9.140625" style="125"/>
  </cols>
  <sheetData>
    <row r="1" spans="1:11" ht="18" x14ac:dyDescent="0.25">
      <c r="A1" s="266" t="str">
        <f>List!A1</f>
        <v>Clark Energy Cooperative</v>
      </c>
      <c r="B1" s="266"/>
      <c r="C1" s="125"/>
      <c r="D1" s="125"/>
      <c r="E1" s="125"/>
      <c r="F1" s="125"/>
      <c r="G1" s="125"/>
      <c r="H1" s="125"/>
      <c r="K1" s="125"/>
    </row>
    <row r="2" spans="1:11" x14ac:dyDescent="0.2">
      <c r="A2" s="112"/>
      <c r="B2" s="112"/>
      <c r="C2" s="125"/>
      <c r="D2" s="125"/>
      <c r="E2" s="125"/>
      <c r="F2" s="125"/>
      <c r="G2" s="125"/>
      <c r="H2" s="125"/>
      <c r="K2" s="125"/>
    </row>
    <row r="3" spans="1:11" x14ac:dyDescent="0.2">
      <c r="A3" s="112" t="s">
        <v>70</v>
      </c>
      <c r="B3" s="112"/>
      <c r="C3" s="125"/>
      <c r="D3" s="125"/>
      <c r="E3" s="125"/>
      <c r="F3" s="125"/>
      <c r="G3" s="125"/>
      <c r="H3" s="125"/>
      <c r="K3" s="125"/>
    </row>
    <row r="4" spans="1:11" ht="12.75" customHeight="1" x14ac:dyDescent="0.2">
      <c r="A4" s="125"/>
      <c r="B4" s="125"/>
      <c r="C4" s="125"/>
      <c r="D4" s="125"/>
      <c r="E4" s="125"/>
      <c r="F4" s="125"/>
      <c r="G4" s="125"/>
      <c r="H4" s="125"/>
    </row>
    <row r="5" spans="1:11" ht="12.75" customHeight="1" x14ac:dyDescent="0.2">
      <c r="A5" s="125"/>
      <c r="B5" s="125"/>
      <c r="C5" s="125"/>
      <c r="D5" s="125"/>
      <c r="E5" s="337" t="s">
        <v>26</v>
      </c>
      <c r="F5" s="337"/>
      <c r="G5" s="125"/>
      <c r="H5" s="125"/>
      <c r="J5" s="116"/>
      <c r="K5" s="125"/>
    </row>
    <row r="6" spans="1:11" x14ac:dyDescent="0.2">
      <c r="A6" s="125"/>
      <c r="B6" s="125"/>
      <c r="C6" s="113" t="s">
        <v>25</v>
      </c>
      <c r="D6" s="125"/>
      <c r="E6" s="193" t="s">
        <v>28</v>
      </c>
      <c r="F6" s="193" t="s">
        <v>29</v>
      </c>
      <c r="G6" s="125"/>
      <c r="H6" s="125"/>
      <c r="J6" s="116"/>
      <c r="K6" s="125"/>
    </row>
    <row r="7" spans="1:11" x14ac:dyDescent="0.2">
      <c r="A7" s="125"/>
      <c r="B7" s="125"/>
      <c r="C7" s="114" t="s">
        <v>244</v>
      </c>
      <c r="D7" s="125"/>
      <c r="E7" s="125"/>
      <c r="F7" s="125"/>
      <c r="G7" s="125"/>
      <c r="H7" s="125"/>
      <c r="J7" s="116"/>
      <c r="K7" s="125"/>
    </row>
    <row r="8" spans="1:11" x14ac:dyDescent="0.2">
      <c r="A8" s="125"/>
      <c r="B8" s="125"/>
      <c r="C8" s="114"/>
      <c r="D8" s="162" t="s">
        <v>242</v>
      </c>
      <c r="E8" s="169">
        <f>'Present and Proposed Rates'!G11</f>
        <v>18.62</v>
      </c>
      <c r="F8" s="169">
        <f>'Present and Proposed Rates'!H11</f>
        <v>33</v>
      </c>
      <c r="G8" s="125"/>
      <c r="H8" s="125"/>
      <c r="J8" s="116"/>
      <c r="K8" s="125"/>
    </row>
    <row r="9" spans="1:11" x14ac:dyDescent="0.2">
      <c r="A9" s="125"/>
      <c r="B9" s="125"/>
      <c r="C9" s="115"/>
      <c r="D9" s="162" t="s">
        <v>86</v>
      </c>
      <c r="E9" s="163">
        <f>'Present and Proposed Rates'!G12</f>
        <v>0.10123</v>
      </c>
      <c r="F9" s="163">
        <f>'Present and Proposed Rates'!H12</f>
        <v>9.6210000000000004E-2</v>
      </c>
      <c r="G9" s="125"/>
      <c r="H9" s="125"/>
      <c r="J9" s="116"/>
      <c r="K9" s="125"/>
    </row>
    <row r="10" spans="1:11" x14ac:dyDescent="0.2">
      <c r="A10" s="125"/>
      <c r="B10" s="125"/>
      <c r="C10" s="114" t="s">
        <v>260</v>
      </c>
      <c r="D10" s="125"/>
      <c r="E10" s="163"/>
      <c r="F10" s="163"/>
      <c r="G10" s="125"/>
      <c r="H10" s="125"/>
      <c r="J10" s="116"/>
      <c r="K10" s="125"/>
    </row>
    <row r="11" spans="1:11" x14ac:dyDescent="0.2">
      <c r="A11" s="125"/>
      <c r="B11" s="125"/>
      <c r="C11" s="114"/>
      <c r="D11" s="162" t="s">
        <v>242</v>
      </c>
      <c r="E11" s="169">
        <f>E8</f>
        <v>18.62</v>
      </c>
      <c r="F11" s="169">
        <f>F8</f>
        <v>33</v>
      </c>
      <c r="G11" s="125"/>
      <c r="H11" s="125"/>
      <c r="J11" s="116"/>
      <c r="K11" s="125"/>
    </row>
    <row r="12" spans="1:11" x14ac:dyDescent="0.2">
      <c r="A12" s="125"/>
      <c r="B12" s="125"/>
      <c r="C12" s="115"/>
      <c r="D12" s="162" t="s">
        <v>86</v>
      </c>
      <c r="E12" s="163">
        <f>E9</f>
        <v>0.10123</v>
      </c>
      <c r="F12" s="163">
        <f>F9</f>
        <v>9.6210000000000004E-2</v>
      </c>
      <c r="G12" s="125"/>
      <c r="H12" s="125"/>
      <c r="J12" s="116"/>
      <c r="K12" s="125"/>
    </row>
    <row r="13" spans="1:11" x14ac:dyDescent="0.2">
      <c r="A13" s="125"/>
      <c r="B13" s="125"/>
      <c r="C13" s="114" t="s">
        <v>245</v>
      </c>
      <c r="D13" s="125"/>
      <c r="E13" s="163"/>
      <c r="F13" s="163"/>
      <c r="G13" s="125"/>
      <c r="H13" s="125"/>
      <c r="J13" s="116"/>
      <c r="K13" s="125"/>
    </row>
    <row r="14" spans="1:11" x14ac:dyDescent="0.2">
      <c r="A14" s="125"/>
      <c r="B14" s="125"/>
      <c r="C14" s="115"/>
      <c r="D14" s="162" t="s">
        <v>86</v>
      </c>
      <c r="E14" s="163">
        <f>'Present and Proposed Rates'!G16</f>
        <v>7.6560000000000003E-2</v>
      </c>
      <c r="F14" s="163">
        <f>'Present and Proposed Rates'!H16</f>
        <v>7.6560000000000003E-2</v>
      </c>
      <c r="G14" s="125"/>
      <c r="H14" s="125"/>
      <c r="J14" s="116"/>
      <c r="K14" s="125"/>
    </row>
    <row r="15" spans="1:11" x14ac:dyDescent="0.2">
      <c r="A15" s="125"/>
      <c r="B15" s="125"/>
      <c r="C15" s="115"/>
      <c r="D15" s="162"/>
      <c r="E15" s="162"/>
      <c r="F15" s="163"/>
      <c r="G15" s="163"/>
      <c r="H15" s="125"/>
    </row>
    <row r="16" spans="1:11" x14ac:dyDescent="0.2">
      <c r="A16" s="125"/>
      <c r="B16" s="125"/>
      <c r="C16" s="114" t="s">
        <v>246</v>
      </c>
      <c r="D16" s="125"/>
      <c r="E16" s="126"/>
      <c r="F16" s="125"/>
      <c r="G16" s="125"/>
      <c r="H16" s="125"/>
    </row>
    <row r="17" spans="1:11" x14ac:dyDescent="0.2">
      <c r="A17" s="125"/>
      <c r="B17" s="125"/>
      <c r="H17" s="125"/>
    </row>
    <row r="18" spans="1:11" ht="48.75" customHeight="1" x14ac:dyDescent="0.2">
      <c r="A18" s="125"/>
      <c r="B18" s="338" t="s">
        <v>73</v>
      </c>
      <c r="C18" s="338"/>
      <c r="D18" s="338"/>
      <c r="E18" s="338"/>
      <c r="F18" s="338"/>
      <c r="H18" s="125"/>
    </row>
    <row r="19" spans="1:11" x14ac:dyDescent="0.2">
      <c r="E19" s="339" t="s">
        <v>30</v>
      </c>
      <c r="F19" s="339"/>
    </row>
    <row r="20" spans="1:11" x14ac:dyDescent="0.2">
      <c r="C20" s="282" t="s">
        <v>25</v>
      </c>
      <c r="D20" s="283"/>
      <c r="E20" s="124" t="s">
        <v>75</v>
      </c>
      <c r="F20" s="124" t="s">
        <v>69</v>
      </c>
    </row>
    <row r="21" spans="1:11" x14ac:dyDescent="0.2">
      <c r="C21" s="116" t="str">
        <f>List!C6</f>
        <v>R</v>
      </c>
      <c r="D21" s="125" t="str">
        <f>List!B6</f>
        <v>Residential</v>
      </c>
      <c r="E21" s="119">
        <f>'Present and Proposed Rates'!O11</f>
        <v>2820550.279279992</v>
      </c>
      <c r="F21" s="269">
        <f>'Present and Proposed Rates'!P11</f>
        <v>6.6937939307376251E-2</v>
      </c>
    </row>
    <row r="22" spans="1:11" x14ac:dyDescent="0.2">
      <c r="C22" s="116" t="str">
        <f>List!C7</f>
        <v>D</v>
      </c>
      <c r="D22" s="125" t="str">
        <f>List!B7</f>
        <v>Time Of Use Marketing Service</v>
      </c>
      <c r="E22" s="119">
        <f>'Present and Proposed Rates'!O14</f>
        <v>0</v>
      </c>
      <c r="F22" s="269">
        <f>'Present and Proposed Rates'!P14</f>
        <v>0</v>
      </c>
    </row>
    <row r="23" spans="1:11" x14ac:dyDescent="0.2">
      <c r="C23" s="116" t="str">
        <f>List!C8</f>
        <v>C</v>
      </c>
      <c r="D23" s="125" t="str">
        <f>List!B8</f>
        <v>General Power Service &lt; 50kW</v>
      </c>
      <c r="E23" s="119">
        <f>'Present and Proposed Rates'!O18</f>
        <v>0</v>
      </c>
      <c r="F23" s="280">
        <f>'Present and Proposed Rates'!P18</f>
        <v>0</v>
      </c>
    </row>
    <row r="24" spans="1:11" x14ac:dyDescent="0.2">
      <c r="C24" s="116" t="str">
        <f>List!C9</f>
        <v>E</v>
      </c>
      <c r="D24" s="125" t="str">
        <f>List!B9</f>
        <v>Public Facilities</v>
      </c>
      <c r="E24" s="119">
        <f>'Present and Proposed Rates'!O22</f>
        <v>0</v>
      </c>
      <c r="F24" s="280">
        <f>'Present and Proposed Rates'!P22</f>
        <v>0</v>
      </c>
    </row>
    <row r="25" spans="1:11" x14ac:dyDescent="0.2">
      <c r="C25" s="116" t="str">
        <f>List!C10</f>
        <v>L</v>
      </c>
      <c r="D25" s="125" t="str">
        <f>List!B10</f>
        <v>General Power Service 50-500kW</v>
      </c>
      <c r="E25" s="119">
        <f>'Present and Proposed Rates'!O25</f>
        <v>0</v>
      </c>
      <c r="F25" s="280">
        <f>'Present and Proposed Rates'!P25</f>
        <v>0</v>
      </c>
    </row>
    <row r="26" spans="1:11" x14ac:dyDescent="0.2">
      <c r="C26" s="116" t="str">
        <f>List!C11</f>
        <v>M</v>
      </c>
      <c r="D26" s="125" t="str">
        <f>List!B11</f>
        <v>General Power Service 1000-5000kW</v>
      </c>
      <c r="E26" s="119">
        <f>'Present and Proposed Rates'!O29</f>
        <v>0</v>
      </c>
      <c r="F26" s="280" t="e">
        <f>'Present and Proposed Rates'!P29</f>
        <v>#DIV/0!</v>
      </c>
    </row>
    <row r="27" spans="1:11" x14ac:dyDescent="0.2">
      <c r="C27" s="116" t="str">
        <f>List!C12</f>
        <v>P</v>
      </c>
      <c r="D27" s="125" t="str">
        <f>List!B12</f>
        <v>General Power Service 500+kW</v>
      </c>
      <c r="E27" s="119">
        <f>'Present and Proposed Rates'!O33</f>
        <v>0</v>
      </c>
      <c r="F27" s="280">
        <f>'Present and Proposed Rates'!P33</f>
        <v>0</v>
      </c>
      <c r="K27" s="117"/>
    </row>
    <row r="28" spans="1:11" x14ac:dyDescent="0.2">
      <c r="D28" s="125" t="str">
        <f>List!B14</f>
        <v>Lighting</v>
      </c>
      <c r="E28" s="119">
        <f>'Present and Proposed Rates'!O42</f>
        <v>0</v>
      </c>
      <c r="F28" s="280">
        <f>'Present and Proposed Rates'!P42</f>
        <v>0</v>
      </c>
      <c r="K28" s="117"/>
    </row>
    <row r="29" spans="1:11" hidden="1" x14ac:dyDescent="0.2">
      <c r="D29" s="125" t="e">
        <f>List!#REF!</f>
        <v>#REF!</v>
      </c>
      <c r="E29" s="119">
        <f>'Present and Proposed Rates'!O44</f>
        <v>0</v>
      </c>
      <c r="F29" s="269">
        <f>'Present and Proposed Rates'!P44</f>
        <v>0</v>
      </c>
      <c r="K29" s="117"/>
    </row>
    <row r="30" spans="1:11" hidden="1" x14ac:dyDescent="0.2">
      <c r="D30" s="125">
        <f>List!B15</f>
        <v>0</v>
      </c>
      <c r="E30" s="119">
        <f>'Present and Proposed Rates'!O47</f>
        <v>0</v>
      </c>
      <c r="F30" s="269">
        <f>'Present and Proposed Rates'!P47</f>
        <v>0</v>
      </c>
      <c r="H30" s="118"/>
      <c r="K30" s="117"/>
    </row>
    <row r="31" spans="1:11" x14ac:dyDescent="0.2">
      <c r="C31" s="130" t="s">
        <v>39</v>
      </c>
      <c r="D31" s="281"/>
      <c r="E31" s="120">
        <f>'Present and Proposed Rates'!O53</f>
        <v>2820550.279279992</v>
      </c>
      <c r="F31" s="270">
        <f>'Present and Proposed Rates'!P53</f>
        <v>4.8676130126726343E-2</v>
      </c>
      <c r="H31" s="118"/>
      <c r="K31" s="117"/>
    </row>
    <row r="32" spans="1:11" ht="16.5" customHeight="1" x14ac:dyDescent="0.2">
      <c r="H32" s="118"/>
      <c r="K32" s="117"/>
    </row>
    <row r="33" spans="2:11" ht="36.75" customHeight="1" x14ac:dyDescent="0.2">
      <c r="B33" s="338" t="s">
        <v>74</v>
      </c>
      <c r="C33" s="338"/>
      <c r="D33" s="338"/>
      <c r="E33" s="338"/>
      <c r="F33" s="338"/>
      <c r="G33" s="338"/>
      <c r="H33" s="118"/>
      <c r="K33" s="117"/>
    </row>
    <row r="34" spans="2:11" x14ac:dyDescent="0.2">
      <c r="E34" s="122" t="s">
        <v>71</v>
      </c>
      <c r="F34" s="339" t="s">
        <v>30</v>
      </c>
      <c r="G34" s="339"/>
      <c r="H34" s="118"/>
    </row>
    <row r="35" spans="2:11" x14ac:dyDescent="0.2">
      <c r="C35" s="282" t="s">
        <v>25</v>
      </c>
      <c r="D35" s="283"/>
      <c r="E35" s="123" t="s">
        <v>72</v>
      </c>
      <c r="F35" s="124" t="s">
        <v>75</v>
      </c>
      <c r="G35" s="124" t="s">
        <v>69</v>
      </c>
      <c r="H35" s="118"/>
    </row>
    <row r="36" spans="2:11" x14ac:dyDescent="0.2">
      <c r="C36" s="116" t="str">
        <f>List!C6</f>
        <v>R</v>
      </c>
      <c r="D36" s="125" t="str">
        <f>List!B6</f>
        <v>Residential</v>
      </c>
      <c r="E36" s="267">
        <f>'R'!D29</f>
        <v>1042.2886739704347</v>
      </c>
      <c r="F36" s="118">
        <f>'Present and Proposed Rates'!Q11</f>
        <v>9.1477108566683913</v>
      </c>
      <c r="G36" s="269">
        <f>'Present and Proposed Rates'!P11</f>
        <v>6.6937939307376251E-2</v>
      </c>
    </row>
    <row r="37" spans="2:11" x14ac:dyDescent="0.2">
      <c r="C37" s="116" t="str">
        <f>List!C7</f>
        <v>D</v>
      </c>
      <c r="D37" s="125" t="str">
        <f>List!B7</f>
        <v>Time Of Use Marketing Service</v>
      </c>
      <c r="E37" s="267">
        <f>'D-RTOD'!D31</f>
        <v>27265.25</v>
      </c>
      <c r="F37" s="118">
        <f>'Present and Proposed Rates'!Q14</f>
        <v>0</v>
      </c>
      <c r="G37" s="269">
        <f>'Present and Proposed Rates'!P14</f>
        <v>0</v>
      </c>
    </row>
    <row r="38" spans="2:11" x14ac:dyDescent="0.2">
      <c r="C38" s="116" t="str">
        <f>List!C8</f>
        <v>C</v>
      </c>
      <c r="D38" s="125" t="str">
        <f>List!B8</f>
        <v>General Power Service &lt; 50kW</v>
      </c>
      <c r="E38" s="267">
        <f>'C'!D30</f>
        <v>1315.3221916909322</v>
      </c>
      <c r="F38" s="118">
        <f>'Present and Proposed Rates'!Q18</f>
        <v>0</v>
      </c>
      <c r="G38" s="280">
        <f>'Present and Proposed Rates'!P18</f>
        <v>0</v>
      </c>
    </row>
    <row r="39" spans="2:11" x14ac:dyDescent="0.2">
      <c r="C39" s="116" t="str">
        <f>List!C9</f>
        <v>E</v>
      </c>
      <c r="D39" s="125" t="str">
        <f>List!B9</f>
        <v>Public Facilities</v>
      </c>
      <c r="E39" s="267">
        <f>E!D29</f>
        <v>968.31706022817718</v>
      </c>
      <c r="F39" s="118">
        <f>'Present and Proposed Rates'!Q22</f>
        <v>0</v>
      </c>
      <c r="G39" s="280">
        <f>'Present and Proposed Rates'!P22</f>
        <v>0</v>
      </c>
    </row>
    <row r="40" spans="2:11" x14ac:dyDescent="0.2">
      <c r="C40" s="116" t="str">
        <f>List!C10</f>
        <v>L</v>
      </c>
      <c r="D40" s="125" t="str">
        <f>List!B10</f>
        <v>General Power Service 50-500kW</v>
      </c>
      <c r="E40" s="267">
        <f>L!D34</f>
        <v>29676.064245810056</v>
      </c>
      <c r="F40" s="118">
        <f>'Present and Proposed Rates'!Q25</f>
        <v>0</v>
      </c>
      <c r="G40" s="280">
        <f>'Present and Proposed Rates'!P25</f>
        <v>0</v>
      </c>
    </row>
    <row r="41" spans="2:11" x14ac:dyDescent="0.2">
      <c r="C41" s="116" t="str">
        <f>List!C11</f>
        <v>M</v>
      </c>
      <c r="D41" s="125" t="str">
        <f>List!B11</f>
        <v>General Power Service 1000-5000kW</v>
      </c>
      <c r="E41" s="267" t="e">
        <f>M!D34</f>
        <v>#DIV/0!</v>
      </c>
      <c r="F41" s="118" t="e">
        <f>'Present and Proposed Rates'!Q29</f>
        <v>#DIV/0!</v>
      </c>
      <c r="G41" s="280" t="e">
        <f>'Present and Proposed Rates'!P29</f>
        <v>#DIV/0!</v>
      </c>
    </row>
    <row r="42" spans="2:11" x14ac:dyDescent="0.2">
      <c r="C42" s="116" t="str">
        <f>List!C12</f>
        <v>P</v>
      </c>
      <c r="D42" s="125" t="str">
        <f>List!B12</f>
        <v>General Power Service 500+kW</v>
      </c>
      <c r="E42" s="267">
        <f>P!D36</f>
        <v>221221.66666666666</v>
      </c>
      <c r="F42" s="118">
        <f>'Present and Proposed Rates'!Q33</f>
        <v>0</v>
      </c>
      <c r="G42" s="280">
        <f>'Present and Proposed Rates'!P33</f>
        <v>0</v>
      </c>
    </row>
    <row r="43" spans="2:11" x14ac:dyDescent="0.2">
      <c r="D43" s="125" t="str">
        <f>List!B14</f>
        <v>Lighting</v>
      </c>
      <c r="E43" s="271" t="s">
        <v>85</v>
      </c>
      <c r="F43" s="118">
        <f>'Present and Proposed Rates'!Q42</f>
        <v>0</v>
      </c>
      <c r="G43" s="280">
        <f>'Present and Proposed Rates'!P42</f>
        <v>0</v>
      </c>
    </row>
    <row r="44" spans="2:11" hidden="1" x14ac:dyDescent="0.2">
      <c r="D44" s="125" t="e">
        <f>List!#REF!</f>
        <v>#REF!</v>
      </c>
      <c r="E44" s="267"/>
      <c r="F44" s="118">
        <f>'Present and Proposed Rates'!Q44</f>
        <v>0</v>
      </c>
      <c r="G44" s="269">
        <f>'Present and Proposed Rates'!P44</f>
        <v>0</v>
      </c>
    </row>
    <row r="45" spans="2:11" hidden="1" x14ac:dyDescent="0.2">
      <c r="D45" s="125">
        <f>List!B15</f>
        <v>0</v>
      </c>
      <c r="E45" s="165"/>
      <c r="F45" s="118">
        <f>'Present and Proposed Rates'!Q47</f>
        <v>0</v>
      </c>
      <c r="G45" s="269">
        <f>'Present and Proposed Rates'!P47</f>
        <v>0</v>
      </c>
    </row>
    <row r="46" spans="2:11" x14ac:dyDescent="0.2">
      <c r="C46" s="130" t="s">
        <v>39</v>
      </c>
      <c r="D46" s="281"/>
      <c r="E46" s="272" t="s">
        <v>85</v>
      </c>
      <c r="F46" s="164">
        <f>'Present and Proposed Rates'!Q53</f>
        <v>0</v>
      </c>
      <c r="G46" s="270">
        <f>'Present and Proposed Rates'!P53</f>
        <v>4.8676130126726343E-2</v>
      </c>
    </row>
  </sheetData>
  <mergeCells count="5">
    <mergeCell ref="E5:F5"/>
    <mergeCell ref="E19:F19"/>
    <mergeCell ref="F34:G34"/>
    <mergeCell ref="B33:G33"/>
    <mergeCell ref="B18:F1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K76"/>
  <sheetViews>
    <sheetView zoomScaleNormal="100" workbookViewId="0">
      <selection activeCell="H49" sqref="H49"/>
    </sheetView>
  </sheetViews>
  <sheetFormatPr defaultRowHeight="12.75" x14ac:dyDescent="0.2"/>
  <cols>
    <col min="1" max="2" width="3.28515625" style="116" customWidth="1"/>
    <col min="3" max="3" width="3.85546875" style="116" customWidth="1"/>
    <col min="4" max="4" width="46.28515625" style="116" customWidth="1"/>
    <col min="5" max="5" width="12.28515625" style="116" bestFit="1" customWidth="1"/>
    <col min="6" max="7" width="11.7109375" style="116" customWidth="1"/>
    <col min="8" max="8" width="9.140625" style="116"/>
    <col min="9" max="9" width="37" style="125" bestFit="1" customWidth="1"/>
    <col min="10" max="10" width="14.7109375" style="125" customWidth="1"/>
    <col min="11" max="11" width="10.140625" style="116" customWidth="1"/>
    <col min="12" max="14" width="9.140625" style="125"/>
    <col min="15" max="15" width="52" style="125" bestFit="1" customWidth="1"/>
    <col min="16" max="16384" width="9.140625" style="125"/>
  </cols>
  <sheetData>
    <row r="1" spans="1:11" ht="18" x14ac:dyDescent="0.25">
      <c r="A1" s="266" t="str">
        <f>List!A1</f>
        <v>Clark Energy Cooperative</v>
      </c>
      <c r="B1" s="266"/>
      <c r="C1" s="125"/>
      <c r="D1" s="125"/>
      <c r="E1" s="125"/>
      <c r="F1" s="125"/>
      <c r="G1" s="125"/>
      <c r="H1" s="125"/>
      <c r="K1" s="125"/>
    </row>
    <row r="2" spans="1:11" x14ac:dyDescent="0.2">
      <c r="A2" s="112"/>
      <c r="B2" s="112"/>
      <c r="C2" s="125"/>
      <c r="D2" s="125"/>
      <c r="E2" s="125"/>
      <c r="F2" s="125"/>
      <c r="G2" s="125"/>
      <c r="H2" s="125"/>
      <c r="K2" s="125"/>
    </row>
    <row r="3" spans="1:11" x14ac:dyDescent="0.2">
      <c r="A3" s="112" t="s">
        <v>70</v>
      </c>
      <c r="B3" s="112"/>
      <c r="C3" s="125"/>
      <c r="D3" s="125"/>
      <c r="E3" s="125"/>
      <c r="F3" s="125"/>
      <c r="G3" s="125"/>
      <c r="H3" s="125"/>
      <c r="K3" s="125"/>
    </row>
    <row r="4" spans="1:11" ht="12.75" customHeight="1" x14ac:dyDescent="0.2">
      <c r="A4" s="125"/>
      <c r="B4" s="125"/>
      <c r="C4" s="125"/>
      <c r="D4" s="125"/>
      <c r="E4" s="125"/>
      <c r="F4" s="125"/>
      <c r="G4" s="125"/>
      <c r="H4" s="125"/>
    </row>
    <row r="5" spans="1:11" ht="12.75" customHeight="1" x14ac:dyDescent="0.2">
      <c r="A5" s="125"/>
      <c r="B5" s="125"/>
      <c r="C5" s="282" t="s">
        <v>25</v>
      </c>
      <c r="D5" s="289"/>
      <c r="E5" s="337" t="s">
        <v>26</v>
      </c>
      <c r="F5" s="337"/>
      <c r="G5" s="125"/>
      <c r="H5" s="125"/>
      <c r="J5" s="116"/>
      <c r="K5" s="125"/>
    </row>
    <row r="6" spans="1:11" x14ac:dyDescent="0.2">
      <c r="A6" s="125"/>
      <c r="B6" s="125"/>
      <c r="D6" s="125"/>
      <c r="E6" s="193" t="s">
        <v>28</v>
      </c>
      <c r="F6" s="193" t="s">
        <v>29</v>
      </c>
      <c r="G6" s="125"/>
      <c r="H6" s="125"/>
      <c r="J6" s="116"/>
      <c r="K6" s="125"/>
    </row>
    <row r="7" spans="1:11" x14ac:dyDescent="0.2">
      <c r="A7" s="125"/>
      <c r="B7" s="125"/>
      <c r="C7" s="289" t="str">
        <f>'Present and Proposed Rates'!C11</f>
        <v>R</v>
      </c>
      <c r="D7" s="289" t="str">
        <f>'Present and Proposed Rates'!B11</f>
        <v>Residential</v>
      </c>
      <c r="E7" s="125"/>
      <c r="F7" s="125"/>
      <c r="G7" s="125"/>
      <c r="H7" s="125"/>
      <c r="J7" s="116"/>
      <c r="K7" s="125"/>
    </row>
    <row r="8" spans="1:11" x14ac:dyDescent="0.2">
      <c r="A8" s="125"/>
      <c r="B8" s="125"/>
      <c r="C8" s="114"/>
      <c r="D8" s="162" t="s">
        <v>242</v>
      </c>
      <c r="E8" s="169">
        <f>'Present and Proposed Rates'!G11</f>
        <v>18.62</v>
      </c>
      <c r="F8" s="169">
        <f>'Present and Proposed Rates'!H11</f>
        <v>33</v>
      </c>
      <c r="G8" s="125"/>
      <c r="H8" s="125"/>
      <c r="J8" s="116"/>
      <c r="K8" s="125"/>
    </row>
    <row r="9" spans="1:11" x14ac:dyDescent="0.2">
      <c r="A9" s="125"/>
      <c r="B9" s="125"/>
      <c r="C9" s="115"/>
      <c r="D9" s="162" t="s">
        <v>86</v>
      </c>
      <c r="E9" s="163">
        <f>'Present and Proposed Rates'!G12</f>
        <v>0.10123</v>
      </c>
      <c r="F9" s="163">
        <f>'Present and Proposed Rates'!H12</f>
        <v>9.6210000000000004E-2</v>
      </c>
      <c r="G9" s="125"/>
      <c r="H9" s="125"/>
      <c r="J9" s="116"/>
      <c r="K9" s="125"/>
    </row>
    <row r="10" spans="1:11" x14ac:dyDescent="0.2">
      <c r="A10" s="125"/>
      <c r="B10" s="125"/>
      <c r="C10" s="114" t="s">
        <v>260</v>
      </c>
      <c r="D10" s="125"/>
      <c r="E10" s="163"/>
      <c r="F10" s="163"/>
      <c r="G10" s="125"/>
      <c r="H10" s="125"/>
      <c r="J10" s="116"/>
      <c r="K10" s="125"/>
    </row>
    <row r="11" spans="1:11" x14ac:dyDescent="0.2">
      <c r="A11" s="125"/>
      <c r="B11" s="125"/>
      <c r="C11" s="114"/>
      <c r="D11" s="162" t="s">
        <v>242</v>
      </c>
      <c r="E11" s="169">
        <f>E8</f>
        <v>18.62</v>
      </c>
      <c r="F11" s="169">
        <f>F8</f>
        <v>33</v>
      </c>
      <c r="G11" s="125"/>
      <c r="H11" s="125"/>
      <c r="J11" s="116"/>
      <c r="K11" s="125"/>
    </row>
    <row r="12" spans="1:11" x14ac:dyDescent="0.2">
      <c r="A12" s="125"/>
      <c r="B12" s="125"/>
      <c r="C12" s="115"/>
      <c r="D12" s="162" t="s">
        <v>86</v>
      </c>
      <c r="E12" s="163">
        <f>E9</f>
        <v>0.10123</v>
      </c>
      <c r="F12" s="163">
        <f>F9</f>
        <v>9.6210000000000004E-2</v>
      </c>
      <c r="G12" s="125"/>
      <c r="H12" s="125"/>
      <c r="J12" s="116"/>
      <c r="K12" s="125"/>
    </row>
    <row r="13" spans="1:11" x14ac:dyDescent="0.2">
      <c r="A13" s="125"/>
      <c r="B13" s="125"/>
      <c r="C13" s="289" t="str">
        <f>'Present and Proposed Rates'!C14</f>
        <v>D</v>
      </c>
      <c r="D13" s="289" t="str">
        <f>'Present and Proposed Rates'!B14</f>
        <v>Time Of Use Marketing Service</v>
      </c>
      <c r="E13" s="163"/>
      <c r="F13" s="163"/>
      <c r="G13" s="125"/>
      <c r="H13" s="125"/>
      <c r="J13" s="116"/>
      <c r="K13" s="125"/>
    </row>
    <row r="14" spans="1:11" x14ac:dyDescent="0.2">
      <c r="A14" s="125"/>
      <c r="B14" s="125"/>
      <c r="C14" s="115"/>
      <c r="D14" s="162" t="s">
        <v>86</v>
      </c>
      <c r="E14" s="163">
        <f>'Present and Proposed Rates'!G16</f>
        <v>7.6560000000000003E-2</v>
      </c>
      <c r="F14" s="163">
        <f>'Present and Proposed Rates'!H16</f>
        <v>7.6560000000000003E-2</v>
      </c>
      <c r="G14" s="125"/>
      <c r="H14" s="125"/>
      <c r="J14" s="116"/>
      <c r="K14" s="125"/>
    </row>
    <row r="15" spans="1:11" ht="9" customHeight="1" x14ac:dyDescent="0.2">
      <c r="A15" s="125"/>
      <c r="B15" s="125"/>
      <c r="C15" s="115"/>
      <c r="D15" s="162"/>
      <c r="E15" s="163"/>
      <c r="F15" s="163"/>
      <c r="G15" s="125"/>
      <c r="H15" s="125"/>
      <c r="J15" s="116"/>
      <c r="K15" s="125"/>
    </row>
    <row r="16" spans="1:11" x14ac:dyDescent="0.2">
      <c r="C16" s="289" t="str">
        <f>'Present and Proposed Rates'!C18</f>
        <v>C</v>
      </c>
      <c r="D16" s="289" t="str">
        <f>'Present and Proposed Rates'!B18</f>
        <v>General Power Service &lt; 50kW</v>
      </c>
    </row>
    <row r="17" spans="3:10" x14ac:dyDescent="0.2">
      <c r="D17" s="116" t="str">
        <f>'Present and Proposed Rates'!D18</f>
        <v>Facility Charge 1Ph (per month)</v>
      </c>
      <c r="E17" s="169">
        <f>'Present and Proposed Rates'!G18</f>
        <v>26.2</v>
      </c>
      <c r="F17" s="169">
        <f>'Present and Proposed Rates'!H18</f>
        <v>40.58</v>
      </c>
    </row>
    <row r="18" spans="3:10" x14ac:dyDescent="0.2">
      <c r="D18" s="116" t="str">
        <f>'Present and Proposed Rates'!D19</f>
        <v>Facility Charge 3Ph (per month)</v>
      </c>
      <c r="E18" s="169">
        <f>'Present and Proposed Rates'!G19</f>
        <v>51.85</v>
      </c>
      <c r="F18" s="169">
        <f>'Present and Proposed Rates'!H19</f>
        <v>51.85</v>
      </c>
    </row>
    <row r="19" spans="3:10" x14ac:dyDescent="0.2">
      <c r="D19" s="116" t="str">
        <f>'Present and Proposed Rates'!D20</f>
        <v>Energy Charge (per kWh)</v>
      </c>
      <c r="E19" s="163">
        <f>'Present and Proposed Rates'!G20</f>
        <v>0.10976</v>
      </c>
      <c r="F19" s="163">
        <f>'Present and Proposed Rates'!H20</f>
        <v>0.10009217809169571</v>
      </c>
    </row>
    <row r="20" spans="3:10" x14ac:dyDescent="0.2">
      <c r="C20" s="283" t="str">
        <f>'Present and Proposed Rates'!C22</f>
        <v>E</v>
      </c>
      <c r="D20" s="283" t="str">
        <f>'Present and Proposed Rates'!B22</f>
        <v>Public Facilities</v>
      </c>
    </row>
    <row r="21" spans="3:10" x14ac:dyDescent="0.2">
      <c r="D21" s="116" t="str">
        <f>'Present and Proposed Rates'!D22</f>
        <v>Facility Charge (per month)</v>
      </c>
      <c r="E21" s="169">
        <f>'Present and Proposed Rates'!G22</f>
        <v>18.62</v>
      </c>
      <c r="F21" s="169">
        <f>'Present and Proposed Rates'!H22</f>
        <v>33</v>
      </c>
      <c r="G21" s="125"/>
      <c r="H21" s="125"/>
      <c r="I21" s="116"/>
      <c r="J21" s="116"/>
    </row>
    <row r="22" spans="3:10" x14ac:dyDescent="0.2">
      <c r="D22" s="116" t="str">
        <f>'Present and Proposed Rates'!D23</f>
        <v>Energy Charge (per kWh)</v>
      </c>
      <c r="E22" s="116">
        <f>'Present and Proposed Rates'!G23</f>
        <v>0.1103</v>
      </c>
      <c r="F22" s="116">
        <f>'Present and Proposed Rates'!H23</f>
        <v>9.5449492257617091E-2</v>
      </c>
      <c r="G22" s="125"/>
      <c r="H22" s="125"/>
      <c r="I22" s="116"/>
      <c r="J22" s="116"/>
    </row>
    <row r="23" spans="3:10" x14ac:dyDescent="0.2">
      <c r="C23" s="283" t="str">
        <f>'Present and Proposed Rates'!C25</f>
        <v>L</v>
      </c>
      <c r="D23" s="283" t="str">
        <f>'Present and Proposed Rates'!B25</f>
        <v>General Power Service 50-500kW</v>
      </c>
      <c r="G23" s="125"/>
      <c r="H23" s="125"/>
    </row>
    <row r="24" spans="3:10" x14ac:dyDescent="0.2">
      <c r="D24" s="116" t="str">
        <f>'Present and Proposed Rates'!D25</f>
        <v>Facility Charge (per month)</v>
      </c>
      <c r="E24" s="169">
        <f>'Present and Proposed Rates'!G25</f>
        <v>65.989999999999995</v>
      </c>
      <c r="F24" s="169">
        <f>'Present and Proposed Rates'!H25</f>
        <v>65.989999999999995</v>
      </c>
      <c r="G24" s="125"/>
      <c r="H24" s="125"/>
      <c r="I24" s="116"/>
      <c r="J24" s="116"/>
    </row>
    <row r="25" spans="3:10" x14ac:dyDescent="0.2">
      <c r="D25" s="116" t="str">
        <f>'Present and Proposed Rates'!D26</f>
        <v>Energy Charge (per kWh)</v>
      </c>
      <c r="E25" s="163">
        <f>'Present and Proposed Rates'!G26</f>
        <v>8.1290000000000001E-2</v>
      </c>
      <c r="F25" s="163">
        <f>'Present and Proposed Rates'!H26</f>
        <v>7.7428409860084632E-2</v>
      </c>
      <c r="G25" s="125"/>
      <c r="H25" s="125"/>
      <c r="I25" s="116"/>
      <c r="J25" s="116"/>
    </row>
    <row r="26" spans="3:10" x14ac:dyDescent="0.2">
      <c r="D26" s="116" t="str">
        <f>'Present and Proposed Rates'!D27</f>
        <v>Demand Charge (per kW)</v>
      </c>
      <c r="E26" s="169">
        <f>'Present and Proposed Rates'!G27</f>
        <v>6.69</v>
      </c>
      <c r="F26" s="169">
        <f>'Present and Proposed Rates'!H27</f>
        <v>7.75</v>
      </c>
      <c r="G26" s="125"/>
      <c r="H26" s="125"/>
      <c r="I26" s="116"/>
      <c r="J26" s="116"/>
    </row>
    <row r="27" spans="3:10" x14ac:dyDescent="0.2">
      <c r="C27" s="283" t="str">
        <f>'Present and Proposed Rates'!C29</f>
        <v>M</v>
      </c>
      <c r="D27" s="283" t="str">
        <f>'Present and Proposed Rates'!B29</f>
        <v>General Power Service 1000-5000kW</v>
      </c>
      <c r="G27" s="125"/>
      <c r="H27" s="125"/>
    </row>
    <row r="28" spans="3:10" x14ac:dyDescent="0.2">
      <c r="D28" s="116" t="str">
        <f>'Present and Proposed Rates'!D29</f>
        <v>Facility Charge (per month)</v>
      </c>
      <c r="E28" s="169">
        <f>'Present and Proposed Rates'!G29</f>
        <v>0</v>
      </c>
      <c r="F28" s="169">
        <f>'Present and Proposed Rates'!H29</f>
        <v>0</v>
      </c>
      <c r="G28" s="125"/>
      <c r="H28" s="125"/>
      <c r="I28" s="116"/>
      <c r="J28" s="116"/>
    </row>
    <row r="29" spans="3:10" x14ac:dyDescent="0.2">
      <c r="D29" s="116" t="str">
        <f>'Present and Proposed Rates'!D30</f>
        <v>Energy Charge (per kWh)</v>
      </c>
      <c r="E29" s="163">
        <f>'Present and Proposed Rates'!G30</f>
        <v>7.4300000000000005E-2</v>
      </c>
      <c r="F29" s="163">
        <f>'Present and Proposed Rates'!H30</f>
        <v>7.4300000000000005E-2</v>
      </c>
      <c r="G29" s="125"/>
      <c r="H29" s="125"/>
      <c r="I29" s="116"/>
      <c r="J29" s="116"/>
    </row>
    <row r="30" spans="3:10" x14ac:dyDescent="0.2">
      <c r="D30" s="116" t="str">
        <f>'Present and Proposed Rates'!D31</f>
        <v>Demand Charge (per kW)</v>
      </c>
      <c r="E30" s="169">
        <f>'Present and Proposed Rates'!G31</f>
        <v>10.41</v>
      </c>
      <c r="F30" s="169">
        <f>'Present and Proposed Rates'!H31</f>
        <v>10.41</v>
      </c>
      <c r="G30" s="125"/>
      <c r="H30" s="125"/>
      <c r="I30" s="116"/>
      <c r="J30" s="116"/>
    </row>
    <row r="31" spans="3:10" x14ac:dyDescent="0.2">
      <c r="C31" s="283" t="str">
        <f>'Present and Proposed Rates'!C33</f>
        <v>P</v>
      </c>
      <c r="D31" s="283" t="str">
        <f>'Present and Proposed Rates'!B33</f>
        <v>General Power Service 500+kW</v>
      </c>
      <c r="G31" s="125"/>
      <c r="H31" s="125"/>
    </row>
    <row r="32" spans="3:10" x14ac:dyDescent="0.2">
      <c r="D32" s="116" t="str">
        <f>'Present and Proposed Rates'!D33</f>
        <v>Facility Charge (per month)</v>
      </c>
      <c r="E32" s="169">
        <f>'Present and Proposed Rates'!G33</f>
        <v>89.85</v>
      </c>
      <c r="F32" s="169">
        <f>'Present and Proposed Rates'!H33</f>
        <v>89.85</v>
      </c>
      <c r="G32" s="125"/>
      <c r="H32" s="125"/>
      <c r="I32" s="116"/>
      <c r="J32" s="116"/>
    </row>
    <row r="33" spans="1:10" x14ac:dyDescent="0.2">
      <c r="D33" s="116" t="str">
        <f>'Present and Proposed Rates'!D34</f>
        <v>Energy Charge (per kWh)</v>
      </c>
      <c r="E33" s="163">
        <f>'Present and Proposed Rates'!G34</f>
        <v>7.0779999999999996E-2</v>
      </c>
      <c r="F33" s="163">
        <f>'Present and Proposed Rates'!H34</f>
        <v>6.6428794370572794E-2</v>
      </c>
      <c r="G33" s="125"/>
      <c r="H33" s="125"/>
      <c r="I33" s="116"/>
      <c r="J33" s="116"/>
    </row>
    <row r="34" spans="1:10" x14ac:dyDescent="0.2">
      <c r="D34" s="116" t="str">
        <f>'Present and Proposed Rates'!D35</f>
        <v>Demand Charge (per kW)</v>
      </c>
      <c r="E34" s="169">
        <f>'Present and Proposed Rates'!G35</f>
        <v>6.42</v>
      </c>
      <c r="F34" s="169">
        <f>'Present and Proposed Rates'!H35</f>
        <v>7.75</v>
      </c>
      <c r="G34" s="125"/>
      <c r="H34" s="125"/>
      <c r="I34" s="116"/>
      <c r="J34" s="116"/>
    </row>
    <row r="35" spans="1:10" x14ac:dyDescent="0.2">
      <c r="E35" s="169"/>
      <c r="F35" s="169"/>
      <c r="G35" s="125"/>
      <c r="H35" s="125"/>
      <c r="I35" s="116"/>
      <c r="J35" s="116"/>
    </row>
    <row r="36" spans="1:10" x14ac:dyDescent="0.2">
      <c r="C36" s="283" t="str">
        <f>'S,T,O Lights'!B11</f>
        <v>Rate T - Outdoor Lights</v>
      </c>
      <c r="D36" s="283"/>
      <c r="E36" s="169"/>
      <c r="F36" s="169"/>
      <c r="G36" s="125"/>
      <c r="H36" s="125"/>
      <c r="I36" s="116"/>
      <c r="J36" s="116"/>
    </row>
    <row r="37" spans="1:10" x14ac:dyDescent="0.2">
      <c r="D37" s="116" t="str">
        <f>'S,T,O Lights'!C12</f>
        <v>400 W</v>
      </c>
      <c r="E37" s="169">
        <f>'S,T,O Lights'!J12</f>
        <v>19.420000000000002</v>
      </c>
      <c r="F37" s="169">
        <f>'S,T,O Lights'!O12</f>
        <v>19.420000000000002</v>
      </c>
      <c r="G37" s="125"/>
      <c r="H37" s="125"/>
      <c r="I37" s="116"/>
      <c r="J37" s="116"/>
    </row>
    <row r="38" spans="1:10" x14ac:dyDescent="0.2">
      <c r="C38" s="283" t="str">
        <f>'S,T,O Lights'!B14</f>
        <v>Rate S - Outdoor Lights</v>
      </c>
      <c r="D38" s="283"/>
      <c r="E38" s="169"/>
      <c r="F38" s="169"/>
      <c r="G38" s="125"/>
      <c r="H38" s="125"/>
      <c r="I38" s="116"/>
      <c r="J38" s="116"/>
    </row>
    <row r="39" spans="1:10" x14ac:dyDescent="0.2">
      <c r="D39" s="116" t="str">
        <f>'S,T,O Lights'!C15</f>
        <v>175 W</v>
      </c>
      <c r="E39" s="169">
        <f>'S,T,O Lights'!J15</f>
        <v>10.48</v>
      </c>
      <c r="F39" s="169">
        <f>'S,T,O Lights'!O15</f>
        <v>10.48</v>
      </c>
      <c r="G39" s="125"/>
      <c r="H39" s="125"/>
      <c r="I39" s="116"/>
      <c r="J39" s="116"/>
    </row>
    <row r="40" spans="1:10" x14ac:dyDescent="0.2">
      <c r="C40" s="283" t="str">
        <f>'S,T,O Lights'!B17</f>
        <v>Rate O - LED Outdoor Lighting Facilities</v>
      </c>
      <c r="D40" s="283"/>
      <c r="E40" s="169"/>
      <c r="F40" s="169"/>
      <c r="G40" s="125"/>
      <c r="H40" s="125"/>
      <c r="I40" s="116"/>
      <c r="J40" s="116"/>
    </row>
    <row r="41" spans="1:10" x14ac:dyDescent="0.2">
      <c r="D41" s="116" t="str">
        <f>'S,T,O Lights'!C18</f>
        <v>Open Bottom Light  (4,800-6,800 Lumens)</v>
      </c>
      <c r="E41" s="169">
        <f>'S,T,O Lights'!J18</f>
        <v>10.01</v>
      </c>
      <c r="F41" s="169">
        <f>'S,T,O Lights'!O18</f>
        <v>10.01</v>
      </c>
      <c r="G41" s="125"/>
      <c r="H41" s="125"/>
      <c r="I41" s="116"/>
      <c r="J41" s="116"/>
    </row>
    <row r="42" spans="1:10" x14ac:dyDescent="0.2">
      <c r="D42" s="116" t="str">
        <f>'S,T,O Lights'!C19</f>
        <v>Cobra Head Light (7,200 - 10,000 Lumens)</v>
      </c>
      <c r="E42" s="169">
        <f>'S,T,O Lights'!J19</f>
        <v>15.52</v>
      </c>
      <c r="F42" s="169">
        <f>'S,T,O Lights'!O19</f>
        <v>15.52</v>
      </c>
      <c r="G42" s="125"/>
      <c r="H42" s="125"/>
      <c r="I42" s="116"/>
      <c r="J42" s="116"/>
    </row>
    <row r="43" spans="1:10" x14ac:dyDescent="0.2">
      <c r="D43" s="116" t="str">
        <f>'S,T,O Lights'!C20</f>
        <v>Directional Flood Light (15,00 - 18,000 Lumens)</v>
      </c>
      <c r="E43" s="169">
        <f>'S,T,O Lights'!J20</f>
        <v>23.41</v>
      </c>
      <c r="F43" s="169">
        <f>'S,T,O Lights'!O20</f>
        <v>23.41</v>
      </c>
      <c r="G43" s="125"/>
      <c r="H43" s="125"/>
      <c r="I43" s="116"/>
      <c r="J43" s="116"/>
    </row>
    <row r="44" spans="1:10" x14ac:dyDescent="0.2">
      <c r="D44" s="116" t="str">
        <f>'S,T,O Lights'!C24</f>
        <v>Directional Flood Light w/Pole</v>
      </c>
      <c r="E44" s="169">
        <f>'S,T,O Lights'!J24</f>
        <v>23.41</v>
      </c>
      <c r="F44" s="169">
        <f>'S,T,O Lights'!O24</f>
        <v>23.41</v>
      </c>
      <c r="G44" s="125"/>
      <c r="H44" s="125"/>
      <c r="I44" s="116"/>
      <c r="J44" s="116"/>
    </row>
    <row r="45" spans="1:10" x14ac:dyDescent="0.2">
      <c r="D45" s="116" t="str">
        <f>'S,T,O Lights'!C25</f>
        <v>Additional Pole (30' Wood / if no existing pole available)</v>
      </c>
      <c r="E45" s="169">
        <f>'S,T,O Lights'!J25</f>
        <v>5.73</v>
      </c>
      <c r="F45" s="169">
        <f>'S,T,O Lights'!O25</f>
        <v>5.73</v>
      </c>
      <c r="G45" s="125"/>
      <c r="H45" s="125"/>
      <c r="I45" s="116"/>
      <c r="J45" s="116"/>
    </row>
    <row r="46" spans="1:10" x14ac:dyDescent="0.2">
      <c r="E46" s="169"/>
      <c r="F46" s="169"/>
      <c r="G46" s="125"/>
      <c r="H46" s="125"/>
      <c r="I46" s="116"/>
      <c r="J46" s="116"/>
    </row>
    <row r="47" spans="1:10" x14ac:dyDescent="0.2">
      <c r="A47" s="125"/>
      <c r="B47" s="125"/>
      <c r="H47" s="125"/>
    </row>
    <row r="48" spans="1:10" ht="48.75" customHeight="1" x14ac:dyDescent="0.2">
      <c r="A48" s="125"/>
      <c r="B48" s="338" t="s">
        <v>73</v>
      </c>
      <c r="C48" s="338"/>
      <c r="D48" s="338"/>
      <c r="E48" s="338"/>
      <c r="F48" s="338"/>
      <c r="H48" s="125"/>
    </row>
    <row r="49" spans="2:11" x14ac:dyDescent="0.2">
      <c r="E49" s="339" t="s">
        <v>30</v>
      </c>
      <c r="F49" s="339"/>
    </row>
    <row r="50" spans="2:11" x14ac:dyDescent="0.2">
      <c r="C50" s="282" t="s">
        <v>25</v>
      </c>
      <c r="D50" s="283"/>
      <c r="E50" s="124" t="s">
        <v>75</v>
      </c>
      <c r="F50" s="124" t="s">
        <v>69</v>
      </c>
    </row>
    <row r="51" spans="2:11" x14ac:dyDescent="0.2">
      <c r="C51" s="116" t="str">
        <f>List!C6</f>
        <v>R</v>
      </c>
      <c r="D51" s="125" t="str">
        <f>List!B6</f>
        <v>Residential</v>
      </c>
      <c r="E51" s="119">
        <f>'Present and Proposed Rates'!O11</f>
        <v>2820550.279279992</v>
      </c>
      <c r="F51" s="269">
        <f>'Present and Proposed Rates'!P11</f>
        <v>6.6937939307376251E-2</v>
      </c>
    </row>
    <row r="52" spans="2:11" x14ac:dyDescent="0.2">
      <c r="C52" s="116" t="str">
        <f>List!C7</f>
        <v>D</v>
      </c>
      <c r="D52" s="125" t="str">
        <f>List!B7</f>
        <v>Time Of Use Marketing Service</v>
      </c>
      <c r="E52" s="119">
        <f>'Present and Proposed Rates'!O14</f>
        <v>0</v>
      </c>
      <c r="F52" s="269">
        <f>'Present and Proposed Rates'!P14</f>
        <v>0</v>
      </c>
    </row>
    <row r="53" spans="2:11" x14ac:dyDescent="0.2">
      <c r="C53" s="116" t="str">
        <f>List!C8</f>
        <v>C</v>
      </c>
      <c r="D53" s="125" t="str">
        <f>List!B8</f>
        <v>General Power Service &lt; 50kW</v>
      </c>
      <c r="E53" s="119">
        <f>'Present and Proposed Rates'!O18</f>
        <v>0</v>
      </c>
      <c r="F53" s="280">
        <f>'Present and Proposed Rates'!P18</f>
        <v>0</v>
      </c>
    </row>
    <row r="54" spans="2:11" x14ac:dyDescent="0.2">
      <c r="C54" s="116" t="str">
        <f>List!C9</f>
        <v>E</v>
      </c>
      <c r="D54" s="125" t="str">
        <f>List!B9</f>
        <v>Public Facilities</v>
      </c>
      <c r="E54" s="119">
        <f>'Present and Proposed Rates'!O22</f>
        <v>0</v>
      </c>
      <c r="F54" s="280">
        <f>'Present and Proposed Rates'!P22</f>
        <v>0</v>
      </c>
    </row>
    <row r="55" spans="2:11" x14ac:dyDescent="0.2">
      <c r="C55" s="116" t="str">
        <f>List!C10</f>
        <v>L</v>
      </c>
      <c r="D55" s="125" t="str">
        <f>List!B10</f>
        <v>General Power Service 50-500kW</v>
      </c>
      <c r="E55" s="119">
        <f>'Present and Proposed Rates'!O25</f>
        <v>0</v>
      </c>
      <c r="F55" s="280">
        <f>'Present and Proposed Rates'!P25</f>
        <v>0</v>
      </c>
    </row>
    <row r="56" spans="2:11" x14ac:dyDescent="0.2">
      <c r="C56" s="116" t="str">
        <f>List!C11</f>
        <v>M</v>
      </c>
      <c r="D56" s="125" t="str">
        <f>List!B11</f>
        <v>General Power Service 1000-5000kW</v>
      </c>
      <c r="E56" s="119">
        <f>'Present and Proposed Rates'!O29</f>
        <v>0</v>
      </c>
      <c r="F56" s="280" t="e">
        <f>'Present and Proposed Rates'!P29</f>
        <v>#DIV/0!</v>
      </c>
    </row>
    <row r="57" spans="2:11" x14ac:dyDescent="0.2">
      <c r="C57" s="116" t="str">
        <f>List!C12</f>
        <v>P</v>
      </c>
      <c r="D57" s="125" t="str">
        <f>List!B12</f>
        <v>General Power Service 500+kW</v>
      </c>
      <c r="E57" s="119">
        <f>'Present and Proposed Rates'!O33</f>
        <v>0</v>
      </c>
      <c r="F57" s="280">
        <f>'Present and Proposed Rates'!P33</f>
        <v>0</v>
      </c>
      <c r="K57" s="117"/>
    </row>
    <row r="58" spans="2:11" x14ac:dyDescent="0.2">
      <c r="D58" s="125" t="str">
        <f>List!B14</f>
        <v>Lighting</v>
      </c>
      <c r="E58" s="119">
        <f>'Present and Proposed Rates'!O42</f>
        <v>0</v>
      </c>
      <c r="F58" s="280">
        <f>'Present and Proposed Rates'!P42</f>
        <v>0</v>
      </c>
      <c r="K58" s="117"/>
    </row>
    <row r="59" spans="2:11" hidden="1" x14ac:dyDescent="0.2">
      <c r="D59" s="125" t="e">
        <f>List!#REF!</f>
        <v>#REF!</v>
      </c>
      <c r="E59" s="119">
        <f>'Present and Proposed Rates'!O44</f>
        <v>0</v>
      </c>
      <c r="F59" s="269">
        <f>'Present and Proposed Rates'!P44</f>
        <v>0</v>
      </c>
      <c r="K59" s="117"/>
    </row>
    <row r="60" spans="2:11" hidden="1" x14ac:dyDescent="0.2">
      <c r="D60" s="125">
        <f>List!B15</f>
        <v>0</v>
      </c>
      <c r="E60" s="119">
        <f>'Present and Proposed Rates'!O47</f>
        <v>0</v>
      </c>
      <c r="F60" s="269">
        <f>'Present and Proposed Rates'!P47</f>
        <v>0</v>
      </c>
      <c r="H60" s="118"/>
      <c r="K60" s="117"/>
    </row>
    <row r="61" spans="2:11" x14ac:dyDescent="0.2">
      <c r="C61" s="130" t="s">
        <v>39</v>
      </c>
      <c r="D61" s="281"/>
      <c r="E61" s="120">
        <f>'Present and Proposed Rates'!O53</f>
        <v>2820550.279279992</v>
      </c>
      <c r="F61" s="270">
        <f>'Present and Proposed Rates'!P53</f>
        <v>4.8676130126726343E-2</v>
      </c>
      <c r="H61" s="118"/>
      <c r="K61" s="117"/>
    </row>
    <row r="62" spans="2:11" ht="16.5" customHeight="1" x14ac:dyDescent="0.2">
      <c r="H62" s="118"/>
      <c r="K62" s="117"/>
    </row>
    <row r="63" spans="2:11" ht="36.75" customHeight="1" x14ac:dyDescent="0.2">
      <c r="B63" s="338" t="s">
        <v>74</v>
      </c>
      <c r="C63" s="338"/>
      <c r="D63" s="338"/>
      <c r="E63" s="338"/>
      <c r="F63" s="338"/>
      <c r="G63" s="338"/>
      <c r="H63" s="118"/>
      <c r="K63" s="117"/>
    </row>
    <row r="64" spans="2:11" x14ac:dyDescent="0.2">
      <c r="E64" s="122" t="s">
        <v>71</v>
      </c>
      <c r="F64" s="339" t="s">
        <v>30</v>
      </c>
      <c r="G64" s="339"/>
      <c r="H64" s="118"/>
    </row>
    <row r="65" spans="3:8" x14ac:dyDescent="0.2">
      <c r="C65" s="282" t="s">
        <v>25</v>
      </c>
      <c r="D65" s="283"/>
      <c r="E65" s="123" t="s">
        <v>72</v>
      </c>
      <c r="F65" s="124" t="s">
        <v>75</v>
      </c>
      <c r="G65" s="124" t="s">
        <v>69</v>
      </c>
      <c r="H65" s="118"/>
    </row>
    <row r="66" spans="3:8" x14ac:dyDescent="0.2">
      <c r="C66" s="116" t="str">
        <f>List!C6</f>
        <v>R</v>
      </c>
      <c r="D66" s="125" t="str">
        <f>List!B6</f>
        <v>Residential</v>
      </c>
      <c r="E66" s="267">
        <f>'R'!D29</f>
        <v>1042.2886739704347</v>
      </c>
      <c r="F66" s="118">
        <f>'Present and Proposed Rates'!Q11</f>
        <v>9.1477108566683913</v>
      </c>
      <c r="G66" s="269">
        <f>'Present and Proposed Rates'!P11</f>
        <v>6.6937939307376251E-2</v>
      </c>
    </row>
    <row r="67" spans="3:8" x14ac:dyDescent="0.2">
      <c r="C67" s="116" t="str">
        <f>List!C7</f>
        <v>D</v>
      </c>
      <c r="D67" s="125" t="str">
        <f>List!B7</f>
        <v>Time Of Use Marketing Service</v>
      </c>
      <c r="E67" s="267">
        <f>'D-RTOD'!D31</f>
        <v>27265.25</v>
      </c>
      <c r="F67" s="118">
        <f>'Present and Proposed Rates'!Q14</f>
        <v>0</v>
      </c>
      <c r="G67" s="269">
        <f>'Present and Proposed Rates'!P14</f>
        <v>0</v>
      </c>
    </row>
    <row r="68" spans="3:8" x14ac:dyDescent="0.2">
      <c r="C68" s="116" t="str">
        <f>List!C8</f>
        <v>C</v>
      </c>
      <c r="D68" s="125" t="str">
        <f>List!B8</f>
        <v>General Power Service &lt; 50kW</v>
      </c>
      <c r="E68" s="267">
        <f>'C'!D30</f>
        <v>1315.3221916909322</v>
      </c>
      <c r="F68" s="118">
        <f>'Present and Proposed Rates'!Q18</f>
        <v>0</v>
      </c>
      <c r="G68" s="280">
        <f>'Present and Proposed Rates'!P18</f>
        <v>0</v>
      </c>
    </row>
    <row r="69" spans="3:8" x14ac:dyDescent="0.2">
      <c r="C69" s="116" t="str">
        <f>List!C9</f>
        <v>E</v>
      </c>
      <c r="D69" s="125" t="str">
        <f>List!B9</f>
        <v>Public Facilities</v>
      </c>
      <c r="E69" s="267">
        <f>E!D29</f>
        <v>968.31706022817718</v>
      </c>
      <c r="F69" s="118">
        <f>'Present and Proposed Rates'!Q22</f>
        <v>0</v>
      </c>
      <c r="G69" s="280">
        <f>'Present and Proposed Rates'!P22</f>
        <v>0</v>
      </c>
    </row>
    <row r="70" spans="3:8" x14ac:dyDescent="0.2">
      <c r="C70" s="116" t="str">
        <f>List!C10</f>
        <v>L</v>
      </c>
      <c r="D70" s="125" t="str">
        <f>List!B10</f>
        <v>General Power Service 50-500kW</v>
      </c>
      <c r="E70" s="267">
        <f>L!D34</f>
        <v>29676.064245810056</v>
      </c>
      <c r="F70" s="118">
        <f>'Present and Proposed Rates'!Q25</f>
        <v>0</v>
      </c>
      <c r="G70" s="280">
        <f>'Present and Proposed Rates'!P25</f>
        <v>0</v>
      </c>
    </row>
    <row r="71" spans="3:8" x14ac:dyDescent="0.2">
      <c r="C71" s="116" t="str">
        <f>List!C11</f>
        <v>M</v>
      </c>
      <c r="D71" s="125" t="str">
        <f>List!B11</f>
        <v>General Power Service 1000-5000kW</v>
      </c>
      <c r="E71" s="267" t="e">
        <f>M!D34</f>
        <v>#DIV/0!</v>
      </c>
      <c r="F71" s="118" t="e">
        <f>'Present and Proposed Rates'!Q29</f>
        <v>#DIV/0!</v>
      </c>
      <c r="G71" s="280" t="e">
        <f>'Present and Proposed Rates'!P29</f>
        <v>#DIV/0!</v>
      </c>
    </row>
    <row r="72" spans="3:8" x14ac:dyDescent="0.2">
      <c r="C72" s="116" t="str">
        <f>List!C12</f>
        <v>P</v>
      </c>
      <c r="D72" s="125" t="str">
        <f>List!B12</f>
        <v>General Power Service 500+kW</v>
      </c>
      <c r="E72" s="267">
        <f>P!D36</f>
        <v>221221.66666666666</v>
      </c>
      <c r="F72" s="118">
        <f>'Present and Proposed Rates'!Q33</f>
        <v>0</v>
      </c>
      <c r="G72" s="280">
        <f>'Present and Proposed Rates'!P33</f>
        <v>0</v>
      </c>
    </row>
    <row r="73" spans="3:8" x14ac:dyDescent="0.2">
      <c r="D73" s="125" t="str">
        <f>List!B14</f>
        <v>Lighting</v>
      </c>
      <c r="E73" s="271" t="s">
        <v>85</v>
      </c>
      <c r="F73" s="118">
        <f>'Present and Proposed Rates'!Q42</f>
        <v>0</v>
      </c>
      <c r="G73" s="280">
        <f>'Present and Proposed Rates'!P42</f>
        <v>0</v>
      </c>
    </row>
    <row r="74" spans="3:8" hidden="1" x14ac:dyDescent="0.2">
      <c r="D74" s="125" t="e">
        <f>List!#REF!</f>
        <v>#REF!</v>
      </c>
      <c r="E74" s="267"/>
      <c r="F74" s="118">
        <f>'Present and Proposed Rates'!Q44</f>
        <v>0</v>
      </c>
      <c r="G74" s="269">
        <f>'Present and Proposed Rates'!P44</f>
        <v>0</v>
      </c>
    </row>
    <row r="75" spans="3:8" hidden="1" x14ac:dyDescent="0.2">
      <c r="D75" s="125">
        <f>List!B15</f>
        <v>0</v>
      </c>
      <c r="E75" s="165"/>
      <c r="F75" s="118">
        <f>'Present and Proposed Rates'!Q47</f>
        <v>0</v>
      </c>
      <c r="G75" s="269">
        <f>'Present and Proposed Rates'!P47</f>
        <v>0</v>
      </c>
    </row>
    <row r="76" spans="3:8" x14ac:dyDescent="0.2">
      <c r="C76" s="130" t="s">
        <v>39</v>
      </c>
      <c r="D76" s="281"/>
      <c r="E76" s="272" t="s">
        <v>85</v>
      </c>
      <c r="F76" s="164">
        <f>'Present and Proposed Rates'!Q53</f>
        <v>0</v>
      </c>
      <c r="G76" s="270">
        <f>'Present and Proposed Rates'!P53</f>
        <v>4.8676130126726343E-2</v>
      </c>
    </row>
  </sheetData>
  <mergeCells count="5">
    <mergeCell ref="E5:F5"/>
    <mergeCell ref="B48:F48"/>
    <mergeCell ref="E49:F49"/>
    <mergeCell ref="B63:G63"/>
    <mergeCell ref="F64:G6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Q379"/>
  <sheetViews>
    <sheetView workbookViewId="0">
      <pane xSplit="1" ySplit="4" topLeftCell="B5" activePane="bottomRight" state="frozen"/>
      <selection activeCell="H49" sqref="H49"/>
      <selection pane="topRight" activeCell="H49" sqref="H49"/>
      <selection pane="bottomLeft" activeCell="H49" sqref="H49"/>
      <selection pane="bottomRight" activeCell="H49" sqref="H49"/>
    </sheetView>
  </sheetViews>
  <sheetFormatPr defaultRowHeight="12.75" x14ac:dyDescent="0.2"/>
  <cols>
    <col min="1" max="1" width="31.85546875" style="133" customWidth="1"/>
    <col min="2" max="2" width="5.5703125" style="133" customWidth="1"/>
    <col min="3" max="14" width="11.7109375" style="133" customWidth="1"/>
    <col min="15" max="15" width="12.85546875" style="133" bestFit="1" customWidth="1"/>
    <col min="16" max="16" width="9.140625" style="133"/>
    <col min="17" max="17" width="13.28515625" style="133" bestFit="1" customWidth="1"/>
    <col min="18" max="16384" width="9.140625" style="133"/>
  </cols>
  <sheetData>
    <row r="1" spans="1:17" x14ac:dyDescent="0.2">
      <c r="A1" s="141" t="str">
        <f>'Present and Proposed Rates'!A1</f>
        <v>Clark Energy Cooperative</v>
      </c>
    </row>
    <row r="2" spans="1:17" x14ac:dyDescent="0.2">
      <c r="A2" s="141" t="s">
        <v>262</v>
      </c>
    </row>
    <row r="4" spans="1:17" x14ac:dyDescent="0.2">
      <c r="C4" s="194">
        <v>43466</v>
      </c>
      <c r="D4" s="194">
        <f t="shared" ref="D4:N4" si="0">DATE(YEAR(C4),MONTH(C4)+1,1)</f>
        <v>43497</v>
      </c>
      <c r="E4" s="194">
        <f t="shared" si="0"/>
        <v>43525</v>
      </c>
      <c r="F4" s="194">
        <f t="shared" si="0"/>
        <v>43556</v>
      </c>
      <c r="G4" s="194">
        <f t="shared" si="0"/>
        <v>43586</v>
      </c>
      <c r="H4" s="194">
        <f t="shared" si="0"/>
        <v>43617</v>
      </c>
      <c r="I4" s="194">
        <f t="shared" si="0"/>
        <v>43647</v>
      </c>
      <c r="J4" s="194">
        <f t="shared" si="0"/>
        <v>43678</v>
      </c>
      <c r="K4" s="194">
        <f t="shared" si="0"/>
        <v>43709</v>
      </c>
      <c r="L4" s="194">
        <f t="shared" si="0"/>
        <v>43739</v>
      </c>
      <c r="M4" s="194">
        <f t="shared" si="0"/>
        <v>43770</v>
      </c>
      <c r="N4" s="194">
        <f t="shared" si="0"/>
        <v>43800</v>
      </c>
      <c r="O4" s="195" t="s">
        <v>124</v>
      </c>
    </row>
    <row r="5" spans="1:17" x14ac:dyDescent="0.2">
      <c r="B5" s="196"/>
      <c r="C5" s="133">
        <v>133</v>
      </c>
      <c r="D5" s="133">
        <v>134</v>
      </c>
      <c r="E5" s="133">
        <v>135</v>
      </c>
      <c r="F5" s="133">
        <v>136</v>
      </c>
      <c r="G5" s="133">
        <v>137</v>
      </c>
      <c r="H5" s="133">
        <v>138</v>
      </c>
      <c r="I5" s="133">
        <v>139</v>
      </c>
      <c r="J5" s="133">
        <v>140</v>
      </c>
      <c r="K5" s="133">
        <v>141</v>
      </c>
      <c r="L5" s="133">
        <v>142</v>
      </c>
      <c r="M5" s="133">
        <v>143</v>
      </c>
      <c r="N5" s="133">
        <v>144</v>
      </c>
      <c r="O5" s="197" t="s">
        <v>36</v>
      </c>
    </row>
    <row r="6" spans="1:17" x14ac:dyDescent="0.2">
      <c r="A6" s="198" t="s">
        <v>125</v>
      </c>
    </row>
    <row r="7" spans="1:17" x14ac:dyDescent="0.2">
      <c r="A7" s="199" t="s">
        <v>126</v>
      </c>
      <c r="B7" s="173" t="s">
        <v>127</v>
      </c>
      <c r="C7" s="173">
        <v>25.33</v>
      </c>
      <c r="D7" s="173">
        <v>25.33</v>
      </c>
      <c r="E7" s="173">
        <v>25.33</v>
      </c>
      <c r="F7" s="173">
        <v>25.33</v>
      </c>
      <c r="G7" s="173">
        <v>25.33</v>
      </c>
      <c r="H7" s="173">
        <v>25.33</v>
      </c>
      <c r="I7" s="173">
        <v>25.33</v>
      </c>
      <c r="J7" s="173">
        <v>25.33</v>
      </c>
      <c r="K7" s="173">
        <v>25.33</v>
      </c>
      <c r="L7" s="173">
        <v>25.33</v>
      </c>
      <c r="M7" s="173">
        <v>25.33</v>
      </c>
      <c r="N7" s="173">
        <v>25.33</v>
      </c>
      <c r="O7" s="173"/>
    </row>
    <row r="8" spans="1:17" x14ac:dyDescent="0.2">
      <c r="A8" s="200" t="s">
        <v>128</v>
      </c>
      <c r="B8" s="201" t="s">
        <v>127</v>
      </c>
      <c r="C8" s="201">
        <v>9.6339999999999995E-2</v>
      </c>
      <c r="D8" s="201">
        <v>9.6339999999999995E-2</v>
      </c>
      <c r="E8" s="201">
        <v>9.6339999999999995E-2</v>
      </c>
      <c r="F8" s="201">
        <v>9.6339999999999995E-2</v>
      </c>
      <c r="G8" s="201">
        <v>9.6339999999999995E-2</v>
      </c>
      <c r="H8" s="201">
        <v>9.6339999999999995E-2</v>
      </c>
      <c r="I8" s="201">
        <v>9.6339999999999995E-2</v>
      </c>
      <c r="J8" s="201">
        <v>9.6339999999999995E-2</v>
      </c>
      <c r="K8" s="201">
        <v>9.6339999999999995E-2</v>
      </c>
      <c r="L8" s="201">
        <v>9.6339999999999995E-2</v>
      </c>
      <c r="M8" s="201">
        <v>9.6339999999999995E-2</v>
      </c>
      <c r="N8" s="201">
        <v>9.6339999999999995E-2</v>
      </c>
      <c r="O8" s="201"/>
    </row>
    <row r="9" spans="1:17" x14ac:dyDescent="0.2">
      <c r="A9" s="202" t="s">
        <v>129</v>
      </c>
      <c r="B9" s="203" t="s">
        <v>130</v>
      </c>
      <c r="C9" s="121">
        <f>+C11/C7</f>
        <v>1490</v>
      </c>
      <c r="D9" s="121">
        <f t="shared" ref="D9:N9" si="1">+D11/D7</f>
        <v>1497.0000000000002</v>
      </c>
      <c r="E9" s="121">
        <f t="shared" si="1"/>
        <v>1498</v>
      </c>
      <c r="F9" s="121">
        <f t="shared" si="1"/>
        <v>1505.0000000000002</v>
      </c>
      <c r="G9" s="121">
        <f t="shared" si="1"/>
        <v>1526.0000000000002</v>
      </c>
      <c r="H9" s="121">
        <f t="shared" si="1"/>
        <v>1535.0000000000002</v>
      </c>
      <c r="I9" s="121">
        <f t="shared" si="1"/>
        <v>1524</v>
      </c>
      <c r="J9" s="121">
        <f t="shared" si="1"/>
        <v>1514.0000000000002</v>
      </c>
      <c r="K9" s="121">
        <f t="shared" si="1"/>
        <v>1511</v>
      </c>
      <c r="L9" s="121">
        <f t="shared" si="1"/>
        <v>1525</v>
      </c>
      <c r="M9" s="121">
        <f t="shared" si="1"/>
        <v>1532</v>
      </c>
      <c r="N9" s="121">
        <f t="shared" si="1"/>
        <v>1521.0000000000002</v>
      </c>
      <c r="O9" s="121">
        <f>SUM(C9:N9)</f>
        <v>18178</v>
      </c>
    </row>
    <row r="10" spans="1:17" x14ac:dyDescent="0.2">
      <c r="A10" s="204" t="s">
        <v>7</v>
      </c>
      <c r="B10" s="205" t="s">
        <v>127</v>
      </c>
      <c r="C10" s="205">
        <v>1674266</v>
      </c>
      <c r="D10" s="205">
        <v>1954002</v>
      </c>
      <c r="E10" s="205">
        <v>1586577</v>
      </c>
      <c r="F10" s="205">
        <v>1482750</v>
      </c>
      <c r="G10" s="205">
        <v>1422075</v>
      </c>
      <c r="H10" s="205">
        <v>1672613</v>
      </c>
      <c r="I10" s="205">
        <v>1763200</v>
      </c>
      <c r="J10" s="205">
        <v>2148819</v>
      </c>
      <c r="K10" s="205">
        <v>1928619</v>
      </c>
      <c r="L10" s="205">
        <v>1797524</v>
      </c>
      <c r="M10" s="205">
        <v>1576957</v>
      </c>
      <c r="N10" s="205">
        <v>1559389</v>
      </c>
      <c r="O10" s="205">
        <f>SUM(C10:N10)</f>
        <v>20566791</v>
      </c>
    </row>
    <row r="11" spans="1:17" x14ac:dyDescent="0.2">
      <c r="A11" s="204" t="s">
        <v>131</v>
      </c>
      <c r="B11" s="205" t="s">
        <v>127</v>
      </c>
      <c r="C11" s="205">
        <v>37741.699999999997</v>
      </c>
      <c r="D11" s="205">
        <v>37919.01</v>
      </c>
      <c r="E11" s="205">
        <v>37944.339999999997</v>
      </c>
      <c r="F11" s="205">
        <v>38121.65</v>
      </c>
      <c r="G11" s="205">
        <v>38653.58</v>
      </c>
      <c r="H11" s="205">
        <v>38881.550000000003</v>
      </c>
      <c r="I11" s="205">
        <v>38602.92</v>
      </c>
      <c r="J11" s="205">
        <v>38349.620000000003</v>
      </c>
      <c r="K11" s="205">
        <v>38273.629999999997</v>
      </c>
      <c r="L11" s="205">
        <v>38628.25</v>
      </c>
      <c r="M11" s="205">
        <v>38805.56</v>
      </c>
      <c r="N11" s="205">
        <v>38526.93</v>
      </c>
      <c r="O11" s="205">
        <v>18178</v>
      </c>
    </row>
    <row r="12" spans="1:17" x14ac:dyDescent="0.2">
      <c r="A12" s="204" t="s">
        <v>132</v>
      </c>
      <c r="B12" s="205" t="s">
        <v>127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</row>
    <row r="13" spans="1:17" x14ac:dyDescent="0.2">
      <c r="A13" s="202" t="s">
        <v>133</v>
      </c>
      <c r="B13" s="203" t="s">
        <v>130</v>
      </c>
      <c r="C13" s="206">
        <f>+C10*C8</f>
        <v>161298.78644</v>
      </c>
      <c r="D13" s="206">
        <f t="shared" ref="D13:N13" si="2">+D10*D8</f>
        <v>188248.55267999999</v>
      </c>
      <c r="E13" s="206">
        <f t="shared" si="2"/>
        <v>152850.82817999998</v>
      </c>
      <c r="F13" s="206">
        <f t="shared" si="2"/>
        <v>142848.13499999998</v>
      </c>
      <c r="G13" s="206">
        <f t="shared" si="2"/>
        <v>137002.70549999998</v>
      </c>
      <c r="H13" s="206">
        <f t="shared" si="2"/>
        <v>161139.53641999999</v>
      </c>
      <c r="I13" s="206">
        <f t="shared" si="2"/>
        <v>169866.68799999999</v>
      </c>
      <c r="J13" s="206">
        <f t="shared" si="2"/>
        <v>207017.22245999999</v>
      </c>
      <c r="K13" s="206">
        <f t="shared" si="2"/>
        <v>185803.15445999999</v>
      </c>
      <c r="L13" s="206">
        <f t="shared" si="2"/>
        <v>173173.46216</v>
      </c>
      <c r="M13" s="206">
        <f t="shared" si="2"/>
        <v>151924.03737999999</v>
      </c>
      <c r="N13" s="206">
        <f t="shared" si="2"/>
        <v>150231.53625999999</v>
      </c>
      <c r="O13" s="206">
        <f>SUM(C13:N13)</f>
        <v>1981404.6449400005</v>
      </c>
      <c r="Q13" s="238">
        <f>O13+O11+O25+O26+O27</f>
        <v>2934372.5459000003</v>
      </c>
    </row>
    <row r="14" spans="1:17" x14ac:dyDescent="0.2">
      <c r="A14" s="204" t="s">
        <v>134</v>
      </c>
      <c r="B14" s="205" t="s">
        <v>127</v>
      </c>
      <c r="C14" s="205">
        <v>-6283.53</v>
      </c>
      <c r="D14" s="205">
        <v>3581.71</v>
      </c>
      <c r="E14" s="205">
        <v>-7361.64</v>
      </c>
      <c r="F14" s="205">
        <v>-4679.6400000000003</v>
      </c>
      <c r="G14" s="205">
        <v>-8271.4</v>
      </c>
      <c r="H14" s="205">
        <v>-3763.46</v>
      </c>
      <c r="I14" s="205">
        <v>-11750.31</v>
      </c>
      <c r="J14" s="205">
        <v>-7353.11</v>
      </c>
      <c r="K14" s="205">
        <v>-7990.19</v>
      </c>
      <c r="L14" s="205">
        <v>-8618.89</v>
      </c>
      <c r="M14" s="205">
        <v>-10652.37</v>
      </c>
      <c r="N14" s="205">
        <v>-10675.75</v>
      </c>
      <c r="O14" s="205">
        <f>SUM(C14:N14)</f>
        <v>-83818.58</v>
      </c>
    </row>
    <row r="15" spans="1:17" x14ac:dyDescent="0.2">
      <c r="A15" s="204" t="s">
        <v>135</v>
      </c>
      <c r="B15" s="205" t="s">
        <v>136</v>
      </c>
      <c r="C15" s="205">
        <v>21059.18</v>
      </c>
      <c r="D15" s="205">
        <v>21445.73</v>
      </c>
      <c r="E15" s="205">
        <v>14507.41</v>
      </c>
      <c r="F15" s="205">
        <v>14000.67</v>
      </c>
      <c r="G15" s="205">
        <v>17011.009999999998</v>
      </c>
      <c r="H15" s="205">
        <v>19921.53</v>
      </c>
      <c r="I15" s="205">
        <v>24102.880000000001</v>
      </c>
      <c r="J15" s="205">
        <v>28607.96</v>
      </c>
      <c r="K15" s="205">
        <v>25336.49</v>
      </c>
      <c r="L15" s="205">
        <v>19588.29</v>
      </c>
      <c r="M15" s="205">
        <v>18175.57</v>
      </c>
      <c r="N15" s="205">
        <v>19545.77</v>
      </c>
      <c r="O15" s="205">
        <f>SUM(C15:N15)</f>
        <v>243302.49</v>
      </c>
    </row>
    <row r="16" spans="1:17" x14ac:dyDescent="0.2">
      <c r="A16" s="202" t="s">
        <v>137</v>
      </c>
      <c r="B16" s="203" t="s">
        <v>138</v>
      </c>
      <c r="C16" s="173">
        <f t="shared" ref="C16:N16" si="3">+C15+C14+C13+C12+C11</f>
        <v>213816.13643999997</v>
      </c>
      <c r="D16" s="173">
        <f t="shared" si="3"/>
        <v>251195.00268000001</v>
      </c>
      <c r="E16" s="173">
        <f t="shared" si="3"/>
        <v>197940.93817999997</v>
      </c>
      <c r="F16" s="173">
        <f t="shared" si="3"/>
        <v>190290.81499999997</v>
      </c>
      <c r="G16" s="173">
        <f t="shared" si="3"/>
        <v>184395.89549999998</v>
      </c>
      <c r="H16" s="173">
        <f t="shared" si="3"/>
        <v>216179.15642000001</v>
      </c>
      <c r="I16" s="173">
        <f t="shared" si="3"/>
        <v>220822.17800000001</v>
      </c>
      <c r="J16" s="173">
        <f t="shared" si="3"/>
        <v>266621.69245999999</v>
      </c>
      <c r="K16" s="173">
        <f t="shared" si="3"/>
        <v>241423.08445999998</v>
      </c>
      <c r="L16" s="173">
        <f t="shared" si="3"/>
        <v>222771.11215999999</v>
      </c>
      <c r="M16" s="173">
        <f t="shared" si="3"/>
        <v>198252.79738</v>
      </c>
      <c r="N16" s="173">
        <f t="shared" si="3"/>
        <v>197628.48625999998</v>
      </c>
      <c r="O16" s="173">
        <f>SUM(C16:N16)</f>
        <v>2601337.2949399999</v>
      </c>
    </row>
    <row r="18" spans="1:15" x14ac:dyDescent="0.2">
      <c r="A18" s="198" t="s">
        <v>139</v>
      </c>
    </row>
    <row r="19" spans="1:15" x14ac:dyDescent="0.2">
      <c r="A19" s="199" t="s">
        <v>51</v>
      </c>
      <c r="B19" s="173" t="s">
        <v>127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</row>
    <row r="20" spans="1:15" x14ac:dyDescent="0.2">
      <c r="A20" s="199" t="s">
        <v>126</v>
      </c>
      <c r="B20" s="173" t="s">
        <v>127</v>
      </c>
      <c r="C20" s="173">
        <v>50.14</v>
      </c>
      <c r="D20" s="173">
        <v>50.14</v>
      </c>
      <c r="E20" s="173">
        <v>50.14</v>
      </c>
      <c r="F20" s="173">
        <v>50.14</v>
      </c>
      <c r="G20" s="173">
        <v>50.14</v>
      </c>
      <c r="H20" s="173">
        <v>50.14</v>
      </c>
      <c r="I20" s="173">
        <v>50.14</v>
      </c>
      <c r="J20" s="173">
        <v>50.14</v>
      </c>
      <c r="K20" s="173">
        <v>50.14</v>
      </c>
      <c r="L20" s="173">
        <v>50.14</v>
      </c>
      <c r="M20" s="173">
        <v>50.14</v>
      </c>
      <c r="N20" s="173">
        <v>50.14</v>
      </c>
      <c r="O20" s="173"/>
    </row>
    <row r="21" spans="1:15" x14ac:dyDescent="0.2">
      <c r="A21" s="207" t="s">
        <v>128</v>
      </c>
      <c r="B21" s="208" t="s">
        <v>127</v>
      </c>
      <c r="C21" s="208">
        <v>9.6339999999999995E-2</v>
      </c>
      <c r="D21" s="208">
        <v>9.6339999999999995E-2</v>
      </c>
      <c r="E21" s="208">
        <v>9.6339999999999995E-2</v>
      </c>
      <c r="F21" s="208">
        <v>9.6339999999999995E-2</v>
      </c>
      <c r="G21" s="208">
        <v>9.6339999999999995E-2</v>
      </c>
      <c r="H21" s="208">
        <v>9.6339999999999995E-2</v>
      </c>
      <c r="I21" s="208">
        <v>9.6339999999999995E-2</v>
      </c>
      <c r="J21" s="208">
        <v>9.6339999999999995E-2</v>
      </c>
      <c r="K21" s="208">
        <v>9.6339999999999995E-2</v>
      </c>
      <c r="L21" s="208">
        <v>9.6339999999999995E-2</v>
      </c>
      <c r="M21" s="208">
        <v>9.6339999999999995E-2</v>
      </c>
      <c r="N21" s="208">
        <v>9.6339999999999995E-2</v>
      </c>
      <c r="O21" s="208"/>
    </row>
    <row r="22" spans="1:15" x14ac:dyDescent="0.2">
      <c r="A22" s="202" t="s">
        <v>52</v>
      </c>
      <c r="B22" s="203" t="s">
        <v>130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</row>
    <row r="23" spans="1:15" x14ac:dyDescent="0.2">
      <c r="A23" s="202" t="s">
        <v>129</v>
      </c>
      <c r="B23" s="203" t="s">
        <v>130</v>
      </c>
      <c r="C23" s="121">
        <f t="shared" ref="C23:N23" si="4">+C26/C20</f>
        <v>219</v>
      </c>
      <c r="D23" s="121">
        <f t="shared" si="4"/>
        <v>221</v>
      </c>
      <c r="E23" s="121">
        <f t="shared" si="4"/>
        <v>221</v>
      </c>
      <c r="F23" s="121">
        <f t="shared" si="4"/>
        <v>226</v>
      </c>
      <c r="G23" s="121">
        <f t="shared" si="4"/>
        <v>226</v>
      </c>
      <c r="H23" s="121">
        <f t="shared" si="4"/>
        <v>221</v>
      </c>
      <c r="I23" s="121">
        <f t="shared" si="4"/>
        <v>221</v>
      </c>
      <c r="J23" s="121">
        <f t="shared" si="4"/>
        <v>221</v>
      </c>
      <c r="K23" s="121">
        <f t="shared" si="4"/>
        <v>222.99999999999997</v>
      </c>
      <c r="L23" s="121">
        <f t="shared" si="4"/>
        <v>225</v>
      </c>
      <c r="M23" s="121">
        <f t="shared" si="4"/>
        <v>226</v>
      </c>
      <c r="N23" s="121">
        <f t="shared" si="4"/>
        <v>227</v>
      </c>
      <c r="O23" s="121">
        <f>SUM(C23:N23)</f>
        <v>2677</v>
      </c>
    </row>
    <row r="24" spans="1:15" x14ac:dyDescent="0.2">
      <c r="A24" s="204" t="s">
        <v>7</v>
      </c>
      <c r="B24" s="205" t="s">
        <v>127</v>
      </c>
      <c r="C24" s="205">
        <v>739780</v>
      </c>
      <c r="D24" s="205">
        <v>845967</v>
      </c>
      <c r="E24" s="205">
        <v>713788</v>
      </c>
      <c r="F24" s="205">
        <v>698821</v>
      </c>
      <c r="G24" s="205">
        <v>672479</v>
      </c>
      <c r="H24" s="205">
        <v>751664</v>
      </c>
      <c r="I24" s="205">
        <v>754817</v>
      </c>
      <c r="J24" s="205">
        <v>938716</v>
      </c>
      <c r="K24" s="205">
        <v>1205692</v>
      </c>
      <c r="L24" s="205">
        <v>857942</v>
      </c>
      <c r="M24" s="205">
        <v>692038</v>
      </c>
      <c r="N24" s="205">
        <v>642640</v>
      </c>
      <c r="O24" s="205">
        <f>SUM(C24:N24)</f>
        <v>9514344</v>
      </c>
    </row>
    <row r="25" spans="1:15" x14ac:dyDescent="0.2">
      <c r="A25" s="204" t="s">
        <v>140</v>
      </c>
      <c r="B25" s="205" t="s">
        <v>127</v>
      </c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>
        <v>18178</v>
      </c>
    </row>
    <row r="26" spans="1:15" x14ac:dyDescent="0.2">
      <c r="A26" s="204" t="s">
        <v>131</v>
      </c>
      <c r="B26" s="205" t="s">
        <v>127</v>
      </c>
      <c r="C26" s="205">
        <v>10980.66</v>
      </c>
      <c r="D26" s="205">
        <v>11080.94</v>
      </c>
      <c r="E26" s="205">
        <v>11080.94</v>
      </c>
      <c r="F26" s="205">
        <v>11331.64</v>
      </c>
      <c r="G26" s="205">
        <v>11331.64</v>
      </c>
      <c r="H26" s="205">
        <v>11080.94</v>
      </c>
      <c r="I26" s="205">
        <v>11080.94</v>
      </c>
      <c r="J26" s="205">
        <v>11080.94</v>
      </c>
      <c r="K26" s="205">
        <v>11181.22</v>
      </c>
      <c r="L26" s="205">
        <v>11281.5</v>
      </c>
      <c r="M26" s="205">
        <v>11331.64</v>
      </c>
      <c r="N26" s="205">
        <v>11381.78</v>
      </c>
      <c r="O26" s="205"/>
    </row>
    <row r="27" spans="1:15" x14ac:dyDescent="0.2">
      <c r="A27" s="202" t="s">
        <v>133</v>
      </c>
      <c r="B27" s="203" t="s">
        <v>130</v>
      </c>
      <c r="C27" s="206">
        <f t="shared" ref="C27:N27" si="5">+C24*C21</f>
        <v>71270.405199999994</v>
      </c>
      <c r="D27" s="206">
        <f t="shared" si="5"/>
        <v>81500.460779999994</v>
      </c>
      <c r="E27" s="206">
        <f t="shared" si="5"/>
        <v>68766.335919999998</v>
      </c>
      <c r="F27" s="206">
        <f t="shared" si="5"/>
        <v>67324.415139999997</v>
      </c>
      <c r="G27" s="206">
        <f t="shared" si="5"/>
        <v>64786.626859999997</v>
      </c>
      <c r="H27" s="206">
        <f t="shared" si="5"/>
        <v>72415.309759999989</v>
      </c>
      <c r="I27" s="206">
        <f t="shared" si="5"/>
        <v>72719.069779999991</v>
      </c>
      <c r="J27" s="206">
        <f t="shared" si="5"/>
        <v>90435.899439999994</v>
      </c>
      <c r="K27" s="206">
        <f t="shared" si="5"/>
        <v>116156.36727999999</v>
      </c>
      <c r="L27" s="206">
        <f t="shared" si="5"/>
        <v>82654.132279999991</v>
      </c>
      <c r="M27" s="206">
        <f t="shared" si="5"/>
        <v>66670.940919999994</v>
      </c>
      <c r="N27" s="206">
        <f t="shared" si="5"/>
        <v>61911.937599999997</v>
      </c>
      <c r="O27" s="206">
        <f>SUM(C27:N27)</f>
        <v>916611.90095999988</v>
      </c>
    </row>
    <row r="28" spans="1:15" x14ac:dyDescent="0.2">
      <c r="A28" s="204" t="s">
        <v>134</v>
      </c>
      <c r="B28" s="205" t="s">
        <v>127</v>
      </c>
      <c r="C28" s="205">
        <v>-2776.44</v>
      </c>
      <c r="D28" s="205">
        <v>1550.72</v>
      </c>
      <c r="E28" s="205">
        <v>-3312.04</v>
      </c>
      <c r="F28" s="205">
        <v>-2206.13</v>
      </c>
      <c r="G28" s="205">
        <v>-3903.77</v>
      </c>
      <c r="H28" s="205">
        <v>-1691.29</v>
      </c>
      <c r="I28" s="205">
        <v>-5030.0600000000004</v>
      </c>
      <c r="J28" s="205">
        <v>-3212.23</v>
      </c>
      <c r="K28" s="205">
        <v>-4645.03</v>
      </c>
      <c r="L28" s="205">
        <v>-4113.78</v>
      </c>
      <c r="M28" s="205">
        <v>-4674.7700000000004</v>
      </c>
      <c r="N28" s="205">
        <v>-4399.4399999999996</v>
      </c>
      <c r="O28" s="205">
        <f>SUM(C28:N28)</f>
        <v>-38414.26</v>
      </c>
    </row>
    <row r="29" spans="1:15" x14ac:dyDescent="0.2">
      <c r="A29" s="204" t="s">
        <v>135</v>
      </c>
      <c r="B29" s="205" t="s">
        <v>136</v>
      </c>
      <c r="C29" s="205">
        <v>8643.5300000000007</v>
      </c>
      <c r="D29" s="205">
        <v>8758.23</v>
      </c>
      <c r="E29" s="205">
        <v>6026.02</v>
      </c>
      <c r="F29" s="205">
        <v>6038.35</v>
      </c>
      <c r="G29" s="205">
        <v>7155.87</v>
      </c>
      <c r="H29" s="205">
        <v>8246.3700000000008</v>
      </c>
      <c r="I29" s="205">
        <v>9591.56</v>
      </c>
      <c r="J29" s="205">
        <v>11744.27</v>
      </c>
      <c r="K29" s="205">
        <v>13698.14</v>
      </c>
      <c r="L29" s="205">
        <v>8588.44</v>
      </c>
      <c r="M29" s="205">
        <v>7354.32</v>
      </c>
      <c r="N29" s="205">
        <v>7528.45</v>
      </c>
      <c r="O29" s="205">
        <f>SUM(C29:N29)</f>
        <v>103373.55</v>
      </c>
    </row>
    <row r="30" spans="1:15" x14ac:dyDescent="0.2">
      <c r="A30" s="202" t="s">
        <v>137</v>
      </c>
      <c r="B30" s="203" t="s">
        <v>138</v>
      </c>
      <c r="C30" s="173">
        <f t="shared" ref="C30:N30" si="6">+C28+C26+C27+C25+C29</f>
        <v>88118.155199999994</v>
      </c>
      <c r="D30" s="173">
        <f t="shared" si="6"/>
        <v>102890.35077999999</v>
      </c>
      <c r="E30" s="173">
        <f t="shared" si="6"/>
        <v>82561.255919999996</v>
      </c>
      <c r="F30" s="173">
        <f t="shared" si="6"/>
        <v>82488.275139999998</v>
      </c>
      <c r="G30" s="173">
        <f t="shared" si="6"/>
        <v>79370.366859999995</v>
      </c>
      <c r="H30" s="173">
        <f t="shared" si="6"/>
        <v>90051.329759999993</v>
      </c>
      <c r="I30" s="173">
        <f t="shared" si="6"/>
        <v>88361.509779999993</v>
      </c>
      <c r="J30" s="173">
        <f t="shared" si="6"/>
        <v>110048.87944</v>
      </c>
      <c r="K30" s="173">
        <f t="shared" si="6"/>
        <v>136390.69727999999</v>
      </c>
      <c r="L30" s="173">
        <f t="shared" si="6"/>
        <v>98410.292279999994</v>
      </c>
      <c r="M30" s="173">
        <f t="shared" si="6"/>
        <v>80682.130919999996</v>
      </c>
      <c r="N30" s="173">
        <f t="shared" si="6"/>
        <v>76422.727599999998</v>
      </c>
      <c r="O30" s="173">
        <f>SUM(C30:N30)</f>
        <v>1115795.9709599998</v>
      </c>
    </row>
    <row r="32" spans="1:15" x14ac:dyDescent="0.2">
      <c r="A32" s="198" t="s">
        <v>141</v>
      </c>
    </row>
    <row r="33" spans="1:17" x14ac:dyDescent="0.2">
      <c r="A33" s="200" t="s">
        <v>128</v>
      </c>
      <c r="B33" s="201" t="s">
        <v>127</v>
      </c>
      <c r="C33" s="201">
        <v>5.7939999999999998E-2</v>
      </c>
      <c r="D33" s="201">
        <v>5.7939999999999998E-2</v>
      </c>
      <c r="E33" s="201">
        <v>5.7939999999999998E-2</v>
      </c>
      <c r="F33" s="201">
        <v>5.7939999999999998E-2</v>
      </c>
      <c r="G33" s="201">
        <v>5.7939999999999998E-2</v>
      </c>
      <c r="H33" s="201">
        <v>5.7939999999999998E-2</v>
      </c>
      <c r="I33" s="201">
        <v>5.7939999999999998E-2</v>
      </c>
      <c r="J33" s="201">
        <v>5.7939999999999998E-2</v>
      </c>
      <c r="K33" s="201">
        <v>5.7939999999999998E-2</v>
      </c>
      <c r="L33" s="201">
        <v>5.7939999999999998E-2</v>
      </c>
      <c r="M33" s="201">
        <v>5.7939999999999998E-2</v>
      </c>
      <c r="N33" s="201">
        <v>5.7939999999999998E-2</v>
      </c>
      <c r="O33" s="201"/>
    </row>
    <row r="34" spans="1:17" x14ac:dyDescent="0.2">
      <c r="A34" s="209" t="s">
        <v>129</v>
      </c>
      <c r="B34" s="205" t="s">
        <v>127</v>
      </c>
      <c r="C34" s="121">
        <v>161</v>
      </c>
      <c r="D34" s="247">
        <f>C34</f>
        <v>161</v>
      </c>
      <c r="E34" s="247">
        <f t="shared" ref="E34:N34" si="7">D34</f>
        <v>161</v>
      </c>
      <c r="F34" s="247">
        <f t="shared" si="7"/>
        <v>161</v>
      </c>
      <c r="G34" s="247">
        <f t="shared" si="7"/>
        <v>161</v>
      </c>
      <c r="H34" s="247">
        <f t="shared" si="7"/>
        <v>161</v>
      </c>
      <c r="I34" s="247">
        <f t="shared" si="7"/>
        <v>161</v>
      </c>
      <c r="J34" s="247">
        <f t="shared" si="7"/>
        <v>161</v>
      </c>
      <c r="K34" s="247">
        <f t="shared" si="7"/>
        <v>161</v>
      </c>
      <c r="L34" s="247">
        <f t="shared" si="7"/>
        <v>161</v>
      </c>
      <c r="M34" s="247">
        <f t="shared" si="7"/>
        <v>161</v>
      </c>
      <c r="N34" s="247">
        <f t="shared" si="7"/>
        <v>161</v>
      </c>
      <c r="O34" s="247">
        <f t="shared" ref="O34:O39" si="8">SUM(C34:N34)</f>
        <v>1932</v>
      </c>
    </row>
    <row r="35" spans="1:17" x14ac:dyDescent="0.2">
      <c r="A35" s="204" t="s">
        <v>7</v>
      </c>
      <c r="B35" s="205" t="s">
        <v>127</v>
      </c>
      <c r="C35" s="205">
        <v>131018</v>
      </c>
      <c r="D35" s="205">
        <v>166930</v>
      </c>
      <c r="E35" s="205">
        <v>125614</v>
      </c>
      <c r="F35" s="205">
        <v>91094</v>
      </c>
      <c r="G35" s="205">
        <v>36903</v>
      </c>
      <c r="H35" s="205">
        <v>7819</v>
      </c>
      <c r="I35" s="205">
        <v>1607</v>
      </c>
      <c r="J35" s="205">
        <v>742</v>
      </c>
      <c r="K35" s="205">
        <v>491</v>
      </c>
      <c r="L35" s="205">
        <v>3282</v>
      </c>
      <c r="M35" s="205">
        <v>52666</v>
      </c>
      <c r="N35" s="205">
        <v>98971</v>
      </c>
      <c r="O35" s="205">
        <f>SUM(C35:N35)</f>
        <v>717137</v>
      </c>
    </row>
    <row r="36" spans="1:17" x14ac:dyDescent="0.2">
      <c r="A36" s="204" t="s">
        <v>133</v>
      </c>
      <c r="B36" s="203"/>
      <c r="C36" s="210">
        <f>+C35*C33</f>
        <v>7591.1829200000002</v>
      </c>
      <c r="D36" s="210">
        <f t="shared" ref="D36:N36" si="9">+D35*D33</f>
        <v>9671.9241999999995</v>
      </c>
      <c r="E36" s="210">
        <f t="shared" si="9"/>
        <v>7278.0751599999994</v>
      </c>
      <c r="F36" s="210">
        <f t="shared" si="9"/>
        <v>5277.9863599999999</v>
      </c>
      <c r="G36" s="210">
        <f t="shared" si="9"/>
        <v>2138.1598199999999</v>
      </c>
      <c r="H36" s="210">
        <f t="shared" si="9"/>
        <v>453.03285999999997</v>
      </c>
      <c r="I36" s="210">
        <f t="shared" si="9"/>
        <v>93.109579999999994</v>
      </c>
      <c r="J36" s="210">
        <f t="shared" si="9"/>
        <v>42.991479999999996</v>
      </c>
      <c r="K36" s="210">
        <f t="shared" si="9"/>
        <v>28.448539999999998</v>
      </c>
      <c r="L36" s="210">
        <f t="shared" si="9"/>
        <v>190.15907999999999</v>
      </c>
      <c r="M36" s="210">
        <f t="shared" si="9"/>
        <v>3051.4680399999997</v>
      </c>
      <c r="N36" s="210">
        <f t="shared" si="9"/>
        <v>5734.3797399999994</v>
      </c>
      <c r="O36" s="210">
        <f t="shared" si="8"/>
        <v>41550.917779999996</v>
      </c>
    </row>
    <row r="37" spans="1:17" x14ac:dyDescent="0.2">
      <c r="A37" s="211" t="s">
        <v>134</v>
      </c>
      <c r="B37" s="212" t="s">
        <v>127</v>
      </c>
      <c r="C37" s="212">
        <v>-491.67</v>
      </c>
      <c r="D37" s="212">
        <v>305.95999999999998</v>
      </c>
      <c r="E37" s="212">
        <v>-582.79999999999995</v>
      </c>
      <c r="F37" s="212">
        <v>-287.57</v>
      </c>
      <c r="G37" s="212">
        <v>-214.22</v>
      </c>
      <c r="H37" s="212">
        <v>-17.59</v>
      </c>
      <c r="I37" s="212">
        <v>-10.71</v>
      </c>
      <c r="J37" s="212">
        <v>-2.5299999999999998</v>
      </c>
      <c r="K37" s="212">
        <v>-2.02</v>
      </c>
      <c r="L37" s="212">
        <v>-15.71</v>
      </c>
      <c r="M37" s="212">
        <v>-355.81</v>
      </c>
      <c r="N37" s="212">
        <v>-677.58</v>
      </c>
      <c r="O37" s="212">
        <f t="shared" si="8"/>
        <v>-2352.25</v>
      </c>
    </row>
    <row r="38" spans="1:17" x14ac:dyDescent="0.2">
      <c r="A38" s="213" t="s">
        <v>135</v>
      </c>
      <c r="B38" s="214" t="s">
        <v>136</v>
      </c>
      <c r="C38" s="214">
        <v>8.25</v>
      </c>
      <c r="D38" s="214">
        <v>8.2799999999999994</v>
      </c>
      <c r="E38" s="214">
        <v>5.34</v>
      </c>
      <c r="F38" s="214">
        <v>4.3499999999999996</v>
      </c>
      <c r="G38" s="214">
        <v>5.85</v>
      </c>
      <c r="H38" s="214">
        <v>8.4600000000000009</v>
      </c>
      <c r="I38" s="214">
        <v>10.71</v>
      </c>
      <c r="J38" s="214">
        <v>15.61</v>
      </c>
      <c r="K38" s="214">
        <v>12.42</v>
      </c>
      <c r="L38" s="214">
        <v>12.55</v>
      </c>
      <c r="M38" s="214">
        <v>0.04</v>
      </c>
      <c r="N38" s="214">
        <v>-0.01</v>
      </c>
      <c r="O38" s="214">
        <f t="shared" si="8"/>
        <v>91.85</v>
      </c>
    </row>
    <row r="39" spans="1:17" x14ac:dyDescent="0.2">
      <c r="A39" s="202" t="s">
        <v>137</v>
      </c>
      <c r="B39" s="203" t="s">
        <v>138</v>
      </c>
      <c r="C39" s="173">
        <f t="shared" ref="C39:N39" si="10">+C36+C37+C38</f>
        <v>7107.7629200000001</v>
      </c>
      <c r="D39" s="173">
        <f t="shared" si="10"/>
        <v>9986.1641999999993</v>
      </c>
      <c r="E39" s="173">
        <f t="shared" si="10"/>
        <v>6700.6151599999994</v>
      </c>
      <c r="F39" s="173">
        <f t="shared" si="10"/>
        <v>4994.7663600000005</v>
      </c>
      <c r="G39" s="173">
        <f t="shared" si="10"/>
        <v>1929.7898199999997</v>
      </c>
      <c r="H39" s="173">
        <f t="shared" si="10"/>
        <v>443.90285999999998</v>
      </c>
      <c r="I39" s="173">
        <f t="shared" si="10"/>
        <v>93.109579999999994</v>
      </c>
      <c r="J39" s="173">
        <f t="shared" si="10"/>
        <v>56.071479999999994</v>
      </c>
      <c r="K39" s="173">
        <f t="shared" si="10"/>
        <v>38.84854</v>
      </c>
      <c r="L39" s="173">
        <f t="shared" si="10"/>
        <v>186.99907999999999</v>
      </c>
      <c r="M39" s="173">
        <f t="shared" si="10"/>
        <v>2695.6980399999998</v>
      </c>
      <c r="N39" s="173">
        <f t="shared" si="10"/>
        <v>5056.7897399999993</v>
      </c>
      <c r="O39" s="173">
        <f t="shared" si="8"/>
        <v>39290.517780000002</v>
      </c>
    </row>
    <row r="41" spans="1:17" x14ac:dyDescent="0.2">
      <c r="A41" s="198" t="s">
        <v>142</v>
      </c>
    </row>
    <row r="42" spans="1:17" x14ac:dyDescent="0.2">
      <c r="A42" s="199" t="s">
        <v>126</v>
      </c>
      <c r="B42" s="210" t="s">
        <v>127</v>
      </c>
      <c r="C42" s="210">
        <v>16.57</v>
      </c>
      <c r="D42" s="210">
        <v>16.57</v>
      </c>
      <c r="E42" s="210">
        <v>16.57</v>
      </c>
      <c r="F42" s="210">
        <v>16.57</v>
      </c>
      <c r="G42" s="210">
        <v>16.57</v>
      </c>
      <c r="H42" s="210">
        <v>16.57</v>
      </c>
      <c r="I42" s="210">
        <v>16.57</v>
      </c>
      <c r="J42" s="210">
        <v>16.57</v>
      </c>
      <c r="K42" s="210">
        <v>16.57</v>
      </c>
      <c r="L42" s="210">
        <v>16.57</v>
      </c>
      <c r="M42" s="210">
        <v>16.57</v>
      </c>
      <c r="N42" s="210">
        <v>16.57</v>
      </c>
      <c r="O42" s="210"/>
    </row>
    <row r="43" spans="1:17" x14ac:dyDescent="0.2">
      <c r="A43" s="200" t="s">
        <v>128</v>
      </c>
      <c r="B43" s="201" t="s">
        <v>127</v>
      </c>
      <c r="C43" s="201">
        <v>9.6860000000000002E-2</v>
      </c>
      <c r="D43" s="201">
        <v>9.6860000000000002E-2</v>
      </c>
      <c r="E43" s="201">
        <v>9.6860000000000002E-2</v>
      </c>
      <c r="F43" s="201">
        <v>9.6860000000000002E-2</v>
      </c>
      <c r="G43" s="201">
        <v>9.6860000000000002E-2</v>
      </c>
      <c r="H43" s="201">
        <v>9.6860000000000002E-2</v>
      </c>
      <c r="I43" s="201">
        <v>9.6860000000000002E-2</v>
      </c>
      <c r="J43" s="201">
        <v>9.6860000000000002E-2</v>
      </c>
      <c r="K43" s="201">
        <v>9.6860000000000002E-2</v>
      </c>
      <c r="L43" s="201">
        <v>9.6860000000000002E-2</v>
      </c>
      <c r="M43" s="201">
        <v>9.6860000000000002E-2</v>
      </c>
      <c r="N43" s="201">
        <v>9.6860000000000002E-2</v>
      </c>
      <c r="O43" s="201"/>
    </row>
    <row r="44" spans="1:17" x14ac:dyDescent="0.2">
      <c r="A44" s="202" t="s">
        <v>129</v>
      </c>
      <c r="B44" s="203" t="s">
        <v>130</v>
      </c>
      <c r="C44" s="121">
        <f t="shared" ref="C44:N44" si="11">+C46/C42</f>
        <v>299</v>
      </c>
      <c r="D44" s="121">
        <f t="shared" si="11"/>
        <v>296</v>
      </c>
      <c r="E44" s="121">
        <f t="shared" si="11"/>
        <v>300</v>
      </c>
      <c r="F44" s="121">
        <f t="shared" si="11"/>
        <v>302</v>
      </c>
      <c r="G44" s="121">
        <f t="shared" si="11"/>
        <v>301</v>
      </c>
      <c r="H44" s="121">
        <f t="shared" si="11"/>
        <v>308</v>
      </c>
      <c r="I44" s="121">
        <f t="shared" si="11"/>
        <v>300</v>
      </c>
      <c r="J44" s="121">
        <f t="shared" si="11"/>
        <v>303</v>
      </c>
      <c r="K44" s="121">
        <f t="shared" si="11"/>
        <v>304</v>
      </c>
      <c r="L44" s="121">
        <f t="shared" si="11"/>
        <v>305</v>
      </c>
      <c r="M44" s="121">
        <f t="shared" si="11"/>
        <v>305</v>
      </c>
      <c r="N44" s="121">
        <f t="shared" si="11"/>
        <v>299</v>
      </c>
      <c r="O44" s="121">
        <f t="shared" ref="O44:O50" si="12">SUM(C44:N44)</f>
        <v>3622</v>
      </c>
    </row>
    <row r="45" spans="1:17" x14ac:dyDescent="0.2">
      <c r="A45" s="204" t="s">
        <v>7</v>
      </c>
      <c r="B45" s="205" t="s">
        <v>127</v>
      </c>
      <c r="C45" s="205">
        <v>382840</v>
      </c>
      <c r="D45" s="205">
        <v>447851</v>
      </c>
      <c r="E45" s="205">
        <v>343678</v>
      </c>
      <c r="F45" s="205">
        <v>277676</v>
      </c>
      <c r="G45" s="205">
        <v>209043</v>
      </c>
      <c r="H45" s="205">
        <v>281819</v>
      </c>
      <c r="I45" s="205">
        <v>352222</v>
      </c>
      <c r="J45" s="205">
        <v>423942</v>
      </c>
      <c r="K45" s="205">
        <v>381407</v>
      </c>
      <c r="L45" s="205">
        <v>312258</v>
      </c>
      <c r="M45" s="205">
        <v>279631</v>
      </c>
      <c r="N45" s="205">
        <v>327462</v>
      </c>
      <c r="O45" s="205">
        <f t="shared" si="12"/>
        <v>4019829</v>
      </c>
      <c r="Q45" s="250">
        <f>O46+O47</f>
        <v>449377.17693999998</v>
      </c>
    </row>
    <row r="46" spans="1:17" x14ac:dyDescent="0.2">
      <c r="A46" s="204" t="s">
        <v>131</v>
      </c>
      <c r="B46" s="205" t="s">
        <v>127</v>
      </c>
      <c r="C46" s="205">
        <v>4954.43</v>
      </c>
      <c r="D46" s="205">
        <v>4904.72</v>
      </c>
      <c r="E46" s="205">
        <v>4971</v>
      </c>
      <c r="F46" s="205">
        <v>5004.1400000000003</v>
      </c>
      <c r="G46" s="205">
        <v>4987.57</v>
      </c>
      <c r="H46" s="205">
        <v>5103.5600000000004</v>
      </c>
      <c r="I46" s="205">
        <v>4971</v>
      </c>
      <c r="J46" s="205">
        <v>5020.71</v>
      </c>
      <c r="K46" s="205">
        <v>5037.28</v>
      </c>
      <c r="L46" s="205">
        <v>5053.8500000000004</v>
      </c>
      <c r="M46" s="205">
        <v>5053.8500000000004</v>
      </c>
      <c r="N46" s="205">
        <v>4954.43</v>
      </c>
      <c r="O46" s="205">
        <f t="shared" si="12"/>
        <v>60016.539999999994</v>
      </c>
    </row>
    <row r="47" spans="1:17" x14ac:dyDescent="0.2">
      <c r="A47" s="215" t="s">
        <v>133</v>
      </c>
      <c r="B47" s="216" t="s">
        <v>130</v>
      </c>
      <c r="C47" s="206">
        <f t="shared" ref="C47:N47" si="13">+C45*C43</f>
        <v>37081.882400000002</v>
      </c>
      <c r="D47" s="206">
        <f t="shared" si="13"/>
        <v>43378.847860000002</v>
      </c>
      <c r="E47" s="206">
        <f t="shared" si="13"/>
        <v>33288.651080000003</v>
      </c>
      <c r="F47" s="206">
        <f t="shared" si="13"/>
        <v>26895.697360000002</v>
      </c>
      <c r="G47" s="206">
        <f t="shared" si="13"/>
        <v>20247.904979999999</v>
      </c>
      <c r="H47" s="206">
        <f t="shared" si="13"/>
        <v>27296.98834</v>
      </c>
      <c r="I47" s="206">
        <f t="shared" si="13"/>
        <v>34116.22292</v>
      </c>
      <c r="J47" s="206">
        <f t="shared" si="13"/>
        <v>41063.022120000001</v>
      </c>
      <c r="K47" s="206">
        <f t="shared" si="13"/>
        <v>36943.082020000002</v>
      </c>
      <c r="L47" s="206">
        <f t="shared" si="13"/>
        <v>30245.309880000001</v>
      </c>
      <c r="M47" s="206">
        <f t="shared" si="13"/>
        <v>27085.058659999999</v>
      </c>
      <c r="N47" s="206">
        <f t="shared" si="13"/>
        <v>31717.96932</v>
      </c>
      <c r="O47" s="206">
        <f t="shared" si="12"/>
        <v>389360.63694</v>
      </c>
    </row>
    <row r="48" spans="1:17" x14ac:dyDescent="0.2">
      <c r="A48" s="204" t="s">
        <v>134</v>
      </c>
      <c r="B48" s="205" t="s">
        <v>127</v>
      </c>
      <c r="C48" s="205">
        <v>-1436.75</v>
      </c>
      <c r="D48" s="205">
        <v>820.88</v>
      </c>
      <c r="E48" s="205">
        <v>-1594.69</v>
      </c>
      <c r="F48" s="205">
        <v>-876.69</v>
      </c>
      <c r="G48" s="205">
        <v>-1213.51</v>
      </c>
      <c r="H48" s="205">
        <v>-634.11</v>
      </c>
      <c r="I48" s="205">
        <v>-2347.2600000000002</v>
      </c>
      <c r="J48" s="205">
        <v>-1450.75</v>
      </c>
      <c r="K48" s="205">
        <v>-1580.22</v>
      </c>
      <c r="L48" s="205">
        <v>-1497.28</v>
      </c>
      <c r="M48" s="205">
        <v>-1889.04</v>
      </c>
      <c r="N48" s="205">
        <v>-2241.7199999999998</v>
      </c>
      <c r="O48" s="205">
        <f t="shared" si="12"/>
        <v>-15941.140000000001</v>
      </c>
    </row>
    <row r="49" spans="1:15" x14ac:dyDescent="0.2">
      <c r="A49" s="204" t="s">
        <v>135</v>
      </c>
      <c r="B49" s="205" t="s">
        <v>136</v>
      </c>
      <c r="C49" s="205">
        <v>4635.26</v>
      </c>
      <c r="D49" s="205">
        <v>4757.24</v>
      </c>
      <c r="E49" s="205">
        <v>3051.11</v>
      </c>
      <c r="F49" s="205">
        <v>2628.15</v>
      </c>
      <c r="G49" s="205">
        <v>2611.3000000000002</v>
      </c>
      <c r="H49" s="205">
        <v>3432.05</v>
      </c>
      <c r="I49" s="205">
        <v>4732.04</v>
      </c>
      <c r="J49" s="205">
        <v>5596.5</v>
      </c>
      <c r="K49" s="205">
        <v>4963.7299999999996</v>
      </c>
      <c r="L49" s="205">
        <v>3432.43</v>
      </c>
      <c r="M49" s="205">
        <v>3258.12</v>
      </c>
      <c r="N49" s="205">
        <v>3979.08</v>
      </c>
      <c r="O49" s="205">
        <f t="shared" si="12"/>
        <v>47077.010000000009</v>
      </c>
    </row>
    <row r="50" spans="1:15" x14ac:dyDescent="0.2">
      <c r="A50" s="202" t="s">
        <v>137</v>
      </c>
      <c r="B50" s="203" t="s">
        <v>138</v>
      </c>
      <c r="C50" s="206">
        <f t="shared" ref="C50:N50" si="14">+C49+C48+C47+C46</f>
        <v>45234.822400000005</v>
      </c>
      <c r="D50" s="206">
        <f t="shared" si="14"/>
        <v>53861.687860000005</v>
      </c>
      <c r="E50" s="206">
        <f t="shared" si="14"/>
        <v>39716.071080000002</v>
      </c>
      <c r="F50" s="206">
        <f t="shared" si="14"/>
        <v>33651.297360000004</v>
      </c>
      <c r="G50" s="206">
        <f t="shared" si="14"/>
        <v>26633.26498</v>
      </c>
      <c r="H50" s="206">
        <f t="shared" si="14"/>
        <v>35198.488339999996</v>
      </c>
      <c r="I50" s="206">
        <f t="shared" si="14"/>
        <v>41472.002919999999</v>
      </c>
      <c r="J50" s="206">
        <f t="shared" si="14"/>
        <v>50229.482120000001</v>
      </c>
      <c r="K50" s="206">
        <f t="shared" si="14"/>
        <v>45363.872020000003</v>
      </c>
      <c r="L50" s="206">
        <f t="shared" si="14"/>
        <v>37234.309880000001</v>
      </c>
      <c r="M50" s="206">
        <f t="shared" si="14"/>
        <v>33507.988659999995</v>
      </c>
      <c r="N50" s="206">
        <f t="shared" si="14"/>
        <v>38409.759319999997</v>
      </c>
      <c r="O50" s="206">
        <f t="shared" si="12"/>
        <v>480513.04694000003</v>
      </c>
    </row>
    <row r="52" spans="1:15" x14ac:dyDescent="0.2">
      <c r="A52" s="198" t="s">
        <v>143</v>
      </c>
    </row>
    <row r="53" spans="1:15" x14ac:dyDescent="0.2">
      <c r="A53" s="217" t="s">
        <v>129</v>
      </c>
      <c r="B53" s="218" t="s">
        <v>136</v>
      </c>
      <c r="C53" s="218">
        <v>19</v>
      </c>
      <c r="D53" s="218">
        <v>19</v>
      </c>
      <c r="E53" s="218">
        <v>19</v>
      </c>
      <c r="F53" s="218">
        <v>19</v>
      </c>
      <c r="G53" s="218">
        <v>18</v>
      </c>
      <c r="H53" s="218">
        <v>18</v>
      </c>
      <c r="I53" s="218">
        <v>18</v>
      </c>
      <c r="J53" s="218">
        <v>18</v>
      </c>
      <c r="K53" s="218">
        <v>18</v>
      </c>
      <c r="L53" s="218">
        <v>18</v>
      </c>
      <c r="M53" s="218">
        <v>18</v>
      </c>
      <c r="N53" s="218">
        <v>18</v>
      </c>
      <c r="O53" s="218">
        <f t="shared" ref="O53:O55" si="15">SUM(C53:N53)</f>
        <v>220</v>
      </c>
    </row>
    <row r="54" spans="1:15" x14ac:dyDescent="0.2">
      <c r="A54" s="217" t="s">
        <v>144</v>
      </c>
      <c r="B54" s="218" t="s">
        <v>127</v>
      </c>
      <c r="C54" s="218">
        <v>82.5</v>
      </c>
      <c r="D54" s="218">
        <v>82.5</v>
      </c>
      <c r="E54" s="218">
        <v>82.5</v>
      </c>
      <c r="F54" s="218">
        <v>82.5</v>
      </c>
      <c r="G54" s="218">
        <v>79.75</v>
      </c>
      <c r="H54" s="218">
        <v>79.75</v>
      </c>
      <c r="I54" s="218">
        <v>79.75</v>
      </c>
      <c r="J54" s="218">
        <v>79.75</v>
      </c>
      <c r="K54" s="218">
        <v>79.75</v>
      </c>
      <c r="L54" s="218">
        <v>79.75</v>
      </c>
      <c r="M54" s="218">
        <v>79.75</v>
      </c>
      <c r="N54" s="218">
        <v>79.75</v>
      </c>
      <c r="O54" s="218">
        <f t="shared" si="15"/>
        <v>968</v>
      </c>
    </row>
    <row r="55" spans="1:15" x14ac:dyDescent="0.2">
      <c r="A55" s="219" t="s">
        <v>137</v>
      </c>
      <c r="B55" s="220" t="s">
        <v>138</v>
      </c>
      <c r="C55" s="221">
        <f t="shared" ref="C55:N55" si="16">+C54</f>
        <v>82.5</v>
      </c>
      <c r="D55" s="221">
        <f t="shared" si="16"/>
        <v>82.5</v>
      </c>
      <c r="E55" s="221">
        <f t="shared" si="16"/>
        <v>82.5</v>
      </c>
      <c r="F55" s="221">
        <f t="shared" si="16"/>
        <v>82.5</v>
      </c>
      <c r="G55" s="221">
        <f t="shared" si="16"/>
        <v>79.75</v>
      </c>
      <c r="H55" s="221">
        <f t="shared" si="16"/>
        <v>79.75</v>
      </c>
      <c r="I55" s="221">
        <f t="shared" si="16"/>
        <v>79.75</v>
      </c>
      <c r="J55" s="221">
        <f t="shared" si="16"/>
        <v>79.75</v>
      </c>
      <c r="K55" s="221">
        <f t="shared" si="16"/>
        <v>79.75</v>
      </c>
      <c r="L55" s="221">
        <f t="shared" si="16"/>
        <v>79.75</v>
      </c>
      <c r="M55" s="221">
        <f t="shared" si="16"/>
        <v>79.75</v>
      </c>
      <c r="N55" s="221">
        <f t="shared" si="16"/>
        <v>79.75</v>
      </c>
      <c r="O55" s="221">
        <f t="shared" si="15"/>
        <v>968</v>
      </c>
    </row>
    <row r="56" spans="1:15" x14ac:dyDescent="0.2">
      <c r="A56" s="219"/>
    </row>
    <row r="57" spans="1:15" x14ac:dyDescent="0.2">
      <c r="A57" s="198" t="s">
        <v>145</v>
      </c>
    </row>
    <row r="58" spans="1:15" x14ac:dyDescent="0.2">
      <c r="A58" s="199" t="s">
        <v>51</v>
      </c>
      <c r="B58" s="173" t="s">
        <v>127</v>
      </c>
      <c r="C58" s="173">
        <v>6.47</v>
      </c>
      <c r="D58" s="173">
        <v>6.47</v>
      </c>
      <c r="E58" s="173">
        <v>6.47</v>
      </c>
      <c r="F58" s="173">
        <v>6.47</v>
      </c>
      <c r="G58" s="173">
        <v>6.47</v>
      </c>
      <c r="H58" s="173">
        <v>6.47</v>
      </c>
      <c r="I58" s="173">
        <v>6.47</v>
      </c>
      <c r="J58" s="173">
        <v>6.47</v>
      </c>
      <c r="K58" s="173">
        <v>6.47</v>
      </c>
      <c r="L58" s="173">
        <v>6.47</v>
      </c>
      <c r="M58" s="173">
        <v>6.47</v>
      </c>
      <c r="N58" s="173">
        <v>6.47</v>
      </c>
      <c r="O58" s="173"/>
    </row>
    <row r="59" spans="1:15" x14ac:dyDescent="0.2">
      <c r="A59" s="199" t="s">
        <v>126</v>
      </c>
      <c r="B59" s="201" t="s">
        <v>127</v>
      </c>
      <c r="C59" s="173">
        <v>63.81</v>
      </c>
      <c r="D59" s="173">
        <v>63.81</v>
      </c>
      <c r="E59" s="173">
        <v>63.81</v>
      </c>
      <c r="F59" s="173">
        <v>63.81</v>
      </c>
      <c r="G59" s="173">
        <v>63.81</v>
      </c>
      <c r="H59" s="173">
        <v>63.81</v>
      </c>
      <c r="I59" s="173">
        <v>63.81</v>
      </c>
      <c r="J59" s="173">
        <v>63.81</v>
      </c>
      <c r="K59" s="173">
        <v>63.81</v>
      </c>
      <c r="L59" s="173">
        <v>63.81</v>
      </c>
      <c r="M59" s="173">
        <v>63.81</v>
      </c>
      <c r="N59" s="173">
        <v>63.81</v>
      </c>
      <c r="O59" s="173"/>
    </row>
    <row r="60" spans="1:15" x14ac:dyDescent="0.2">
      <c r="A60" s="200" t="s">
        <v>128</v>
      </c>
      <c r="B60" s="201" t="s">
        <v>127</v>
      </c>
      <c r="C60" s="201">
        <v>6.8809999999999996E-2</v>
      </c>
      <c r="D60" s="201">
        <v>6.8809999999999996E-2</v>
      </c>
      <c r="E60" s="201">
        <v>6.8809999999999996E-2</v>
      </c>
      <c r="F60" s="201">
        <v>6.8809999999999996E-2</v>
      </c>
      <c r="G60" s="201">
        <v>6.8809999999999996E-2</v>
      </c>
      <c r="H60" s="201">
        <v>6.8809999999999996E-2</v>
      </c>
      <c r="I60" s="201">
        <v>6.8809999999999996E-2</v>
      </c>
      <c r="J60" s="201">
        <v>6.8809999999999996E-2</v>
      </c>
      <c r="K60" s="201">
        <v>6.8809999999999996E-2</v>
      </c>
      <c r="L60" s="201">
        <v>6.8809999999999996E-2</v>
      </c>
      <c r="M60" s="201">
        <v>6.8809999999999996E-2</v>
      </c>
      <c r="N60" s="201">
        <v>6.8809999999999996E-2</v>
      </c>
      <c r="O60" s="201"/>
    </row>
    <row r="61" spans="1:15" x14ac:dyDescent="0.2">
      <c r="A61" s="199" t="s">
        <v>146</v>
      </c>
      <c r="B61" s="222" t="s">
        <v>130</v>
      </c>
      <c r="C61" s="173">
        <f t="shared" ref="C61:N61" si="17">+C64/C58</f>
        <v>11266.381761978362</v>
      </c>
      <c r="D61" s="173">
        <f t="shared" si="17"/>
        <v>11224.085007727976</v>
      </c>
      <c r="E61" s="173">
        <f t="shared" si="17"/>
        <v>10362.44513137558</v>
      </c>
      <c r="F61" s="173">
        <f t="shared" si="17"/>
        <v>11132.244204018549</v>
      </c>
      <c r="G61" s="173">
        <f t="shared" si="17"/>
        <v>11975.309119010819</v>
      </c>
      <c r="H61" s="173">
        <f t="shared" si="17"/>
        <v>12164.171561051005</v>
      </c>
      <c r="I61" s="173">
        <f t="shared" si="17"/>
        <v>11340.180834621329</v>
      </c>
      <c r="J61" s="173">
        <f t="shared" si="17"/>
        <v>11918.757341576507</v>
      </c>
      <c r="K61" s="173">
        <f t="shared" si="17"/>
        <v>12499.409582689337</v>
      </c>
      <c r="L61" s="173">
        <f t="shared" si="17"/>
        <v>12532.009273570326</v>
      </c>
      <c r="M61" s="173">
        <f t="shared" si="17"/>
        <v>12743.537867078827</v>
      </c>
      <c r="N61" s="173">
        <f t="shared" si="17"/>
        <v>11728.318392581145</v>
      </c>
      <c r="O61" s="173">
        <f t="shared" ref="O61:O70" si="18">SUM(C61:N61)</f>
        <v>140886.85007727976</v>
      </c>
    </row>
    <row r="62" spans="1:15" x14ac:dyDescent="0.2">
      <c r="A62" s="204" t="s">
        <v>129</v>
      </c>
      <c r="B62" s="205" t="s">
        <v>136</v>
      </c>
      <c r="C62" s="205">
        <v>108</v>
      </c>
      <c r="D62" s="205">
        <v>108</v>
      </c>
      <c r="E62" s="205">
        <v>108</v>
      </c>
      <c r="F62" s="205">
        <v>108</v>
      </c>
      <c r="G62" s="205">
        <v>110</v>
      </c>
      <c r="H62" s="205">
        <v>110</v>
      </c>
      <c r="I62" s="205">
        <v>110</v>
      </c>
      <c r="J62" s="205">
        <v>111</v>
      </c>
      <c r="K62" s="205">
        <v>111</v>
      </c>
      <c r="L62" s="205">
        <v>113</v>
      </c>
      <c r="M62" s="205">
        <v>112</v>
      </c>
      <c r="N62" s="205">
        <v>111</v>
      </c>
      <c r="O62" s="205">
        <f t="shared" si="18"/>
        <v>1320</v>
      </c>
    </row>
    <row r="63" spans="1:15" x14ac:dyDescent="0.2">
      <c r="A63" s="204" t="s">
        <v>7</v>
      </c>
      <c r="B63" s="205" t="s">
        <v>127</v>
      </c>
      <c r="C63" s="205">
        <v>3172982</v>
      </c>
      <c r="D63" s="205">
        <v>3374745</v>
      </c>
      <c r="E63" s="205">
        <v>2816079</v>
      </c>
      <c r="F63" s="205">
        <v>3025098</v>
      </c>
      <c r="G63" s="205">
        <v>2841876</v>
      </c>
      <c r="H63" s="205">
        <v>3201022</v>
      </c>
      <c r="I63" s="205">
        <v>3212548</v>
      </c>
      <c r="J63" s="205">
        <v>3578014</v>
      </c>
      <c r="K63" s="205">
        <v>3614141</v>
      </c>
      <c r="L63" s="205">
        <v>3386931</v>
      </c>
      <c r="M63" s="205">
        <v>3177592</v>
      </c>
      <c r="N63" s="205">
        <v>3028251</v>
      </c>
      <c r="O63" s="205">
        <f t="shared" si="18"/>
        <v>38429279</v>
      </c>
    </row>
    <row r="64" spans="1:15" x14ac:dyDescent="0.2">
      <c r="A64" s="204" t="s">
        <v>140</v>
      </c>
      <c r="B64" s="205" t="s">
        <v>127</v>
      </c>
      <c r="C64" s="205">
        <f>78977.24-C65</f>
        <v>72893.490000000005</v>
      </c>
      <c r="D64" s="205">
        <f>76431.64-D65</f>
        <v>72619.83</v>
      </c>
      <c r="E64" s="205">
        <f>73813.41-E65</f>
        <v>67045.02</v>
      </c>
      <c r="F64" s="205">
        <f>76936.63-F65</f>
        <v>72025.62000000001</v>
      </c>
      <c r="G64" s="205">
        <f>82188.24-G65</f>
        <v>77480.25</v>
      </c>
      <c r="H64" s="205">
        <f>84441.94-H65</f>
        <v>78702.19</v>
      </c>
      <c r="I64" s="205">
        <f>79281.17-I65</f>
        <v>73370.97</v>
      </c>
      <c r="J64" s="205">
        <f>82974.39-J65</f>
        <v>77114.36</v>
      </c>
      <c r="K64" s="205">
        <f>86849.72-K65</f>
        <v>80871.180000000008</v>
      </c>
      <c r="L64" s="205">
        <f>87541.86-L65</f>
        <v>81082.100000000006</v>
      </c>
      <c r="M64" s="205">
        <f>86598.17-M65</f>
        <v>82450.69</v>
      </c>
      <c r="N64" s="205">
        <f>81590.34-N65</f>
        <v>75882.22</v>
      </c>
      <c r="O64" s="205">
        <f t="shared" si="18"/>
        <v>911537.91999999993</v>
      </c>
    </row>
    <row r="65" spans="1:17" x14ac:dyDescent="0.2">
      <c r="A65" s="223" t="s">
        <v>147</v>
      </c>
      <c r="B65" s="224" t="s">
        <v>127</v>
      </c>
      <c r="C65" s="224">
        <f>2339.61+3744.14</f>
        <v>6083.75</v>
      </c>
      <c r="D65" s="224">
        <f>2259.31+1552.5</f>
        <v>3811.81</v>
      </c>
      <c r="E65" s="224">
        <f>2254.08+4514.31</f>
        <v>6768.39</v>
      </c>
      <c r="F65" s="224">
        <f>2579.64+2331.37</f>
        <v>4911.01</v>
      </c>
      <c r="G65" s="224">
        <f>1769.25+2938.74</f>
        <v>4707.99</v>
      </c>
      <c r="H65" s="224">
        <f>1447.84+4291.91</f>
        <v>5739.75</v>
      </c>
      <c r="I65" s="224">
        <f>1339.66+4570.54</f>
        <v>5910.2</v>
      </c>
      <c r="J65" s="224">
        <f>870.34+4989.69</f>
        <v>5860.03</v>
      </c>
      <c r="K65" s="224">
        <f>1251.1+4727.44</f>
        <v>5978.5399999999991</v>
      </c>
      <c r="L65" s="224">
        <f>1077.06+5382.7</f>
        <v>6459.76</v>
      </c>
      <c r="M65" s="224">
        <f>699.75+3447.73</f>
        <v>4147.4799999999996</v>
      </c>
      <c r="N65" s="224">
        <f>1296.01+4412.11</f>
        <v>5708.12</v>
      </c>
      <c r="O65" s="224">
        <f t="shared" si="18"/>
        <v>66086.829999999987</v>
      </c>
      <c r="Q65" s="196">
        <f>O64+O65+O66+O67</f>
        <v>3706108.8279900001</v>
      </c>
    </row>
    <row r="66" spans="1:17" x14ac:dyDescent="0.2">
      <c r="A66" s="204" t="s">
        <v>131</v>
      </c>
      <c r="B66" s="205" t="s">
        <v>127</v>
      </c>
      <c r="C66" s="205">
        <v>6891.48</v>
      </c>
      <c r="D66" s="205">
        <v>6891.48</v>
      </c>
      <c r="E66" s="205">
        <v>6891.48</v>
      </c>
      <c r="F66" s="205">
        <v>6891.48</v>
      </c>
      <c r="G66" s="205">
        <v>7019.1</v>
      </c>
      <c r="H66" s="205">
        <v>6955.29</v>
      </c>
      <c r="I66" s="205">
        <v>7019.1</v>
      </c>
      <c r="J66" s="205">
        <v>7019.1</v>
      </c>
      <c r="K66" s="205">
        <v>7082.91</v>
      </c>
      <c r="L66" s="205">
        <v>7274.34</v>
      </c>
      <c r="M66" s="205">
        <v>7146.72</v>
      </c>
      <c r="N66" s="205">
        <v>7082.91</v>
      </c>
      <c r="O66" s="205">
        <f t="shared" si="18"/>
        <v>84165.39</v>
      </c>
    </row>
    <row r="67" spans="1:17" x14ac:dyDescent="0.2">
      <c r="A67" s="202" t="s">
        <v>133</v>
      </c>
      <c r="B67" s="203" t="s">
        <v>130</v>
      </c>
      <c r="C67" s="206">
        <f t="shared" ref="C67:N67" si="19">+C63*C60</f>
        <v>218332.89142</v>
      </c>
      <c r="D67" s="206">
        <f t="shared" si="19"/>
        <v>232216.20345</v>
      </c>
      <c r="E67" s="206">
        <f t="shared" si="19"/>
        <v>193774.39598999999</v>
      </c>
      <c r="F67" s="206">
        <f t="shared" si="19"/>
        <v>208156.99338</v>
      </c>
      <c r="G67" s="206">
        <f t="shared" si="19"/>
        <v>195549.48755999998</v>
      </c>
      <c r="H67" s="206">
        <f t="shared" si="19"/>
        <v>220262.32381999999</v>
      </c>
      <c r="I67" s="206">
        <f t="shared" si="19"/>
        <v>221055.42787999997</v>
      </c>
      <c r="J67" s="206">
        <f t="shared" si="19"/>
        <v>246203.14333999998</v>
      </c>
      <c r="K67" s="206">
        <f t="shared" si="19"/>
        <v>248689.04220999999</v>
      </c>
      <c r="L67" s="206">
        <f t="shared" si="19"/>
        <v>233054.72210999997</v>
      </c>
      <c r="M67" s="206">
        <f t="shared" si="19"/>
        <v>218650.10551999998</v>
      </c>
      <c r="N67" s="206">
        <f t="shared" si="19"/>
        <v>208373.95130999997</v>
      </c>
      <c r="O67" s="206">
        <f t="shared" si="18"/>
        <v>2644318.68799</v>
      </c>
    </row>
    <row r="68" spans="1:17" x14ac:dyDescent="0.2">
      <c r="A68" s="204" t="s">
        <v>134</v>
      </c>
      <c r="B68" s="205" t="s">
        <v>127</v>
      </c>
      <c r="C68" s="205">
        <v>-11908.21</v>
      </c>
      <c r="D68" s="205">
        <v>6185.93</v>
      </c>
      <c r="E68" s="205">
        <v>-13066.6</v>
      </c>
      <c r="F68" s="205">
        <v>-9550.19</v>
      </c>
      <c r="G68" s="205">
        <v>-16480.82</v>
      </c>
      <c r="H68" s="205">
        <v>-7202.35</v>
      </c>
      <c r="I68" s="205">
        <v>-21408.37</v>
      </c>
      <c r="J68" s="205">
        <v>-12244.02</v>
      </c>
      <c r="K68" s="205">
        <v>-14973.4</v>
      </c>
      <c r="L68" s="205">
        <v>-16240.34</v>
      </c>
      <c r="M68" s="205">
        <v>-21464.69</v>
      </c>
      <c r="N68" s="205">
        <v>-20731.400000000001</v>
      </c>
      <c r="O68" s="205">
        <f t="shared" si="18"/>
        <v>-159084.46</v>
      </c>
    </row>
    <row r="69" spans="1:17" x14ac:dyDescent="0.2">
      <c r="A69" s="204" t="s">
        <v>135</v>
      </c>
      <c r="B69" s="205" t="s">
        <v>136</v>
      </c>
      <c r="C69" s="205">
        <v>33886.67</v>
      </c>
      <c r="D69" s="205">
        <v>31989.03</v>
      </c>
      <c r="E69" s="205">
        <v>22677.98</v>
      </c>
      <c r="F69" s="205">
        <v>24707.45</v>
      </c>
      <c r="G69" s="205">
        <v>27851.97</v>
      </c>
      <c r="H69" s="205">
        <v>31793.919999999998</v>
      </c>
      <c r="I69" s="205">
        <v>35763.85</v>
      </c>
      <c r="J69" s="205">
        <v>39185.4</v>
      </c>
      <c r="K69" s="205">
        <v>39019.440000000002</v>
      </c>
      <c r="L69" s="205">
        <v>30558.18</v>
      </c>
      <c r="M69" s="205">
        <v>29399.23</v>
      </c>
      <c r="N69" s="205">
        <v>30995.56</v>
      </c>
      <c r="O69" s="205">
        <f t="shared" si="18"/>
        <v>377828.67999999993</v>
      </c>
    </row>
    <row r="70" spans="1:17" x14ac:dyDescent="0.2">
      <c r="A70" s="202" t="s">
        <v>137</v>
      </c>
      <c r="B70" s="203" t="s">
        <v>138</v>
      </c>
      <c r="C70" s="206">
        <f t="shared" ref="C70:N70" si="20">+C69+C68+C67+C66+C65+C64</f>
        <v>326180.07141999999</v>
      </c>
      <c r="D70" s="206">
        <f t="shared" si="20"/>
        <v>353714.28344999999</v>
      </c>
      <c r="E70" s="206">
        <f t="shared" si="20"/>
        <v>284090.66599000001</v>
      </c>
      <c r="F70" s="206">
        <f t="shared" si="20"/>
        <v>307142.36338000005</v>
      </c>
      <c r="G70" s="206">
        <f t="shared" si="20"/>
        <v>296127.97755999997</v>
      </c>
      <c r="H70" s="206">
        <f t="shared" si="20"/>
        <v>336251.12381999998</v>
      </c>
      <c r="I70" s="206">
        <f t="shared" si="20"/>
        <v>321711.17787999997</v>
      </c>
      <c r="J70" s="206">
        <f t="shared" si="20"/>
        <v>363138.01333999995</v>
      </c>
      <c r="K70" s="206">
        <f t="shared" si="20"/>
        <v>366667.71220999991</v>
      </c>
      <c r="L70" s="206">
        <f t="shared" si="20"/>
        <v>342188.76211000001</v>
      </c>
      <c r="M70" s="206">
        <f t="shared" si="20"/>
        <v>320329.53552000003</v>
      </c>
      <c r="N70" s="206">
        <f t="shared" si="20"/>
        <v>307311.36130999995</v>
      </c>
      <c r="O70" s="206">
        <f t="shared" si="18"/>
        <v>3924853.0479899999</v>
      </c>
    </row>
    <row r="72" spans="1:17" x14ac:dyDescent="0.2">
      <c r="A72" s="198" t="s">
        <v>148</v>
      </c>
    </row>
    <row r="73" spans="1:17" x14ac:dyDescent="0.2">
      <c r="A73" s="199" t="s">
        <v>51</v>
      </c>
      <c r="B73" s="173" t="s">
        <v>127</v>
      </c>
      <c r="C73" s="173">
        <v>10.07</v>
      </c>
      <c r="D73" s="173">
        <v>10.07</v>
      </c>
      <c r="E73" s="173">
        <v>10.07</v>
      </c>
      <c r="F73" s="173">
        <v>10.07</v>
      </c>
      <c r="G73" s="173">
        <v>10.07</v>
      </c>
      <c r="H73" s="173">
        <v>10.07</v>
      </c>
      <c r="I73" s="173">
        <v>10.07</v>
      </c>
      <c r="J73" s="173">
        <v>10.07</v>
      </c>
      <c r="K73" s="173">
        <v>10.07</v>
      </c>
      <c r="L73" s="173">
        <v>10.07</v>
      </c>
      <c r="M73" s="173">
        <v>10.07</v>
      </c>
      <c r="N73" s="173">
        <v>10.07</v>
      </c>
      <c r="O73" s="173"/>
    </row>
    <row r="74" spans="1:17" x14ac:dyDescent="0.2">
      <c r="A74" s="200" t="s">
        <v>128</v>
      </c>
      <c r="B74" s="201" t="s">
        <v>127</v>
      </c>
      <c r="C74" s="201">
        <v>6.2050000000000001E-2</v>
      </c>
      <c r="D74" s="201">
        <v>6.2050000000000001E-2</v>
      </c>
      <c r="E74" s="201">
        <v>6.2050000000000001E-2</v>
      </c>
      <c r="F74" s="201">
        <v>6.2050000000000001E-2</v>
      </c>
      <c r="G74" s="201">
        <v>6.2050000000000001E-2</v>
      </c>
      <c r="H74" s="201">
        <v>6.2050000000000001E-2</v>
      </c>
      <c r="I74" s="201">
        <v>6.2050000000000001E-2</v>
      </c>
      <c r="J74" s="201">
        <v>6.2050000000000001E-2</v>
      </c>
      <c r="K74" s="201">
        <v>6.2050000000000001E-2</v>
      </c>
      <c r="L74" s="201">
        <v>6.2050000000000001E-2</v>
      </c>
      <c r="M74" s="201">
        <v>6.2050000000000001E-2</v>
      </c>
      <c r="N74" s="201">
        <v>6.2050000000000001E-2</v>
      </c>
      <c r="O74" s="201"/>
    </row>
    <row r="75" spans="1:17" x14ac:dyDescent="0.2">
      <c r="A75" s="199" t="s">
        <v>146</v>
      </c>
      <c r="B75" s="222" t="s">
        <v>130</v>
      </c>
      <c r="C75" s="173">
        <f t="shared" ref="C75:N75" si="21">+C78/C73</f>
        <v>1673.2800397219464</v>
      </c>
      <c r="D75" s="173">
        <f t="shared" si="21"/>
        <v>1624.3197616683217</v>
      </c>
      <c r="E75" s="173">
        <f t="shared" si="21"/>
        <v>1653.1201588877852</v>
      </c>
      <c r="F75" s="173">
        <f t="shared" si="21"/>
        <v>1653.1201588877852</v>
      </c>
      <c r="G75" s="173">
        <f t="shared" si="21"/>
        <v>1679.5998013902681</v>
      </c>
      <c r="H75" s="173">
        <f t="shared" si="21"/>
        <v>1658.8798411122143</v>
      </c>
      <c r="I75" s="173">
        <f t="shared" si="21"/>
        <v>1630.08043694141</v>
      </c>
      <c r="J75" s="173">
        <f t="shared" si="21"/>
        <v>1653.1201588877852</v>
      </c>
      <c r="K75" s="173">
        <f t="shared" si="21"/>
        <v>1638.7199602780536</v>
      </c>
      <c r="L75" s="173">
        <f t="shared" si="21"/>
        <v>1624.3197616683217</v>
      </c>
      <c r="M75" s="173">
        <f t="shared" si="21"/>
        <v>1684.8003972194635</v>
      </c>
      <c r="N75" s="173">
        <f t="shared" si="21"/>
        <v>1653.1201588877852</v>
      </c>
      <c r="O75" s="173">
        <f t="shared" ref="O75:O82" si="22">SUM(C75:N75)</f>
        <v>19826.480635551139</v>
      </c>
    </row>
    <row r="76" spans="1:17" x14ac:dyDescent="0.2">
      <c r="A76" s="204" t="s">
        <v>129</v>
      </c>
      <c r="B76" s="205" t="s">
        <v>136</v>
      </c>
      <c r="C76" s="205">
        <v>1</v>
      </c>
      <c r="D76" s="205">
        <v>1</v>
      </c>
      <c r="E76" s="205">
        <v>1</v>
      </c>
      <c r="F76" s="205">
        <v>1</v>
      </c>
      <c r="G76" s="205">
        <v>1</v>
      </c>
      <c r="H76" s="205">
        <v>1</v>
      </c>
      <c r="I76" s="205">
        <v>1</v>
      </c>
      <c r="J76" s="205">
        <v>1</v>
      </c>
      <c r="K76" s="205">
        <v>1</v>
      </c>
      <c r="L76" s="205">
        <v>1</v>
      </c>
      <c r="M76" s="205">
        <v>1</v>
      </c>
      <c r="N76" s="205">
        <v>1</v>
      </c>
      <c r="O76" s="205">
        <f t="shared" si="22"/>
        <v>12</v>
      </c>
    </row>
    <row r="77" spans="1:17" x14ac:dyDescent="0.2">
      <c r="A77" s="204" t="s">
        <v>7</v>
      </c>
      <c r="B77" s="205" t="s">
        <v>127</v>
      </c>
      <c r="C77" s="205">
        <v>940818</v>
      </c>
      <c r="D77" s="205">
        <v>945581</v>
      </c>
      <c r="E77" s="205">
        <v>721486</v>
      </c>
      <c r="F77" s="205">
        <v>842461</v>
      </c>
      <c r="G77" s="205">
        <v>964874</v>
      </c>
      <c r="H77" s="205">
        <v>430919</v>
      </c>
      <c r="I77" s="205">
        <v>1013300</v>
      </c>
      <c r="J77" s="205">
        <v>1042613</v>
      </c>
      <c r="K77" s="205">
        <v>1024793</v>
      </c>
      <c r="L77" s="205">
        <v>981027</v>
      </c>
      <c r="M77" s="205">
        <v>920359</v>
      </c>
      <c r="N77" s="205">
        <v>669859</v>
      </c>
      <c r="O77" s="205">
        <f t="shared" si="22"/>
        <v>10498090</v>
      </c>
    </row>
    <row r="78" spans="1:17" x14ac:dyDescent="0.2">
      <c r="A78" s="204" t="s">
        <v>140</v>
      </c>
      <c r="B78" s="205" t="s">
        <v>127</v>
      </c>
      <c r="C78" s="205">
        <v>16849.93</v>
      </c>
      <c r="D78" s="205">
        <v>16356.9</v>
      </c>
      <c r="E78" s="205">
        <v>16646.919999999998</v>
      </c>
      <c r="F78" s="205">
        <v>16646.919999999998</v>
      </c>
      <c r="G78" s="205">
        <v>16913.57</v>
      </c>
      <c r="H78" s="205">
        <v>16704.919999999998</v>
      </c>
      <c r="I78" s="205">
        <v>16414.91</v>
      </c>
      <c r="J78" s="205">
        <v>16646.919999999998</v>
      </c>
      <c r="K78" s="205">
        <v>16501.91</v>
      </c>
      <c r="L78" s="205">
        <v>16356.9</v>
      </c>
      <c r="M78" s="205">
        <v>16965.939999999999</v>
      </c>
      <c r="N78" s="205">
        <v>16646.919999999998</v>
      </c>
      <c r="O78" s="205">
        <f t="shared" si="22"/>
        <v>199652.65999999997</v>
      </c>
    </row>
    <row r="79" spans="1:17" x14ac:dyDescent="0.2">
      <c r="A79" s="202" t="s">
        <v>133</v>
      </c>
      <c r="B79" s="203" t="s">
        <v>130</v>
      </c>
      <c r="C79" s="206">
        <f t="shared" ref="C79:N79" si="23">+C77*C74</f>
        <v>58377.7569</v>
      </c>
      <c r="D79" s="206">
        <f t="shared" si="23"/>
        <v>58673.301050000002</v>
      </c>
      <c r="E79" s="206">
        <f t="shared" si="23"/>
        <v>44768.206299999998</v>
      </c>
      <c r="F79" s="206">
        <f t="shared" si="23"/>
        <v>52274.705050000004</v>
      </c>
      <c r="G79" s="206">
        <f t="shared" si="23"/>
        <v>59870.431700000001</v>
      </c>
      <c r="H79" s="206">
        <f t="shared" si="23"/>
        <v>26738.523949999999</v>
      </c>
      <c r="I79" s="206">
        <f t="shared" si="23"/>
        <v>62875.264999999999</v>
      </c>
      <c r="J79" s="206">
        <f t="shared" si="23"/>
        <v>64694.13665</v>
      </c>
      <c r="K79" s="206">
        <f t="shared" si="23"/>
        <v>63588.405650000001</v>
      </c>
      <c r="L79" s="206">
        <f t="shared" si="23"/>
        <v>60872.725350000001</v>
      </c>
      <c r="M79" s="206">
        <f t="shared" si="23"/>
        <v>57108.275950000003</v>
      </c>
      <c r="N79" s="206">
        <f t="shared" si="23"/>
        <v>41564.750950000001</v>
      </c>
      <c r="O79" s="206">
        <f t="shared" si="22"/>
        <v>651406.48450000002</v>
      </c>
    </row>
    <row r="80" spans="1:17" x14ac:dyDescent="0.2">
      <c r="A80" s="204" t="s">
        <v>134</v>
      </c>
      <c r="B80" s="205" t="s">
        <v>127</v>
      </c>
      <c r="C80" s="205">
        <v>-3530.89</v>
      </c>
      <c r="D80" s="205">
        <v>1733.25</v>
      </c>
      <c r="E80" s="205">
        <v>-3347.7</v>
      </c>
      <c r="F80" s="205">
        <v>-2659.65</v>
      </c>
      <c r="G80" s="205">
        <v>-5601.09</v>
      </c>
      <c r="H80" s="205">
        <v>-969.57</v>
      </c>
      <c r="I80" s="205">
        <v>-6752.63</v>
      </c>
      <c r="J80" s="205">
        <v>-3567.82</v>
      </c>
      <c r="K80" s="205">
        <v>-4245.72</v>
      </c>
      <c r="L80" s="205">
        <v>-4704.0200000000004</v>
      </c>
      <c r="M80" s="205">
        <v>-6217.03</v>
      </c>
      <c r="N80" s="205">
        <v>-4585.8500000000004</v>
      </c>
      <c r="O80" s="205">
        <f t="shared" si="22"/>
        <v>-44448.719999999994</v>
      </c>
    </row>
    <row r="81" spans="1:15" x14ac:dyDescent="0.2">
      <c r="A81" s="204" t="s">
        <v>135</v>
      </c>
      <c r="B81" s="205" t="s">
        <v>136</v>
      </c>
      <c r="C81" s="205">
        <v>7635.71</v>
      </c>
      <c r="D81" s="205">
        <v>7008.5</v>
      </c>
      <c r="E81" s="205">
        <v>4471.1899999999996</v>
      </c>
      <c r="F81" s="205">
        <v>5115.42</v>
      </c>
      <c r="G81" s="205">
        <v>6890.51</v>
      </c>
      <c r="H81" s="205">
        <v>4192.17</v>
      </c>
      <c r="I81" s="205">
        <v>8646.48</v>
      </c>
      <c r="J81" s="205">
        <v>9130.58</v>
      </c>
      <c r="K81" s="205">
        <v>8669.0400000000009</v>
      </c>
      <c r="L81" s="205">
        <v>6802.9</v>
      </c>
      <c r="M81" s="205">
        <v>6643.22</v>
      </c>
      <c r="N81" s="205">
        <v>5705.79</v>
      </c>
      <c r="O81" s="205">
        <f t="shared" si="22"/>
        <v>80911.509999999995</v>
      </c>
    </row>
    <row r="82" spans="1:15" x14ac:dyDescent="0.2">
      <c r="A82" s="202" t="s">
        <v>137</v>
      </c>
      <c r="B82" s="203" t="s">
        <v>138</v>
      </c>
      <c r="C82" s="206">
        <f t="shared" ref="C82:N82" si="24">+C81+C80+C79+C78</f>
        <v>79332.506900000008</v>
      </c>
      <c r="D82" s="206">
        <f t="shared" si="24"/>
        <v>83771.951050000003</v>
      </c>
      <c r="E82" s="206">
        <f t="shared" si="24"/>
        <v>62538.616299999994</v>
      </c>
      <c r="F82" s="206">
        <f t="shared" si="24"/>
        <v>71377.395049999992</v>
      </c>
      <c r="G82" s="206">
        <f t="shared" si="24"/>
        <v>78073.421700000006</v>
      </c>
      <c r="H82" s="206">
        <f t="shared" si="24"/>
        <v>46666.043949999992</v>
      </c>
      <c r="I82" s="206">
        <f t="shared" si="24"/>
        <v>81184.024999999994</v>
      </c>
      <c r="J82" s="206">
        <f t="shared" si="24"/>
        <v>86903.816649999993</v>
      </c>
      <c r="K82" s="206">
        <f t="shared" si="24"/>
        <v>84513.635650000011</v>
      </c>
      <c r="L82" s="206">
        <f t="shared" si="24"/>
        <v>79328.505349999992</v>
      </c>
      <c r="M82" s="206">
        <f t="shared" si="24"/>
        <v>74500.40595</v>
      </c>
      <c r="N82" s="206">
        <f t="shared" si="24"/>
        <v>59331.610950000002</v>
      </c>
      <c r="O82" s="206">
        <f t="shared" si="22"/>
        <v>887521.93450000009</v>
      </c>
    </row>
    <row r="83" spans="1:15" x14ac:dyDescent="0.2">
      <c r="A83" s="202"/>
      <c r="B83" s="203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</row>
    <row r="84" spans="1:15" x14ac:dyDescent="0.2">
      <c r="A84" s="198" t="s">
        <v>149</v>
      </c>
    </row>
    <row r="85" spans="1:15" x14ac:dyDescent="0.2">
      <c r="A85" s="225" t="s">
        <v>150</v>
      </c>
      <c r="B85" s="173" t="s">
        <v>127</v>
      </c>
      <c r="C85" s="173">
        <v>9.52</v>
      </c>
      <c r="D85" s="173">
        <v>9.52</v>
      </c>
      <c r="E85" s="173">
        <v>9.52</v>
      </c>
      <c r="F85" s="173">
        <v>9.52</v>
      </c>
      <c r="G85" s="173">
        <v>9.52</v>
      </c>
      <c r="H85" s="173">
        <v>9.52</v>
      </c>
      <c r="I85" s="173">
        <v>9.52</v>
      </c>
      <c r="J85" s="173">
        <v>9.52</v>
      </c>
      <c r="K85" s="173">
        <v>9.52</v>
      </c>
      <c r="L85" s="173">
        <v>9.52</v>
      </c>
      <c r="M85" s="173">
        <v>9.52</v>
      </c>
      <c r="N85" s="173">
        <v>9.52</v>
      </c>
      <c r="O85" s="173"/>
    </row>
    <row r="86" spans="1:15" x14ac:dyDescent="0.2">
      <c r="A86" s="226" t="s">
        <v>151</v>
      </c>
      <c r="B86" s="205" t="s">
        <v>136</v>
      </c>
      <c r="C86" s="205">
        <f>3940+64</f>
        <v>4004</v>
      </c>
      <c r="D86" s="205">
        <f>3992+63</f>
        <v>4055</v>
      </c>
      <c r="E86" s="205">
        <f>4051+68</f>
        <v>4119</v>
      </c>
      <c r="F86" s="205">
        <f>4160+71</f>
        <v>4231</v>
      </c>
      <c r="G86" s="205">
        <f>4196+78</f>
        <v>4274</v>
      </c>
      <c r="H86" s="205">
        <f>4252+88</f>
        <v>4340</v>
      </c>
      <c r="I86" s="205">
        <f>4308+88</f>
        <v>4396</v>
      </c>
      <c r="J86" s="205">
        <f>4349+91</f>
        <v>4440</v>
      </c>
      <c r="K86" s="205">
        <f>4410+93</f>
        <v>4503</v>
      </c>
      <c r="L86" s="205">
        <f>4471+96</f>
        <v>4567</v>
      </c>
      <c r="M86" s="205">
        <f>4598+99</f>
        <v>4697</v>
      </c>
      <c r="N86" s="205">
        <f>4577+99</f>
        <v>4676</v>
      </c>
      <c r="O86" s="205">
        <f t="shared" ref="O86:O92" si="25">SUM(C86:N86)</f>
        <v>52302</v>
      </c>
    </row>
    <row r="87" spans="1:15" x14ac:dyDescent="0.2">
      <c r="A87" s="204" t="s">
        <v>152</v>
      </c>
      <c r="B87" s="205" t="s">
        <v>127</v>
      </c>
      <c r="C87" s="205">
        <f>66555+1088</f>
        <v>67643</v>
      </c>
      <c r="D87" s="205">
        <f>67847+1071</f>
        <v>68918</v>
      </c>
      <c r="E87" s="205">
        <f>68714+1156</f>
        <v>69870</v>
      </c>
      <c r="F87" s="205">
        <f>70652+1207</f>
        <v>71859</v>
      </c>
      <c r="G87" s="205">
        <f>71264+1275</f>
        <v>72539</v>
      </c>
      <c r="H87" s="205">
        <f>72165+1496</f>
        <v>73661</v>
      </c>
      <c r="I87" s="205">
        <f>73185+1496</f>
        <v>74681</v>
      </c>
      <c r="J87" s="205">
        <f>73797+1547</f>
        <v>75344</v>
      </c>
      <c r="K87" s="205">
        <f>74970+1581</f>
        <v>76551</v>
      </c>
      <c r="L87" s="205">
        <f>75803+1632</f>
        <v>77435</v>
      </c>
      <c r="M87" s="205">
        <f>78166+1683</f>
        <v>79849</v>
      </c>
      <c r="N87" s="205">
        <f>77775+1683</f>
        <v>79458</v>
      </c>
      <c r="O87" s="205">
        <f t="shared" si="25"/>
        <v>887808</v>
      </c>
    </row>
    <row r="88" spans="1:15" x14ac:dyDescent="0.2">
      <c r="A88" s="226" t="s">
        <v>153</v>
      </c>
      <c r="B88" s="205" t="s">
        <v>136</v>
      </c>
      <c r="C88" s="205">
        <f>37251.76+930.6-C89+9.52</f>
        <v>37837.32</v>
      </c>
      <c r="D88" s="205">
        <f>37994.32+915.54-D89</f>
        <v>38560.840000000004</v>
      </c>
      <c r="E88" s="205">
        <f>38479.84+990.84-E89</f>
        <v>39093.959999999992</v>
      </c>
      <c r="F88" s="205">
        <f>39565.12+1036.02-F89</f>
        <v>40207.800000000003</v>
      </c>
      <c r="G88" s="205">
        <f>39907.84+1096.26-G89</f>
        <v>40571.979999999996</v>
      </c>
      <c r="H88" s="205">
        <f>40412.4+1292.04-H89</f>
        <v>41216.920000000006</v>
      </c>
      <c r="I88" s="205">
        <f>40983.6+1286.5-I89</f>
        <v>41782.58</v>
      </c>
      <c r="J88" s="205">
        <f>41326.32+1331.68-J89</f>
        <v>42153.86</v>
      </c>
      <c r="K88" s="205">
        <f>41992.72+1361.8-K89</f>
        <v>42839.3</v>
      </c>
      <c r="L88" s="205">
        <f>42449.68+1406.98-L89</f>
        <v>43324.820000000007</v>
      </c>
      <c r="M88" s="205">
        <f>43772.96+1452.16-M89</f>
        <v>44676.66</v>
      </c>
      <c r="N88" s="205">
        <f>43554+1452.16-N89</f>
        <v>44457.700000000004</v>
      </c>
      <c r="O88" s="205">
        <f t="shared" si="25"/>
        <v>496723.73999999993</v>
      </c>
    </row>
    <row r="89" spans="1:15" x14ac:dyDescent="0.2">
      <c r="A89" s="226" t="s">
        <v>154</v>
      </c>
      <c r="B89" s="205" t="s">
        <v>136</v>
      </c>
      <c r="C89" s="224">
        <v>354.56</v>
      </c>
      <c r="D89" s="224">
        <v>349.02</v>
      </c>
      <c r="E89" s="224">
        <v>376.72</v>
      </c>
      <c r="F89" s="224">
        <v>393.34</v>
      </c>
      <c r="G89" s="224">
        <v>432.12</v>
      </c>
      <c r="H89" s="224">
        <v>487.52</v>
      </c>
      <c r="I89" s="224">
        <v>487.52</v>
      </c>
      <c r="J89" s="224">
        <v>504.14</v>
      </c>
      <c r="K89" s="224">
        <v>515.22</v>
      </c>
      <c r="L89" s="224">
        <v>531.84</v>
      </c>
      <c r="M89" s="224">
        <v>548.46</v>
      </c>
      <c r="N89" s="224">
        <v>548.46</v>
      </c>
      <c r="O89" s="224">
        <f t="shared" si="25"/>
        <v>5528.92</v>
      </c>
    </row>
    <row r="90" spans="1:15" x14ac:dyDescent="0.2">
      <c r="A90" s="227" t="s">
        <v>134</v>
      </c>
      <c r="B90" s="228" t="s">
        <v>127</v>
      </c>
      <c r="C90" s="228">
        <f>-234.6-3.84</f>
        <v>-238.44</v>
      </c>
      <c r="D90" s="228">
        <f>119.73+1.89</f>
        <v>121.62</v>
      </c>
      <c r="E90" s="228">
        <f>-323.45-5.44</f>
        <v>-328.89</v>
      </c>
      <c r="F90" s="228">
        <f>-207.8-3.55</f>
        <v>-211.35000000000002</v>
      </c>
      <c r="G90" s="228">
        <f>-419.2-7.5</f>
        <v>-426.7</v>
      </c>
      <c r="H90" s="228">
        <f>-169.74-3.52</f>
        <v>-173.26000000000002</v>
      </c>
      <c r="I90" s="228">
        <f>-473.55-9.68</f>
        <v>-483.23</v>
      </c>
      <c r="J90" s="228">
        <f>-260.46-5.46</f>
        <v>-265.91999999999996</v>
      </c>
      <c r="K90" s="228">
        <f>-308.76-6.51</f>
        <v>-315.27</v>
      </c>
      <c r="L90" s="228">
        <f>-356.87-7.68</f>
        <v>-364.55</v>
      </c>
      <c r="M90" s="228">
        <f>-505.78-10.89</f>
        <v>-516.66999999999996</v>
      </c>
      <c r="N90" s="228">
        <f>-549-11.88</f>
        <v>-560.88</v>
      </c>
      <c r="O90" s="228">
        <f t="shared" si="25"/>
        <v>-3763.5400000000004</v>
      </c>
    </row>
    <row r="91" spans="1:15" x14ac:dyDescent="0.2">
      <c r="A91" s="227" t="s">
        <v>135</v>
      </c>
      <c r="B91" s="228" t="s">
        <v>136</v>
      </c>
      <c r="C91" s="228">
        <v>24.62</v>
      </c>
      <c r="D91" s="228">
        <v>21.37</v>
      </c>
      <c r="E91" s="228">
        <v>20.6</v>
      </c>
      <c r="F91" s="228">
        <v>21.45</v>
      </c>
      <c r="G91" s="228">
        <v>18.52</v>
      </c>
      <c r="H91" s="228">
        <v>19.190000000000001</v>
      </c>
      <c r="I91" s="228">
        <v>22.74</v>
      </c>
      <c r="J91" s="228">
        <v>25.84</v>
      </c>
      <c r="K91" s="228">
        <v>25.11</v>
      </c>
      <c r="L91" s="228">
        <v>20.6</v>
      </c>
      <c r="M91" s="228">
        <v>21.31</v>
      </c>
      <c r="N91" s="228">
        <v>26.15</v>
      </c>
      <c r="O91" s="228">
        <f t="shared" si="25"/>
        <v>267.5</v>
      </c>
    </row>
    <row r="92" spans="1:15" x14ac:dyDescent="0.2">
      <c r="A92" s="202" t="s">
        <v>137</v>
      </c>
      <c r="B92" s="203" t="s">
        <v>138</v>
      </c>
      <c r="C92" s="206">
        <f t="shared" ref="C92:N92" si="26">+C91+C90+C88+C89</f>
        <v>37978.06</v>
      </c>
      <c r="D92" s="206">
        <f t="shared" si="26"/>
        <v>39052.85</v>
      </c>
      <c r="E92" s="206">
        <f t="shared" si="26"/>
        <v>39162.389999999992</v>
      </c>
      <c r="F92" s="206">
        <f t="shared" si="26"/>
        <v>40411.24</v>
      </c>
      <c r="G92" s="206">
        <f t="shared" si="26"/>
        <v>40595.919999999998</v>
      </c>
      <c r="H92" s="206">
        <f t="shared" si="26"/>
        <v>41550.370000000003</v>
      </c>
      <c r="I92" s="206">
        <f t="shared" si="26"/>
        <v>41809.61</v>
      </c>
      <c r="J92" s="206">
        <f t="shared" si="26"/>
        <v>42417.919999999998</v>
      </c>
      <c r="K92" s="206">
        <f t="shared" si="26"/>
        <v>43064.36</v>
      </c>
      <c r="L92" s="206">
        <f t="shared" si="26"/>
        <v>43512.710000000006</v>
      </c>
      <c r="M92" s="206">
        <f t="shared" si="26"/>
        <v>44729.760000000002</v>
      </c>
      <c r="N92" s="206">
        <f t="shared" si="26"/>
        <v>44471.43</v>
      </c>
      <c r="O92" s="206">
        <f t="shared" si="25"/>
        <v>498756.61999999994</v>
      </c>
    </row>
    <row r="93" spans="1:15" x14ac:dyDescent="0.2">
      <c r="A93" s="202"/>
      <c r="B93" s="203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</row>
    <row r="94" spans="1:15" x14ac:dyDescent="0.2">
      <c r="A94" s="198" t="s">
        <v>155</v>
      </c>
    </row>
    <row r="95" spans="1:15" x14ac:dyDescent="0.2">
      <c r="A95" s="225" t="s">
        <v>156</v>
      </c>
      <c r="B95" s="173" t="s">
        <v>127</v>
      </c>
      <c r="C95" s="173">
        <v>14.66</v>
      </c>
      <c r="D95" s="173">
        <v>14.66</v>
      </c>
      <c r="E95" s="173">
        <v>14.66</v>
      </c>
      <c r="F95" s="173">
        <v>14.66</v>
      </c>
      <c r="G95" s="173">
        <v>14.66</v>
      </c>
      <c r="H95" s="173">
        <v>14.66</v>
      </c>
      <c r="I95" s="173">
        <v>14.66</v>
      </c>
      <c r="J95" s="173">
        <v>14.66</v>
      </c>
      <c r="K95" s="173">
        <v>14.66</v>
      </c>
      <c r="L95" s="173">
        <v>14.66</v>
      </c>
      <c r="M95" s="173">
        <v>14.66</v>
      </c>
      <c r="N95" s="173">
        <v>14.66</v>
      </c>
      <c r="O95" s="173"/>
    </row>
    <row r="96" spans="1:15" x14ac:dyDescent="0.2">
      <c r="A96" s="226" t="s">
        <v>151</v>
      </c>
      <c r="B96" s="205" t="s">
        <v>136</v>
      </c>
      <c r="C96" s="205">
        <f>168+3</f>
        <v>171</v>
      </c>
      <c r="D96" s="205">
        <f>148+3</f>
        <v>151</v>
      </c>
      <c r="E96" s="205">
        <f>149+3</f>
        <v>152</v>
      </c>
      <c r="F96" s="205">
        <f>152+5</f>
        <v>157</v>
      </c>
      <c r="G96" s="205">
        <f>162+5</f>
        <v>167</v>
      </c>
      <c r="H96" s="205">
        <f>215+6</f>
        <v>221</v>
      </c>
      <c r="I96" s="205">
        <f>217+6</f>
        <v>223</v>
      </c>
      <c r="J96" s="205">
        <f>222+6</f>
        <v>228</v>
      </c>
      <c r="K96" s="205">
        <f>223+252</f>
        <v>475</v>
      </c>
      <c r="L96" s="205">
        <f>223+6</f>
        <v>229</v>
      </c>
      <c r="M96" s="205">
        <f>227+6</f>
        <v>233</v>
      </c>
      <c r="N96" s="205">
        <f>237+6</f>
        <v>243</v>
      </c>
      <c r="O96" s="205">
        <f t="shared" ref="O96:O102" si="27">SUM(C96:N96)</f>
        <v>2650</v>
      </c>
    </row>
    <row r="97" spans="1:15" x14ac:dyDescent="0.2">
      <c r="A97" s="204" t="s">
        <v>152</v>
      </c>
      <c r="B97" s="205" t="s">
        <v>127</v>
      </c>
      <c r="C97" s="205">
        <f>5292+108</f>
        <v>5400</v>
      </c>
      <c r="D97" s="205">
        <f>5328+108</f>
        <v>5436</v>
      </c>
      <c r="E97" s="205">
        <f>5364+108</f>
        <v>5472</v>
      </c>
      <c r="F97" s="205">
        <f>5472+180</f>
        <v>5652</v>
      </c>
      <c r="G97" s="205">
        <f>5832+180</f>
        <v>6012</v>
      </c>
      <c r="H97" s="205">
        <f>7740+216</f>
        <v>7956</v>
      </c>
      <c r="I97" s="205">
        <f>7812+216</f>
        <v>8028</v>
      </c>
      <c r="J97" s="205">
        <f>7992+216</f>
        <v>8208</v>
      </c>
      <c r="K97" s="205">
        <f>8028+252</f>
        <v>8280</v>
      </c>
      <c r="L97" s="205">
        <f>8028+216</f>
        <v>8244</v>
      </c>
      <c r="M97" s="205">
        <f>8172+216</f>
        <v>8388</v>
      </c>
      <c r="N97" s="205">
        <f>8532+216</f>
        <v>8748</v>
      </c>
      <c r="O97" s="205">
        <f t="shared" si="27"/>
        <v>85824</v>
      </c>
    </row>
    <row r="98" spans="1:15" x14ac:dyDescent="0.2">
      <c r="A98" s="226" t="s">
        <v>153</v>
      </c>
      <c r="B98" s="205" t="s">
        <v>136</v>
      </c>
      <c r="C98" s="205">
        <f>2155.02+60.6-C99</f>
        <v>2199.42</v>
      </c>
      <c r="D98" s="205">
        <f>2169.68+60.6-D99</f>
        <v>2214.08</v>
      </c>
      <c r="E98" s="205">
        <f>2184.34+60.6-E99</f>
        <v>2228.7400000000002</v>
      </c>
      <c r="F98" s="205">
        <f>2228.32+101-F99</f>
        <v>2301.6200000000003</v>
      </c>
      <c r="G98" s="205">
        <f>2374.92+101-G99</f>
        <v>2448.2200000000003</v>
      </c>
      <c r="H98" s="205">
        <f>3151.9+121.2-H99</f>
        <v>3239.86</v>
      </c>
      <c r="I98" s="205">
        <f>3181.22+121.2-I99</f>
        <v>3269.18</v>
      </c>
      <c r="J98" s="205">
        <f>3254.52+121.2-J99</f>
        <v>3342.48</v>
      </c>
      <c r="K98" s="205">
        <f>3269.18+141.4-K99</f>
        <v>3371.7999999999997</v>
      </c>
      <c r="L98" s="205">
        <f>3269.18+121.2-L99</f>
        <v>3357.14</v>
      </c>
      <c r="M98" s="205">
        <f>3327.82+121.2-M99</f>
        <v>3415.78</v>
      </c>
      <c r="N98" s="205">
        <f>3474.42+121.2-N99</f>
        <v>3562.38</v>
      </c>
      <c r="O98" s="205">
        <f t="shared" si="27"/>
        <v>34950.699999999997</v>
      </c>
    </row>
    <row r="99" spans="1:15" x14ac:dyDescent="0.2">
      <c r="A99" s="226" t="s">
        <v>154</v>
      </c>
      <c r="B99" s="205" t="s">
        <v>136</v>
      </c>
      <c r="C99" s="224">
        <v>16.2</v>
      </c>
      <c r="D99" s="224">
        <v>16.2</v>
      </c>
      <c r="E99" s="224">
        <v>16.2</v>
      </c>
      <c r="F99" s="224">
        <v>27.7</v>
      </c>
      <c r="G99" s="224">
        <v>27.7</v>
      </c>
      <c r="H99" s="224">
        <v>33.24</v>
      </c>
      <c r="I99" s="224">
        <v>33.24</v>
      </c>
      <c r="J99" s="224">
        <v>33.24</v>
      </c>
      <c r="K99" s="224">
        <v>38.78</v>
      </c>
      <c r="L99" s="224">
        <v>33.24</v>
      </c>
      <c r="M99" s="224">
        <v>33.24</v>
      </c>
      <c r="N99" s="224">
        <v>33.24</v>
      </c>
      <c r="O99" s="224">
        <f t="shared" si="27"/>
        <v>342.22</v>
      </c>
    </row>
    <row r="100" spans="1:15" x14ac:dyDescent="0.2">
      <c r="A100" s="227" t="s">
        <v>134</v>
      </c>
      <c r="B100" s="228" t="s">
        <v>127</v>
      </c>
      <c r="C100" s="228">
        <f>-20.58-0.42</f>
        <v>-21</v>
      </c>
      <c r="D100" s="228">
        <f>10.36+0.21</f>
        <v>10.57</v>
      </c>
      <c r="E100" s="228">
        <f>-25.33-0.51</f>
        <v>-25.84</v>
      </c>
      <c r="F100" s="228">
        <f>-16.72-0.55</f>
        <v>-17.27</v>
      </c>
      <c r="G100" s="228">
        <f>-34.02-1.05</f>
        <v>-35.07</v>
      </c>
      <c r="H100" s="228">
        <f>-17.2-0.48</f>
        <v>-17.68</v>
      </c>
      <c r="I100" s="228">
        <f>-52.08-1.44</f>
        <v>-53.519999999999996</v>
      </c>
      <c r="J100" s="228">
        <f>-26.64-0.72</f>
        <v>-27.36</v>
      </c>
      <c r="K100" s="228">
        <f>-33.45-1.05</f>
        <v>-34.5</v>
      </c>
      <c r="L100" s="228">
        <f>-37.91-1.02</f>
        <v>-38.93</v>
      </c>
      <c r="M100" s="228">
        <f>-54.48-1.44</f>
        <v>-55.919999999999995</v>
      </c>
      <c r="N100" s="228">
        <f>-59.25-1.5</f>
        <v>-60.75</v>
      </c>
      <c r="O100" s="228">
        <f t="shared" si="27"/>
        <v>-377.27000000000004</v>
      </c>
    </row>
    <row r="101" spans="1:15" x14ac:dyDescent="0.2">
      <c r="A101" s="227" t="s">
        <v>135</v>
      </c>
      <c r="B101" s="228" t="s">
        <v>136</v>
      </c>
      <c r="C101" s="228">
        <v>0</v>
      </c>
      <c r="D101" s="228">
        <v>0</v>
      </c>
      <c r="E101" s="228">
        <v>0</v>
      </c>
      <c r="F101" s="228">
        <v>0</v>
      </c>
      <c r="G101" s="228">
        <v>0</v>
      </c>
      <c r="H101" s="228">
        <v>0</v>
      </c>
      <c r="I101" s="228">
        <v>0</v>
      </c>
      <c r="J101" s="228">
        <v>0</v>
      </c>
      <c r="K101" s="228">
        <v>0</v>
      </c>
      <c r="L101" s="228">
        <v>0</v>
      </c>
      <c r="M101" s="228">
        <v>0</v>
      </c>
      <c r="N101" s="228">
        <v>0</v>
      </c>
      <c r="O101" s="228">
        <f t="shared" si="27"/>
        <v>0</v>
      </c>
    </row>
    <row r="102" spans="1:15" x14ac:dyDescent="0.2">
      <c r="A102" s="202" t="s">
        <v>137</v>
      </c>
      <c r="B102" s="203" t="s">
        <v>138</v>
      </c>
      <c r="C102" s="206">
        <f t="shared" ref="C102:N102" si="28">+C101+C100+C98+C99</f>
        <v>2194.62</v>
      </c>
      <c r="D102" s="206">
        <f t="shared" si="28"/>
        <v>2240.85</v>
      </c>
      <c r="E102" s="206">
        <f t="shared" si="28"/>
        <v>2219.1</v>
      </c>
      <c r="F102" s="206">
        <f t="shared" si="28"/>
        <v>2312.0500000000002</v>
      </c>
      <c r="G102" s="206">
        <f t="shared" si="28"/>
        <v>2440.85</v>
      </c>
      <c r="H102" s="206">
        <f t="shared" si="28"/>
        <v>3255.42</v>
      </c>
      <c r="I102" s="206">
        <f t="shared" si="28"/>
        <v>3248.8999999999996</v>
      </c>
      <c r="J102" s="206">
        <f t="shared" si="28"/>
        <v>3348.3599999999997</v>
      </c>
      <c r="K102" s="206">
        <f t="shared" si="28"/>
        <v>3376.08</v>
      </c>
      <c r="L102" s="206">
        <f t="shared" si="28"/>
        <v>3351.45</v>
      </c>
      <c r="M102" s="206">
        <f t="shared" si="28"/>
        <v>3393.1</v>
      </c>
      <c r="N102" s="206">
        <f t="shared" si="28"/>
        <v>3534.87</v>
      </c>
      <c r="O102" s="206">
        <f t="shared" si="27"/>
        <v>34915.65</v>
      </c>
    </row>
    <row r="103" spans="1:15" x14ac:dyDescent="0.2">
      <c r="A103" s="202"/>
      <c r="B103" s="203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</row>
    <row r="104" spans="1:15" x14ac:dyDescent="0.2">
      <c r="A104" s="198" t="s">
        <v>157</v>
      </c>
    </row>
    <row r="105" spans="1:15" x14ac:dyDescent="0.2">
      <c r="A105" s="225" t="s">
        <v>158</v>
      </c>
      <c r="B105" s="173" t="s">
        <v>127</v>
      </c>
      <c r="C105" s="173">
        <v>21.93</v>
      </c>
      <c r="D105" s="173">
        <v>21.93</v>
      </c>
      <c r="E105" s="173">
        <v>21.93</v>
      </c>
      <c r="F105" s="173">
        <v>21.93</v>
      </c>
      <c r="G105" s="173">
        <v>21.93</v>
      </c>
      <c r="H105" s="173">
        <v>21.93</v>
      </c>
      <c r="I105" s="173">
        <v>21.93</v>
      </c>
      <c r="J105" s="173">
        <v>21.93</v>
      </c>
      <c r="K105" s="173">
        <v>21.93</v>
      </c>
      <c r="L105" s="173">
        <v>21.93</v>
      </c>
      <c r="M105" s="173">
        <v>21.93</v>
      </c>
      <c r="N105" s="173">
        <v>21.93</v>
      </c>
      <c r="O105" s="173"/>
    </row>
    <row r="106" spans="1:15" x14ac:dyDescent="0.2">
      <c r="A106" s="226" t="s">
        <v>151</v>
      </c>
      <c r="B106" s="205" t="s">
        <v>136</v>
      </c>
      <c r="C106" s="205">
        <f>217+7</f>
        <v>224</v>
      </c>
      <c r="D106" s="205">
        <f>222+7</f>
        <v>229</v>
      </c>
      <c r="E106" s="205">
        <f>225+7</f>
        <v>232</v>
      </c>
      <c r="F106" s="205">
        <f>230+7</f>
        <v>237</v>
      </c>
      <c r="G106" s="205">
        <f>231+11</f>
        <v>242</v>
      </c>
      <c r="H106" s="205">
        <f>237+17</f>
        <v>254</v>
      </c>
      <c r="I106" s="205">
        <f>233+16</f>
        <v>249</v>
      </c>
      <c r="J106" s="205">
        <f>246+18</f>
        <v>264</v>
      </c>
      <c r="K106" s="205">
        <f>249+18</f>
        <v>267</v>
      </c>
      <c r="L106" s="205">
        <f>252+19</f>
        <v>271</v>
      </c>
      <c r="M106" s="205">
        <f>269+19</f>
        <v>288</v>
      </c>
      <c r="N106" s="205">
        <f>258+19</f>
        <v>277</v>
      </c>
      <c r="O106" s="205">
        <f t="shared" ref="O106:O112" si="29">SUM(C106:N106)</f>
        <v>3034</v>
      </c>
    </row>
    <row r="107" spans="1:15" x14ac:dyDescent="0.2">
      <c r="A107" s="204" t="s">
        <v>152</v>
      </c>
      <c r="B107" s="205" t="s">
        <v>127</v>
      </c>
      <c r="C107" s="205">
        <f>15624+504</f>
        <v>16128</v>
      </c>
      <c r="D107" s="205">
        <f>15984+504</f>
        <v>16488</v>
      </c>
      <c r="E107" s="205">
        <f>16200+504</f>
        <v>16704</v>
      </c>
      <c r="F107" s="205">
        <f>16488+504</f>
        <v>16992</v>
      </c>
      <c r="G107" s="205">
        <f>16632+792</f>
        <v>17424</v>
      </c>
      <c r="H107" s="205">
        <f>16704+1152</f>
        <v>17856</v>
      </c>
      <c r="I107" s="205">
        <f>16776+1152</f>
        <v>17928</v>
      </c>
      <c r="J107" s="205">
        <f>17676+1296</f>
        <v>18972</v>
      </c>
      <c r="K107" s="205">
        <f>17892+1296</f>
        <v>19188</v>
      </c>
      <c r="L107" s="205">
        <f>18108+1368</f>
        <v>19476</v>
      </c>
      <c r="M107" s="205">
        <f>19296+1368</f>
        <v>20664</v>
      </c>
      <c r="N107" s="205">
        <f>18576+1368</f>
        <v>19944</v>
      </c>
      <c r="O107" s="205">
        <f t="shared" si="29"/>
        <v>217764</v>
      </c>
    </row>
    <row r="108" spans="1:15" x14ac:dyDescent="0.2">
      <c r="A108" s="226" t="s">
        <v>153</v>
      </c>
      <c r="B108" s="205" t="s">
        <v>136</v>
      </c>
      <c r="C108" s="205">
        <f>4758.81+192.29-C109</f>
        <v>4912.3200000000006</v>
      </c>
      <c r="D108" s="205">
        <f>4868.46+192.29-D109</f>
        <v>5021.97</v>
      </c>
      <c r="E108" s="205">
        <f>4934.25+192.29-E109</f>
        <v>5087.76</v>
      </c>
      <c r="F108" s="205">
        <f>5021.97+192.29-F109</f>
        <v>5175.4800000000005</v>
      </c>
      <c r="G108" s="205">
        <f>5065.83+302.17-G109</f>
        <v>5307.06</v>
      </c>
      <c r="H108" s="205">
        <f>5087.76+439.52-H109</f>
        <v>5433.1</v>
      </c>
      <c r="I108" s="205">
        <f>5109.69+439.52-I109</f>
        <v>5460.5699999999988</v>
      </c>
      <c r="J108" s="205">
        <f>5387.51+494.46-J109</f>
        <v>5782.25</v>
      </c>
      <c r="K108" s="205">
        <f>5453.3+494.46-K109</f>
        <v>5848.04</v>
      </c>
      <c r="L108" s="205">
        <f>5519.09+521.93-L109</f>
        <v>5935.76</v>
      </c>
      <c r="M108" s="205">
        <f>5884.63+521.93-M109</f>
        <v>6301.3</v>
      </c>
      <c r="N108" s="205">
        <f>5657.94+521.93-N109</f>
        <v>6074.61</v>
      </c>
      <c r="O108" s="205">
        <f t="shared" si="29"/>
        <v>66340.22</v>
      </c>
    </row>
    <row r="109" spans="1:15" x14ac:dyDescent="0.2">
      <c r="A109" s="226" t="s">
        <v>154</v>
      </c>
      <c r="B109" s="205" t="s">
        <v>136</v>
      </c>
      <c r="C109" s="224">
        <v>38.78</v>
      </c>
      <c r="D109" s="224">
        <v>38.78</v>
      </c>
      <c r="E109" s="224">
        <v>38.78</v>
      </c>
      <c r="F109" s="224">
        <v>38.78</v>
      </c>
      <c r="G109" s="224">
        <v>60.94</v>
      </c>
      <c r="H109" s="224">
        <v>94.18</v>
      </c>
      <c r="I109" s="224">
        <v>88.64</v>
      </c>
      <c r="J109" s="224">
        <v>99.72</v>
      </c>
      <c r="K109" s="224">
        <v>99.72</v>
      </c>
      <c r="L109" s="224">
        <v>105.26</v>
      </c>
      <c r="M109" s="224">
        <v>105.26</v>
      </c>
      <c r="N109" s="224">
        <v>105.26</v>
      </c>
      <c r="O109" s="224">
        <f t="shared" si="29"/>
        <v>914.1</v>
      </c>
    </row>
    <row r="110" spans="1:15" x14ac:dyDescent="0.2">
      <c r="A110" s="227" t="s">
        <v>134</v>
      </c>
      <c r="B110" s="228" t="s">
        <v>127</v>
      </c>
      <c r="C110" s="228">
        <f>-58.59-1.89</f>
        <v>-60.480000000000004</v>
      </c>
      <c r="D110" s="228">
        <f>28.86+0.91</f>
        <v>29.77</v>
      </c>
      <c r="E110" s="228">
        <f>-74.25-2.31</f>
        <v>-76.56</v>
      </c>
      <c r="F110" s="228">
        <f>-52.67-1.61</f>
        <v>-54.28</v>
      </c>
      <c r="G110" s="228">
        <f>-97.02-4.62</f>
        <v>-101.64</v>
      </c>
      <c r="H110" s="228">
        <f>-37.12-2.56</f>
        <v>-39.68</v>
      </c>
      <c r="I110" s="228">
        <f>-111.84-7.68</f>
        <v>-119.52000000000001</v>
      </c>
      <c r="J110" s="228">
        <f>-61.37-4.5</f>
        <v>-65.87</v>
      </c>
      <c r="K110" s="228">
        <f>-74.55-5.4</f>
        <v>-79.95</v>
      </c>
      <c r="L110" s="228">
        <f>-88.02-6.65</f>
        <v>-94.67</v>
      </c>
      <c r="M110" s="228">
        <f>-131.31-9.31</f>
        <v>-140.62</v>
      </c>
      <c r="N110" s="228">
        <f>-126.42-9.31</f>
        <v>-135.72999999999999</v>
      </c>
      <c r="O110" s="228">
        <f t="shared" si="29"/>
        <v>-939.23</v>
      </c>
    </row>
    <row r="111" spans="1:15" x14ac:dyDescent="0.2">
      <c r="A111" s="227" t="s">
        <v>135</v>
      </c>
      <c r="B111" s="228" t="s">
        <v>136</v>
      </c>
      <c r="C111" s="228">
        <v>2.31</v>
      </c>
      <c r="D111" s="228">
        <v>2.0099999999999998</v>
      </c>
      <c r="E111" s="228">
        <v>1.66</v>
      </c>
      <c r="F111" s="228">
        <v>1.68</v>
      </c>
      <c r="G111" s="228">
        <f>2.08+23.23</f>
        <v>25.310000000000002</v>
      </c>
      <c r="H111" s="228">
        <f>2.15+21.55</f>
        <v>23.7</v>
      </c>
      <c r="I111" s="228">
        <f>2.56+25.7</f>
        <v>28.259999999999998</v>
      </c>
      <c r="J111" s="228">
        <f>2.55+25.54</f>
        <v>28.09</v>
      </c>
      <c r="K111" s="228">
        <f>2.47+24.81</f>
        <v>27.279999999999998</v>
      </c>
      <c r="L111" s="228">
        <f>2.02+20.33</f>
        <v>22.349999999999998</v>
      </c>
      <c r="M111" s="228">
        <f>8.4+21.1</f>
        <v>29.5</v>
      </c>
      <c r="N111" s="228">
        <f>9.12+22.93</f>
        <v>32.049999999999997</v>
      </c>
      <c r="O111" s="228">
        <f t="shared" si="29"/>
        <v>224.2</v>
      </c>
    </row>
    <row r="112" spans="1:15" x14ac:dyDescent="0.2">
      <c r="A112" s="202" t="s">
        <v>137</v>
      </c>
      <c r="B112" s="203" t="s">
        <v>138</v>
      </c>
      <c r="C112" s="206">
        <f t="shared" ref="C112:N112" si="30">+C111+C110+C108+C109</f>
        <v>4892.93</v>
      </c>
      <c r="D112" s="206">
        <f t="shared" si="30"/>
        <v>5092.53</v>
      </c>
      <c r="E112" s="206">
        <f t="shared" si="30"/>
        <v>5051.6400000000003</v>
      </c>
      <c r="F112" s="206">
        <f t="shared" si="30"/>
        <v>5161.66</v>
      </c>
      <c r="G112" s="206">
        <f t="shared" si="30"/>
        <v>5291.67</v>
      </c>
      <c r="H112" s="206">
        <f t="shared" si="30"/>
        <v>5511.3000000000011</v>
      </c>
      <c r="I112" s="206">
        <f t="shared" si="30"/>
        <v>5457.9499999999989</v>
      </c>
      <c r="J112" s="206">
        <f t="shared" si="30"/>
        <v>5844.1900000000005</v>
      </c>
      <c r="K112" s="206">
        <f t="shared" si="30"/>
        <v>5895.09</v>
      </c>
      <c r="L112" s="206">
        <f t="shared" si="30"/>
        <v>5968.7000000000007</v>
      </c>
      <c r="M112" s="206">
        <f t="shared" si="30"/>
        <v>6295.4400000000005</v>
      </c>
      <c r="N112" s="206">
        <f t="shared" si="30"/>
        <v>6076.19</v>
      </c>
      <c r="O112" s="206">
        <f t="shared" si="29"/>
        <v>66539.290000000008</v>
      </c>
    </row>
    <row r="113" spans="1:15" x14ac:dyDescent="0.2">
      <c r="A113" s="202"/>
      <c r="B113" s="203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</row>
    <row r="114" spans="1:15" x14ac:dyDescent="0.2">
      <c r="A114" s="198" t="s">
        <v>159</v>
      </c>
    </row>
    <row r="115" spans="1:15" x14ac:dyDescent="0.2">
      <c r="A115" s="225" t="s">
        <v>160</v>
      </c>
      <c r="B115" s="173" t="s">
        <v>127</v>
      </c>
      <c r="C115" s="173">
        <v>20.23</v>
      </c>
      <c r="D115" s="173">
        <v>20.23</v>
      </c>
      <c r="E115" s="173">
        <v>20.23</v>
      </c>
      <c r="F115" s="173">
        <v>20.23</v>
      </c>
      <c r="G115" s="173">
        <v>20.23</v>
      </c>
      <c r="H115" s="173">
        <v>20.23</v>
      </c>
      <c r="I115" s="173">
        <v>20.23</v>
      </c>
      <c r="J115" s="173">
        <v>20.23</v>
      </c>
      <c r="K115" s="173">
        <v>20.23</v>
      </c>
      <c r="L115" s="173">
        <v>20.23</v>
      </c>
      <c r="M115" s="173">
        <v>20.23</v>
      </c>
      <c r="N115" s="173">
        <v>20.23</v>
      </c>
      <c r="O115" s="173"/>
    </row>
    <row r="116" spans="1:15" x14ac:dyDescent="0.2">
      <c r="A116" s="226" t="s">
        <v>151</v>
      </c>
      <c r="B116" s="205" t="s">
        <v>136</v>
      </c>
      <c r="C116" s="205">
        <v>10</v>
      </c>
      <c r="D116" s="205">
        <v>10</v>
      </c>
      <c r="E116" s="205">
        <v>10</v>
      </c>
      <c r="F116" s="205">
        <v>10</v>
      </c>
      <c r="G116" s="205">
        <v>10</v>
      </c>
      <c r="H116" s="205">
        <v>10</v>
      </c>
      <c r="I116" s="205">
        <v>10</v>
      </c>
      <c r="J116" s="205">
        <v>10</v>
      </c>
      <c r="K116" s="205">
        <v>10</v>
      </c>
      <c r="L116" s="205">
        <v>10</v>
      </c>
      <c r="M116" s="205">
        <v>10</v>
      </c>
      <c r="N116" s="205">
        <v>10</v>
      </c>
      <c r="O116" s="205">
        <f t="shared" ref="O116:O122" si="31">SUM(C116:N116)</f>
        <v>120</v>
      </c>
    </row>
    <row r="117" spans="1:15" x14ac:dyDescent="0.2">
      <c r="A117" s="204" t="s">
        <v>152</v>
      </c>
      <c r="B117" s="205" t="s">
        <v>127</v>
      </c>
      <c r="C117" s="205">
        <v>290</v>
      </c>
      <c r="D117" s="205">
        <v>290</v>
      </c>
      <c r="E117" s="205">
        <v>290</v>
      </c>
      <c r="F117" s="205">
        <v>290</v>
      </c>
      <c r="G117" s="205">
        <v>290</v>
      </c>
      <c r="H117" s="205">
        <v>290</v>
      </c>
      <c r="I117" s="205">
        <v>290</v>
      </c>
      <c r="J117" s="205">
        <v>290</v>
      </c>
      <c r="K117" s="205">
        <v>290</v>
      </c>
      <c r="L117" s="205">
        <v>290</v>
      </c>
      <c r="M117" s="205">
        <v>290</v>
      </c>
      <c r="N117" s="205">
        <v>290</v>
      </c>
      <c r="O117" s="205">
        <f t="shared" si="31"/>
        <v>3480</v>
      </c>
    </row>
    <row r="118" spans="1:15" x14ac:dyDescent="0.2">
      <c r="A118" s="226" t="s">
        <v>153</v>
      </c>
      <c r="B118" s="205" t="s">
        <v>136</v>
      </c>
      <c r="C118" s="224">
        <f t="shared" ref="C118:I118" si="32">202.3-C119</f>
        <v>146.9</v>
      </c>
      <c r="D118" s="224">
        <f t="shared" si="32"/>
        <v>146.9</v>
      </c>
      <c r="E118" s="224">
        <f t="shared" si="32"/>
        <v>146.9</v>
      </c>
      <c r="F118" s="224">
        <f t="shared" si="32"/>
        <v>146.9</v>
      </c>
      <c r="G118" s="224">
        <f t="shared" si="32"/>
        <v>146.9</v>
      </c>
      <c r="H118" s="224">
        <f t="shared" si="32"/>
        <v>146.9</v>
      </c>
      <c r="I118" s="224">
        <f t="shared" si="32"/>
        <v>146.9</v>
      </c>
      <c r="J118" s="224">
        <f>202.3-J119</f>
        <v>146.9</v>
      </c>
      <c r="K118" s="224">
        <f>202.3-K119</f>
        <v>146.9</v>
      </c>
      <c r="L118" s="224">
        <f>202.3-L119</f>
        <v>146.9</v>
      </c>
      <c r="M118" s="224">
        <f>202.3-M119</f>
        <v>146.9</v>
      </c>
      <c r="N118" s="205">
        <f>202.3-N119</f>
        <v>146.9</v>
      </c>
      <c r="O118" s="205">
        <f t="shared" si="31"/>
        <v>1762.8000000000004</v>
      </c>
    </row>
    <row r="119" spans="1:15" x14ac:dyDescent="0.2">
      <c r="A119" s="226" t="s">
        <v>154</v>
      </c>
      <c r="B119" s="205" t="s">
        <v>136</v>
      </c>
      <c r="C119" s="224">
        <v>55.4</v>
      </c>
      <c r="D119" s="224">
        <v>55.4</v>
      </c>
      <c r="E119" s="224">
        <v>55.4</v>
      </c>
      <c r="F119" s="224">
        <v>55.4</v>
      </c>
      <c r="G119" s="224">
        <v>55.4</v>
      </c>
      <c r="H119" s="224">
        <v>55.4</v>
      </c>
      <c r="I119" s="224">
        <v>55.4</v>
      </c>
      <c r="J119" s="224">
        <v>55.4</v>
      </c>
      <c r="K119" s="224">
        <v>55.4</v>
      </c>
      <c r="L119" s="224">
        <v>55.4</v>
      </c>
      <c r="M119" s="224">
        <v>55.4</v>
      </c>
      <c r="N119" s="205">
        <v>55.4</v>
      </c>
      <c r="O119" s="205">
        <f t="shared" si="31"/>
        <v>664.79999999999984</v>
      </c>
    </row>
    <row r="120" spans="1:15" x14ac:dyDescent="0.2">
      <c r="A120" s="227" t="s">
        <v>134</v>
      </c>
      <c r="B120" s="228" t="s">
        <v>127</v>
      </c>
      <c r="C120" s="228">
        <v>-1.1000000000000001</v>
      </c>
      <c r="D120" s="228">
        <v>0.5</v>
      </c>
      <c r="E120" s="228">
        <v>-1.3</v>
      </c>
      <c r="F120" s="228">
        <v>-0.9</v>
      </c>
      <c r="G120" s="228">
        <v>-1.7</v>
      </c>
      <c r="H120" s="228">
        <v>-0.7</v>
      </c>
      <c r="I120" s="228">
        <v>-1.9</v>
      </c>
      <c r="J120" s="228">
        <v>-1</v>
      </c>
      <c r="K120" s="228">
        <v>-1.2</v>
      </c>
      <c r="L120" s="228">
        <v>-1.4</v>
      </c>
      <c r="M120" s="228">
        <v>-2</v>
      </c>
      <c r="N120" s="228">
        <v>-2</v>
      </c>
      <c r="O120" s="228">
        <f t="shared" si="31"/>
        <v>-14.7</v>
      </c>
    </row>
    <row r="121" spans="1:15" x14ac:dyDescent="0.2">
      <c r="A121" s="227" t="s">
        <v>135</v>
      </c>
      <c r="B121" s="228" t="s">
        <v>136</v>
      </c>
      <c r="C121" s="228">
        <v>21.43</v>
      </c>
      <c r="D121" s="228">
        <v>18.52</v>
      </c>
      <c r="E121" s="228">
        <v>15.48</v>
      </c>
      <c r="F121" s="228">
        <v>15.55</v>
      </c>
      <c r="G121" s="228">
        <v>19.420000000000002</v>
      </c>
      <c r="H121" s="228">
        <v>19.899999999999999</v>
      </c>
      <c r="I121" s="228">
        <v>23.89</v>
      </c>
      <c r="J121" s="228">
        <v>23.63</v>
      </c>
      <c r="K121" s="228">
        <v>22.99</v>
      </c>
      <c r="L121" s="228">
        <v>18.84</v>
      </c>
      <c r="M121" s="228">
        <v>19.61</v>
      </c>
      <c r="N121" s="228">
        <v>21.31</v>
      </c>
      <c r="O121" s="228">
        <f t="shared" si="31"/>
        <v>240.57</v>
      </c>
    </row>
    <row r="122" spans="1:15" x14ac:dyDescent="0.2">
      <c r="A122" s="202" t="s">
        <v>137</v>
      </c>
      <c r="B122" s="203" t="s">
        <v>138</v>
      </c>
      <c r="C122" s="206">
        <f t="shared" ref="C122:N122" si="33">+C121+C120+C118+C119</f>
        <v>222.63000000000002</v>
      </c>
      <c r="D122" s="206">
        <f t="shared" si="33"/>
        <v>221.32000000000002</v>
      </c>
      <c r="E122" s="206">
        <f t="shared" si="33"/>
        <v>216.48000000000002</v>
      </c>
      <c r="F122" s="206">
        <f t="shared" si="33"/>
        <v>216.95000000000002</v>
      </c>
      <c r="G122" s="206">
        <f t="shared" si="33"/>
        <v>220.02</v>
      </c>
      <c r="H122" s="206">
        <f t="shared" si="33"/>
        <v>221.5</v>
      </c>
      <c r="I122" s="206">
        <f t="shared" si="33"/>
        <v>224.29000000000002</v>
      </c>
      <c r="J122" s="206">
        <f t="shared" si="33"/>
        <v>224.93</v>
      </c>
      <c r="K122" s="206">
        <f t="shared" si="33"/>
        <v>224.09</v>
      </c>
      <c r="L122" s="206">
        <f t="shared" si="33"/>
        <v>219.74</v>
      </c>
      <c r="M122" s="206">
        <f t="shared" si="33"/>
        <v>219.91</v>
      </c>
      <c r="N122" s="206">
        <f t="shared" si="33"/>
        <v>221.61</v>
      </c>
      <c r="O122" s="206">
        <f t="shared" si="31"/>
        <v>2653.47</v>
      </c>
    </row>
    <row r="123" spans="1:15" x14ac:dyDescent="0.2">
      <c r="A123" s="219"/>
    </row>
    <row r="124" spans="1:15" x14ac:dyDescent="0.2">
      <c r="A124" s="198" t="s">
        <v>161</v>
      </c>
    </row>
    <row r="125" spans="1:15" x14ac:dyDescent="0.2">
      <c r="A125" s="199" t="s">
        <v>51</v>
      </c>
      <c r="B125" s="173" t="s">
        <v>127</v>
      </c>
      <c r="C125" s="173">
        <v>6.21</v>
      </c>
      <c r="D125" s="173">
        <v>6.21</v>
      </c>
      <c r="E125" s="173">
        <v>6.21</v>
      </c>
      <c r="F125" s="173">
        <v>6.21</v>
      </c>
      <c r="G125" s="173">
        <v>6.21</v>
      </c>
      <c r="H125" s="173">
        <v>6.21</v>
      </c>
      <c r="I125" s="173">
        <v>6.21</v>
      </c>
      <c r="J125" s="173">
        <v>6.21</v>
      </c>
      <c r="K125" s="173">
        <v>6.21</v>
      </c>
      <c r="L125" s="173">
        <v>6.21</v>
      </c>
      <c r="M125" s="173">
        <v>6.21</v>
      </c>
      <c r="N125" s="173">
        <v>6.21</v>
      </c>
      <c r="O125" s="173"/>
    </row>
    <row r="126" spans="1:15" x14ac:dyDescent="0.2">
      <c r="A126" s="199" t="s">
        <v>126</v>
      </c>
      <c r="B126" s="201" t="s">
        <v>127</v>
      </c>
      <c r="C126" s="173">
        <v>86.88</v>
      </c>
      <c r="D126" s="173">
        <v>86.88</v>
      </c>
      <c r="E126" s="173">
        <v>86.88</v>
      </c>
      <c r="F126" s="173">
        <v>86.88</v>
      </c>
      <c r="G126" s="173">
        <v>86.88</v>
      </c>
      <c r="H126" s="173">
        <v>86.88</v>
      </c>
      <c r="I126" s="173">
        <v>86.88</v>
      </c>
      <c r="J126" s="173">
        <v>86.88</v>
      </c>
      <c r="K126" s="173">
        <v>86.88</v>
      </c>
      <c r="L126" s="173">
        <v>86.88</v>
      </c>
      <c r="M126" s="173">
        <v>86.88</v>
      </c>
      <c r="N126" s="173">
        <v>86.88</v>
      </c>
      <c r="O126" s="173"/>
    </row>
    <row r="127" spans="1:15" x14ac:dyDescent="0.2">
      <c r="A127" s="200" t="s">
        <v>128</v>
      </c>
      <c r="B127" s="201" t="s">
        <v>127</v>
      </c>
      <c r="C127" s="201">
        <v>5.8650000000000001E-2</v>
      </c>
      <c r="D127" s="201">
        <v>5.8650000000000001E-2</v>
      </c>
      <c r="E127" s="201">
        <v>5.8650000000000001E-2</v>
      </c>
      <c r="F127" s="201">
        <v>5.8650000000000001E-2</v>
      </c>
      <c r="G127" s="201">
        <v>5.8650000000000001E-2</v>
      </c>
      <c r="H127" s="201">
        <v>5.8650000000000001E-2</v>
      </c>
      <c r="I127" s="201">
        <v>5.8650000000000001E-2</v>
      </c>
      <c r="J127" s="201">
        <v>5.8650000000000001E-2</v>
      </c>
      <c r="K127" s="201">
        <v>5.8650000000000001E-2</v>
      </c>
      <c r="L127" s="201">
        <v>5.8650000000000001E-2</v>
      </c>
      <c r="M127" s="201">
        <v>5.8650000000000001E-2</v>
      </c>
      <c r="N127" s="201">
        <v>5.8650000000000001E-2</v>
      </c>
      <c r="O127" s="201"/>
    </row>
    <row r="128" spans="1:15" x14ac:dyDescent="0.2">
      <c r="A128" s="202" t="s">
        <v>162</v>
      </c>
      <c r="B128" s="203" t="s">
        <v>130</v>
      </c>
      <c r="C128" s="206">
        <f>+C131/C125</f>
        <v>3839.6441223832526</v>
      </c>
      <c r="D128" s="206">
        <f t="shared" ref="D128:N128" si="34">+D131/D125</f>
        <v>2649.9919484702095</v>
      </c>
      <c r="E128" s="206">
        <f t="shared" si="34"/>
        <v>2897.1143317230276</v>
      </c>
      <c r="F128" s="206">
        <f t="shared" si="34"/>
        <v>4318.0789049919485</v>
      </c>
      <c r="G128" s="206">
        <f t="shared" si="34"/>
        <v>4998.3880837359102</v>
      </c>
      <c r="H128" s="206">
        <f t="shared" si="34"/>
        <v>4964.7375201288251</v>
      </c>
      <c r="I128" s="206">
        <f t="shared" si="34"/>
        <v>4976.8212560386482</v>
      </c>
      <c r="J128" s="206">
        <f t="shared" si="34"/>
        <v>5267.9967793880842</v>
      </c>
      <c r="K128" s="206">
        <f t="shared" si="34"/>
        <v>5383.420289855073</v>
      </c>
      <c r="L128" s="206">
        <f t="shared" si="34"/>
        <v>5601.1175523349439</v>
      </c>
      <c r="M128" s="206">
        <f t="shared" si="34"/>
        <v>5570.5152979066024</v>
      </c>
      <c r="N128" s="206">
        <f t="shared" si="34"/>
        <v>5401.2399355877615</v>
      </c>
      <c r="O128" s="206">
        <f t="shared" ref="O128:O137" si="35">SUM(C128:N128)</f>
        <v>55869.066022544292</v>
      </c>
    </row>
    <row r="129" spans="1:15" x14ac:dyDescent="0.2">
      <c r="A129" s="204" t="s">
        <v>129</v>
      </c>
      <c r="B129" s="205" t="s">
        <v>136</v>
      </c>
      <c r="C129" s="205">
        <v>9</v>
      </c>
      <c r="D129" s="205">
        <v>9</v>
      </c>
      <c r="E129" s="205">
        <v>9</v>
      </c>
      <c r="F129" s="205">
        <v>9</v>
      </c>
      <c r="G129" s="205">
        <v>9</v>
      </c>
      <c r="H129" s="205">
        <v>9</v>
      </c>
      <c r="I129" s="205">
        <v>9</v>
      </c>
      <c r="J129" s="205">
        <v>9</v>
      </c>
      <c r="K129" s="205">
        <v>9</v>
      </c>
      <c r="L129" s="205">
        <v>9</v>
      </c>
      <c r="M129" s="205">
        <v>9</v>
      </c>
      <c r="N129" s="205">
        <v>9</v>
      </c>
      <c r="O129" s="205">
        <f t="shared" si="35"/>
        <v>108</v>
      </c>
    </row>
    <row r="130" spans="1:15" x14ac:dyDescent="0.2">
      <c r="A130" s="204" t="s">
        <v>7</v>
      </c>
      <c r="B130" s="205" t="s">
        <v>127</v>
      </c>
      <c r="C130" s="205">
        <v>1102420</v>
      </c>
      <c r="D130" s="205">
        <v>1083920</v>
      </c>
      <c r="E130" s="205">
        <v>967540</v>
      </c>
      <c r="F130" s="205">
        <v>1174440</v>
      </c>
      <c r="G130" s="205">
        <v>1201060</v>
      </c>
      <c r="H130" s="205">
        <v>1208800</v>
      </c>
      <c r="I130" s="205">
        <v>1163300</v>
      </c>
      <c r="J130" s="205">
        <v>1389680</v>
      </c>
      <c r="K130" s="205">
        <v>1476440</v>
      </c>
      <c r="L130" s="205">
        <v>1298540</v>
      </c>
      <c r="M130" s="205">
        <v>1452200</v>
      </c>
      <c r="N130" s="205">
        <v>1260640</v>
      </c>
      <c r="O130" s="205">
        <f t="shared" si="35"/>
        <v>14778980</v>
      </c>
    </row>
    <row r="131" spans="1:15" x14ac:dyDescent="0.2">
      <c r="A131" s="213" t="s">
        <v>140</v>
      </c>
      <c r="B131" s="214" t="s">
        <v>127</v>
      </c>
      <c r="C131" s="214">
        <f>33223.89-C132</f>
        <v>23844.19</v>
      </c>
      <c r="D131" s="214">
        <f>31778.16-D132</f>
        <v>16456.45</v>
      </c>
      <c r="E131" s="214">
        <f>30860.06-E132</f>
        <v>17991.080000000002</v>
      </c>
      <c r="F131" s="214">
        <f>33623.86-F132</f>
        <v>26815.27</v>
      </c>
      <c r="G131" s="214">
        <f>36096.51-G132</f>
        <v>31039.99</v>
      </c>
      <c r="H131" s="214">
        <f>36397.58-H132</f>
        <v>30831.020000000004</v>
      </c>
      <c r="I131" s="214">
        <f>36318.23-I132</f>
        <v>30906.060000000005</v>
      </c>
      <c r="J131" s="214">
        <f>36497.94-J132</f>
        <v>32714.260000000002</v>
      </c>
      <c r="K131" s="214">
        <f>36132.82-K132</f>
        <v>33431.040000000001</v>
      </c>
      <c r="L131" s="214">
        <f>37272.5-L132</f>
        <v>34782.94</v>
      </c>
      <c r="M131" s="214">
        <f>37570.36-M132</f>
        <v>34592.9</v>
      </c>
      <c r="N131" s="214">
        <f>37121.04-N132</f>
        <v>33541.699999999997</v>
      </c>
      <c r="O131" s="214">
        <f t="shared" si="35"/>
        <v>346946.90000000008</v>
      </c>
    </row>
    <row r="132" spans="1:15" x14ac:dyDescent="0.2">
      <c r="A132" s="229" t="s">
        <v>147</v>
      </c>
      <c r="B132" s="214" t="s">
        <v>127</v>
      </c>
      <c r="C132" s="214">
        <f>1552.5+7827.2</f>
        <v>9379.7000000000007</v>
      </c>
      <c r="D132" s="214">
        <f>4292+11029.71</f>
        <v>15321.71</v>
      </c>
      <c r="E132" s="214">
        <f>1552.5+11316.48</f>
        <v>12868.98</v>
      </c>
      <c r="F132" s="214">
        <f>1552.5+5256.09</f>
        <v>6808.59</v>
      </c>
      <c r="G132" s="214">
        <f>1552.5+3504.02</f>
        <v>5056.5200000000004</v>
      </c>
      <c r="H132" s="214">
        <f>1552.5+4014.06</f>
        <v>5566.5599999999995</v>
      </c>
      <c r="I132" s="214">
        <f>1552.5+3859.67</f>
        <v>5412.17</v>
      </c>
      <c r="J132" s="214">
        <f>1552.5+2231.18</f>
        <v>3783.68</v>
      </c>
      <c r="K132" s="214">
        <f>1552.5+1149.28</f>
        <v>2701.7799999999997</v>
      </c>
      <c r="L132" s="214">
        <f>1552.5+937.06</f>
        <v>2489.56</v>
      </c>
      <c r="M132" s="214">
        <f>1552.5+1424.96</f>
        <v>2977.46</v>
      </c>
      <c r="N132" s="214">
        <f>1552.5+2026.84</f>
        <v>3579.34</v>
      </c>
      <c r="O132" s="214">
        <f t="shared" si="35"/>
        <v>75946.05</v>
      </c>
    </row>
    <row r="133" spans="1:15" x14ac:dyDescent="0.2">
      <c r="A133" s="204" t="s">
        <v>131</v>
      </c>
      <c r="B133" s="205" t="s">
        <v>127</v>
      </c>
      <c r="C133" s="214">
        <v>781.92</v>
      </c>
      <c r="D133" s="214">
        <v>781.92</v>
      </c>
      <c r="E133" s="214">
        <v>781.92</v>
      </c>
      <c r="F133" s="214">
        <v>781.92</v>
      </c>
      <c r="G133" s="214">
        <v>781.92</v>
      </c>
      <c r="H133" s="214">
        <v>781.92</v>
      </c>
      <c r="I133" s="214">
        <v>781.92</v>
      </c>
      <c r="J133" s="214">
        <v>781.92</v>
      </c>
      <c r="K133" s="214">
        <v>781.92</v>
      </c>
      <c r="L133" s="214">
        <v>781.92</v>
      </c>
      <c r="M133" s="214">
        <v>781.92</v>
      </c>
      <c r="N133" s="214">
        <v>781.92</v>
      </c>
      <c r="O133" s="214">
        <f t="shared" si="35"/>
        <v>9383.0399999999991</v>
      </c>
    </row>
    <row r="134" spans="1:15" x14ac:dyDescent="0.2">
      <c r="A134" s="202" t="s">
        <v>133</v>
      </c>
      <c r="B134" s="203" t="s">
        <v>138</v>
      </c>
      <c r="C134" s="206">
        <f t="shared" ref="C134:N134" si="36">+C130*C127</f>
        <v>64656.932999999997</v>
      </c>
      <c r="D134" s="206">
        <f t="shared" si="36"/>
        <v>63571.908000000003</v>
      </c>
      <c r="E134" s="206">
        <f t="shared" si="36"/>
        <v>56746.220999999998</v>
      </c>
      <c r="F134" s="206">
        <f t="shared" si="36"/>
        <v>68880.906000000003</v>
      </c>
      <c r="G134" s="206">
        <f t="shared" si="36"/>
        <v>70442.168999999994</v>
      </c>
      <c r="H134" s="206">
        <f t="shared" si="36"/>
        <v>70896.12</v>
      </c>
      <c r="I134" s="206">
        <f t="shared" si="36"/>
        <v>68227.544999999998</v>
      </c>
      <c r="J134" s="206">
        <f t="shared" si="36"/>
        <v>81504.732000000004</v>
      </c>
      <c r="K134" s="206">
        <f t="shared" si="36"/>
        <v>86593.206000000006</v>
      </c>
      <c r="L134" s="206">
        <f t="shared" si="36"/>
        <v>76159.370999999999</v>
      </c>
      <c r="M134" s="206">
        <f t="shared" si="36"/>
        <v>85171.53</v>
      </c>
      <c r="N134" s="206">
        <f t="shared" si="36"/>
        <v>73936.536000000007</v>
      </c>
      <c r="O134" s="206">
        <f t="shared" si="35"/>
        <v>866787.17700000003</v>
      </c>
    </row>
    <row r="135" spans="1:15" x14ac:dyDescent="0.2">
      <c r="A135" s="204" t="s">
        <v>134</v>
      </c>
      <c r="B135" s="205" t="s">
        <v>127</v>
      </c>
      <c r="C135" s="205">
        <v>-4137.38</v>
      </c>
      <c r="D135" s="205">
        <v>1986.82</v>
      </c>
      <c r="E135" s="205">
        <v>-4489.3900000000003</v>
      </c>
      <c r="F135" s="205">
        <v>-3707.71</v>
      </c>
      <c r="G135" s="205">
        <v>-6972.16</v>
      </c>
      <c r="H135" s="205">
        <v>-2719.81</v>
      </c>
      <c r="I135" s="205">
        <v>-7752.22</v>
      </c>
      <c r="J135" s="205">
        <v>-4755.49</v>
      </c>
      <c r="K135" s="205">
        <v>-6116.9</v>
      </c>
      <c r="L135" s="205">
        <v>-6226.5</v>
      </c>
      <c r="M135" s="205">
        <v>-9809.6200000000008</v>
      </c>
      <c r="N135" s="205">
        <v>-8630.35</v>
      </c>
      <c r="O135" s="205">
        <f t="shared" si="35"/>
        <v>-63330.710000000006</v>
      </c>
    </row>
    <row r="136" spans="1:15" x14ac:dyDescent="0.2">
      <c r="A136" s="204" t="s">
        <v>135</v>
      </c>
      <c r="B136" s="205" t="s">
        <v>136</v>
      </c>
      <c r="C136" s="205">
        <v>11866.53</v>
      </c>
      <c r="D136" s="205">
        <v>10724.76</v>
      </c>
      <c r="E136" s="205">
        <v>8191.05</v>
      </c>
      <c r="F136" s="205">
        <v>9419.2900000000009</v>
      </c>
      <c r="G136" s="205">
        <v>11489.95</v>
      </c>
      <c r="H136" s="205">
        <v>12180.73</v>
      </c>
      <c r="I136" s="205">
        <v>13458.51</v>
      </c>
      <c r="J136" s="205">
        <v>15218.42</v>
      </c>
      <c r="K136" s="205">
        <v>15241.47</v>
      </c>
      <c r="L136" s="205">
        <v>11903.98</v>
      </c>
      <c r="M136" s="205">
        <v>12916.23</v>
      </c>
      <c r="N136" s="205">
        <v>12785.1</v>
      </c>
      <c r="O136" s="205">
        <f t="shared" si="35"/>
        <v>145396.01999999999</v>
      </c>
    </row>
    <row r="137" spans="1:15" x14ac:dyDescent="0.2">
      <c r="A137" s="202" t="s">
        <v>137</v>
      </c>
      <c r="B137" s="203" t="s">
        <v>138</v>
      </c>
      <c r="C137" s="206">
        <f t="shared" ref="C137:N137" si="37">+C136+C135+C134+C133+C132+C131</f>
        <v>106391.893</v>
      </c>
      <c r="D137" s="206">
        <f t="shared" si="37"/>
        <v>108843.56799999998</v>
      </c>
      <c r="E137" s="206">
        <f t="shared" si="37"/>
        <v>92089.86099999999</v>
      </c>
      <c r="F137" s="206">
        <f t="shared" si="37"/>
        <v>108998.266</v>
      </c>
      <c r="G137" s="206">
        <f t="shared" si="37"/>
        <v>111838.38900000001</v>
      </c>
      <c r="H137" s="206">
        <f t="shared" si="37"/>
        <v>117536.54</v>
      </c>
      <c r="I137" s="206">
        <f t="shared" si="37"/>
        <v>111033.98499999999</v>
      </c>
      <c r="J137" s="206">
        <f t="shared" si="37"/>
        <v>129247.522</v>
      </c>
      <c r="K137" s="206">
        <f t="shared" si="37"/>
        <v>132632.516</v>
      </c>
      <c r="L137" s="206">
        <f t="shared" si="37"/>
        <v>119891.27099999999</v>
      </c>
      <c r="M137" s="206">
        <f t="shared" si="37"/>
        <v>126630.42000000001</v>
      </c>
      <c r="N137" s="206">
        <f t="shared" si="37"/>
        <v>115994.246</v>
      </c>
      <c r="O137" s="206">
        <f t="shared" si="35"/>
        <v>1381128.477</v>
      </c>
    </row>
    <row r="138" spans="1:15" x14ac:dyDescent="0.2">
      <c r="A138" s="219"/>
    </row>
    <row r="139" spans="1:15" x14ac:dyDescent="0.2">
      <c r="A139" s="198" t="s">
        <v>163</v>
      </c>
    </row>
    <row r="140" spans="1:15" x14ac:dyDescent="0.2">
      <c r="A140" s="199" t="s">
        <v>126</v>
      </c>
      <c r="B140" s="173" t="s">
        <v>127</v>
      </c>
      <c r="C140" s="173">
        <v>12.43</v>
      </c>
      <c r="D140" s="173">
        <v>12.43</v>
      </c>
      <c r="E140" s="173">
        <v>12.43</v>
      </c>
      <c r="F140" s="173">
        <v>12.43</v>
      </c>
      <c r="G140" s="173">
        <v>12.43</v>
      </c>
      <c r="H140" s="173">
        <v>12.43</v>
      </c>
      <c r="I140" s="173">
        <v>12.43</v>
      </c>
      <c r="J140" s="173">
        <v>12.43</v>
      </c>
      <c r="K140" s="173">
        <v>12.43</v>
      </c>
      <c r="L140" s="173">
        <v>12.43</v>
      </c>
      <c r="M140" s="173">
        <v>12.43</v>
      </c>
      <c r="N140" s="173">
        <v>12.43</v>
      </c>
      <c r="O140" s="173"/>
    </row>
    <row r="141" spans="1:15" x14ac:dyDescent="0.2">
      <c r="A141" s="200" t="s">
        <v>128</v>
      </c>
      <c r="B141" s="201" t="s">
        <v>127</v>
      </c>
      <c r="C141" s="201">
        <v>8.992E-2</v>
      </c>
      <c r="D141" s="201">
        <v>8.992E-2</v>
      </c>
      <c r="E141" s="201">
        <v>8.992E-2</v>
      </c>
      <c r="F141" s="201">
        <v>8.992E-2</v>
      </c>
      <c r="G141" s="201">
        <v>8.992E-2</v>
      </c>
      <c r="H141" s="201">
        <v>8.992E-2</v>
      </c>
      <c r="I141" s="201">
        <v>8.992E-2</v>
      </c>
      <c r="J141" s="201">
        <v>8.992E-2</v>
      </c>
      <c r="K141" s="201">
        <v>8.992E-2</v>
      </c>
      <c r="L141" s="201">
        <v>8.992E-2</v>
      </c>
      <c r="M141" s="201">
        <v>8.992E-2</v>
      </c>
      <c r="N141" s="201">
        <v>8.992E-2</v>
      </c>
      <c r="O141" s="201"/>
    </row>
    <row r="142" spans="1:15" x14ac:dyDescent="0.2">
      <c r="A142" s="202" t="s">
        <v>129</v>
      </c>
      <c r="B142" s="203" t="s">
        <v>138</v>
      </c>
      <c r="C142" s="121">
        <f t="shared" ref="C142:N142" si="38">+C144/C140</f>
        <v>24475</v>
      </c>
      <c r="D142" s="121">
        <f t="shared" si="38"/>
        <v>24489.000000000004</v>
      </c>
      <c r="E142" s="121">
        <f t="shared" si="38"/>
        <v>24498</v>
      </c>
      <c r="F142" s="121">
        <f t="shared" si="38"/>
        <v>24540</v>
      </c>
      <c r="G142" s="121">
        <f t="shared" si="38"/>
        <v>24559</v>
      </c>
      <c r="H142" s="121">
        <f t="shared" si="38"/>
        <v>24528.022526146422</v>
      </c>
      <c r="I142" s="121">
        <f t="shared" si="38"/>
        <v>24579</v>
      </c>
      <c r="J142" s="121">
        <f>+J144/J140</f>
        <v>24643</v>
      </c>
      <c r="K142" s="121">
        <f t="shared" si="38"/>
        <v>24666</v>
      </c>
      <c r="L142" s="121">
        <f t="shared" si="38"/>
        <v>24611</v>
      </c>
      <c r="M142" s="121">
        <f t="shared" si="38"/>
        <v>24703</v>
      </c>
      <c r="N142" s="121">
        <f t="shared" si="38"/>
        <v>24667</v>
      </c>
      <c r="O142" s="121">
        <f t="shared" ref="O142:O149" si="39">SUM(C142:N142)</f>
        <v>294958.02252614644</v>
      </c>
    </row>
    <row r="143" spans="1:15" x14ac:dyDescent="0.2">
      <c r="A143" s="204" t="s">
        <v>7</v>
      </c>
      <c r="B143" s="205" t="s">
        <v>127</v>
      </c>
      <c r="C143" s="205">
        <f>34098311+2724</f>
        <v>34101035</v>
      </c>
      <c r="D143" s="205">
        <f>40906053+2654</f>
        <v>40908707</v>
      </c>
      <c r="E143" s="205">
        <f>31613495</f>
        <v>31613495</v>
      </c>
      <c r="F143" s="205">
        <v>24359399</v>
      </c>
      <c r="G143" s="205">
        <v>17947440</v>
      </c>
      <c r="H143" s="205">
        <v>21475259</v>
      </c>
      <c r="I143" s="205">
        <v>24753800</v>
      </c>
      <c r="J143" s="205">
        <f>28060773+17675</f>
        <v>28078448</v>
      </c>
      <c r="K143" s="205">
        <f>26340161+46094</f>
        <v>26386255</v>
      </c>
      <c r="L143" s="205">
        <f>22346674+53067</f>
        <v>22399741</v>
      </c>
      <c r="M143" s="205">
        <f>24171788+116421</f>
        <v>24288209</v>
      </c>
      <c r="N143" s="205">
        <f>28943756+175405</f>
        <v>29119161</v>
      </c>
      <c r="O143" s="205">
        <f t="shared" si="39"/>
        <v>325430949</v>
      </c>
    </row>
    <row r="144" spans="1:15" x14ac:dyDescent="0.2">
      <c r="A144" s="204" t="s">
        <v>131</v>
      </c>
      <c r="B144" s="205" t="s">
        <v>127</v>
      </c>
      <c r="C144" s="205">
        <f>304199.39+24.86</f>
        <v>304224.25</v>
      </c>
      <c r="D144" s="205">
        <v>304398.27</v>
      </c>
      <c r="E144" s="205">
        <v>304510.14</v>
      </c>
      <c r="F144" s="205">
        <v>305032.2</v>
      </c>
      <c r="G144" s="205">
        <v>305268.37</v>
      </c>
      <c r="H144" s="205">
        <v>304883.32</v>
      </c>
      <c r="I144" s="205">
        <v>305516.96999999997</v>
      </c>
      <c r="J144" s="205">
        <f>306001.74+435.75-J146</f>
        <v>306312.49</v>
      </c>
      <c r="K144" s="205">
        <f>305939.59+923.79-K146</f>
        <v>306598.38</v>
      </c>
      <c r="L144" s="205">
        <f>305044.63+1220.1-L146</f>
        <v>305914.73</v>
      </c>
      <c r="M144" s="205">
        <f>305815.29+1743-M146</f>
        <v>307058.28999999998</v>
      </c>
      <c r="N144" s="205">
        <f>305156.5+2039.31-N146</f>
        <v>306610.81</v>
      </c>
      <c r="O144" s="205">
        <f t="shared" si="39"/>
        <v>3666328.2199999997</v>
      </c>
    </row>
    <row r="145" spans="1:17" x14ac:dyDescent="0.2">
      <c r="A145" s="202" t="s">
        <v>133</v>
      </c>
      <c r="B145" s="203" t="s">
        <v>138</v>
      </c>
      <c r="C145" s="206">
        <f>+C143*C141+191.49</f>
        <v>3066556.5572000002</v>
      </c>
      <c r="D145" s="206">
        <f>+D143*D141+173.38</f>
        <v>3678684.3134399997</v>
      </c>
      <c r="E145" s="206">
        <f>+E143*E141+84.53</f>
        <v>2842770.0003999998</v>
      </c>
      <c r="F145" s="206">
        <f>+F143*F141+40.65</f>
        <v>2190437.8080799999</v>
      </c>
      <c r="G145" s="206">
        <f>+G143*G141+52.66</f>
        <v>1613886.4648</v>
      </c>
      <c r="H145" s="206">
        <f>+H143*H141+65.13</f>
        <v>1931120.4192799998</v>
      </c>
      <c r="I145" s="206">
        <f>+I143*I141+121.62</f>
        <v>2225983.3160000001</v>
      </c>
      <c r="J145" s="206">
        <f>+J143*J141+126.6+12.43</f>
        <v>2524953.0741600003</v>
      </c>
      <c r="K145" s="206">
        <f>+K143*K141+103.36</f>
        <v>2372755.4095999999</v>
      </c>
      <c r="L145" s="206">
        <f>+L143*L141+66.31</f>
        <v>2014251.0207200001</v>
      </c>
      <c r="M145" s="206">
        <f t="shared" ref="M145" si="40">+M143*M141</f>
        <v>2183995.7532799998</v>
      </c>
      <c r="N145" s="206">
        <f>+N143*N141+324.5</f>
        <v>2618719.4571199999</v>
      </c>
      <c r="O145" s="206">
        <f t="shared" si="39"/>
        <v>29264113.594080001</v>
      </c>
      <c r="Q145" s="238">
        <f>O145+O144</f>
        <v>32930441.81408</v>
      </c>
    </row>
    <row r="146" spans="1:17" x14ac:dyDescent="0.2">
      <c r="A146" s="202" t="s">
        <v>164</v>
      </c>
      <c r="B146" s="203"/>
      <c r="C146" s="206"/>
      <c r="D146" s="206"/>
      <c r="E146" s="206"/>
      <c r="F146" s="206"/>
      <c r="G146" s="206"/>
      <c r="H146" s="206"/>
      <c r="I146" s="206"/>
      <c r="J146" s="206">
        <v>125</v>
      </c>
      <c r="K146" s="206">
        <v>265</v>
      </c>
      <c r="L146" s="206">
        <v>350</v>
      </c>
      <c r="M146" s="206">
        <v>500</v>
      </c>
      <c r="N146" s="206">
        <v>585</v>
      </c>
      <c r="O146" s="206">
        <f t="shared" si="39"/>
        <v>1825</v>
      </c>
    </row>
    <row r="147" spans="1:17" x14ac:dyDescent="0.2">
      <c r="A147" s="227" t="s">
        <v>134</v>
      </c>
      <c r="B147" s="228" t="s">
        <v>136</v>
      </c>
      <c r="C147" s="228">
        <f>-127961.11-10.22</f>
        <v>-127971.33</v>
      </c>
      <c r="D147" s="228">
        <f>74980.52+4.86</f>
        <v>74985.38</v>
      </c>
      <c r="E147" s="228">
        <v>-146685.71</v>
      </c>
      <c r="F147" s="228">
        <v>-76902.880000000005</v>
      </c>
      <c r="G147" s="228">
        <v>-104156.65</v>
      </c>
      <c r="H147" s="228">
        <v>-48322.15</v>
      </c>
      <c r="I147" s="228">
        <v>-164960.68</v>
      </c>
      <c r="J147" s="228">
        <f>-96013.68-60.49</f>
        <v>-96074.17</v>
      </c>
      <c r="K147" s="228">
        <f>-109126.77-190.94</f>
        <v>-109317.71</v>
      </c>
      <c r="L147" s="228">
        <f>-107150.28-254.44</f>
        <v>-107404.72</v>
      </c>
      <c r="M147" s="228">
        <f>-163048.41-786.44</f>
        <v>-163834.85</v>
      </c>
      <c r="N147" s="228">
        <f>-198121.72-1200.84</f>
        <v>-199322.56</v>
      </c>
      <c r="O147" s="228">
        <f t="shared" si="39"/>
        <v>-1269968.03</v>
      </c>
    </row>
    <row r="148" spans="1:17" x14ac:dyDescent="0.2">
      <c r="A148" s="227" t="s">
        <v>135</v>
      </c>
      <c r="B148" s="228" t="s">
        <v>136</v>
      </c>
      <c r="C148" s="228">
        <v>353555.78</v>
      </c>
      <c r="D148" s="228">
        <v>377976.7</v>
      </c>
      <c r="E148" s="228">
        <v>237014.04</v>
      </c>
      <c r="F148" s="228">
        <v>192677.61</v>
      </c>
      <c r="G148" s="228">
        <v>182760.35</v>
      </c>
      <c r="H148" s="228">
        <v>223021.53</v>
      </c>
      <c r="I148" s="228">
        <v>290493.78000000003</v>
      </c>
      <c r="J148" s="228">
        <v>329486.44</v>
      </c>
      <c r="K148" s="228">
        <v>301986.90000000002</v>
      </c>
      <c r="L148" s="228">
        <v>214313.44</v>
      </c>
      <c r="M148" s="228">
        <v>235220.22</v>
      </c>
      <c r="N148" s="228">
        <v>297947.07</v>
      </c>
      <c r="O148" s="228">
        <f t="shared" si="39"/>
        <v>3236453.86</v>
      </c>
    </row>
    <row r="149" spans="1:17" x14ac:dyDescent="0.2">
      <c r="A149" s="202" t="s">
        <v>137</v>
      </c>
      <c r="B149" s="203" t="s">
        <v>138</v>
      </c>
      <c r="C149" s="206">
        <f>SUM(C148+C147+C145+C144)</f>
        <v>3596365.2572000003</v>
      </c>
      <c r="D149" s="206">
        <f t="shared" ref="D149:I149" si="41">SUM(D148+D147+D145+D144)</f>
        <v>4436044.6634400003</v>
      </c>
      <c r="E149" s="206">
        <f t="shared" si="41"/>
        <v>3237608.4704</v>
      </c>
      <c r="F149" s="206">
        <f t="shared" si="41"/>
        <v>2611244.73808</v>
      </c>
      <c r="G149" s="206">
        <f t="shared" si="41"/>
        <v>1997758.5348</v>
      </c>
      <c r="H149" s="206">
        <f t="shared" si="41"/>
        <v>2410703.1192799998</v>
      </c>
      <c r="I149" s="206">
        <f t="shared" si="41"/>
        <v>2657033.3859999999</v>
      </c>
      <c r="J149" s="206">
        <f>SUM(J148+J147+J145+J144+J146)</f>
        <v>3064802.8341600001</v>
      </c>
      <c r="K149" s="206">
        <f>SUM(K148+K147+K145+K144+K146)</f>
        <v>2872287.9795999997</v>
      </c>
      <c r="L149" s="206">
        <f t="shared" ref="L149:N149" si="42">SUM(L148+L147+L145+L144+L146)</f>
        <v>2427424.4707200001</v>
      </c>
      <c r="M149" s="206">
        <f t="shared" si="42"/>
        <v>2562939.41328</v>
      </c>
      <c r="N149" s="206">
        <f t="shared" si="42"/>
        <v>3024539.7771200002</v>
      </c>
      <c r="O149" s="206">
        <f t="shared" si="39"/>
        <v>34898752.644080006</v>
      </c>
    </row>
    <row r="150" spans="1:17" x14ac:dyDescent="0.2">
      <c r="A150" s="202"/>
      <c r="B150" s="203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</row>
    <row r="151" spans="1:17" x14ac:dyDescent="0.2">
      <c r="A151" s="198" t="s">
        <v>165</v>
      </c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</row>
    <row r="152" spans="1:17" x14ac:dyDescent="0.2">
      <c r="A152" s="199" t="s">
        <v>126</v>
      </c>
      <c r="B152" s="173" t="s">
        <v>127</v>
      </c>
      <c r="C152" s="206"/>
      <c r="D152" s="206"/>
      <c r="E152" s="206"/>
      <c r="F152" s="206"/>
      <c r="G152" s="206"/>
      <c r="H152" s="206"/>
      <c r="I152" s="206"/>
      <c r="J152" s="173"/>
      <c r="K152" s="206"/>
      <c r="L152" s="206"/>
      <c r="M152" s="206"/>
      <c r="N152" s="206"/>
      <c r="O152" s="206"/>
    </row>
    <row r="153" spans="1:17" x14ac:dyDescent="0.2">
      <c r="A153" s="200" t="s">
        <v>128</v>
      </c>
      <c r="B153" s="201" t="s">
        <v>127</v>
      </c>
      <c r="C153" s="206"/>
      <c r="D153" s="206"/>
      <c r="E153" s="206"/>
      <c r="F153" s="206"/>
      <c r="G153" s="206"/>
      <c r="H153" s="206"/>
      <c r="I153" s="206"/>
      <c r="J153" s="201"/>
      <c r="K153" s="206"/>
      <c r="L153" s="206"/>
      <c r="M153" s="206"/>
      <c r="N153" s="206"/>
      <c r="O153" s="206"/>
    </row>
    <row r="154" spans="1:17" x14ac:dyDescent="0.2">
      <c r="A154" s="202" t="s">
        <v>129</v>
      </c>
      <c r="B154" s="203" t="s">
        <v>138</v>
      </c>
      <c r="C154" s="206"/>
      <c r="D154" s="206"/>
      <c r="E154" s="206"/>
      <c r="F154" s="206"/>
      <c r="G154" s="206"/>
      <c r="H154" s="206"/>
      <c r="I154" s="206"/>
      <c r="J154" s="121"/>
      <c r="K154" s="206"/>
      <c r="L154" s="206"/>
      <c r="M154" s="206"/>
      <c r="N154" s="206"/>
      <c r="O154" s="206"/>
    </row>
    <row r="155" spans="1:17" x14ac:dyDescent="0.2">
      <c r="A155" s="204" t="s">
        <v>7</v>
      </c>
      <c r="B155" s="205" t="s">
        <v>127</v>
      </c>
      <c r="C155" s="206"/>
      <c r="D155" s="206"/>
      <c r="E155" s="206"/>
      <c r="F155" s="206"/>
      <c r="G155" s="206"/>
      <c r="H155" s="206"/>
      <c r="I155" s="206"/>
      <c r="J155" s="205"/>
      <c r="K155" s="206"/>
      <c r="L155" s="206"/>
      <c r="M155" s="206"/>
      <c r="N155" s="206"/>
      <c r="O155" s="206"/>
    </row>
    <row r="156" spans="1:17" x14ac:dyDescent="0.2">
      <c r="A156" s="204" t="s">
        <v>131</v>
      </c>
      <c r="B156" s="205" t="s">
        <v>127</v>
      </c>
      <c r="C156" s="206"/>
      <c r="D156" s="206"/>
      <c r="E156" s="206"/>
      <c r="F156" s="206"/>
      <c r="G156" s="206"/>
      <c r="H156" s="206"/>
      <c r="I156" s="206"/>
      <c r="J156" s="205"/>
      <c r="K156" s="206"/>
      <c r="L156" s="206"/>
      <c r="M156" s="206"/>
      <c r="N156" s="206"/>
      <c r="O156" s="206"/>
    </row>
    <row r="157" spans="1:17" x14ac:dyDescent="0.2">
      <c r="A157" s="202" t="s">
        <v>133</v>
      </c>
      <c r="B157" s="203" t="s">
        <v>138</v>
      </c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</row>
    <row r="158" spans="1:17" x14ac:dyDescent="0.2">
      <c r="A158" s="227" t="s">
        <v>134</v>
      </c>
      <c r="B158" s="228" t="s">
        <v>136</v>
      </c>
      <c r="C158" s="206"/>
      <c r="D158" s="206"/>
      <c r="E158" s="206"/>
      <c r="F158" s="206"/>
      <c r="G158" s="206"/>
      <c r="H158" s="206"/>
      <c r="I158" s="206"/>
      <c r="J158" s="228"/>
      <c r="K158" s="206"/>
      <c r="L158" s="206"/>
      <c r="M158" s="206"/>
      <c r="N158" s="206"/>
      <c r="O158" s="206"/>
    </row>
    <row r="159" spans="1:17" x14ac:dyDescent="0.2">
      <c r="A159" s="227" t="s">
        <v>135</v>
      </c>
      <c r="B159" s="228" t="s">
        <v>136</v>
      </c>
      <c r="C159" s="206"/>
      <c r="D159" s="206"/>
      <c r="E159" s="206"/>
      <c r="F159" s="206"/>
      <c r="G159" s="206"/>
      <c r="H159" s="206"/>
      <c r="I159" s="206"/>
      <c r="J159" s="228"/>
      <c r="K159" s="206"/>
      <c r="L159" s="206"/>
      <c r="M159" s="206"/>
      <c r="N159" s="206"/>
      <c r="O159" s="206"/>
    </row>
    <row r="160" spans="1:17" x14ac:dyDescent="0.2">
      <c r="A160" s="202" t="s">
        <v>137</v>
      </c>
      <c r="B160" s="203" t="s">
        <v>138</v>
      </c>
      <c r="C160" s="206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</row>
    <row r="161" spans="1:15" x14ac:dyDescent="0.2">
      <c r="A161" s="202"/>
      <c r="B161" s="203"/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</row>
    <row r="163" spans="1:15" x14ac:dyDescent="0.2">
      <c r="A163" s="198" t="s">
        <v>166</v>
      </c>
    </row>
    <row r="164" spans="1:15" x14ac:dyDescent="0.2">
      <c r="A164" s="199" t="s">
        <v>167</v>
      </c>
      <c r="B164" s="173" t="s">
        <v>127</v>
      </c>
      <c r="C164" s="173">
        <v>9.4499999999999993</v>
      </c>
      <c r="D164" s="173">
        <v>9.4499999999999993</v>
      </c>
      <c r="E164" s="173">
        <v>9.4499999999999993</v>
      </c>
      <c r="F164" s="173">
        <v>9.4499999999999993</v>
      </c>
      <c r="G164" s="173">
        <v>9.4499999999999993</v>
      </c>
      <c r="H164" s="173">
        <v>9.4499999999999993</v>
      </c>
      <c r="I164" s="173">
        <v>9.4499999999999993</v>
      </c>
      <c r="J164" s="173">
        <v>9.4499999999999993</v>
      </c>
      <c r="K164" s="173">
        <v>9.4499999999999993</v>
      </c>
      <c r="L164" s="173">
        <v>9.4499999999999993</v>
      </c>
      <c r="M164" s="173">
        <v>9.4499999999999993</v>
      </c>
      <c r="N164" s="173">
        <v>9.4499999999999993</v>
      </c>
      <c r="O164" s="173"/>
    </row>
    <row r="165" spans="1:15" x14ac:dyDescent="0.2">
      <c r="A165" s="226" t="s">
        <v>151</v>
      </c>
      <c r="B165" s="205" t="s">
        <v>136</v>
      </c>
      <c r="C165" s="205">
        <v>4587</v>
      </c>
      <c r="D165" s="205">
        <v>4528</v>
      </c>
      <c r="E165" s="205">
        <v>4484</v>
      </c>
      <c r="F165" s="205">
        <v>4439</v>
      </c>
      <c r="G165" s="205">
        <v>4398</v>
      </c>
      <c r="H165" s="205">
        <v>4452</v>
      </c>
      <c r="I165" s="205">
        <v>4414</v>
      </c>
      <c r="J165" s="205">
        <v>4371</v>
      </c>
      <c r="K165" s="205">
        <v>4315</v>
      </c>
      <c r="L165" s="205">
        <v>4254</v>
      </c>
      <c r="M165" s="205">
        <v>4191</v>
      </c>
      <c r="N165" s="205">
        <v>4104</v>
      </c>
      <c r="O165" s="205">
        <f t="shared" ref="O165:O171" si="43">SUM(C165:N165)</f>
        <v>52537</v>
      </c>
    </row>
    <row r="166" spans="1:15" x14ac:dyDescent="0.2">
      <c r="A166" s="204" t="s">
        <v>152</v>
      </c>
      <c r="B166" s="205" t="s">
        <v>127</v>
      </c>
      <c r="C166" s="205">
        <v>318976</v>
      </c>
      <c r="D166" s="205">
        <v>316176</v>
      </c>
      <c r="E166" s="205">
        <v>313068</v>
      </c>
      <c r="F166" s="205">
        <v>310478</v>
      </c>
      <c r="G166" s="205">
        <v>306488</v>
      </c>
      <c r="H166" s="205">
        <v>309428</v>
      </c>
      <c r="I166" s="205">
        <v>307538</v>
      </c>
      <c r="J166" s="205">
        <v>304878</v>
      </c>
      <c r="K166" s="205">
        <v>301938</v>
      </c>
      <c r="L166" s="205">
        <v>295812</v>
      </c>
      <c r="M166" s="205">
        <v>292242</v>
      </c>
      <c r="N166" s="205">
        <v>286852</v>
      </c>
      <c r="O166" s="205">
        <f t="shared" si="43"/>
        <v>3663874</v>
      </c>
    </row>
    <row r="167" spans="1:15" x14ac:dyDescent="0.2">
      <c r="A167" s="204" t="s">
        <v>168</v>
      </c>
      <c r="B167" s="205" t="s">
        <v>136</v>
      </c>
      <c r="C167" s="205">
        <f>43878.22-C168</f>
        <v>43046.28</v>
      </c>
      <c r="D167" s="205">
        <f>43501.66-D168</f>
        <v>42669.72</v>
      </c>
      <c r="E167" s="205">
        <f>43089.1-E168</f>
        <v>42257.159999999996</v>
      </c>
      <c r="F167" s="205">
        <f>42739.45-F168</f>
        <v>41907.509999999995</v>
      </c>
      <c r="G167" s="205">
        <f>42200.8-G168</f>
        <v>41368.86</v>
      </c>
      <c r="H167" s="205">
        <f>42596.98-H168</f>
        <v>41765.040000000001</v>
      </c>
      <c r="I167" s="205">
        <f>42342.55-I168</f>
        <v>41510.61</v>
      </c>
      <c r="J167" s="205">
        <f>41983.45-J168</f>
        <v>41139.079999999994</v>
      </c>
      <c r="K167" s="205">
        <f>41586.55-K168</f>
        <v>40754.61</v>
      </c>
      <c r="L167" s="205">
        <f>40773.99-L168</f>
        <v>39942.049999999996</v>
      </c>
      <c r="M167" s="205">
        <f>40292.04-M168</f>
        <v>39460.1</v>
      </c>
      <c r="N167" s="205">
        <f>39564.39-N168</f>
        <v>38732.449999999997</v>
      </c>
      <c r="O167" s="205">
        <f t="shared" si="43"/>
        <v>494553.47</v>
      </c>
    </row>
    <row r="168" spans="1:15" x14ac:dyDescent="0.2">
      <c r="A168" s="230" t="s">
        <v>169</v>
      </c>
      <c r="B168" s="224" t="s">
        <v>127</v>
      </c>
      <c r="C168" s="224">
        <v>831.94</v>
      </c>
      <c r="D168" s="224">
        <v>831.94</v>
      </c>
      <c r="E168" s="224">
        <v>831.94</v>
      </c>
      <c r="F168" s="224">
        <v>831.94</v>
      </c>
      <c r="G168" s="224">
        <v>831.94</v>
      </c>
      <c r="H168" s="224">
        <v>831.94</v>
      </c>
      <c r="I168" s="224">
        <v>831.94</v>
      </c>
      <c r="J168" s="224">
        <v>844.37</v>
      </c>
      <c r="K168" s="224">
        <v>831.94</v>
      </c>
      <c r="L168" s="224">
        <v>831.94</v>
      </c>
      <c r="M168" s="224">
        <v>831.94</v>
      </c>
      <c r="N168" s="224">
        <v>831.94</v>
      </c>
      <c r="O168" s="224">
        <f t="shared" si="43"/>
        <v>9995.7100000000028</v>
      </c>
    </row>
    <row r="169" spans="1:15" x14ac:dyDescent="0.2">
      <c r="A169" s="227" t="s">
        <v>134</v>
      </c>
      <c r="B169" s="228" t="s">
        <v>127</v>
      </c>
      <c r="C169" s="228">
        <v>-1184.7</v>
      </c>
      <c r="D169" s="228">
        <v>588.91999999999996</v>
      </c>
      <c r="E169" s="228">
        <v>-1431.63</v>
      </c>
      <c r="F169" s="228">
        <v>-975.8</v>
      </c>
      <c r="G169" s="228">
        <v>-1797.08</v>
      </c>
      <c r="H169" s="228">
        <v>-704.12</v>
      </c>
      <c r="I169" s="228">
        <v>-2067.9899999999998</v>
      </c>
      <c r="J169" s="228">
        <v>-1045.1500000000001</v>
      </c>
      <c r="K169" s="228">
        <v>-1250.8900000000001</v>
      </c>
      <c r="L169" s="228">
        <v>-1439.31</v>
      </c>
      <c r="M169" s="228">
        <v>-1964.63</v>
      </c>
      <c r="N169" s="228">
        <v>-1967.32</v>
      </c>
      <c r="O169" s="228">
        <f t="shared" si="43"/>
        <v>-15239.699999999997</v>
      </c>
    </row>
    <row r="170" spans="1:15" x14ac:dyDescent="0.2">
      <c r="A170" s="227" t="s">
        <v>135</v>
      </c>
      <c r="B170" s="228" t="s">
        <v>136</v>
      </c>
      <c r="C170" s="228">
        <v>629.67999999999995</v>
      </c>
      <c r="D170" s="228">
        <v>951.59</v>
      </c>
      <c r="E170" s="228">
        <v>772.68</v>
      </c>
      <c r="F170" s="228">
        <v>813.75</v>
      </c>
      <c r="G170" s="228">
        <v>1006.12</v>
      </c>
      <c r="H170" s="228">
        <v>1166.26</v>
      </c>
      <c r="I170" s="228">
        <v>1374.69</v>
      </c>
      <c r="J170" s="228">
        <v>1388.8</v>
      </c>
      <c r="K170" s="228">
        <v>1346.89</v>
      </c>
      <c r="L170" s="228">
        <v>1097.3800000000001</v>
      </c>
      <c r="M170" s="228">
        <v>1172.67</v>
      </c>
      <c r="N170" s="228">
        <v>1175.74</v>
      </c>
      <c r="O170" s="228">
        <f t="shared" si="43"/>
        <v>12896.25</v>
      </c>
    </row>
    <row r="171" spans="1:15" x14ac:dyDescent="0.2">
      <c r="A171" s="202" t="s">
        <v>137</v>
      </c>
      <c r="B171" s="203" t="s">
        <v>138</v>
      </c>
      <c r="C171" s="206">
        <f t="shared" ref="C171:N171" si="44">+C170+C169+C168+C167</f>
        <v>43323.199999999997</v>
      </c>
      <c r="D171" s="206">
        <f t="shared" si="44"/>
        <v>45042.17</v>
      </c>
      <c r="E171" s="206">
        <f t="shared" si="44"/>
        <v>42430.149999999994</v>
      </c>
      <c r="F171" s="206">
        <f t="shared" si="44"/>
        <v>42577.399999999994</v>
      </c>
      <c r="G171" s="206">
        <f t="shared" si="44"/>
        <v>41409.840000000004</v>
      </c>
      <c r="H171" s="206">
        <f t="shared" si="44"/>
        <v>43059.12</v>
      </c>
      <c r="I171" s="206">
        <f t="shared" si="44"/>
        <v>41649.25</v>
      </c>
      <c r="J171" s="206">
        <f t="shared" si="44"/>
        <v>42327.099999999991</v>
      </c>
      <c r="K171" s="206">
        <f t="shared" si="44"/>
        <v>41682.550000000003</v>
      </c>
      <c r="L171" s="206">
        <f t="shared" si="44"/>
        <v>40432.06</v>
      </c>
      <c r="M171" s="206">
        <f t="shared" si="44"/>
        <v>39500.080000000002</v>
      </c>
      <c r="N171" s="206">
        <f t="shared" si="44"/>
        <v>38772.81</v>
      </c>
      <c r="O171" s="206">
        <f t="shared" si="43"/>
        <v>502205.73</v>
      </c>
    </row>
    <row r="173" spans="1:15" x14ac:dyDescent="0.2">
      <c r="A173" s="198" t="s">
        <v>170</v>
      </c>
    </row>
    <row r="174" spans="1:15" x14ac:dyDescent="0.2">
      <c r="A174" s="199" t="s">
        <v>171</v>
      </c>
      <c r="B174" s="173" t="s">
        <v>127</v>
      </c>
      <c r="C174" s="173"/>
      <c r="D174" s="173"/>
      <c r="E174" s="173"/>
      <c r="F174" s="173"/>
      <c r="G174" s="173"/>
      <c r="H174" s="173"/>
      <c r="I174" s="173"/>
      <c r="J174" s="173"/>
      <c r="K174" s="173"/>
      <c r="L174" s="173"/>
      <c r="M174" s="173"/>
      <c r="N174" s="173"/>
      <c r="O174" s="173"/>
    </row>
    <row r="175" spans="1:15" x14ac:dyDescent="0.2">
      <c r="A175" s="199" t="s">
        <v>172</v>
      </c>
      <c r="B175" s="173" t="s">
        <v>127</v>
      </c>
      <c r="C175" s="173"/>
      <c r="D175" s="173"/>
      <c r="E175" s="173"/>
      <c r="F175" s="173"/>
      <c r="G175" s="173"/>
      <c r="H175" s="173"/>
      <c r="I175" s="173"/>
      <c r="J175" s="173"/>
      <c r="K175" s="173"/>
      <c r="L175" s="173"/>
      <c r="M175" s="173"/>
      <c r="N175" s="173"/>
      <c r="O175" s="173"/>
    </row>
    <row r="176" spans="1:15" x14ac:dyDescent="0.2">
      <c r="A176" s="199" t="s">
        <v>173</v>
      </c>
      <c r="B176" s="173" t="s">
        <v>127</v>
      </c>
      <c r="C176" s="173">
        <v>17.28</v>
      </c>
      <c r="D176" s="173">
        <v>17.28</v>
      </c>
      <c r="E176" s="173">
        <v>17.28</v>
      </c>
      <c r="F176" s="173">
        <v>17.28</v>
      </c>
      <c r="G176" s="173">
        <v>17.28</v>
      </c>
      <c r="H176" s="173">
        <v>17.28</v>
      </c>
      <c r="I176" s="173">
        <v>17.28</v>
      </c>
      <c r="J176" s="173">
        <v>17.28</v>
      </c>
      <c r="K176" s="173">
        <v>17.28</v>
      </c>
      <c r="L176" s="173">
        <v>17.28</v>
      </c>
      <c r="M176" s="173">
        <v>17.28</v>
      </c>
      <c r="N176" s="173">
        <v>17.28</v>
      </c>
      <c r="O176" s="173"/>
    </row>
    <row r="177" spans="1:15" x14ac:dyDescent="0.2">
      <c r="A177" s="202" t="s">
        <v>174</v>
      </c>
      <c r="B177" s="121" t="s">
        <v>130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</row>
    <row r="178" spans="1:15" x14ac:dyDescent="0.2">
      <c r="A178" s="202" t="s">
        <v>175</v>
      </c>
      <c r="B178" s="121" t="s">
        <v>130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</row>
    <row r="179" spans="1:15" x14ac:dyDescent="0.2">
      <c r="A179" s="204" t="s">
        <v>176</v>
      </c>
      <c r="B179" s="205" t="s">
        <v>127</v>
      </c>
      <c r="C179" s="205">
        <v>537</v>
      </c>
      <c r="D179" s="205">
        <v>445</v>
      </c>
      <c r="E179" s="205">
        <v>446</v>
      </c>
      <c r="F179" s="205">
        <v>442</v>
      </c>
      <c r="G179" s="205">
        <v>439</v>
      </c>
      <c r="H179" s="205">
        <v>472</v>
      </c>
      <c r="I179" s="205">
        <v>388</v>
      </c>
      <c r="J179" s="205">
        <v>383</v>
      </c>
      <c r="K179" s="205">
        <v>381</v>
      </c>
      <c r="L179" s="205">
        <v>377</v>
      </c>
      <c r="M179" s="205">
        <v>368</v>
      </c>
      <c r="N179" s="205">
        <v>358</v>
      </c>
      <c r="O179" s="205">
        <f t="shared" ref="O179:O188" si="45">SUM(C179:N179)</f>
        <v>5036</v>
      </c>
    </row>
    <row r="180" spans="1:15" x14ac:dyDescent="0.2">
      <c r="A180" s="202" t="s">
        <v>177</v>
      </c>
      <c r="B180" s="121" t="s">
        <v>127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>
        <f t="shared" si="45"/>
        <v>0</v>
      </c>
    </row>
    <row r="181" spans="1:15" x14ac:dyDescent="0.2">
      <c r="A181" s="202" t="s">
        <v>178</v>
      </c>
      <c r="B181" s="121" t="s">
        <v>127</v>
      </c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>
        <f t="shared" si="45"/>
        <v>0</v>
      </c>
    </row>
    <row r="182" spans="1:15" x14ac:dyDescent="0.2">
      <c r="A182" s="204" t="s">
        <v>179</v>
      </c>
      <c r="B182" s="205" t="s">
        <v>127</v>
      </c>
      <c r="C182" s="205">
        <v>69300</v>
      </c>
      <c r="D182" s="205">
        <v>68376</v>
      </c>
      <c r="E182" s="205">
        <v>68376</v>
      </c>
      <c r="F182" s="205">
        <v>67760</v>
      </c>
      <c r="G182" s="205">
        <v>67606</v>
      </c>
      <c r="H182" s="205">
        <v>60060</v>
      </c>
      <c r="I182" s="205">
        <v>59598</v>
      </c>
      <c r="J182" s="205">
        <v>58520</v>
      </c>
      <c r="K182" s="205">
        <v>58674</v>
      </c>
      <c r="L182" s="205">
        <v>58058</v>
      </c>
      <c r="M182" s="205">
        <v>56672</v>
      </c>
      <c r="N182" s="205">
        <v>55132</v>
      </c>
      <c r="O182" s="205">
        <f t="shared" si="45"/>
        <v>748132</v>
      </c>
    </row>
    <row r="183" spans="1:15" x14ac:dyDescent="0.2">
      <c r="A183" s="202" t="s">
        <v>180</v>
      </c>
      <c r="B183" s="121" t="s">
        <v>130</v>
      </c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>
        <f t="shared" si="45"/>
        <v>0</v>
      </c>
    </row>
    <row r="184" spans="1:15" x14ac:dyDescent="0.2">
      <c r="A184" s="202" t="s">
        <v>181</v>
      </c>
      <c r="B184" s="121" t="s">
        <v>130</v>
      </c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>
        <f t="shared" si="45"/>
        <v>0</v>
      </c>
    </row>
    <row r="185" spans="1:15" x14ac:dyDescent="0.2">
      <c r="A185" s="204" t="s">
        <v>182</v>
      </c>
      <c r="B185" s="205" t="s">
        <v>127</v>
      </c>
      <c r="C185" s="205">
        <v>7776</v>
      </c>
      <c r="D185" s="205">
        <v>7672.32</v>
      </c>
      <c r="E185" s="205">
        <v>7672.32</v>
      </c>
      <c r="F185" s="205">
        <v>7603.2</v>
      </c>
      <c r="G185" s="205">
        <v>7585.92</v>
      </c>
      <c r="H185" s="205">
        <v>6739.2</v>
      </c>
      <c r="I185" s="205">
        <v>6687.36</v>
      </c>
      <c r="J185" s="205">
        <v>6566.4</v>
      </c>
      <c r="K185" s="205">
        <v>6583.68</v>
      </c>
      <c r="L185" s="205">
        <v>6514.56</v>
      </c>
      <c r="M185" s="205">
        <v>6359.04</v>
      </c>
      <c r="N185" s="205">
        <v>6186.24</v>
      </c>
      <c r="O185" s="205">
        <f t="shared" si="45"/>
        <v>83946.240000000005</v>
      </c>
    </row>
    <row r="186" spans="1:15" x14ac:dyDescent="0.2">
      <c r="A186" s="211" t="s">
        <v>134</v>
      </c>
      <c r="B186" s="212" t="s">
        <v>127</v>
      </c>
      <c r="C186" s="212">
        <v>-261</v>
      </c>
      <c r="D186" s="212">
        <v>124.32</v>
      </c>
      <c r="E186" s="212">
        <v>-315.24</v>
      </c>
      <c r="F186" s="212">
        <v>-215.6</v>
      </c>
      <c r="G186" s="212">
        <v>-390.71</v>
      </c>
      <c r="H186" s="212">
        <v>-136.5</v>
      </c>
      <c r="I186" s="212">
        <v>-398.61</v>
      </c>
      <c r="J186" s="212">
        <v>-201.4</v>
      </c>
      <c r="K186" s="212">
        <v>-243.84</v>
      </c>
      <c r="L186" s="212">
        <v>-278.98</v>
      </c>
      <c r="M186" s="212">
        <v>-382.72</v>
      </c>
      <c r="N186" s="212">
        <v>-375.9</v>
      </c>
      <c r="O186" s="212">
        <f t="shared" si="45"/>
        <v>-3076.1800000000007</v>
      </c>
    </row>
    <row r="187" spans="1:15" x14ac:dyDescent="0.2">
      <c r="A187" s="211" t="s">
        <v>135</v>
      </c>
      <c r="B187" s="212" t="s">
        <v>127</v>
      </c>
      <c r="C187" s="212">
        <v>548.4</v>
      </c>
      <c r="D187" s="212">
        <v>98.77</v>
      </c>
      <c r="E187" s="212">
        <v>80.22</v>
      </c>
      <c r="F187" s="212">
        <v>81.11</v>
      </c>
      <c r="G187" s="212">
        <v>100.08</v>
      </c>
      <c r="H187" s="212">
        <v>106.88</v>
      </c>
      <c r="I187" s="212">
        <v>125.75</v>
      </c>
      <c r="J187" s="212">
        <v>126.28</v>
      </c>
      <c r="K187" s="212">
        <v>122.36</v>
      </c>
      <c r="L187" s="212">
        <v>100.03</v>
      </c>
      <c r="M187" s="212">
        <v>103.22</v>
      </c>
      <c r="N187" s="212">
        <v>112.13</v>
      </c>
      <c r="O187" s="212">
        <f t="shared" si="45"/>
        <v>1705.23</v>
      </c>
    </row>
    <row r="188" spans="1:15" x14ac:dyDescent="0.2">
      <c r="A188" s="202" t="s">
        <v>137</v>
      </c>
      <c r="B188" s="203" t="s">
        <v>138</v>
      </c>
      <c r="C188" s="206">
        <f t="shared" ref="C188:N188" si="46">+C187+C186+C185</f>
        <v>8063.4</v>
      </c>
      <c r="D188" s="206">
        <f t="shared" si="46"/>
        <v>7895.41</v>
      </c>
      <c r="E188" s="206">
        <f t="shared" si="46"/>
        <v>7437.2999999999993</v>
      </c>
      <c r="F188" s="206">
        <f t="shared" si="46"/>
        <v>7468.71</v>
      </c>
      <c r="G188" s="206">
        <f t="shared" si="46"/>
        <v>7295.29</v>
      </c>
      <c r="H188" s="206">
        <f t="shared" si="46"/>
        <v>6709.58</v>
      </c>
      <c r="I188" s="206">
        <f t="shared" si="46"/>
        <v>6414.5</v>
      </c>
      <c r="J188" s="206">
        <f t="shared" si="46"/>
        <v>6491.28</v>
      </c>
      <c r="K188" s="206">
        <f t="shared" si="46"/>
        <v>6462.2000000000007</v>
      </c>
      <c r="L188" s="206">
        <f t="shared" si="46"/>
        <v>6335.6100000000006</v>
      </c>
      <c r="M188" s="206">
        <f t="shared" si="46"/>
        <v>6079.54</v>
      </c>
      <c r="N188" s="206">
        <f t="shared" si="46"/>
        <v>5922.4699999999993</v>
      </c>
      <c r="O188" s="206">
        <f t="shared" si="45"/>
        <v>82575.289999999994</v>
      </c>
    </row>
    <row r="190" spans="1:15" x14ac:dyDescent="0.2">
      <c r="A190" s="231" t="s">
        <v>183</v>
      </c>
    </row>
    <row r="192" spans="1:15" x14ac:dyDescent="0.2">
      <c r="A192" s="133" t="s">
        <v>184</v>
      </c>
      <c r="B192" s="194"/>
    </row>
    <row r="193" spans="1:2" x14ac:dyDescent="0.2">
      <c r="A193" s="133" t="s">
        <v>185</v>
      </c>
      <c r="B193" s="194"/>
    </row>
    <row r="196" spans="1:2" x14ac:dyDescent="0.2">
      <c r="A196" s="232" t="s">
        <v>186</v>
      </c>
      <c r="B196" s="132" t="s">
        <v>93</v>
      </c>
    </row>
    <row r="197" spans="1:2" x14ac:dyDescent="0.2">
      <c r="A197" s="133" t="s">
        <v>8</v>
      </c>
      <c r="B197" s="233" t="e">
        <f>INDEX($C7:$EP7,1,HLOOKUP($B$193,$C$4:$EP$5,2,FALSE))</f>
        <v>#N/A</v>
      </c>
    </row>
    <row r="198" spans="1:2" x14ac:dyDescent="0.2">
      <c r="A198" s="133" t="s">
        <v>132</v>
      </c>
      <c r="B198" s="233"/>
    </row>
    <row r="199" spans="1:2" x14ac:dyDescent="0.2">
      <c r="A199" s="133" t="s">
        <v>187</v>
      </c>
      <c r="B199" s="234" t="e">
        <f>INDEX($C8:$EP8,1,HLOOKUP($B$193,$C$4:$EP$5,2,FALSE))</f>
        <v>#N/A</v>
      </c>
    </row>
    <row r="200" spans="1:2" x14ac:dyDescent="0.2">
      <c r="A200" s="133" t="s">
        <v>188</v>
      </c>
    </row>
    <row r="201" spans="1:2" x14ac:dyDescent="0.2">
      <c r="A201" s="133" t="s">
        <v>189</v>
      </c>
    </row>
    <row r="202" spans="1:2" x14ac:dyDescent="0.2">
      <c r="A202" s="235" t="s">
        <v>190</v>
      </c>
      <c r="B202" s="235"/>
    </row>
    <row r="203" spans="1:2" x14ac:dyDescent="0.2">
      <c r="A203" s="232" t="s">
        <v>191</v>
      </c>
      <c r="B203" s="132" t="s">
        <v>93</v>
      </c>
    </row>
    <row r="204" spans="1:2" x14ac:dyDescent="0.2">
      <c r="A204" s="133" t="s">
        <v>192</v>
      </c>
      <c r="B204" s="233" t="e">
        <f>INDEX($C19:$EP19,1,HLOOKUP($B$193,$C$4:$EP$5,2,FALSE))</f>
        <v>#N/A</v>
      </c>
    </row>
    <row r="205" spans="1:2" x14ac:dyDescent="0.2">
      <c r="A205" s="133" t="s">
        <v>8</v>
      </c>
      <c r="B205" s="233" t="e">
        <f>INDEX($C20:$EP20,1,HLOOKUP($B$193,$C$4:$EP$5,2,FALSE))</f>
        <v>#N/A</v>
      </c>
    </row>
    <row r="206" spans="1:2" x14ac:dyDescent="0.2">
      <c r="A206" s="133" t="s">
        <v>187</v>
      </c>
      <c r="B206" s="234" t="e">
        <f>INDEX($C21:$EP21,1,HLOOKUP($B$193,$C$4:$EP$5,2,FALSE))</f>
        <v>#N/A</v>
      </c>
    </row>
    <row r="207" spans="1:2" x14ac:dyDescent="0.2">
      <c r="A207" s="133" t="s">
        <v>188</v>
      </c>
    </row>
    <row r="208" spans="1:2" x14ac:dyDescent="0.2">
      <c r="A208" s="133" t="s">
        <v>189</v>
      </c>
    </row>
    <row r="209" spans="1:2" x14ac:dyDescent="0.2">
      <c r="A209" s="235" t="s">
        <v>190</v>
      </c>
      <c r="B209" s="235"/>
    </row>
    <row r="210" spans="1:2" x14ac:dyDescent="0.2">
      <c r="A210" s="232" t="s">
        <v>193</v>
      </c>
      <c r="B210" s="132" t="s">
        <v>93</v>
      </c>
    </row>
    <row r="211" spans="1:2" x14ac:dyDescent="0.2">
      <c r="A211" s="133" t="s">
        <v>83</v>
      </c>
      <c r="B211" s="234" t="e">
        <f>INDEX($C33:$EP33,1,HLOOKUP($B$193,$C$4:$EP$5,2,FALSE))</f>
        <v>#N/A</v>
      </c>
    </row>
    <row r="212" spans="1:2" x14ac:dyDescent="0.2">
      <c r="A212" s="133" t="s">
        <v>188</v>
      </c>
    </row>
    <row r="213" spans="1:2" x14ac:dyDescent="0.2">
      <c r="A213" s="133" t="s">
        <v>189</v>
      </c>
    </row>
    <row r="214" spans="1:2" x14ac:dyDescent="0.2">
      <c r="A214" s="235" t="s">
        <v>190</v>
      </c>
      <c r="B214" s="235"/>
    </row>
    <row r="215" spans="1:2" x14ac:dyDescent="0.2">
      <c r="A215" s="232" t="s">
        <v>194</v>
      </c>
      <c r="B215" s="132" t="s">
        <v>93</v>
      </c>
    </row>
    <row r="216" spans="1:2" x14ac:dyDescent="0.2">
      <c r="A216" s="133" t="s">
        <v>8</v>
      </c>
      <c r="B216" s="233" t="e">
        <f>INDEX($C42:$EP42,1,HLOOKUP($B$193,$C$4:$EP$5,2,FALSE))</f>
        <v>#N/A</v>
      </c>
    </row>
    <row r="217" spans="1:2" x14ac:dyDescent="0.2">
      <c r="A217" s="133" t="s">
        <v>187</v>
      </c>
      <c r="B217" s="234" t="e">
        <f>INDEX($C43:$EP43,1,HLOOKUP($B$193,$C$4:$EP$5,2,FALSE))</f>
        <v>#N/A</v>
      </c>
    </row>
    <row r="218" spans="1:2" x14ac:dyDescent="0.2">
      <c r="A218" s="133" t="s">
        <v>188</v>
      </c>
    </row>
    <row r="219" spans="1:2" x14ac:dyDescent="0.2">
      <c r="A219" s="133" t="s">
        <v>189</v>
      </c>
    </row>
    <row r="220" spans="1:2" x14ac:dyDescent="0.2">
      <c r="A220" s="235" t="s">
        <v>190</v>
      </c>
      <c r="B220" s="235"/>
    </row>
    <row r="221" spans="1:2" x14ac:dyDescent="0.2">
      <c r="A221" s="232" t="s">
        <v>143</v>
      </c>
    </row>
    <row r="222" spans="1:2" x14ac:dyDescent="0.2">
      <c r="A222" s="133" t="s">
        <v>195</v>
      </c>
    </row>
    <row r="223" spans="1:2" x14ac:dyDescent="0.2">
      <c r="A223" s="235" t="s">
        <v>190</v>
      </c>
      <c r="B223" s="235"/>
    </row>
    <row r="224" spans="1:2" x14ac:dyDescent="0.2">
      <c r="A224" s="232" t="s">
        <v>196</v>
      </c>
      <c r="B224" s="132" t="s">
        <v>93</v>
      </c>
    </row>
    <row r="225" spans="1:2" x14ac:dyDescent="0.2">
      <c r="A225" s="133" t="s">
        <v>197</v>
      </c>
      <c r="B225" s="233" t="e">
        <f>INDEX($C58:$EP58,1,HLOOKUP($B$193,$C$4:$EP$5,2,FALSE))</f>
        <v>#N/A</v>
      </c>
    </row>
    <row r="226" spans="1:2" x14ac:dyDescent="0.2">
      <c r="A226" s="133" t="s">
        <v>198</v>
      </c>
      <c r="B226" s="233"/>
    </row>
    <row r="227" spans="1:2" x14ac:dyDescent="0.2">
      <c r="A227" s="133" t="s">
        <v>8</v>
      </c>
      <c r="B227" s="233" t="e">
        <f>INDEX($C59:$EP59,1,HLOOKUP($B$193,$C$4:$EP$5,2,FALSE))</f>
        <v>#N/A</v>
      </c>
    </row>
    <row r="228" spans="1:2" x14ac:dyDescent="0.2">
      <c r="A228" s="133" t="s">
        <v>187</v>
      </c>
      <c r="B228" s="234" t="e">
        <f>INDEX($C60:$EP60,1,HLOOKUP($B$193,$C$4:$EP$5,2,FALSE))</f>
        <v>#N/A</v>
      </c>
    </row>
    <row r="229" spans="1:2" x14ac:dyDescent="0.2">
      <c r="A229" s="133" t="s">
        <v>188</v>
      </c>
    </row>
    <row r="230" spans="1:2" x14ac:dyDescent="0.2">
      <c r="A230" s="133" t="s">
        <v>189</v>
      </c>
    </row>
    <row r="231" spans="1:2" x14ac:dyDescent="0.2">
      <c r="A231" s="235" t="s">
        <v>190</v>
      </c>
      <c r="B231" s="235"/>
    </row>
    <row r="232" spans="1:2" x14ac:dyDescent="0.2">
      <c r="A232" s="232" t="s">
        <v>199</v>
      </c>
      <c r="B232" s="132" t="s">
        <v>93</v>
      </c>
    </row>
    <row r="233" spans="1:2" x14ac:dyDescent="0.2">
      <c r="A233" s="133" t="s">
        <v>197</v>
      </c>
      <c r="B233" s="233" t="e">
        <f>INDEX($C73:$EP73,1,HLOOKUP($B$193,$C$4:$EP$5,2,FALSE))</f>
        <v>#N/A</v>
      </c>
    </row>
    <row r="234" spans="1:2" x14ac:dyDescent="0.2">
      <c r="A234" s="133" t="s">
        <v>187</v>
      </c>
      <c r="B234" s="234" t="e">
        <f>INDEX($C74:$EP74,1,HLOOKUP($B$193,$C$4:$EP$5,2,FALSE))</f>
        <v>#N/A</v>
      </c>
    </row>
    <row r="235" spans="1:2" x14ac:dyDescent="0.2">
      <c r="A235" s="133" t="s">
        <v>188</v>
      </c>
    </row>
    <row r="236" spans="1:2" x14ac:dyDescent="0.2">
      <c r="A236" s="133" t="s">
        <v>189</v>
      </c>
    </row>
    <row r="237" spans="1:2" x14ac:dyDescent="0.2">
      <c r="A237" s="235" t="s">
        <v>190</v>
      </c>
      <c r="B237" s="235"/>
    </row>
    <row r="238" spans="1:2" x14ac:dyDescent="0.2">
      <c r="A238" s="232" t="s">
        <v>200</v>
      </c>
      <c r="B238" s="132" t="s">
        <v>93</v>
      </c>
    </row>
    <row r="239" spans="1:2" x14ac:dyDescent="0.2">
      <c r="A239" s="236" t="s">
        <v>201</v>
      </c>
      <c r="B239" s="233" t="e">
        <f>INDEX($C85:$EP85,1,HLOOKUP($B$193,$C$4:$EP$5,2,FALSE))</f>
        <v>#N/A</v>
      </c>
    </row>
    <row r="240" spans="1:2" x14ac:dyDescent="0.2">
      <c r="A240" s="236" t="s">
        <v>202</v>
      </c>
      <c r="B240" s="233"/>
    </row>
    <row r="241" spans="1:2" x14ac:dyDescent="0.2">
      <c r="A241" s="133" t="s">
        <v>188</v>
      </c>
    </row>
    <row r="242" spans="1:2" x14ac:dyDescent="0.2">
      <c r="A242" s="133" t="s">
        <v>189</v>
      </c>
    </row>
    <row r="243" spans="1:2" x14ac:dyDescent="0.2">
      <c r="A243" s="235" t="s">
        <v>190</v>
      </c>
      <c r="B243" s="235"/>
    </row>
    <row r="244" spans="1:2" x14ac:dyDescent="0.2">
      <c r="A244" s="232" t="s">
        <v>155</v>
      </c>
      <c r="B244" s="132" t="s">
        <v>93</v>
      </c>
    </row>
    <row r="245" spans="1:2" x14ac:dyDescent="0.2">
      <c r="A245" s="236" t="s">
        <v>203</v>
      </c>
      <c r="B245" s="233" t="e">
        <f>INDEX($C95:$EP95,1,HLOOKUP($B$193,$C$4:$EP$5,2,FALSE))</f>
        <v>#N/A</v>
      </c>
    </row>
    <row r="246" spans="1:2" x14ac:dyDescent="0.2">
      <c r="A246" s="236" t="s">
        <v>202</v>
      </c>
      <c r="B246" s="233"/>
    </row>
    <row r="247" spans="1:2" x14ac:dyDescent="0.2">
      <c r="A247" s="133" t="s">
        <v>188</v>
      </c>
    </row>
    <row r="248" spans="1:2" x14ac:dyDescent="0.2">
      <c r="A248" s="133" t="s">
        <v>189</v>
      </c>
    </row>
    <row r="249" spans="1:2" x14ac:dyDescent="0.2">
      <c r="A249" s="235" t="s">
        <v>190</v>
      </c>
      <c r="B249" s="235"/>
    </row>
    <row r="250" spans="1:2" x14ac:dyDescent="0.2">
      <c r="A250" s="232" t="s">
        <v>157</v>
      </c>
      <c r="B250" s="132" t="s">
        <v>93</v>
      </c>
    </row>
    <row r="251" spans="1:2" x14ac:dyDescent="0.2">
      <c r="A251" s="236" t="s">
        <v>204</v>
      </c>
      <c r="B251" s="233" t="e">
        <f>INDEX($C105:$EP105,1,HLOOKUP($B$193,$C$4:$EP$5,2,FALSE))</f>
        <v>#N/A</v>
      </c>
    </row>
    <row r="252" spans="1:2" x14ac:dyDescent="0.2">
      <c r="A252" s="236" t="s">
        <v>202</v>
      </c>
      <c r="B252" s="233"/>
    </row>
    <row r="253" spans="1:2" x14ac:dyDescent="0.2">
      <c r="A253" s="133" t="s">
        <v>188</v>
      </c>
    </row>
    <row r="254" spans="1:2" x14ac:dyDescent="0.2">
      <c r="A254" s="133" t="s">
        <v>189</v>
      </c>
    </row>
    <row r="255" spans="1:2" x14ac:dyDescent="0.2">
      <c r="A255" s="235" t="s">
        <v>190</v>
      </c>
      <c r="B255" s="235"/>
    </row>
    <row r="256" spans="1:2" x14ac:dyDescent="0.2">
      <c r="A256" s="232" t="s">
        <v>159</v>
      </c>
      <c r="B256" s="132" t="s">
        <v>93</v>
      </c>
    </row>
    <row r="257" spans="1:2" x14ac:dyDescent="0.2">
      <c r="A257" s="236" t="s">
        <v>205</v>
      </c>
      <c r="B257" s="233" t="e">
        <f>INDEX($C115:$EP115,1,HLOOKUP($B$193,$C$4:$EP$5,2,FALSE))</f>
        <v>#N/A</v>
      </c>
    </row>
    <row r="258" spans="1:2" x14ac:dyDescent="0.2">
      <c r="A258" s="236" t="s">
        <v>202</v>
      </c>
      <c r="B258" s="233"/>
    </row>
    <row r="259" spans="1:2" x14ac:dyDescent="0.2">
      <c r="A259" s="133" t="s">
        <v>188</v>
      </c>
    </row>
    <row r="260" spans="1:2" x14ac:dyDescent="0.2">
      <c r="A260" s="133" t="s">
        <v>189</v>
      </c>
    </row>
    <row r="261" spans="1:2" x14ac:dyDescent="0.2">
      <c r="A261" s="235" t="s">
        <v>190</v>
      </c>
      <c r="B261" s="235"/>
    </row>
    <row r="262" spans="1:2" x14ac:dyDescent="0.2">
      <c r="A262" s="232" t="s">
        <v>206</v>
      </c>
      <c r="B262" s="132" t="s">
        <v>93</v>
      </c>
    </row>
    <row r="263" spans="1:2" x14ac:dyDescent="0.2">
      <c r="A263" s="133" t="s">
        <v>197</v>
      </c>
      <c r="B263" s="233" t="e">
        <f>INDEX($C125:$EP125,1,HLOOKUP($B$193,$C$4:$EP$5,2,FALSE))</f>
        <v>#N/A</v>
      </c>
    </row>
    <row r="264" spans="1:2" x14ac:dyDescent="0.2">
      <c r="A264" s="133" t="s">
        <v>198</v>
      </c>
      <c r="B264" s="233"/>
    </row>
    <row r="265" spans="1:2" x14ac:dyDescent="0.2">
      <c r="A265" s="133" t="s">
        <v>8</v>
      </c>
      <c r="B265" s="233" t="e">
        <f>INDEX($C126:$EP126,1,HLOOKUP($B$193,$C$4:$EP$5,2,FALSE))</f>
        <v>#N/A</v>
      </c>
    </row>
    <row r="266" spans="1:2" x14ac:dyDescent="0.2">
      <c r="A266" s="133" t="s">
        <v>187</v>
      </c>
      <c r="B266" s="234" t="e">
        <f>INDEX($C127:$EP127,1,HLOOKUP($B$193,$C$4:$EP$5,2,FALSE))</f>
        <v>#N/A</v>
      </c>
    </row>
    <row r="267" spans="1:2" x14ac:dyDescent="0.2">
      <c r="A267" s="133" t="s">
        <v>188</v>
      </c>
    </row>
    <row r="268" spans="1:2" x14ac:dyDescent="0.2">
      <c r="A268" s="133" t="s">
        <v>189</v>
      </c>
    </row>
    <row r="269" spans="1:2" x14ac:dyDescent="0.2">
      <c r="A269" s="235" t="s">
        <v>190</v>
      </c>
      <c r="B269" s="235"/>
    </row>
    <row r="270" spans="1:2" x14ac:dyDescent="0.2">
      <c r="A270" s="232" t="s">
        <v>207</v>
      </c>
      <c r="B270" s="132" t="s">
        <v>93</v>
      </c>
    </row>
    <row r="271" spans="1:2" x14ac:dyDescent="0.2">
      <c r="A271" s="133" t="s">
        <v>8</v>
      </c>
      <c r="B271" s="233" t="e">
        <f>INDEX($C140:$EP140,1,HLOOKUP($B$193,$C$4:$EP$5,2,FALSE))</f>
        <v>#N/A</v>
      </c>
    </row>
    <row r="272" spans="1:2" x14ac:dyDescent="0.2">
      <c r="A272" s="133" t="s">
        <v>187</v>
      </c>
      <c r="B272" s="234" t="e">
        <f>INDEX($C141:$EP141,1,HLOOKUP($B$193,$C$4:$EP$5,2,FALSE))</f>
        <v>#N/A</v>
      </c>
    </row>
    <row r="273" spans="1:2" x14ac:dyDescent="0.2">
      <c r="A273" s="133" t="s">
        <v>208</v>
      </c>
      <c r="B273" s="234"/>
    </row>
    <row r="274" spans="1:2" x14ac:dyDescent="0.2">
      <c r="A274" s="133" t="s">
        <v>188</v>
      </c>
    </row>
    <row r="275" spans="1:2" x14ac:dyDescent="0.2">
      <c r="A275" s="133" t="s">
        <v>189</v>
      </c>
    </row>
    <row r="276" spans="1:2" x14ac:dyDescent="0.2">
      <c r="A276" s="235" t="s">
        <v>190</v>
      </c>
      <c r="B276" s="235"/>
    </row>
    <row r="277" spans="1:2" x14ac:dyDescent="0.2">
      <c r="A277" s="232" t="s">
        <v>209</v>
      </c>
      <c r="B277" s="132" t="s">
        <v>93</v>
      </c>
    </row>
    <row r="278" spans="1:2" x14ac:dyDescent="0.2">
      <c r="A278" s="133" t="s">
        <v>8</v>
      </c>
      <c r="B278" s="233" t="e">
        <f>INDEX($C152:$EP152,1,HLOOKUP($B$193,$C$4:$EP$5,2,FALSE))</f>
        <v>#N/A</v>
      </c>
    </row>
    <row r="279" spans="1:2" x14ac:dyDescent="0.2">
      <c r="A279" s="133" t="s">
        <v>187</v>
      </c>
      <c r="B279" s="234" t="e">
        <f>INDEX($C153:$EP153,1,HLOOKUP($B$193,$C$4:$EP$5,2,FALSE))</f>
        <v>#N/A</v>
      </c>
    </row>
    <row r="280" spans="1:2" x14ac:dyDescent="0.2">
      <c r="A280" s="133" t="s">
        <v>208</v>
      </c>
      <c r="B280" s="234"/>
    </row>
    <row r="281" spans="1:2" x14ac:dyDescent="0.2">
      <c r="A281" s="133" t="s">
        <v>188</v>
      </c>
    </row>
    <row r="282" spans="1:2" x14ac:dyDescent="0.2">
      <c r="A282" s="133" t="s">
        <v>189</v>
      </c>
    </row>
    <row r="283" spans="1:2" x14ac:dyDescent="0.2">
      <c r="A283" s="235" t="s">
        <v>190</v>
      </c>
      <c r="B283" s="235"/>
    </row>
    <row r="284" spans="1:2" x14ac:dyDescent="0.2">
      <c r="A284" s="232" t="s">
        <v>210</v>
      </c>
      <c r="B284" s="132" t="s">
        <v>93</v>
      </c>
    </row>
    <row r="285" spans="1:2" x14ac:dyDescent="0.2">
      <c r="A285" s="236" t="s">
        <v>211</v>
      </c>
      <c r="B285" s="233" t="e">
        <f>INDEX($C164:$EP164,1,HLOOKUP($B$193,$C$4:$EP$5,2,FALSE))</f>
        <v>#N/A</v>
      </c>
    </row>
    <row r="286" spans="1:2" x14ac:dyDescent="0.2">
      <c r="A286" s="133" t="s">
        <v>212</v>
      </c>
      <c r="B286" s="233"/>
    </row>
    <row r="287" spans="1:2" x14ac:dyDescent="0.2">
      <c r="A287" s="133" t="s">
        <v>188</v>
      </c>
    </row>
    <row r="288" spans="1:2" x14ac:dyDescent="0.2">
      <c r="A288" s="133" t="s">
        <v>189</v>
      </c>
    </row>
    <row r="289" spans="1:2" x14ac:dyDescent="0.2">
      <c r="A289" s="235" t="s">
        <v>190</v>
      </c>
      <c r="B289" s="235"/>
    </row>
    <row r="290" spans="1:2" x14ac:dyDescent="0.2">
      <c r="A290" s="232" t="s">
        <v>213</v>
      </c>
      <c r="B290" s="132" t="s">
        <v>93</v>
      </c>
    </row>
    <row r="291" spans="1:2" x14ac:dyDescent="0.2">
      <c r="A291" s="133" t="s">
        <v>214</v>
      </c>
      <c r="B291" s="233" t="e">
        <f>INDEX($C174:$EP174,1,HLOOKUP($B$193,$C$4:$EP$5,2,FALSE))</f>
        <v>#N/A</v>
      </c>
    </row>
    <row r="292" spans="1:2" x14ac:dyDescent="0.2">
      <c r="A292" s="133" t="s">
        <v>215</v>
      </c>
      <c r="B292" s="233" t="e">
        <f>INDEX($C175:$EP175,1,HLOOKUP($B$193,$C$4:$EP$5,2,FALSE))</f>
        <v>#N/A</v>
      </c>
    </row>
    <row r="293" spans="1:2" x14ac:dyDescent="0.2">
      <c r="A293" s="133" t="s">
        <v>216</v>
      </c>
      <c r="B293" s="233" t="e">
        <f>INDEX($C176:$EP176,1,HLOOKUP($B$193,$C$4:$EP$5,2,FALSE))</f>
        <v>#N/A</v>
      </c>
    </row>
    <row r="294" spans="1:2" x14ac:dyDescent="0.2">
      <c r="A294" s="133" t="s">
        <v>188</v>
      </c>
    </row>
    <row r="295" spans="1:2" x14ac:dyDescent="0.2">
      <c r="A295" s="133" t="s">
        <v>189</v>
      </c>
    </row>
    <row r="296" spans="1:2" x14ac:dyDescent="0.2">
      <c r="A296" s="235" t="s">
        <v>190</v>
      </c>
      <c r="B296" s="235"/>
    </row>
    <row r="297" spans="1:2" x14ac:dyDescent="0.2">
      <c r="A297" s="232"/>
      <c r="B297" s="232"/>
    </row>
    <row r="298" spans="1:2" x14ac:dyDescent="0.2">
      <c r="A298" s="141" t="str">
        <f>"TOTALS for "&amp;TEXT(B192,"mmm-yy")&amp;" through "&amp;TEXT(B193,"mmm-yy")</f>
        <v>TOTALS for Jan-00 through Jan-00</v>
      </c>
      <c r="B298" s="237" t="s">
        <v>197</v>
      </c>
    </row>
    <row r="299" spans="1:2" x14ac:dyDescent="0.2">
      <c r="A299" s="133" t="s">
        <v>217</v>
      </c>
    </row>
    <row r="300" spans="1:2" x14ac:dyDescent="0.2">
      <c r="A300" s="133" t="s">
        <v>208</v>
      </c>
    </row>
    <row r="301" spans="1:2" x14ac:dyDescent="0.2">
      <c r="A301" s="133" t="s">
        <v>218</v>
      </c>
    </row>
    <row r="302" spans="1:2" x14ac:dyDescent="0.2">
      <c r="A302" s="133" t="s">
        <v>197</v>
      </c>
      <c r="B302" s="238">
        <f>C204+C225+C233+C263</f>
        <v>0</v>
      </c>
    </row>
    <row r="303" spans="1:2" x14ac:dyDescent="0.2">
      <c r="A303" s="133" t="s">
        <v>187</v>
      </c>
    </row>
    <row r="304" spans="1:2" x14ac:dyDescent="0.2">
      <c r="A304" s="133" t="s">
        <v>188</v>
      </c>
      <c r="B304" s="239"/>
    </row>
    <row r="305" spans="1:15" x14ac:dyDescent="0.2">
      <c r="A305" s="133" t="s">
        <v>189</v>
      </c>
      <c r="B305" s="239"/>
    </row>
    <row r="306" spans="1:15" x14ac:dyDescent="0.2">
      <c r="A306" s="133" t="s">
        <v>198</v>
      </c>
      <c r="B306" s="239"/>
    </row>
    <row r="307" spans="1:15" x14ac:dyDescent="0.2">
      <c r="A307" s="133" t="s">
        <v>212</v>
      </c>
      <c r="B307" s="239"/>
    </row>
    <row r="308" spans="1:15" x14ac:dyDescent="0.2">
      <c r="A308" s="133" t="s">
        <v>219</v>
      </c>
      <c r="B308" s="239"/>
    </row>
    <row r="309" spans="1:15" x14ac:dyDescent="0.2">
      <c r="A309" s="133" t="s">
        <v>202</v>
      </c>
      <c r="B309" s="239"/>
    </row>
    <row r="310" spans="1:15" x14ac:dyDescent="0.2">
      <c r="A310" s="133" t="s">
        <v>195</v>
      </c>
      <c r="B310" s="239"/>
    </row>
    <row r="311" spans="1:15" x14ac:dyDescent="0.2">
      <c r="A311" s="133" t="s">
        <v>190</v>
      </c>
    </row>
    <row r="312" spans="1:15" s="240" customFormat="1" x14ac:dyDescent="0.2">
      <c r="A312" s="240" t="s">
        <v>220</v>
      </c>
    </row>
    <row r="314" spans="1:15" s="241" customFormat="1" x14ac:dyDescent="0.2">
      <c r="A314" s="241" t="s">
        <v>221</v>
      </c>
    </row>
    <row r="316" spans="1:15" x14ac:dyDescent="0.2">
      <c r="A316" s="133" t="s">
        <v>107</v>
      </c>
      <c r="B316" s="133" t="s">
        <v>89</v>
      </c>
      <c r="C316" s="242">
        <f>C142</f>
        <v>24475</v>
      </c>
      <c r="D316" s="242">
        <f t="shared" ref="D316:N316" si="47">D142</f>
        <v>24489.000000000004</v>
      </c>
      <c r="E316" s="242">
        <f t="shared" si="47"/>
        <v>24498</v>
      </c>
      <c r="F316" s="242">
        <f t="shared" si="47"/>
        <v>24540</v>
      </c>
      <c r="G316" s="242">
        <f t="shared" si="47"/>
        <v>24559</v>
      </c>
      <c r="H316" s="242">
        <f t="shared" si="47"/>
        <v>24528.022526146422</v>
      </c>
      <c r="I316" s="242">
        <f t="shared" si="47"/>
        <v>24579</v>
      </c>
      <c r="J316" s="242">
        <f t="shared" si="47"/>
        <v>24643</v>
      </c>
      <c r="K316" s="242">
        <f t="shared" si="47"/>
        <v>24666</v>
      </c>
      <c r="L316" s="242">
        <f t="shared" si="47"/>
        <v>24611</v>
      </c>
      <c r="M316" s="242">
        <f t="shared" si="47"/>
        <v>24703</v>
      </c>
      <c r="N316" s="242">
        <f t="shared" si="47"/>
        <v>24667</v>
      </c>
      <c r="O316" s="242">
        <f>SUM(C316:N316)</f>
        <v>294958.02252614644</v>
      </c>
    </row>
    <row r="317" spans="1:15" x14ac:dyDescent="0.2">
      <c r="A317" s="133" t="s">
        <v>108</v>
      </c>
      <c r="B317" s="133" t="s">
        <v>109</v>
      </c>
      <c r="C317" s="242">
        <f>C34</f>
        <v>161</v>
      </c>
      <c r="D317" s="243">
        <f>C317</f>
        <v>161</v>
      </c>
      <c r="E317" s="243">
        <f t="shared" ref="E317:N317" si="48">D317</f>
        <v>161</v>
      </c>
      <c r="F317" s="243">
        <f t="shared" si="48"/>
        <v>161</v>
      </c>
      <c r="G317" s="243">
        <f t="shared" si="48"/>
        <v>161</v>
      </c>
      <c r="H317" s="243">
        <f t="shared" si="48"/>
        <v>161</v>
      </c>
      <c r="I317" s="243">
        <f t="shared" si="48"/>
        <v>161</v>
      </c>
      <c r="J317" s="243">
        <f t="shared" si="48"/>
        <v>161</v>
      </c>
      <c r="K317" s="243">
        <f t="shared" si="48"/>
        <v>161</v>
      </c>
      <c r="L317" s="243">
        <f t="shared" si="48"/>
        <v>161</v>
      </c>
      <c r="M317" s="243">
        <f t="shared" si="48"/>
        <v>161</v>
      </c>
      <c r="N317" s="243">
        <f t="shared" si="48"/>
        <v>161</v>
      </c>
      <c r="O317" s="242">
        <f t="shared" ref="O317:O324" si="49">SUM(C317:N317)</f>
        <v>1932</v>
      </c>
    </row>
    <row r="318" spans="1:15" x14ac:dyDescent="0.2">
      <c r="A318" s="133" t="s">
        <v>110</v>
      </c>
      <c r="B318" s="133" t="s">
        <v>106</v>
      </c>
      <c r="C318" s="242">
        <f>C9+C23</f>
        <v>1709</v>
      </c>
      <c r="D318" s="242">
        <f t="shared" ref="D318:N318" si="50">D9+D23</f>
        <v>1718.0000000000002</v>
      </c>
      <c r="E318" s="242">
        <f t="shared" si="50"/>
        <v>1719</v>
      </c>
      <c r="F318" s="242">
        <f t="shared" si="50"/>
        <v>1731.0000000000002</v>
      </c>
      <c r="G318" s="242">
        <f t="shared" si="50"/>
        <v>1752.0000000000002</v>
      </c>
      <c r="H318" s="242">
        <f t="shared" si="50"/>
        <v>1756.0000000000002</v>
      </c>
      <c r="I318" s="242">
        <f t="shared" si="50"/>
        <v>1745</v>
      </c>
      <c r="J318" s="242">
        <f t="shared" si="50"/>
        <v>1735.0000000000002</v>
      </c>
      <c r="K318" s="242">
        <f t="shared" si="50"/>
        <v>1734</v>
      </c>
      <c r="L318" s="242">
        <f t="shared" si="50"/>
        <v>1750</v>
      </c>
      <c r="M318" s="242">
        <f t="shared" si="50"/>
        <v>1758</v>
      </c>
      <c r="N318" s="242">
        <f t="shared" si="50"/>
        <v>1748.0000000000002</v>
      </c>
      <c r="O318" s="242">
        <f t="shared" si="49"/>
        <v>20855</v>
      </c>
    </row>
    <row r="319" spans="1:15" x14ac:dyDescent="0.2">
      <c r="A319" s="133" t="s">
        <v>111</v>
      </c>
      <c r="B319" s="133" t="s">
        <v>112</v>
      </c>
      <c r="C319" s="242">
        <f>C44</f>
        <v>299</v>
      </c>
      <c r="D319" s="242">
        <f t="shared" ref="D319:N319" si="51">D44</f>
        <v>296</v>
      </c>
      <c r="E319" s="242">
        <f t="shared" si="51"/>
        <v>300</v>
      </c>
      <c r="F319" s="242">
        <f t="shared" si="51"/>
        <v>302</v>
      </c>
      <c r="G319" s="242">
        <f t="shared" si="51"/>
        <v>301</v>
      </c>
      <c r="H319" s="242">
        <f t="shared" si="51"/>
        <v>308</v>
      </c>
      <c r="I319" s="242">
        <f t="shared" si="51"/>
        <v>300</v>
      </c>
      <c r="J319" s="242">
        <f t="shared" si="51"/>
        <v>303</v>
      </c>
      <c r="K319" s="242">
        <f t="shared" si="51"/>
        <v>304</v>
      </c>
      <c r="L319" s="242">
        <f t="shared" si="51"/>
        <v>305</v>
      </c>
      <c r="M319" s="242">
        <f t="shared" si="51"/>
        <v>305</v>
      </c>
      <c r="N319" s="242">
        <f t="shared" si="51"/>
        <v>299</v>
      </c>
      <c r="O319" s="242">
        <f t="shared" si="49"/>
        <v>3622</v>
      </c>
    </row>
    <row r="320" spans="1:15" x14ac:dyDescent="0.2">
      <c r="A320" s="133" t="s">
        <v>113</v>
      </c>
      <c r="B320" s="133" t="s">
        <v>114</v>
      </c>
      <c r="C320" s="242">
        <f>C62</f>
        <v>108</v>
      </c>
      <c r="D320" s="242">
        <f t="shared" ref="D320:N320" si="52">D62</f>
        <v>108</v>
      </c>
      <c r="E320" s="242">
        <f t="shared" si="52"/>
        <v>108</v>
      </c>
      <c r="F320" s="242">
        <f t="shared" si="52"/>
        <v>108</v>
      </c>
      <c r="G320" s="242">
        <f t="shared" si="52"/>
        <v>110</v>
      </c>
      <c r="H320" s="242">
        <f t="shared" si="52"/>
        <v>110</v>
      </c>
      <c r="I320" s="242">
        <f t="shared" si="52"/>
        <v>110</v>
      </c>
      <c r="J320" s="242">
        <f t="shared" si="52"/>
        <v>111</v>
      </c>
      <c r="K320" s="242">
        <f t="shared" si="52"/>
        <v>111</v>
      </c>
      <c r="L320" s="242">
        <f t="shared" si="52"/>
        <v>113</v>
      </c>
      <c r="M320" s="242">
        <f t="shared" si="52"/>
        <v>112</v>
      </c>
      <c r="N320" s="242">
        <f t="shared" si="52"/>
        <v>111</v>
      </c>
      <c r="O320" s="242">
        <f t="shared" si="49"/>
        <v>1320</v>
      </c>
    </row>
    <row r="321" spans="1:15" x14ac:dyDescent="0.2">
      <c r="A321" s="133" t="s">
        <v>115</v>
      </c>
      <c r="B321" s="133" t="s">
        <v>116</v>
      </c>
      <c r="C321" s="242">
        <f>C76</f>
        <v>1</v>
      </c>
      <c r="D321" s="242">
        <f t="shared" ref="D321:N321" si="53">D76</f>
        <v>1</v>
      </c>
      <c r="E321" s="242">
        <f t="shared" si="53"/>
        <v>1</v>
      </c>
      <c r="F321" s="242">
        <f t="shared" si="53"/>
        <v>1</v>
      </c>
      <c r="G321" s="242">
        <f t="shared" si="53"/>
        <v>1</v>
      </c>
      <c r="H321" s="242">
        <f t="shared" si="53"/>
        <v>1</v>
      </c>
      <c r="I321" s="242">
        <f t="shared" si="53"/>
        <v>1</v>
      </c>
      <c r="J321" s="242">
        <f t="shared" si="53"/>
        <v>1</v>
      </c>
      <c r="K321" s="242">
        <f t="shared" si="53"/>
        <v>1</v>
      </c>
      <c r="L321" s="242">
        <f t="shared" si="53"/>
        <v>1</v>
      </c>
      <c r="M321" s="242">
        <f t="shared" si="53"/>
        <v>1</v>
      </c>
      <c r="N321" s="242">
        <f t="shared" si="53"/>
        <v>1</v>
      </c>
      <c r="O321" s="242">
        <f t="shared" si="49"/>
        <v>12</v>
      </c>
    </row>
    <row r="322" spans="1:15" x14ac:dyDescent="0.2">
      <c r="A322" s="133" t="s">
        <v>117</v>
      </c>
      <c r="B322" s="133" t="s">
        <v>118</v>
      </c>
      <c r="C322" s="242">
        <f>C129</f>
        <v>9</v>
      </c>
      <c r="D322" s="242">
        <f t="shared" ref="D322:N322" si="54">D129</f>
        <v>9</v>
      </c>
      <c r="E322" s="242">
        <f t="shared" si="54"/>
        <v>9</v>
      </c>
      <c r="F322" s="242">
        <f t="shared" si="54"/>
        <v>9</v>
      </c>
      <c r="G322" s="242">
        <f t="shared" si="54"/>
        <v>9</v>
      </c>
      <c r="H322" s="242">
        <f t="shared" si="54"/>
        <v>9</v>
      </c>
      <c r="I322" s="242">
        <f t="shared" si="54"/>
        <v>9</v>
      </c>
      <c r="J322" s="242">
        <f t="shared" si="54"/>
        <v>9</v>
      </c>
      <c r="K322" s="242">
        <f t="shared" si="54"/>
        <v>9</v>
      </c>
      <c r="L322" s="242">
        <f t="shared" si="54"/>
        <v>9</v>
      </c>
      <c r="M322" s="242">
        <f t="shared" si="54"/>
        <v>9</v>
      </c>
      <c r="N322" s="242">
        <f t="shared" si="54"/>
        <v>9</v>
      </c>
      <c r="O322" s="242">
        <f t="shared" si="49"/>
        <v>108</v>
      </c>
    </row>
    <row r="323" spans="1:15" x14ac:dyDescent="0.2">
      <c r="A323" s="133" t="s">
        <v>222</v>
      </c>
      <c r="B323" s="133" t="s">
        <v>223</v>
      </c>
      <c r="C323" s="242">
        <f>C86+C96+C106+C116+C165+C177+C178+C179</f>
        <v>9533</v>
      </c>
      <c r="D323" s="242">
        <f t="shared" ref="D323:N323" si="55">D86+D96+D106+D116+D165+D177+D178+D179</f>
        <v>9418</v>
      </c>
      <c r="E323" s="242">
        <f t="shared" si="55"/>
        <v>9443</v>
      </c>
      <c r="F323" s="242">
        <f t="shared" si="55"/>
        <v>9516</v>
      </c>
      <c r="G323" s="242">
        <f t="shared" si="55"/>
        <v>9530</v>
      </c>
      <c r="H323" s="242">
        <f t="shared" si="55"/>
        <v>9749</v>
      </c>
      <c r="I323" s="242">
        <f t="shared" si="55"/>
        <v>9680</v>
      </c>
      <c r="J323" s="242">
        <f t="shared" si="55"/>
        <v>9696</v>
      </c>
      <c r="K323" s="242">
        <f t="shared" si="55"/>
        <v>9951</v>
      </c>
      <c r="L323" s="242">
        <f t="shared" si="55"/>
        <v>9708</v>
      </c>
      <c r="M323" s="242">
        <f t="shared" si="55"/>
        <v>9787</v>
      </c>
      <c r="N323" s="242">
        <f t="shared" si="55"/>
        <v>9668</v>
      </c>
      <c r="O323" s="242">
        <f t="shared" si="49"/>
        <v>115679</v>
      </c>
    </row>
    <row r="324" spans="1:15" x14ac:dyDescent="0.2">
      <c r="A324" s="244" t="s">
        <v>39</v>
      </c>
      <c r="B324" s="244"/>
      <c r="C324" s="245">
        <f t="shared" ref="C324:N324" si="56">SUM(C316:C323)</f>
        <v>36295</v>
      </c>
      <c r="D324" s="245">
        <f t="shared" si="56"/>
        <v>36200</v>
      </c>
      <c r="E324" s="245">
        <f t="shared" si="56"/>
        <v>36239</v>
      </c>
      <c r="F324" s="245">
        <f t="shared" si="56"/>
        <v>36368</v>
      </c>
      <c r="G324" s="245">
        <f t="shared" si="56"/>
        <v>36423</v>
      </c>
      <c r="H324" s="245">
        <f t="shared" si="56"/>
        <v>36622.022526146422</v>
      </c>
      <c r="I324" s="245">
        <f t="shared" si="56"/>
        <v>36585</v>
      </c>
      <c r="J324" s="245">
        <f t="shared" si="56"/>
        <v>36659</v>
      </c>
      <c r="K324" s="245">
        <f t="shared" si="56"/>
        <v>36937</v>
      </c>
      <c r="L324" s="245">
        <f t="shared" si="56"/>
        <v>36658</v>
      </c>
      <c r="M324" s="245">
        <f t="shared" si="56"/>
        <v>36836</v>
      </c>
      <c r="N324" s="245">
        <f t="shared" si="56"/>
        <v>36664</v>
      </c>
      <c r="O324" s="245">
        <f t="shared" si="49"/>
        <v>438486.02252614644</v>
      </c>
    </row>
    <row r="326" spans="1:15" s="241" customFormat="1" x14ac:dyDescent="0.2">
      <c r="A326" s="241" t="s">
        <v>224</v>
      </c>
    </row>
    <row r="328" spans="1:15" x14ac:dyDescent="0.2">
      <c r="A328" s="133" t="s">
        <v>107</v>
      </c>
      <c r="B328" s="133" t="s">
        <v>89</v>
      </c>
      <c r="C328" s="242">
        <f>C143</f>
        <v>34101035</v>
      </c>
      <c r="D328" s="242">
        <f t="shared" ref="D328:N328" si="57">D143</f>
        <v>40908707</v>
      </c>
      <c r="E328" s="242">
        <f t="shared" si="57"/>
        <v>31613495</v>
      </c>
      <c r="F328" s="242">
        <f t="shared" si="57"/>
        <v>24359399</v>
      </c>
      <c r="G328" s="242">
        <f t="shared" si="57"/>
        <v>17947440</v>
      </c>
      <c r="H328" s="242">
        <f t="shared" si="57"/>
        <v>21475259</v>
      </c>
      <c r="I328" s="242">
        <f t="shared" si="57"/>
        <v>24753800</v>
      </c>
      <c r="J328" s="242">
        <f t="shared" si="57"/>
        <v>28078448</v>
      </c>
      <c r="K328" s="242">
        <f t="shared" si="57"/>
        <v>26386255</v>
      </c>
      <c r="L328" s="242">
        <f t="shared" si="57"/>
        <v>22399741</v>
      </c>
      <c r="M328" s="242">
        <f t="shared" si="57"/>
        <v>24288209</v>
      </c>
      <c r="N328" s="242">
        <f t="shared" si="57"/>
        <v>29119161</v>
      </c>
      <c r="O328" s="242">
        <f>SUM(C328:N328)</f>
        <v>325430949</v>
      </c>
    </row>
    <row r="329" spans="1:15" x14ac:dyDescent="0.2">
      <c r="A329" s="133" t="s">
        <v>108</v>
      </c>
      <c r="B329" s="133" t="s">
        <v>109</v>
      </c>
      <c r="C329" s="242">
        <f>C35</f>
        <v>131018</v>
      </c>
      <c r="D329" s="242">
        <f t="shared" ref="D329:N329" si="58">D35</f>
        <v>166930</v>
      </c>
      <c r="E329" s="242">
        <f t="shared" si="58"/>
        <v>125614</v>
      </c>
      <c r="F329" s="242">
        <f t="shared" si="58"/>
        <v>91094</v>
      </c>
      <c r="G329" s="242">
        <f t="shared" si="58"/>
        <v>36903</v>
      </c>
      <c r="H329" s="242">
        <f t="shared" si="58"/>
        <v>7819</v>
      </c>
      <c r="I329" s="242">
        <f t="shared" si="58"/>
        <v>1607</v>
      </c>
      <c r="J329" s="242">
        <f t="shared" si="58"/>
        <v>742</v>
      </c>
      <c r="K329" s="242">
        <f t="shared" si="58"/>
        <v>491</v>
      </c>
      <c r="L329" s="242">
        <f t="shared" si="58"/>
        <v>3282</v>
      </c>
      <c r="M329" s="242">
        <f t="shared" si="58"/>
        <v>52666</v>
      </c>
      <c r="N329" s="242">
        <f t="shared" si="58"/>
        <v>98971</v>
      </c>
      <c r="O329" s="242">
        <f t="shared" ref="O329:O336" si="59">SUM(C329:N329)</f>
        <v>717137</v>
      </c>
    </row>
    <row r="330" spans="1:15" x14ac:dyDescent="0.2">
      <c r="A330" s="133" t="s">
        <v>110</v>
      </c>
      <c r="B330" s="133" t="s">
        <v>106</v>
      </c>
      <c r="C330" s="242">
        <f>C10+C24</f>
        <v>2414046</v>
      </c>
      <c r="D330" s="242">
        <f t="shared" ref="D330:N330" si="60">D10+D24</f>
        <v>2799969</v>
      </c>
      <c r="E330" s="242">
        <f t="shared" si="60"/>
        <v>2300365</v>
      </c>
      <c r="F330" s="242">
        <f t="shared" si="60"/>
        <v>2181571</v>
      </c>
      <c r="G330" s="242">
        <f t="shared" si="60"/>
        <v>2094554</v>
      </c>
      <c r="H330" s="242">
        <f t="shared" si="60"/>
        <v>2424277</v>
      </c>
      <c r="I330" s="242">
        <f t="shared" si="60"/>
        <v>2518017</v>
      </c>
      <c r="J330" s="242">
        <f t="shared" si="60"/>
        <v>3087535</v>
      </c>
      <c r="K330" s="242">
        <f t="shared" si="60"/>
        <v>3134311</v>
      </c>
      <c r="L330" s="242">
        <f t="shared" si="60"/>
        <v>2655466</v>
      </c>
      <c r="M330" s="242">
        <f t="shared" si="60"/>
        <v>2268995</v>
      </c>
      <c r="N330" s="242">
        <f t="shared" si="60"/>
        <v>2202029</v>
      </c>
      <c r="O330" s="242">
        <f t="shared" si="59"/>
        <v>30081135</v>
      </c>
    </row>
    <row r="331" spans="1:15" x14ac:dyDescent="0.2">
      <c r="A331" s="133" t="s">
        <v>111</v>
      </c>
      <c r="B331" s="133" t="s">
        <v>112</v>
      </c>
      <c r="C331" s="242">
        <f>C45</f>
        <v>382840</v>
      </c>
      <c r="D331" s="242">
        <f t="shared" ref="D331:N331" si="61">D45</f>
        <v>447851</v>
      </c>
      <c r="E331" s="242">
        <f t="shared" si="61"/>
        <v>343678</v>
      </c>
      <c r="F331" s="242">
        <f t="shared" si="61"/>
        <v>277676</v>
      </c>
      <c r="G331" s="242">
        <f t="shared" si="61"/>
        <v>209043</v>
      </c>
      <c r="H331" s="242">
        <f t="shared" si="61"/>
        <v>281819</v>
      </c>
      <c r="I331" s="242">
        <f t="shared" si="61"/>
        <v>352222</v>
      </c>
      <c r="J331" s="242">
        <f t="shared" si="61"/>
        <v>423942</v>
      </c>
      <c r="K331" s="242">
        <f t="shared" si="61"/>
        <v>381407</v>
      </c>
      <c r="L331" s="242">
        <f t="shared" si="61"/>
        <v>312258</v>
      </c>
      <c r="M331" s="242">
        <f t="shared" si="61"/>
        <v>279631</v>
      </c>
      <c r="N331" s="242">
        <f t="shared" si="61"/>
        <v>327462</v>
      </c>
      <c r="O331" s="242">
        <f t="shared" si="59"/>
        <v>4019829</v>
      </c>
    </row>
    <row r="332" spans="1:15" x14ac:dyDescent="0.2">
      <c r="A332" s="133" t="s">
        <v>113</v>
      </c>
      <c r="B332" s="133" t="s">
        <v>114</v>
      </c>
      <c r="C332" s="242">
        <f>C63</f>
        <v>3172982</v>
      </c>
      <c r="D332" s="242">
        <f t="shared" ref="D332:N332" si="62">D63</f>
        <v>3374745</v>
      </c>
      <c r="E332" s="242">
        <f t="shared" si="62"/>
        <v>2816079</v>
      </c>
      <c r="F332" s="242">
        <f t="shared" si="62"/>
        <v>3025098</v>
      </c>
      <c r="G332" s="242">
        <f t="shared" si="62"/>
        <v>2841876</v>
      </c>
      <c r="H332" s="242">
        <f t="shared" si="62"/>
        <v>3201022</v>
      </c>
      <c r="I332" s="242">
        <f t="shared" si="62"/>
        <v>3212548</v>
      </c>
      <c r="J332" s="242">
        <f t="shared" si="62"/>
        <v>3578014</v>
      </c>
      <c r="K332" s="242">
        <f t="shared" si="62"/>
        <v>3614141</v>
      </c>
      <c r="L332" s="242">
        <f t="shared" si="62"/>
        <v>3386931</v>
      </c>
      <c r="M332" s="242">
        <f t="shared" si="62"/>
        <v>3177592</v>
      </c>
      <c r="N332" s="242">
        <f t="shared" si="62"/>
        <v>3028251</v>
      </c>
      <c r="O332" s="242">
        <f t="shared" si="59"/>
        <v>38429279</v>
      </c>
    </row>
    <row r="333" spans="1:15" x14ac:dyDescent="0.2">
      <c r="A333" s="133" t="s">
        <v>115</v>
      </c>
      <c r="B333" s="133" t="s">
        <v>116</v>
      </c>
      <c r="C333" s="242">
        <f>C77</f>
        <v>940818</v>
      </c>
      <c r="D333" s="242">
        <f t="shared" ref="D333:N333" si="63">D77</f>
        <v>945581</v>
      </c>
      <c r="E333" s="242">
        <f t="shared" si="63"/>
        <v>721486</v>
      </c>
      <c r="F333" s="242">
        <f t="shared" si="63"/>
        <v>842461</v>
      </c>
      <c r="G333" s="242">
        <f t="shared" si="63"/>
        <v>964874</v>
      </c>
      <c r="H333" s="242">
        <f t="shared" si="63"/>
        <v>430919</v>
      </c>
      <c r="I333" s="242">
        <f t="shared" si="63"/>
        <v>1013300</v>
      </c>
      <c r="J333" s="242">
        <f t="shared" si="63"/>
        <v>1042613</v>
      </c>
      <c r="K333" s="242">
        <f t="shared" si="63"/>
        <v>1024793</v>
      </c>
      <c r="L333" s="242">
        <f t="shared" si="63"/>
        <v>981027</v>
      </c>
      <c r="M333" s="242">
        <f t="shared" si="63"/>
        <v>920359</v>
      </c>
      <c r="N333" s="242">
        <f t="shared" si="63"/>
        <v>669859</v>
      </c>
      <c r="O333" s="242">
        <f t="shared" si="59"/>
        <v>10498090</v>
      </c>
    </row>
    <row r="334" spans="1:15" x14ac:dyDescent="0.2">
      <c r="A334" s="133" t="s">
        <v>117</v>
      </c>
      <c r="B334" s="133" t="s">
        <v>118</v>
      </c>
      <c r="C334" s="242">
        <f>C130</f>
        <v>1102420</v>
      </c>
      <c r="D334" s="242">
        <f t="shared" ref="D334:N334" si="64">D130</f>
        <v>1083920</v>
      </c>
      <c r="E334" s="242">
        <f t="shared" si="64"/>
        <v>967540</v>
      </c>
      <c r="F334" s="242">
        <f t="shared" si="64"/>
        <v>1174440</v>
      </c>
      <c r="G334" s="242">
        <f t="shared" si="64"/>
        <v>1201060</v>
      </c>
      <c r="H334" s="242">
        <f t="shared" si="64"/>
        <v>1208800</v>
      </c>
      <c r="I334" s="242">
        <f t="shared" si="64"/>
        <v>1163300</v>
      </c>
      <c r="J334" s="242">
        <f t="shared" si="64"/>
        <v>1389680</v>
      </c>
      <c r="K334" s="242">
        <f t="shared" si="64"/>
        <v>1476440</v>
      </c>
      <c r="L334" s="242">
        <f t="shared" si="64"/>
        <v>1298540</v>
      </c>
      <c r="M334" s="242">
        <f t="shared" si="64"/>
        <v>1452200</v>
      </c>
      <c r="N334" s="242">
        <f t="shared" si="64"/>
        <v>1260640</v>
      </c>
      <c r="O334" s="242">
        <f t="shared" si="59"/>
        <v>14778980</v>
      </c>
    </row>
    <row r="335" spans="1:15" x14ac:dyDescent="0.2">
      <c r="A335" s="133" t="s">
        <v>222</v>
      </c>
      <c r="B335" s="133" t="s">
        <v>223</v>
      </c>
      <c r="C335" s="242">
        <f>C87+C97+C107+C117+C166+C180+C181+C182</f>
        <v>477737</v>
      </c>
      <c r="D335" s="242">
        <f t="shared" ref="D335:N335" si="65">D87+D97+D107+D117+D166+D180+D181+D182</f>
        <v>475684</v>
      </c>
      <c r="E335" s="242">
        <f t="shared" si="65"/>
        <v>473780</v>
      </c>
      <c r="F335" s="242">
        <f t="shared" si="65"/>
        <v>473031</v>
      </c>
      <c r="G335" s="242">
        <f t="shared" si="65"/>
        <v>470359</v>
      </c>
      <c r="H335" s="242">
        <f t="shared" si="65"/>
        <v>469251</v>
      </c>
      <c r="I335" s="242">
        <f t="shared" si="65"/>
        <v>468063</v>
      </c>
      <c r="J335" s="242">
        <f t="shared" si="65"/>
        <v>466212</v>
      </c>
      <c r="K335" s="242">
        <f t="shared" si="65"/>
        <v>464921</v>
      </c>
      <c r="L335" s="242">
        <f t="shared" si="65"/>
        <v>459315</v>
      </c>
      <c r="M335" s="242">
        <f t="shared" si="65"/>
        <v>458105</v>
      </c>
      <c r="N335" s="242">
        <f t="shared" si="65"/>
        <v>450424</v>
      </c>
      <c r="O335" s="242">
        <f t="shared" si="59"/>
        <v>5606882</v>
      </c>
    </row>
    <row r="336" spans="1:15" x14ac:dyDescent="0.2">
      <c r="A336" s="244" t="s">
        <v>39</v>
      </c>
      <c r="B336" s="244"/>
      <c r="C336" s="245">
        <f t="shared" ref="C336:N336" si="66">SUM(C328:C335)</f>
        <v>42722896</v>
      </c>
      <c r="D336" s="245">
        <f t="shared" si="66"/>
        <v>50203387</v>
      </c>
      <c r="E336" s="245">
        <f t="shared" si="66"/>
        <v>39362037</v>
      </c>
      <c r="F336" s="245">
        <f t="shared" si="66"/>
        <v>32424770</v>
      </c>
      <c r="G336" s="245">
        <f t="shared" si="66"/>
        <v>25766109</v>
      </c>
      <c r="H336" s="245">
        <f t="shared" si="66"/>
        <v>29499166</v>
      </c>
      <c r="I336" s="245">
        <f t="shared" si="66"/>
        <v>33482857</v>
      </c>
      <c r="J336" s="245">
        <f t="shared" si="66"/>
        <v>38067186</v>
      </c>
      <c r="K336" s="245">
        <f t="shared" si="66"/>
        <v>36482759</v>
      </c>
      <c r="L336" s="245">
        <f t="shared" si="66"/>
        <v>31496560</v>
      </c>
      <c r="M336" s="245">
        <f t="shared" si="66"/>
        <v>32897757</v>
      </c>
      <c r="N336" s="245">
        <f t="shared" si="66"/>
        <v>37156797</v>
      </c>
      <c r="O336" s="245">
        <f t="shared" si="59"/>
        <v>429562281</v>
      </c>
    </row>
    <row r="338" spans="1:15" s="241" customFormat="1" x14ac:dyDescent="0.2">
      <c r="A338" s="241" t="s">
        <v>225</v>
      </c>
    </row>
    <row r="340" spans="1:15" x14ac:dyDescent="0.2">
      <c r="A340" s="133" t="s">
        <v>107</v>
      </c>
      <c r="B340" s="133" t="s">
        <v>89</v>
      </c>
      <c r="C340" s="121">
        <f>C149</f>
        <v>3596365.2572000003</v>
      </c>
      <c r="D340" s="121">
        <f t="shared" ref="D340:N340" si="67">D149</f>
        <v>4436044.6634400003</v>
      </c>
      <c r="E340" s="121">
        <f t="shared" si="67"/>
        <v>3237608.4704</v>
      </c>
      <c r="F340" s="121">
        <f t="shared" si="67"/>
        <v>2611244.73808</v>
      </c>
      <c r="G340" s="121">
        <f t="shared" si="67"/>
        <v>1997758.5348</v>
      </c>
      <c r="H340" s="121">
        <f t="shared" si="67"/>
        <v>2410703.1192799998</v>
      </c>
      <c r="I340" s="121">
        <f t="shared" si="67"/>
        <v>2657033.3859999999</v>
      </c>
      <c r="J340" s="121">
        <f t="shared" si="67"/>
        <v>3064802.8341600001</v>
      </c>
      <c r="K340" s="121">
        <f t="shared" si="67"/>
        <v>2872287.9795999997</v>
      </c>
      <c r="L340" s="121">
        <f t="shared" si="67"/>
        <v>2427424.4707200001</v>
      </c>
      <c r="M340" s="121">
        <f t="shared" si="67"/>
        <v>2562939.41328</v>
      </c>
      <c r="N340" s="121">
        <f t="shared" si="67"/>
        <v>3024539.7771200002</v>
      </c>
      <c r="O340" s="242">
        <f>SUM(C340:N340)</f>
        <v>34898752.644080006</v>
      </c>
    </row>
    <row r="341" spans="1:15" x14ac:dyDescent="0.2">
      <c r="A341" s="133" t="s">
        <v>108</v>
      </c>
      <c r="B341" s="133" t="s">
        <v>109</v>
      </c>
      <c r="C341" s="121">
        <f>C39</f>
        <v>7107.7629200000001</v>
      </c>
      <c r="D341" s="121">
        <f t="shared" ref="D341:N341" si="68">D39</f>
        <v>9986.1641999999993</v>
      </c>
      <c r="E341" s="121">
        <f t="shared" si="68"/>
        <v>6700.6151599999994</v>
      </c>
      <c r="F341" s="121">
        <f t="shared" si="68"/>
        <v>4994.7663600000005</v>
      </c>
      <c r="G341" s="121">
        <f t="shared" si="68"/>
        <v>1929.7898199999997</v>
      </c>
      <c r="H341" s="121">
        <f t="shared" si="68"/>
        <v>443.90285999999998</v>
      </c>
      <c r="I341" s="121">
        <f t="shared" si="68"/>
        <v>93.109579999999994</v>
      </c>
      <c r="J341" s="121">
        <f t="shared" si="68"/>
        <v>56.071479999999994</v>
      </c>
      <c r="K341" s="121">
        <f t="shared" si="68"/>
        <v>38.84854</v>
      </c>
      <c r="L341" s="121">
        <f t="shared" si="68"/>
        <v>186.99907999999999</v>
      </c>
      <c r="M341" s="121">
        <f t="shared" si="68"/>
        <v>2695.6980399999998</v>
      </c>
      <c r="N341" s="121">
        <f t="shared" si="68"/>
        <v>5056.7897399999993</v>
      </c>
      <c r="O341" s="242">
        <f t="shared" ref="O341:O348" si="69">SUM(C341:N341)</f>
        <v>39290.517780000002</v>
      </c>
    </row>
    <row r="342" spans="1:15" x14ac:dyDescent="0.2">
      <c r="A342" s="133" t="s">
        <v>110</v>
      </c>
      <c r="B342" s="133" t="s">
        <v>106</v>
      </c>
      <c r="C342" s="121">
        <f>C16+C30</f>
        <v>301934.29163999995</v>
      </c>
      <c r="D342" s="121">
        <f t="shared" ref="D342:N342" si="70">D16+D30</f>
        <v>354085.35346000001</v>
      </c>
      <c r="E342" s="121">
        <f t="shared" si="70"/>
        <v>280502.19409999996</v>
      </c>
      <c r="F342" s="121">
        <f t="shared" si="70"/>
        <v>272779.09013999999</v>
      </c>
      <c r="G342" s="121">
        <f t="shared" si="70"/>
        <v>263766.26235999999</v>
      </c>
      <c r="H342" s="121">
        <f t="shared" si="70"/>
        <v>306230.48618000001</v>
      </c>
      <c r="I342" s="121">
        <f t="shared" si="70"/>
        <v>309183.68778000004</v>
      </c>
      <c r="J342" s="121">
        <f t="shared" si="70"/>
        <v>376670.57189999998</v>
      </c>
      <c r="K342" s="121">
        <f t="shared" si="70"/>
        <v>377813.78174000001</v>
      </c>
      <c r="L342" s="121">
        <f t="shared" si="70"/>
        <v>321181.40443999995</v>
      </c>
      <c r="M342" s="121">
        <f t="shared" si="70"/>
        <v>278934.92830000003</v>
      </c>
      <c r="N342" s="121">
        <f t="shared" si="70"/>
        <v>274051.21385999996</v>
      </c>
      <c r="O342" s="242">
        <f t="shared" si="69"/>
        <v>3717133.2658999995</v>
      </c>
    </row>
    <row r="343" spans="1:15" x14ac:dyDescent="0.2">
      <c r="A343" s="133" t="s">
        <v>111</v>
      </c>
      <c r="B343" s="133" t="s">
        <v>112</v>
      </c>
      <c r="C343" s="121">
        <f>C50</f>
        <v>45234.822400000005</v>
      </c>
      <c r="D343" s="121">
        <f t="shared" ref="D343:N343" si="71">D50</f>
        <v>53861.687860000005</v>
      </c>
      <c r="E343" s="121">
        <f t="shared" si="71"/>
        <v>39716.071080000002</v>
      </c>
      <c r="F343" s="121">
        <f t="shared" si="71"/>
        <v>33651.297360000004</v>
      </c>
      <c r="G343" s="121">
        <f t="shared" si="71"/>
        <v>26633.26498</v>
      </c>
      <c r="H343" s="121">
        <f t="shared" si="71"/>
        <v>35198.488339999996</v>
      </c>
      <c r="I343" s="121">
        <f t="shared" si="71"/>
        <v>41472.002919999999</v>
      </c>
      <c r="J343" s="121">
        <f t="shared" si="71"/>
        <v>50229.482120000001</v>
      </c>
      <c r="K343" s="121">
        <f t="shared" si="71"/>
        <v>45363.872020000003</v>
      </c>
      <c r="L343" s="121">
        <f t="shared" si="71"/>
        <v>37234.309880000001</v>
      </c>
      <c r="M343" s="121">
        <f t="shared" si="71"/>
        <v>33507.988659999995</v>
      </c>
      <c r="N343" s="121">
        <f t="shared" si="71"/>
        <v>38409.759319999997</v>
      </c>
      <c r="O343" s="242">
        <f t="shared" si="69"/>
        <v>480513.04694000003</v>
      </c>
    </row>
    <row r="344" spans="1:15" x14ac:dyDescent="0.2">
      <c r="A344" s="133" t="s">
        <v>113</v>
      </c>
      <c r="B344" s="133" t="s">
        <v>114</v>
      </c>
      <c r="C344" s="121">
        <f>C70</f>
        <v>326180.07141999999</v>
      </c>
      <c r="D344" s="121">
        <f t="shared" ref="D344:N344" si="72">D70</f>
        <v>353714.28344999999</v>
      </c>
      <c r="E344" s="121">
        <f t="shared" si="72"/>
        <v>284090.66599000001</v>
      </c>
      <c r="F344" s="121">
        <f t="shared" si="72"/>
        <v>307142.36338000005</v>
      </c>
      <c r="G344" s="121">
        <f t="shared" si="72"/>
        <v>296127.97755999997</v>
      </c>
      <c r="H344" s="121">
        <f t="shared" si="72"/>
        <v>336251.12381999998</v>
      </c>
      <c r="I344" s="121">
        <f t="shared" si="72"/>
        <v>321711.17787999997</v>
      </c>
      <c r="J344" s="121">
        <f t="shared" si="72"/>
        <v>363138.01333999995</v>
      </c>
      <c r="K344" s="121">
        <f t="shared" si="72"/>
        <v>366667.71220999991</v>
      </c>
      <c r="L344" s="121">
        <f t="shared" si="72"/>
        <v>342188.76211000001</v>
      </c>
      <c r="M344" s="121">
        <f t="shared" si="72"/>
        <v>320329.53552000003</v>
      </c>
      <c r="N344" s="121">
        <f t="shared" si="72"/>
        <v>307311.36130999995</v>
      </c>
      <c r="O344" s="242">
        <f t="shared" si="69"/>
        <v>3924853.0479899999</v>
      </c>
    </row>
    <row r="345" spans="1:15" x14ac:dyDescent="0.2">
      <c r="A345" s="133" t="s">
        <v>115</v>
      </c>
      <c r="B345" s="133" t="s">
        <v>116</v>
      </c>
      <c r="C345" s="121">
        <f>C82</f>
        <v>79332.506900000008</v>
      </c>
      <c r="D345" s="121">
        <f t="shared" ref="D345:N345" si="73">D82</f>
        <v>83771.951050000003</v>
      </c>
      <c r="E345" s="121">
        <f t="shared" si="73"/>
        <v>62538.616299999994</v>
      </c>
      <c r="F345" s="121">
        <f t="shared" si="73"/>
        <v>71377.395049999992</v>
      </c>
      <c r="G345" s="121">
        <f t="shared" si="73"/>
        <v>78073.421700000006</v>
      </c>
      <c r="H345" s="121">
        <f t="shared" si="73"/>
        <v>46666.043949999992</v>
      </c>
      <c r="I345" s="121">
        <f t="shared" si="73"/>
        <v>81184.024999999994</v>
      </c>
      <c r="J345" s="121">
        <f t="shared" si="73"/>
        <v>86903.816649999993</v>
      </c>
      <c r="K345" s="121">
        <f t="shared" si="73"/>
        <v>84513.635650000011</v>
      </c>
      <c r="L345" s="121">
        <f t="shared" si="73"/>
        <v>79328.505349999992</v>
      </c>
      <c r="M345" s="121">
        <f t="shared" si="73"/>
        <v>74500.40595</v>
      </c>
      <c r="N345" s="121">
        <f t="shared" si="73"/>
        <v>59331.610950000002</v>
      </c>
      <c r="O345" s="242">
        <f t="shared" si="69"/>
        <v>887521.93450000009</v>
      </c>
    </row>
    <row r="346" spans="1:15" x14ac:dyDescent="0.2">
      <c r="A346" s="133" t="s">
        <v>117</v>
      </c>
      <c r="B346" s="133" t="s">
        <v>118</v>
      </c>
      <c r="C346" s="121">
        <f>C137</f>
        <v>106391.893</v>
      </c>
      <c r="D346" s="121">
        <f t="shared" ref="D346:N346" si="74">D137</f>
        <v>108843.56799999998</v>
      </c>
      <c r="E346" s="121">
        <f t="shared" si="74"/>
        <v>92089.86099999999</v>
      </c>
      <c r="F346" s="121">
        <f t="shared" si="74"/>
        <v>108998.266</v>
      </c>
      <c r="G346" s="121">
        <f t="shared" si="74"/>
        <v>111838.38900000001</v>
      </c>
      <c r="H346" s="121">
        <f t="shared" si="74"/>
        <v>117536.54</v>
      </c>
      <c r="I346" s="121">
        <f t="shared" si="74"/>
        <v>111033.98499999999</v>
      </c>
      <c r="J346" s="121">
        <f t="shared" si="74"/>
        <v>129247.522</v>
      </c>
      <c r="K346" s="121">
        <f t="shared" si="74"/>
        <v>132632.516</v>
      </c>
      <c r="L346" s="121">
        <f t="shared" si="74"/>
        <v>119891.27099999999</v>
      </c>
      <c r="M346" s="121">
        <f t="shared" si="74"/>
        <v>126630.42000000001</v>
      </c>
      <c r="N346" s="121">
        <f t="shared" si="74"/>
        <v>115994.246</v>
      </c>
      <c r="O346" s="242">
        <f t="shared" si="69"/>
        <v>1381128.477</v>
      </c>
    </row>
    <row r="347" spans="1:15" x14ac:dyDescent="0.2">
      <c r="A347" s="133" t="s">
        <v>222</v>
      </c>
      <c r="B347" s="133" t="s">
        <v>223</v>
      </c>
      <c r="C347" s="121">
        <f>C92+C102+C112+C122+C171+C188</f>
        <v>96674.84</v>
      </c>
      <c r="D347" s="121">
        <f t="shared" ref="D347:N347" si="75">D92+D102+D112+D122+D171+D188</f>
        <v>99545.13</v>
      </c>
      <c r="E347" s="121">
        <f t="shared" si="75"/>
        <v>96517.059999999983</v>
      </c>
      <c r="F347" s="121">
        <f t="shared" si="75"/>
        <v>98148.01</v>
      </c>
      <c r="G347" s="121">
        <f t="shared" si="75"/>
        <v>97253.589999999982</v>
      </c>
      <c r="H347" s="121">
        <f t="shared" si="75"/>
        <v>100307.29000000001</v>
      </c>
      <c r="I347" s="121">
        <f t="shared" si="75"/>
        <v>98804.5</v>
      </c>
      <c r="J347" s="121">
        <f t="shared" si="75"/>
        <v>100653.78</v>
      </c>
      <c r="K347" s="121">
        <f t="shared" si="75"/>
        <v>100704.37</v>
      </c>
      <c r="L347" s="121">
        <f t="shared" si="75"/>
        <v>99820.27</v>
      </c>
      <c r="M347" s="121">
        <f t="shared" si="75"/>
        <v>100217.83</v>
      </c>
      <c r="N347" s="121">
        <f t="shared" si="75"/>
        <v>98999.38</v>
      </c>
      <c r="O347" s="242">
        <f t="shared" si="69"/>
        <v>1187646.0499999998</v>
      </c>
    </row>
    <row r="348" spans="1:15" x14ac:dyDescent="0.2">
      <c r="A348" s="244" t="s">
        <v>39</v>
      </c>
      <c r="B348" s="244"/>
      <c r="C348" s="246">
        <f t="shared" ref="C348:N348" si="76">SUM(C340:C347)</f>
        <v>4559221.4454800012</v>
      </c>
      <c r="D348" s="246">
        <f t="shared" si="76"/>
        <v>5499852.8014600007</v>
      </c>
      <c r="E348" s="246">
        <f t="shared" si="76"/>
        <v>4099763.5540300002</v>
      </c>
      <c r="F348" s="246">
        <f t="shared" si="76"/>
        <v>3508335.9263699995</v>
      </c>
      <c r="G348" s="246">
        <f t="shared" si="76"/>
        <v>2873381.2302199998</v>
      </c>
      <c r="H348" s="246">
        <f t="shared" si="76"/>
        <v>3353336.9944299995</v>
      </c>
      <c r="I348" s="246">
        <f t="shared" si="76"/>
        <v>3620515.8741599997</v>
      </c>
      <c r="J348" s="246">
        <f t="shared" si="76"/>
        <v>4171702.0916499994</v>
      </c>
      <c r="K348" s="246">
        <f t="shared" si="76"/>
        <v>3980022.7157600001</v>
      </c>
      <c r="L348" s="246">
        <f t="shared" si="76"/>
        <v>3427255.9925800003</v>
      </c>
      <c r="M348" s="246">
        <f t="shared" si="76"/>
        <v>3499756.2197499997</v>
      </c>
      <c r="N348" s="246">
        <f t="shared" si="76"/>
        <v>3923694.1383000002</v>
      </c>
      <c r="O348" s="245">
        <f t="shared" si="69"/>
        <v>46516838.984190002</v>
      </c>
    </row>
    <row r="350" spans="1:15" s="241" customFormat="1" x14ac:dyDescent="0.2">
      <c r="A350" s="241" t="s">
        <v>226</v>
      </c>
    </row>
    <row r="352" spans="1:15" x14ac:dyDescent="0.2">
      <c r="A352" s="133" t="s">
        <v>113</v>
      </c>
      <c r="B352" s="133" t="s">
        <v>114</v>
      </c>
      <c r="C352" s="121">
        <f>C61</f>
        <v>11266.381761978362</v>
      </c>
      <c r="D352" s="121">
        <f t="shared" ref="D352:N352" si="77">D61</f>
        <v>11224.085007727976</v>
      </c>
      <c r="E352" s="121">
        <f t="shared" si="77"/>
        <v>10362.44513137558</v>
      </c>
      <c r="F352" s="121">
        <f t="shared" si="77"/>
        <v>11132.244204018549</v>
      </c>
      <c r="G352" s="121">
        <f t="shared" si="77"/>
        <v>11975.309119010819</v>
      </c>
      <c r="H352" s="121">
        <f t="shared" si="77"/>
        <v>12164.171561051005</v>
      </c>
      <c r="I352" s="121">
        <f t="shared" si="77"/>
        <v>11340.180834621329</v>
      </c>
      <c r="J352" s="121">
        <f t="shared" si="77"/>
        <v>11918.757341576507</v>
      </c>
      <c r="K352" s="121">
        <f t="shared" si="77"/>
        <v>12499.409582689337</v>
      </c>
      <c r="L352" s="121">
        <f t="shared" si="77"/>
        <v>12532.009273570326</v>
      </c>
      <c r="M352" s="121">
        <f t="shared" si="77"/>
        <v>12743.537867078827</v>
      </c>
      <c r="N352" s="121">
        <f t="shared" si="77"/>
        <v>11728.318392581145</v>
      </c>
      <c r="O352" s="242">
        <f t="shared" ref="O352:O355" si="78">SUM(C352:N352)</f>
        <v>140886.85007727976</v>
      </c>
    </row>
    <row r="353" spans="1:15" x14ac:dyDescent="0.2">
      <c r="A353" s="133" t="s">
        <v>115</v>
      </c>
      <c r="B353" s="133" t="s">
        <v>116</v>
      </c>
      <c r="C353" s="121">
        <f>C75</f>
        <v>1673.2800397219464</v>
      </c>
      <c r="D353" s="121">
        <f t="shared" ref="D353:N353" si="79">D75</f>
        <v>1624.3197616683217</v>
      </c>
      <c r="E353" s="121">
        <f t="shared" si="79"/>
        <v>1653.1201588877852</v>
      </c>
      <c r="F353" s="121">
        <f t="shared" si="79"/>
        <v>1653.1201588877852</v>
      </c>
      <c r="G353" s="121">
        <f t="shared" si="79"/>
        <v>1679.5998013902681</v>
      </c>
      <c r="H353" s="121">
        <f t="shared" si="79"/>
        <v>1658.8798411122143</v>
      </c>
      <c r="I353" s="121">
        <f t="shared" si="79"/>
        <v>1630.08043694141</v>
      </c>
      <c r="J353" s="121">
        <f t="shared" si="79"/>
        <v>1653.1201588877852</v>
      </c>
      <c r="K353" s="121">
        <f t="shared" si="79"/>
        <v>1638.7199602780536</v>
      </c>
      <c r="L353" s="121">
        <f t="shared" si="79"/>
        <v>1624.3197616683217</v>
      </c>
      <c r="M353" s="121">
        <f t="shared" si="79"/>
        <v>1684.8003972194635</v>
      </c>
      <c r="N353" s="121">
        <f t="shared" si="79"/>
        <v>1653.1201588877852</v>
      </c>
      <c r="O353" s="242">
        <f t="shared" si="78"/>
        <v>19826.480635551139</v>
      </c>
    </row>
    <row r="354" spans="1:15" x14ac:dyDescent="0.2">
      <c r="A354" s="133" t="s">
        <v>117</v>
      </c>
      <c r="B354" s="133" t="s">
        <v>118</v>
      </c>
      <c r="C354" s="121">
        <f>C128</f>
        <v>3839.6441223832526</v>
      </c>
      <c r="D354" s="121">
        <f t="shared" ref="D354:N354" si="80">D128</f>
        <v>2649.9919484702095</v>
      </c>
      <c r="E354" s="121">
        <f t="shared" si="80"/>
        <v>2897.1143317230276</v>
      </c>
      <c r="F354" s="121">
        <f t="shared" si="80"/>
        <v>4318.0789049919485</v>
      </c>
      <c r="G354" s="121">
        <f t="shared" si="80"/>
        <v>4998.3880837359102</v>
      </c>
      <c r="H354" s="121">
        <f t="shared" si="80"/>
        <v>4964.7375201288251</v>
      </c>
      <c r="I354" s="121">
        <f t="shared" si="80"/>
        <v>4976.8212560386482</v>
      </c>
      <c r="J354" s="121">
        <f t="shared" si="80"/>
        <v>5267.9967793880842</v>
      </c>
      <c r="K354" s="121">
        <f t="shared" si="80"/>
        <v>5383.420289855073</v>
      </c>
      <c r="L354" s="121">
        <f t="shared" si="80"/>
        <v>5601.1175523349439</v>
      </c>
      <c r="M354" s="121">
        <f t="shared" si="80"/>
        <v>5570.5152979066024</v>
      </c>
      <c r="N354" s="121">
        <f t="shared" si="80"/>
        <v>5401.2399355877615</v>
      </c>
      <c r="O354" s="242">
        <f t="shared" si="78"/>
        <v>55869.066022544292</v>
      </c>
    </row>
    <row r="355" spans="1:15" x14ac:dyDescent="0.2">
      <c r="A355" s="244" t="s">
        <v>39</v>
      </c>
      <c r="B355" s="244"/>
      <c r="C355" s="246">
        <f>SUM(C352:C354)</f>
        <v>16779.305924083561</v>
      </c>
      <c r="D355" s="246">
        <f t="shared" ref="D355:N355" si="81">SUM(D352:D354)</f>
        <v>15498.396717866506</v>
      </c>
      <c r="E355" s="246">
        <f t="shared" si="81"/>
        <v>14912.679621986392</v>
      </c>
      <c r="F355" s="246">
        <f t="shared" si="81"/>
        <v>17103.443267898281</v>
      </c>
      <c r="G355" s="246">
        <f t="shared" si="81"/>
        <v>18653.297004136999</v>
      </c>
      <c r="H355" s="246">
        <f t="shared" si="81"/>
        <v>18787.788922292042</v>
      </c>
      <c r="I355" s="246">
        <f t="shared" si="81"/>
        <v>17947.082527601389</v>
      </c>
      <c r="J355" s="246">
        <f t="shared" si="81"/>
        <v>18839.874279852374</v>
      </c>
      <c r="K355" s="246">
        <f t="shared" si="81"/>
        <v>19521.549832822464</v>
      </c>
      <c r="L355" s="246">
        <f t="shared" si="81"/>
        <v>19757.446587573591</v>
      </c>
      <c r="M355" s="246">
        <f t="shared" si="81"/>
        <v>19998.853562204895</v>
      </c>
      <c r="N355" s="246">
        <f t="shared" si="81"/>
        <v>18782.678487056692</v>
      </c>
      <c r="O355" s="245">
        <f t="shared" si="78"/>
        <v>216582.39673537519</v>
      </c>
    </row>
    <row r="357" spans="1:15" s="241" customFormat="1" x14ac:dyDescent="0.2">
      <c r="A357" s="241" t="s">
        <v>48</v>
      </c>
    </row>
    <row r="358" spans="1:15" x14ac:dyDescent="0.2">
      <c r="C358" s="121"/>
    </row>
    <row r="359" spans="1:15" x14ac:dyDescent="0.2">
      <c r="A359" s="133" t="s">
        <v>107</v>
      </c>
      <c r="B359" s="133" t="s">
        <v>89</v>
      </c>
      <c r="C359" s="121">
        <f>C147</f>
        <v>-127971.33</v>
      </c>
      <c r="D359" s="121">
        <f t="shared" ref="D359:N359" si="82">D147</f>
        <v>74985.38</v>
      </c>
      <c r="E359" s="121">
        <f t="shared" si="82"/>
        <v>-146685.71</v>
      </c>
      <c r="F359" s="121">
        <f t="shared" si="82"/>
        <v>-76902.880000000005</v>
      </c>
      <c r="G359" s="121">
        <f t="shared" si="82"/>
        <v>-104156.65</v>
      </c>
      <c r="H359" s="121">
        <f t="shared" si="82"/>
        <v>-48322.15</v>
      </c>
      <c r="I359" s="121">
        <f t="shared" si="82"/>
        <v>-164960.68</v>
      </c>
      <c r="J359" s="121">
        <f t="shared" si="82"/>
        <v>-96074.17</v>
      </c>
      <c r="K359" s="121">
        <f t="shared" si="82"/>
        <v>-109317.71</v>
      </c>
      <c r="L359" s="121">
        <f t="shared" si="82"/>
        <v>-107404.72</v>
      </c>
      <c r="M359" s="121">
        <f t="shared" si="82"/>
        <v>-163834.85</v>
      </c>
      <c r="N359" s="121">
        <f t="shared" si="82"/>
        <v>-199322.56</v>
      </c>
      <c r="O359" s="242">
        <f>SUM(C359:N359)</f>
        <v>-1269968.03</v>
      </c>
    </row>
    <row r="360" spans="1:15" x14ac:dyDescent="0.2">
      <c r="A360" s="133" t="s">
        <v>108</v>
      </c>
      <c r="B360" s="133" t="s">
        <v>109</v>
      </c>
      <c r="C360" s="121">
        <f>C37</f>
        <v>-491.67</v>
      </c>
      <c r="D360" s="121">
        <f t="shared" ref="D360:N360" si="83">D37</f>
        <v>305.95999999999998</v>
      </c>
      <c r="E360" s="121">
        <f t="shared" si="83"/>
        <v>-582.79999999999995</v>
      </c>
      <c r="F360" s="121">
        <f t="shared" si="83"/>
        <v>-287.57</v>
      </c>
      <c r="G360" s="121">
        <f t="shared" si="83"/>
        <v>-214.22</v>
      </c>
      <c r="H360" s="121">
        <f t="shared" si="83"/>
        <v>-17.59</v>
      </c>
      <c r="I360" s="121">
        <f t="shared" si="83"/>
        <v>-10.71</v>
      </c>
      <c r="J360" s="121">
        <f t="shared" si="83"/>
        <v>-2.5299999999999998</v>
      </c>
      <c r="K360" s="121">
        <f t="shared" si="83"/>
        <v>-2.02</v>
      </c>
      <c r="L360" s="121">
        <f t="shared" si="83"/>
        <v>-15.71</v>
      </c>
      <c r="M360" s="121">
        <f t="shared" si="83"/>
        <v>-355.81</v>
      </c>
      <c r="N360" s="121">
        <f t="shared" si="83"/>
        <v>-677.58</v>
      </c>
      <c r="O360" s="242">
        <f t="shared" ref="O360:O367" si="84">SUM(C360:N360)</f>
        <v>-2352.25</v>
      </c>
    </row>
    <row r="361" spans="1:15" x14ac:dyDescent="0.2">
      <c r="A361" s="133" t="s">
        <v>110</v>
      </c>
      <c r="B361" s="133" t="s">
        <v>106</v>
      </c>
      <c r="C361" s="121">
        <f>C14+C28</f>
        <v>-9059.9699999999993</v>
      </c>
      <c r="D361" s="121">
        <f t="shared" ref="D361:N361" si="85">D14+D28</f>
        <v>5132.43</v>
      </c>
      <c r="E361" s="121">
        <f t="shared" si="85"/>
        <v>-10673.68</v>
      </c>
      <c r="F361" s="121">
        <f t="shared" si="85"/>
        <v>-6885.77</v>
      </c>
      <c r="G361" s="121">
        <f t="shared" si="85"/>
        <v>-12175.17</v>
      </c>
      <c r="H361" s="121">
        <f t="shared" si="85"/>
        <v>-5454.75</v>
      </c>
      <c r="I361" s="121">
        <f t="shared" si="85"/>
        <v>-16780.37</v>
      </c>
      <c r="J361" s="121">
        <f t="shared" si="85"/>
        <v>-10565.34</v>
      </c>
      <c r="K361" s="121">
        <f t="shared" si="85"/>
        <v>-12635.22</v>
      </c>
      <c r="L361" s="121">
        <f t="shared" si="85"/>
        <v>-12732.669999999998</v>
      </c>
      <c r="M361" s="121">
        <f t="shared" si="85"/>
        <v>-15327.140000000001</v>
      </c>
      <c r="N361" s="121">
        <f t="shared" si="85"/>
        <v>-15075.189999999999</v>
      </c>
      <c r="O361" s="242">
        <f t="shared" si="84"/>
        <v>-122232.84</v>
      </c>
    </row>
    <row r="362" spans="1:15" x14ac:dyDescent="0.2">
      <c r="A362" s="133" t="s">
        <v>111</v>
      </c>
      <c r="B362" s="133" t="s">
        <v>112</v>
      </c>
      <c r="C362" s="121">
        <f>C48</f>
        <v>-1436.75</v>
      </c>
      <c r="D362" s="121">
        <f t="shared" ref="D362:N362" si="86">D48</f>
        <v>820.88</v>
      </c>
      <c r="E362" s="121">
        <f t="shared" si="86"/>
        <v>-1594.69</v>
      </c>
      <c r="F362" s="121">
        <f t="shared" si="86"/>
        <v>-876.69</v>
      </c>
      <c r="G362" s="121">
        <f t="shared" si="86"/>
        <v>-1213.51</v>
      </c>
      <c r="H362" s="121">
        <f t="shared" si="86"/>
        <v>-634.11</v>
      </c>
      <c r="I362" s="121">
        <f t="shared" si="86"/>
        <v>-2347.2600000000002</v>
      </c>
      <c r="J362" s="121">
        <f t="shared" si="86"/>
        <v>-1450.75</v>
      </c>
      <c r="K362" s="121">
        <f t="shared" si="86"/>
        <v>-1580.22</v>
      </c>
      <c r="L362" s="121">
        <f t="shared" si="86"/>
        <v>-1497.28</v>
      </c>
      <c r="M362" s="121">
        <f t="shared" si="86"/>
        <v>-1889.04</v>
      </c>
      <c r="N362" s="121">
        <f t="shared" si="86"/>
        <v>-2241.7199999999998</v>
      </c>
      <c r="O362" s="242">
        <f t="shared" si="84"/>
        <v>-15941.140000000001</v>
      </c>
    </row>
    <row r="363" spans="1:15" x14ac:dyDescent="0.2">
      <c r="A363" s="133" t="s">
        <v>113</v>
      </c>
      <c r="B363" s="133" t="s">
        <v>114</v>
      </c>
      <c r="C363" s="121">
        <f>C68</f>
        <v>-11908.21</v>
      </c>
      <c r="D363" s="121">
        <f t="shared" ref="D363:N363" si="87">D68</f>
        <v>6185.93</v>
      </c>
      <c r="E363" s="121">
        <f t="shared" si="87"/>
        <v>-13066.6</v>
      </c>
      <c r="F363" s="121">
        <f t="shared" si="87"/>
        <v>-9550.19</v>
      </c>
      <c r="G363" s="121">
        <f t="shared" si="87"/>
        <v>-16480.82</v>
      </c>
      <c r="H363" s="121">
        <f t="shared" si="87"/>
        <v>-7202.35</v>
      </c>
      <c r="I363" s="121">
        <f t="shared" si="87"/>
        <v>-21408.37</v>
      </c>
      <c r="J363" s="121">
        <f t="shared" si="87"/>
        <v>-12244.02</v>
      </c>
      <c r="K363" s="121">
        <f t="shared" si="87"/>
        <v>-14973.4</v>
      </c>
      <c r="L363" s="121">
        <f t="shared" si="87"/>
        <v>-16240.34</v>
      </c>
      <c r="M363" s="121">
        <f t="shared" si="87"/>
        <v>-21464.69</v>
      </c>
      <c r="N363" s="121">
        <f t="shared" si="87"/>
        <v>-20731.400000000001</v>
      </c>
      <c r="O363" s="242">
        <f t="shared" si="84"/>
        <v>-159084.46</v>
      </c>
    </row>
    <row r="364" spans="1:15" x14ac:dyDescent="0.2">
      <c r="A364" s="133" t="s">
        <v>115</v>
      </c>
      <c r="B364" s="133" t="s">
        <v>116</v>
      </c>
      <c r="C364" s="121">
        <f>C80</f>
        <v>-3530.89</v>
      </c>
      <c r="D364" s="121">
        <f t="shared" ref="D364:N364" si="88">D80</f>
        <v>1733.25</v>
      </c>
      <c r="E364" s="121">
        <f t="shared" si="88"/>
        <v>-3347.7</v>
      </c>
      <c r="F364" s="121">
        <f t="shared" si="88"/>
        <v>-2659.65</v>
      </c>
      <c r="G364" s="121">
        <f t="shared" si="88"/>
        <v>-5601.09</v>
      </c>
      <c r="H364" s="121">
        <f t="shared" si="88"/>
        <v>-969.57</v>
      </c>
      <c r="I364" s="121">
        <f t="shared" si="88"/>
        <v>-6752.63</v>
      </c>
      <c r="J364" s="121">
        <f t="shared" si="88"/>
        <v>-3567.82</v>
      </c>
      <c r="K364" s="121">
        <f t="shared" si="88"/>
        <v>-4245.72</v>
      </c>
      <c r="L364" s="121">
        <f t="shared" si="88"/>
        <v>-4704.0200000000004</v>
      </c>
      <c r="M364" s="121">
        <f t="shared" si="88"/>
        <v>-6217.03</v>
      </c>
      <c r="N364" s="121">
        <f t="shared" si="88"/>
        <v>-4585.8500000000004</v>
      </c>
      <c r="O364" s="242">
        <f t="shared" si="84"/>
        <v>-44448.719999999994</v>
      </c>
    </row>
    <row r="365" spans="1:15" x14ac:dyDescent="0.2">
      <c r="A365" s="133" t="s">
        <v>117</v>
      </c>
      <c r="B365" s="133" t="s">
        <v>118</v>
      </c>
      <c r="C365" s="121">
        <f>C135</f>
        <v>-4137.38</v>
      </c>
      <c r="D365" s="121">
        <f t="shared" ref="D365:N365" si="89">D135</f>
        <v>1986.82</v>
      </c>
      <c r="E365" s="121">
        <f t="shared" si="89"/>
        <v>-4489.3900000000003</v>
      </c>
      <c r="F365" s="121">
        <f t="shared" si="89"/>
        <v>-3707.71</v>
      </c>
      <c r="G365" s="121">
        <f t="shared" si="89"/>
        <v>-6972.16</v>
      </c>
      <c r="H365" s="121">
        <f t="shared" si="89"/>
        <v>-2719.81</v>
      </c>
      <c r="I365" s="121">
        <f t="shared" si="89"/>
        <v>-7752.22</v>
      </c>
      <c r="J365" s="121">
        <f t="shared" si="89"/>
        <v>-4755.49</v>
      </c>
      <c r="K365" s="121">
        <f t="shared" si="89"/>
        <v>-6116.9</v>
      </c>
      <c r="L365" s="121">
        <f t="shared" si="89"/>
        <v>-6226.5</v>
      </c>
      <c r="M365" s="121">
        <f t="shared" si="89"/>
        <v>-9809.6200000000008</v>
      </c>
      <c r="N365" s="121">
        <f t="shared" si="89"/>
        <v>-8630.35</v>
      </c>
      <c r="O365" s="242">
        <f t="shared" si="84"/>
        <v>-63330.710000000006</v>
      </c>
    </row>
    <row r="366" spans="1:15" x14ac:dyDescent="0.2">
      <c r="A366" s="133" t="s">
        <v>222</v>
      </c>
      <c r="B366" s="133" t="s">
        <v>223</v>
      </c>
      <c r="C366" s="121">
        <f>C90+C100+C110+C120+C169+C186</f>
        <v>-1766.72</v>
      </c>
      <c r="D366" s="121">
        <f t="shared" ref="D366:N366" si="90">D90+D100+D110+D120+D169+D186</f>
        <v>875.7</v>
      </c>
      <c r="E366" s="121">
        <f t="shared" si="90"/>
        <v>-2179.46</v>
      </c>
      <c r="F366" s="121">
        <f t="shared" si="90"/>
        <v>-1475.1999999999998</v>
      </c>
      <c r="G366" s="121">
        <f t="shared" si="90"/>
        <v>-2752.9</v>
      </c>
      <c r="H366" s="121">
        <f t="shared" si="90"/>
        <v>-1071.94</v>
      </c>
      <c r="I366" s="121">
        <f t="shared" si="90"/>
        <v>-3124.77</v>
      </c>
      <c r="J366" s="121">
        <f t="shared" si="90"/>
        <v>-1606.7000000000003</v>
      </c>
      <c r="K366" s="121">
        <f t="shared" si="90"/>
        <v>-1925.6499999999999</v>
      </c>
      <c r="L366" s="121">
        <f t="shared" si="90"/>
        <v>-2217.84</v>
      </c>
      <c r="M366" s="121">
        <f t="shared" si="90"/>
        <v>-3062.5600000000004</v>
      </c>
      <c r="N366" s="121">
        <f t="shared" si="90"/>
        <v>-3102.58</v>
      </c>
      <c r="O366" s="242">
        <f t="shared" si="84"/>
        <v>-23410.620000000003</v>
      </c>
    </row>
    <row r="367" spans="1:15" x14ac:dyDescent="0.2">
      <c r="A367" s="244" t="s">
        <v>39</v>
      </c>
      <c r="B367" s="244"/>
      <c r="C367" s="245">
        <f t="shared" ref="C367:N367" si="91">SUM(C359:C366)</f>
        <v>-160302.92000000001</v>
      </c>
      <c r="D367" s="245">
        <f t="shared" si="91"/>
        <v>92026.35000000002</v>
      </c>
      <c r="E367" s="245">
        <f t="shared" si="91"/>
        <v>-182620.03</v>
      </c>
      <c r="F367" s="245">
        <f t="shared" si="91"/>
        <v>-102345.66000000002</v>
      </c>
      <c r="G367" s="245">
        <f t="shared" si="91"/>
        <v>-149566.51999999999</v>
      </c>
      <c r="H367" s="245">
        <f t="shared" si="91"/>
        <v>-66392.26999999999</v>
      </c>
      <c r="I367" s="245">
        <f t="shared" si="91"/>
        <v>-223137.00999999998</v>
      </c>
      <c r="J367" s="245">
        <f t="shared" si="91"/>
        <v>-130266.82</v>
      </c>
      <c r="K367" s="245">
        <f t="shared" si="91"/>
        <v>-150796.84</v>
      </c>
      <c r="L367" s="245">
        <f t="shared" si="91"/>
        <v>-151039.07999999999</v>
      </c>
      <c r="M367" s="245">
        <f t="shared" si="91"/>
        <v>-221960.74000000002</v>
      </c>
      <c r="N367" s="245">
        <f t="shared" si="91"/>
        <v>-254367.22999999998</v>
      </c>
      <c r="O367" s="245">
        <f t="shared" si="84"/>
        <v>-1700768.7700000003</v>
      </c>
    </row>
    <row r="369" spans="1:15" s="241" customFormat="1" x14ac:dyDescent="0.2">
      <c r="A369" s="241" t="s">
        <v>55</v>
      </c>
    </row>
    <row r="371" spans="1:15" x14ac:dyDescent="0.2">
      <c r="A371" s="133" t="s">
        <v>107</v>
      </c>
      <c r="B371" s="133" t="s">
        <v>89</v>
      </c>
      <c r="C371" s="121">
        <f>C148</f>
        <v>353555.78</v>
      </c>
      <c r="D371" s="121">
        <f t="shared" ref="D371:N371" si="92">D148</f>
        <v>377976.7</v>
      </c>
      <c r="E371" s="121">
        <f t="shared" si="92"/>
        <v>237014.04</v>
      </c>
      <c r="F371" s="121">
        <f t="shared" si="92"/>
        <v>192677.61</v>
      </c>
      <c r="G371" s="121">
        <f t="shared" si="92"/>
        <v>182760.35</v>
      </c>
      <c r="H371" s="121">
        <f t="shared" si="92"/>
        <v>223021.53</v>
      </c>
      <c r="I371" s="121">
        <f t="shared" si="92"/>
        <v>290493.78000000003</v>
      </c>
      <c r="J371" s="121">
        <f t="shared" si="92"/>
        <v>329486.44</v>
      </c>
      <c r="K371" s="121">
        <f t="shared" si="92"/>
        <v>301986.90000000002</v>
      </c>
      <c r="L371" s="121">
        <f t="shared" si="92"/>
        <v>214313.44</v>
      </c>
      <c r="M371" s="121">
        <f t="shared" si="92"/>
        <v>235220.22</v>
      </c>
      <c r="N371" s="121">
        <f t="shared" si="92"/>
        <v>297947.07</v>
      </c>
      <c r="O371" s="242">
        <f>SUM(C371:N371)</f>
        <v>3236453.86</v>
      </c>
    </row>
    <row r="372" spans="1:15" x14ac:dyDescent="0.2">
      <c r="A372" s="133" t="s">
        <v>108</v>
      </c>
      <c r="B372" s="133" t="s">
        <v>109</v>
      </c>
      <c r="C372" s="121">
        <f>C38</f>
        <v>8.25</v>
      </c>
      <c r="D372" s="121">
        <f t="shared" ref="D372:N372" si="93">D38</f>
        <v>8.2799999999999994</v>
      </c>
      <c r="E372" s="121">
        <f t="shared" si="93"/>
        <v>5.34</v>
      </c>
      <c r="F372" s="121">
        <f t="shared" si="93"/>
        <v>4.3499999999999996</v>
      </c>
      <c r="G372" s="121">
        <f t="shared" si="93"/>
        <v>5.85</v>
      </c>
      <c r="H372" s="121">
        <f t="shared" si="93"/>
        <v>8.4600000000000009</v>
      </c>
      <c r="I372" s="121">
        <f t="shared" si="93"/>
        <v>10.71</v>
      </c>
      <c r="J372" s="121">
        <f t="shared" si="93"/>
        <v>15.61</v>
      </c>
      <c r="K372" s="121">
        <f t="shared" si="93"/>
        <v>12.42</v>
      </c>
      <c r="L372" s="121">
        <f t="shared" si="93"/>
        <v>12.55</v>
      </c>
      <c r="M372" s="121">
        <f t="shared" si="93"/>
        <v>0.04</v>
      </c>
      <c r="N372" s="121">
        <f t="shared" si="93"/>
        <v>-0.01</v>
      </c>
      <c r="O372" s="242">
        <f t="shared" ref="O372:O379" si="94">SUM(C372:N372)</f>
        <v>91.85</v>
      </c>
    </row>
    <row r="373" spans="1:15" x14ac:dyDescent="0.2">
      <c r="A373" s="133" t="s">
        <v>110</v>
      </c>
      <c r="B373" s="133" t="s">
        <v>106</v>
      </c>
      <c r="C373" s="121">
        <f>C15+C29</f>
        <v>29702.71</v>
      </c>
      <c r="D373" s="121">
        <f t="shared" ref="D373:N373" si="95">D15+D29</f>
        <v>30203.96</v>
      </c>
      <c r="E373" s="121">
        <f t="shared" si="95"/>
        <v>20533.43</v>
      </c>
      <c r="F373" s="121">
        <f t="shared" si="95"/>
        <v>20039.02</v>
      </c>
      <c r="G373" s="121">
        <f t="shared" si="95"/>
        <v>24166.879999999997</v>
      </c>
      <c r="H373" s="121">
        <f t="shared" si="95"/>
        <v>28167.9</v>
      </c>
      <c r="I373" s="121">
        <f t="shared" si="95"/>
        <v>33694.44</v>
      </c>
      <c r="J373" s="121">
        <f t="shared" si="95"/>
        <v>40352.229999999996</v>
      </c>
      <c r="K373" s="121">
        <f t="shared" si="95"/>
        <v>39034.630000000005</v>
      </c>
      <c r="L373" s="121">
        <f t="shared" si="95"/>
        <v>28176.730000000003</v>
      </c>
      <c r="M373" s="121">
        <f t="shared" si="95"/>
        <v>25529.89</v>
      </c>
      <c r="N373" s="121">
        <f t="shared" si="95"/>
        <v>27074.22</v>
      </c>
      <c r="O373" s="242">
        <f t="shared" si="94"/>
        <v>346676.04000000004</v>
      </c>
    </row>
    <row r="374" spans="1:15" x14ac:dyDescent="0.2">
      <c r="A374" s="133" t="s">
        <v>111</v>
      </c>
      <c r="B374" s="133" t="s">
        <v>112</v>
      </c>
      <c r="C374" s="121">
        <f>C49</f>
        <v>4635.26</v>
      </c>
      <c r="D374" s="121">
        <f t="shared" ref="D374:N374" si="96">D49</f>
        <v>4757.24</v>
      </c>
      <c r="E374" s="121">
        <f t="shared" si="96"/>
        <v>3051.11</v>
      </c>
      <c r="F374" s="121">
        <f t="shared" si="96"/>
        <v>2628.15</v>
      </c>
      <c r="G374" s="121">
        <f t="shared" si="96"/>
        <v>2611.3000000000002</v>
      </c>
      <c r="H374" s="121">
        <f t="shared" si="96"/>
        <v>3432.05</v>
      </c>
      <c r="I374" s="121">
        <f t="shared" si="96"/>
        <v>4732.04</v>
      </c>
      <c r="J374" s="121">
        <f t="shared" si="96"/>
        <v>5596.5</v>
      </c>
      <c r="K374" s="121">
        <f t="shared" si="96"/>
        <v>4963.7299999999996</v>
      </c>
      <c r="L374" s="121">
        <f t="shared" si="96"/>
        <v>3432.43</v>
      </c>
      <c r="M374" s="121">
        <f t="shared" si="96"/>
        <v>3258.12</v>
      </c>
      <c r="N374" s="121">
        <f t="shared" si="96"/>
        <v>3979.08</v>
      </c>
      <c r="O374" s="242">
        <f t="shared" si="94"/>
        <v>47077.010000000009</v>
      </c>
    </row>
    <row r="375" spans="1:15" x14ac:dyDescent="0.2">
      <c r="A375" s="133" t="s">
        <v>113</v>
      </c>
      <c r="B375" s="133" t="s">
        <v>114</v>
      </c>
      <c r="C375" s="121">
        <f>C69</f>
        <v>33886.67</v>
      </c>
      <c r="D375" s="121">
        <f t="shared" ref="D375:N375" si="97">D69</f>
        <v>31989.03</v>
      </c>
      <c r="E375" s="121">
        <f t="shared" si="97"/>
        <v>22677.98</v>
      </c>
      <c r="F375" s="121">
        <f t="shared" si="97"/>
        <v>24707.45</v>
      </c>
      <c r="G375" s="121">
        <f t="shared" si="97"/>
        <v>27851.97</v>
      </c>
      <c r="H375" s="121">
        <f t="shared" si="97"/>
        <v>31793.919999999998</v>
      </c>
      <c r="I375" s="121">
        <f t="shared" si="97"/>
        <v>35763.85</v>
      </c>
      <c r="J375" s="121">
        <f t="shared" si="97"/>
        <v>39185.4</v>
      </c>
      <c r="K375" s="121">
        <f t="shared" si="97"/>
        <v>39019.440000000002</v>
      </c>
      <c r="L375" s="121">
        <f t="shared" si="97"/>
        <v>30558.18</v>
      </c>
      <c r="M375" s="121">
        <f t="shared" si="97"/>
        <v>29399.23</v>
      </c>
      <c r="N375" s="121">
        <f t="shared" si="97"/>
        <v>30995.56</v>
      </c>
      <c r="O375" s="242">
        <f t="shared" si="94"/>
        <v>377828.67999999993</v>
      </c>
    </row>
    <row r="376" spans="1:15" x14ac:dyDescent="0.2">
      <c r="A376" s="133" t="s">
        <v>115</v>
      </c>
      <c r="B376" s="133" t="s">
        <v>116</v>
      </c>
      <c r="C376" s="121">
        <f>C81</f>
        <v>7635.71</v>
      </c>
      <c r="D376" s="121">
        <f t="shared" ref="D376:N376" si="98">D81</f>
        <v>7008.5</v>
      </c>
      <c r="E376" s="121">
        <f t="shared" si="98"/>
        <v>4471.1899999999996</v>
      </c>
      <c r="F376" s="121">
        <f t="shared" si="98"/>
        <v>5115.42</v>
      </c>
      <c r="G376" s="121">
        <f t="shared" si="98"/>
        <v>6890.51</v>
      </c>
      <c r="H376" s="121">
        <f t="shared" si="98"/>
        <v>4192.17</v>
      </c>
      <c r="I376" s="121">
        <f t="shared" si="98"/>
        <v>8646.48</v>
      </c>
      <c r="J376" s="121">
        <f t="shared" si="98"/>
        <v>9130.58</v>
      </c>
      <c r="K376" s="121">
        <f t="shared" si="98"/>
        <v>8669.0400000000009</v>
      </c>
      <c r="L376" s="121">
        <f t="shared" si="98"/>
        <v>6802.9</v>
      </c>
      <c r="M376" s="121">
        <f t="shared" si="98"/>
        <v>6643.22</v>
      </c>
      <c r="N376" s="121">
        <f t="shared" si="98"/>
        <v>5705.79</v>
      </c>
      <c r="O376" s="242">
        <f t="shared" si="94"/>
        <v>80911.509999999995</v>
      </c>
    </row>
    <row r="377" spans="1:15" x14ac:dyDescent="0.2">
      <c r="A377" s="133" t="s">
        <v>117</v>
      </c>
      <c r="B377" s="133" t="s">
        <v>118</v>
      </c>
      <c r="C377" s="121">
        <f>C136</f>
        <v>11866.53</v>
      </c>
      <c r="D377" s="121">
        <f t="shared" ref="D377:N377" si="99">D136</f>
        <v>10724.76</v>
      </c>
      <c r="E377" s="121">
        <f t="shared" si="99"/>
        <v>8191.05</v>
      </c>
      <c r="F377" s="121">
        <f t="shared" si="99"/>
        <v>9419.2900000000009</v>
      </c>
      <c r="G377" s="121">
        <f t="shared" si="99"/>
        <v>11489.95</v>
      </c>
      <c r="H377" s="121">
        <f t="shared" si="99"/>
        <v>12180.73</v>
      </c>
      <c r="I377" s="121">
        <f t="shared" si="99"/>
        <v>13458.51</v>
      </c>
      <c r="J377" s="121">
        <f t="shared" si="99"/>
        <v>15218.42</v>
      </c>
      <c r="K377" s="121">
        <f t="shared" si="99"/>
        <v>15241.47</v>
      </c>
      <c r="L377" s="121">
        <f t="shared" si="99"/>
        <v>11903.98</v>
      </c>
      <c r="M377" s="121">
        <f t="shared" si="99"/>
        <v>12916.23</v>
      </c>
      <c r="N377" s="121">
        <f t="shared" si="99"/>
        <v>12785.1</v>
      </c>
      <c r="O377" s="242">
        <f t="shared" si="94"/>
        <v>145396.01999999999</v>
      </c>
    </row>
    <row r="378" spans="1:15" x14ac:dyDescent="0.2">
      <c r="A378" s="133" t="s">
        <v>222</v>
      </c>
      <c r="B378" s="133" t="s">
        <v>223</v>
      </c>
      <c r="C378" s="121">
        <f>C91+C101+C111+C121+C170+C187</f>
        <v>1226.44</v>
      </c>
      <c r="D378" s="121">
        <f t="shared" ref="D378:N378" si="100">D91+D101+D111+D121+D170+D187</f>
        <v>1092.26</v>
      </c>
      <c r="E378" s="121">
        <f t="shared" si="100"/>
        <v>890.64</v>
      </c>
      <c r="F378" s="121">
        <f t="shared" si="100"/>
        <v>933.54</v>
      </c>
      <c r="G378" s="121">
        <f t="shared" si="100"/>
        <v>1169.4499999999998</v>
      </c>
      <c r="H378" s="121">
        <f t="shared" si="100"/>
        <v>1335.9299999999998</v>
      </c>
      <c r="I378" s="121">
        <f t="shared" si="100"/>
        <v>1575.3300000000002</v>
      </c>
      <c r="J378" s="121">
        <f t="shared" si="100"/>
        <v>1592.6399999999999</v>
      </c>
      <c r="K378" s="121">
        <f t="shared" si="100"/>
        <v>1544.6299999999999</v>
      </c>
      <c r="L378" s="121">
        <f t="shared" si="100"/>
        <v>1259.2</v>
      </c>
      <c r="M378" s="121">
        <f t="shared" si="100"/>
        <v>1346.3100000000002</v>
      </c>
      <c r="N378" s="121">
        <f t="shared" si="100"/>
        <v>1367.38</v>
      </c>
      <c r="O378" s="242">
        <f t="shared" si="94"/>
        <v>15333.749999999996</v>
      </c>
    </row>
    <row r="379" spans="1:15" x14ac:dyDescent="0.2">
      <c r="A379" s="244" t="s">
        <v>39</v>
      </c>
      <c r="B379" s="244"/>
      <c r="C379" s="245">
        <f t="shared" ref="C379:N379" si="101">SUM(C371:C378)</f>
        <v>442517.35000000009</v>
      </c>
      <c r="D379" s="245">
        <f t="shared" si="101"/>
        <v>463760.7300000001</v>
      </c>
      <c r="E379" s="245">
        <f t="shared" si="101"/>
        <v>296834.77999999997</v>
      </c>
      <c r="F379" s="245">
        <f t="shared" si="101"/>
        <v>255524.83000000002</v>
      </c>
      <c r="G379" s="245">
        <f t="shared" si="101"/>
        <v>256946.26000000004</v>
      </c>
      <c r="H379" s="245">
        <f t="shared" si="101"/>
        <v>304132.68999999994</v>
      </c>
      <c r="I379" s="245">
        <f t="shared" si="101"/>
        <v>388375.14</v>
      </c>
      <c r="J379" s="245">
        <f t="shared" si="101"/>
        <v>440577.82</v>
      </c>
      <c r="K379" s="245">
        <f t="shared" si="101"/>
        <v>410472.25999999995</v>
      </c>
      <c r="L379" s="245">
        <f t="shared" si="101"/>
        <v>296459.41000000003</v>
      </c>
      <c r="M379" s="245">
        <f t="shared" si="101"/>
        <v>314313.25999999995</v>
      </c>
      <c r="N379" s="245">
        <f t="shared" si="101"/>
        <v>379854.19</v>
      </c>
      <c r="O379" s="245">
        <f t="shared" si="94"/>
        <v>4249768.72</v>
      </c>
    </row>
  </sheetData>
  <pageMargins left="0.7" right="0.7" top="0.75" bottom="0.75" header="0.3" footer="0.3"/>
  <pageSetup orientation="portrait" r:id="rId1"/>
  <ignoredErrors>
    <ignoredError sqref="O4" numberStoredAsText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5" tint="0.39997558519241921"/>
    <pageSetUpPr fitToPage="1"/>
  </sheetPr>
  <dimension ref="A1:I16"/>
  <sheetViews>
    <sheetView zoomScale="82" zoomScaleNormal="100" workbookViewId="0">
      <selection activeCell="H49" sqref="H49"/>
    </sheetView>
  </sheetViews>
  <sheetFormatPr defaultRowHeight="12.75" x14ac:dyDescent="0.2"/>
  <cols>
    <col min="1" max="1" width="9.140625" style="127"/>
    <col min="2" max="2" width="39.140625" bestFit="1" customWidth="1"/>
    <col min="5" max="5" width="39.140625" bestFit="1" customWidth="1"/>
    <col min="8" max="8" width="36.7109375" bestFit="1" customWidth="1"/>
  </cols>
  <sheetData>
    <row r="1" spans="1:9" x14ac:dyDescent="0.2">
      <c r="A1" s="166" t="str">
        <f>'Present and Proposed Rates'!A1</f>
        <v>Clark Energy Cooperative</v>
      </c>
    </row>
    <row r="2" spans="1:9" x14ac:dyDescent="0.2">
      <c r="A2" s="166" t="s">
        <v>87</v>
      </c>
    </row>
    <row r="3" spans="1:9" x14ac:dyDescent="0.2">
      <c r="A3" s="126"/>
    </row>
    <row r="4" spans="1:9" x14ac:dyDescent="0.2">
      <c r="A4" s="126" t="s">
        <v>76</v>
      </c>
      <c r="B4" s="113" t="s">
        <v>4</v>
      </c>
      <c r="C4" s="193" t="s">
        <v>32</v>
      </c>
    </row>
    <row r="6" spans="1:9" x14ac:dyDescent="0.2">
      <c r="A6" s="127">
        <v>1</v>
      </c>
      <c r="B6" s="125" t="s">
        <v>107</v>
      </c>
      <c r="C6" s="126" t="s">
        <v>89</v>
      </c>
      <c r="F6" s="125"/>
      <c r="H6" s="125"/>
      <c r="I6" s="125"/>
    </row>
    <row r="7" spans="1:9" x14ac:dyDescent="0.2">
      <c r="A7" s="127">
        <v>2</v>
      </c>
      <c r="B7" s="125" t="s">
        <v>243</v>
      </c>
      <c r="C7" s="126" t="s">
        <v>109</v>
      </c>
      <c r="F7" s="125"/>
      <c r="H7" s="125"/>
    </row>
    <row r="8" spans="1:9" x14ac:dyDescent="0.2">
      <c r="A8" s="127">
        <v>3</v>
      </c>
      <c r="B8" s="125" t="s">
        <v>110</v>
      </c>
      <c r="C8" s="126" t="s">
        <v>106</v>
      </c>
      <c r="H8" s="125"/>
    </row>
    <row r="9" spans="1:9" x14ac:dyDescent="0.2">
      <c r="A9" s="127">
        <v>4</v>
      </c>
      <c r="B9" s="125" t="s">
        <v>111</v>
      </c>
      <c r="C9" s="126" t="s">
        <v>112</v>
      </c>
      <c r="H9" s="125"/>
      <c r="I9" s="125"/>
    </row>
    <row r="10" spans="1:9" x14ac:dyDescent="0.2">
      <c r="A10" s="127">
        <v>5</v>
      </c>
      <c r="B10" s="125" t="s">
        <v>113</v>
      </c>
      <c r="C10" s="126" t="s">
        <v>114</v>
      </c>
      <c r="H10" s="125"/>
      <c r="I10" s="125"/>
    </row>
    <row r="11" spans="1:9" x14ac:dyDescent="0.2">
      <c r="A11" s="127">
        <v>6</v>
      </c>
      <c r="B11" s="125" t="s">
        <v>115</v>
      </c>
      <c r="C11" s="126" t="s">
        <v>116</v>
      </c>
      <c r="H11" s="125"/>
      <c r="I11" s="125"/>
    </row>
    <row r="12" spans="1:9" x14ac:dyDescent="0.2">
      <c r="A12" s="127">
        <v>7</v>
      </c>
      <c r="B12" s="125" t="s">
        <v>117</v>
      </c>
      <c r="C12" s="126" t="s">
        <v>118</v>
      </c>
      <c r="H12" s="125"/>
    </row>
    <row r="13" spans="1:9" x14ac:dyDescent="0.2">
      <c r="A13" s="127">
        <v>8</v>
      </c>
      <c r="B13" s="125" t="s">
        <v>274</v>
      </c>
      <c r="C13" s="126" t="s">
        <v>273</v>
      </c>
      <c r="H13" s="125"/>
    </row>
    <row r="14" spans="1:9" x14ac:dyDescent="0.2">
      <c r="A14" s="127">
        <v>9</v>
      </c>
      <c r="B14" s="125" t="s">
        <v>222</v>
      </c>
      <c r="C14" s="126" t="s">
        <v>223</v>
      </c>
      <c r="H14" s="125"/>
    </row>
    <row r="15" spans="1:9" x14ac:dyDescent="0.2">
      <c r="B15" s="125"/>
      <c r="C15" s="126"/>
      <c r="H15" s="125"/>
    </row>
    <row r="16" spans="1:9" x14ac:dyDescent="0.2">
      <c r="C16" s="1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V133"/>
  <sheetViews>
    <sheetView view="pageBreakPreview" zoomScale="75" zoomScaleNormal="85" zoomScaleSheetLayoutView="75" workbookViewId="0">
      <selection sqref="A1:XFD1048576"/>
    </sheetView>
  </sheetViews>
  <sheetFormatPr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6.42578125" style="2" customWidth="1"/>
    <col min="8" max="8" width="2.7109375" style="2" customWidth="1"/>
    <col min="9" max="10" width="16.42578125" style="2" customWidth="1"/>
    <col min="11" max="12" width="2.85546875" style="2" customWidth="1"/>
    <col min="13" max="13" width="4.7109375" style="2" customWidth="1"/>
    <col min="14" max="14" width="15.85546875" style="2" customWidth="1"/>
    <col min="15" max="15" width="3" style="2" customWidth="1"/>
    <col min="16" max="16" width="15.7109375" style="2" customWidth="1"/>
    <col min="17" max="17" width="15.140625" style="2" customWidth="1"/>
    <col min="18" max="18" width="2.42578125" style="2" customWidth="1"/>
    <col min="19" max="19" width="17.42578125" style="2" customWidth="1"/>
    <col min="20" max="20" width="14.7109375" style="2" customWidth="1"/>
    <col min="21" max="21" width="7.140625" style="2" bestFit="1" customWidth="1"/>
    <col min="22" max="22" width="14.28515625" style="2" bestFit="1" customWidth="1"/>
    <col min="23" max="23" width="11.42578125" style="2" bestFit="1" customWidth="1"/>
    <col min="24" max="16384" width="9.140625" style="2"/>
  </cols>
  <sheetData>
    <row r="1" spans="1:22" x14ac:dyDescent="0.25">
      <c r="A1" s="1" t="str">
        <f>'Present and Proposed Rates'!A1</f>
        <v>Clark Energy Cooperative</v>
      </c>
      <c r="N1" s="1"/>
    </row>
    <row r="2" spans="1:22" x14ac:dyDescent="0.25">
      <c r="A2" s="1" t="str">
        <f>List!B6</f>
        <v>Residential</v>
      </c>
    </row>
    <row r="3" spans="1:22" ht="16.5" thickBot="1" x14ac:dyDescent="0.3">
      <c r="A3" s="128" t="str">
        <f>List!C6</f>
        <v>R</v>
      </c>
    </row>
    <row r="4" spans="1:22" x14ac:dyDescent="0.25">
      <c r="D4" s="326" t="s">
        <v>17</v>
      </c>
      <c r="E4" s="327"/>
      <c r="F4" s="327"/>
      <c r="G4" s="328"/>
      <c r="H4" s="3"/>
      <c r="I4" s="326" t="s">
        <v>62</v>
      </c>
      <c r="J4" s="328"/>
      <c r="K4" s="87"/>
      <c r="L4" s="3"/>
      <c r="P4" s="326" t="s">
        <v>45</v>
      </c>
      <c r="Q4" s="327"/>
      <c r="R4" s="327"/>
      <c r="S4" s="328"/>
    </row>
    <row r="5" spans="1:22" ht="16.5" thickBot="1" x14ac:dyDescent="0.3">
      <c r="A5" s="34"/>
      <c r="B5" s="41"/>
      <c r="C5" s="3"/>
      <c r="D5" s="329"/>
      <c r="E5" s="330"/>
      <c r="F5" s="330"/>
      <c r="G5" s="331"/>
      <c r="H5" s="3"/>
      <c r="I5" s="329"/>
      <c r="J5" s="331"/>
      <c r="K5" s="87"/>
      <c r="L5" s="3"/>
      <c r="M5" s="34"/>
      <c r="N5" s="41"/>
      <c r="O5" s="3"/>
      <c r="P5" s="329"/>
      <c r="Q5" s="330"/>
      <c r="R5" s="330"/>
      <c r="S5" s="331"/>
    </row>
    <row r="6" spans="1:22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88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22" ht="16.5" thickBot="1" x14ac:dyDescent="0.3">
      <c r="A7" s="5"/>
      <c r="B7" s="5"/>
      <c r="C7" s="5"/>
      <c r="D7" s="5" t="s">
        <v>3</v>
      </c>
      <c r="E7" s="330" t="s">
        <v>4</v>
      </c>
      <c r="F7" s="330"/>
      <c r="G7" s="5" t="s">
        <v>5</v>
      </c>
      <c r="H7" s="5"/>
      <c r="I7" s="5" t="s">
        <v>4</v>
      </c>
      <c r="J7" s="5" t="s">
        <v>5</v>
      </c>
      <c r="K7" s="89"/>
      <c r="L7" s="5"/>
      <c r="M7" s="5"/>
      <c r="N7" s="5"/>
      <c r="O7" s="5"/>
      <c r="P7" s="5" t="s">
        <v>3</v>
      </c>
      <c r="Q7" s="330" t="s">
        <v>4</v>
      </c>
      <c r="R7" s="330"/>
      <c r="S7" s="5" t="s">
        <v>5</v>
      </c>
      <c r="T7" s="5" t="s">
        <v>30</v>
      </c>
      <c r="U7" s="5" t="s">
        <v>35</v>
      </c>
    </row>
    <row r="8" spans="1:22" x14ac:dyDescent="0.25">
      <c r="K8" s="90"/>
    </row>
    <row r="9" spans="1:22" x14ac:dyDescent="0.25">
      <c r="A9" s="63" t="s">
        <v>19</v>
      </c>
      <c r="K9" s="90"/>
      <c r="M9" s="63" t="s">
        <v>8</v>
      </c>
    </row>
    <row r="10" spans="1:22" x14ac:dyDescent="0.25">
      <c r="D10" s="99" t="s">
        <v>49</v>
      </c>
      <c r="E10" s="99" t="s">
        <v>50</v>
      </c>
      <c r="I10" s="99" t="s">
        <v>50</v>
      </c>
      <c r="K10" s="90"/>
      <c r="P10" s="6" t="s">
        <v>49</v>
      </c>
      <c r="Q10" s="6" t="s">
        <v>50</v>
      </c>
    </row>
    <row r="11" spans="1:22" x14ac:dyDescent="0.25">
      <c r="B11" s="2" t="s">
        <v>92</v>
      </c>
      <c r="D11" s="7">
        <f>225215+2846+80273</f>
        <v>308334</v>
      </c>
      <c r="E11" s="8">
        <f>'Present and Proposed Rates'!F11</f>
        <v>18.62</v>
      </c>
      <c r="G11" s="10">
        <f>D11*E11</f>
        <v>5741179.0800000001</v>
      </c>
      <c r="H11" s="10"/>
      <c r="I11" s="8">
        <f>'Present and Proposed Rates'!G11</f>
        <v>18.62</v>
      </c>
      <c r="J11" s="10">
        <f>I11*D11</f>
        <v>5741179.0800000001</v>
      </c>
      <c r="K11" s="91"/>
      <c r="L11" s="10"/>
      <c r="N11" s="2" t="s">
        <v>56</v>
      </c>
      <c r="P11" s="7">
        <f>D11</f>
        <v>308334</v>
      </c>
      <c r="Q11" s="8">
        <f>'Present and Proposed Rates'!H11</f>
        <v>33</v>
      </c>
      <c r="S11" s="10">
        <f>P11*Q11</f>
        <v>10175022</v>
      </c>
      <c r="T11" s="10">
        <f>S11-J11</f>
        <v>4433842.92</v>
      </c>
      <c r="U11" s="315">
        <f>IF(J11=0,0,T11/J11)</f>
        <v>0.7722878625134264</v>
      </c>
    </row>
    <row r="12" spans="1:22" x14ac:dyDescent="0.25">
      <c r="D12" s="7"/>
      <c r="G12" s="10"/>
      <c r="H12" s="10"/>
      <c r="J12" s="10"/>
      <c r="K12" s="91"/>
      <c r="L12" s="10"/>
      <c r="P12" s="7"/>
      <c r="S12" s="10"/>
      <c r="V12" s="15"/>
    </row>
    <row r="13" spans="1:22" x14ac:dyDescent="0.25">
      <c r="A13" s="1" t="s">
        <v>6</v>
      </c>
      <c r="D13" s="7"/>
      <c r="G13" s="10"/>
      <c r="H13" s="10"/>
      <c r="J13" s="10"/>
      <c r="K13" s="91"/>
      <c r="L13" s="10"/>
      <c r="M13" s="1" t="s">
        <v>6</v>
      </c>
      <c r="P13" s="7"/>
      <c r="S13" s="10"/>
    </row>
    <row r="14" spans="1:22" x14ac:dyDescent="0.25">
      <c r="D14" s="100" t="s">
        <v>7</v>
      </c>
      <c r="E14" s="101" t="s">
        <v>9</v>
      </c>
      <c r="G14" s="10"/>
      <c r="H14" s="10"/>
      <c r="I14" s="101" t="s">
        <v>9</v>
      </c>
      <c r="J14" s="10"/>
      <c r="K14" s="91"/>
      <c r="L14" s="10"/>
      <c r="P14" s="12" t="s">
        <v>7</v>
      </c>
      <c r="Q14" s="11" t="s">
        <v>9</v>
      </c>
      <c r="S14" s="10"/>
    </row>
    <row r="15" spans="1:22" x14ac:dyDescent="0.25">
      <c r="B15" s="2" t="s">
        <v>81</v>
      </c>
      <c r="D15" s="7">
        <f>253437984+3101204+64833848</f>
        <v>321373036</v>
      </c>
      <c r="E15" s="24">
        <f>'Present and Proposed Rates'!F12*9/12+'Present and Proposed Rates'!G12*3/12</f>
        <v>9.2395000000000005E-2</v>
      </c>
      <c r="G15" s="10">
        <f>D15*E15</f>
        <v>29693261.661220003</v>
      </c>
      <c r="H15" s="10"/>
      <c r="I15" s="24">
        <f>'Present and Proposed Rates'!G12</f>
        <v>0.10123</v>
      </c>
      <c r="J15" s="10">
        <f>D15*I15</f>
        <v>32532592.434280001</v>
      </c>
      <c r="K15" s="91"/>
      <c r="L15" s="10"/>
      <c r="N15" s="2" t="s">
        <v>81</v>
      </c>
      <c r="P15" s="7">
        <f>D15</f>
        <v>321373036</v>
      </c>
      <c r="Q15" s="24">
        <f>'Present and Proposed Rates'!H12</f>
        <v>9.6210000000000004E-2</v>
      </c>
      <c r="S15" s="10">
        <f>P15*Q15</f>
        <v>30919299.793560002</v>
      </c>
      <c r="T15" s="10">
        <f>S15-J15</f>
        <v>-1613292.6407199986</v>
      </c>
      <c r="U15" s="315">
        <f>IF(J15=0,0,T15/J15)</f>
        <v>-4.959004247752638E-2</v>
      </c>
    </row>
    <row r="16" spans="1:22" x14ac:dyDescent="0.25">
      <c r="A16" s="1"/>
      <c r="B16" s="1"/>
      <c r="C16" s="59"/>
      <c r="D16" s="187"/>
      <c r="E16" s="24"/>
      <c r="G16" s="10"/>
      <c r="H16" s="10"/>
      <c r="I16" s="10"/>
      <c r="J16" s="10"/>
      <c r="K16" s="91"/>
      <c r="L16" s="10"/>
      <c r="M16" s="1"/>
      <c r="N16" s="1"/>
      <c r="O16" s="59"/>
      <c r="P16" s="7"/>
      <c r="Q16" s="24"/>
      <c r="S16" s="10"/>
    </row>
    <row r="17" spans="1:21" x14ac:dyDescent="0.25">
      <c r="A17" s="1" t="s">
        <v>54</v>
      </c>
      <c r="B17" s="1"/>
      <c r="C17" s="59"/>
      <c r="D17" s="7"/>
      <c r="E17" s="24"/>
      <c r="G17" s="10"/>
      <c r="H17" s="10"/>
      <c r="I17" s="10"/>
      <c r="J17" s="10"/>
      <c r="K17" s="91"/>
      <c r="L17" s="10"/>
      <c r="M17" s="1" t="s">
        <v>54</v>
      </c>
      <c r="N17" s="1"/>
      <c r="O17" s="59"/>
      <c r="P17" s="7"/>
      <c r="Q17" s="24"/>
      <c r="S17" s="10"/>
    </row>
    <row r="18" spans="1:21" x14ac:dyDescent="0.25">
      <c r="A18" s="1"/>
      <c r="B18" s="2" t="s">
        <v>48</v>
      </c>
      <c r="C18" s="59"/>
      <c r="D18" s="7"/>
      <c r="E18" s="24"/>
      <c r="G18" s="10">
        <f>1804921.32+21898+454496</f>
        <v>2281315.3200000003</v>
      </c>
      <c r="H18" s="10"/>
      <c r="I18" s="10"/>
      <c r="J18" s="10">
        <f>G18+(G15-J15)</f>
        <v>-558015.45305999741</v>
      </c>
      <c r="K18" s="91"/>
      <c r="L18" s="10"/>
      <c r="M18" s="1"/>
      <c r="N18" s="2" t="s">
        <v>48</v>
      </c>
      <c r="O18" s="59"/>
      <c r="P18" s="7"/>
      <c r="Q18" s="24"/>
      <c r="S18" s="10">
        <f>J18</f>
        <v>-558015.45305999741</v>
      </c>
      <c r="T18" s="10">
        <f>S18-J18</f>
        <v>0</v>
      </c>
      <c r="U18" s="315">
        <f>IF(J18=0,0,T18/J18)</f>
        <v>0</v>
      </c>
    </row>
    <row r="19" spans="1:21" x14ac:dyDescent="0.25">
      <c r="A19" s="1"/>
      <c r="B19" s="2" t="s">
        <v>55</v>
      </c>
      <c r="C19" s="59"/>
      <c r="D19" s="7"/>
      <c r="E19" s="24"/>
      <c r="G19" s="10">
        <f>3434354.73+44163+928322</f>
        <v>4406839.7300000004</v>
      </c>
      <c r="H19" s="10"/>
      <c r="I19" s="10"/>
      <c r="J19" s="10">
        <f>G19</f>
        <v>4406839.7300000004</v>
      </c>
      <c r="K19" s="91"/>
      <c r="L19" s="10"/>
      <c r="M19" s="1"/>
      <c r="N19" s="2" t="s">
        <v>55</v>
      </c>
      <c r="O19" s="59"/>
      <c r="P19" s="7"/>
      <c r="Q19" s="24"/>
      <c r="S19" s="10">
        <f t="shared" ref="S19:S20" si="0">J19</f>
        <v>4406839.7300000004</v>
      </c>
      <c r="T19" s="10">
        <f>S19-J19</f>
        <v>0</v>
      </c>
      <c r="U19" s="315">
        <f>IF(J19=0,0,T19/J19)</f>
        <v>0</v>
      </c>
    </row>
    <row r="20" spans="1:21" x14ac:dyDescent="0.25">
      <c r="A20" s="1"/>
      <c r="B20" s="2" t="s">
        <v>261</v>
      </c>
      <c r="C20" s="59"/>
      <c r="D20" s="7">
        <f>G20/E20</f>
        <v>2840</v>
      </c>
      <c r="E20" s="8">
        <v>5</v>
      </c>
      <c r="G20" s="10">
        <v>14200</v>
      </c>
      <c r="H20" s="10"/>
      <c r="I20" s="10"/>
      <c r="J20" s="10">
        <f>G20</f>
        <v>14200</v>
      </c>
      <c r="K20" s="91"/>
      <c r="L20" s="10"/>
      <c r="M20" s="1"/>
      <c r="N20" s="2" t="str">
        <f>B20</f>
        <v>Prepay Chg</v>
      </c>
      <c r="O20" s="59"/>
      <c r="P20" s="7"/>
      <c r="Q20" s="8"/>
      <c r="S20" s="10">
        <f t="shared" si="0"/>
        <v>14200</v>
      </c>
      <c r="T20" s="10">
        <f>S20-J20</f>
        <v>0</v>
      </c>
      <c r="U20" s="315">
        <f>IF(J20=0,0,T20/J20)</f>
        <v>0</v>
      </c>
    </row>
    <row r="21" spans="1:21" x14ac:dyDescent="0.25">
      <c r="A21" s="1"/>
      <c r="C21" s="59"/>
      <c r="D21" s="7"/>
      <c r="E21" s="24"/>
      <c r="G21" s="10"/>
      <c r="H21" s="10"/>
      <c r="I21" s="10"/>
      <c r="J21" s="10"/>
      <c r="K21" s="91"/>
      <c r="L21" s="10"/>
      <c r="M21" s="1"/>
      <c r="O21" s="59"/>
      <c r="P21" s="7"/>
      <c r="Q21" s="24"/>
      <c r="S21" s="10"/>
      <c r="U21" s="315"/>
    </row>
    <row r="22" spans="1:21" ht="16.5" thickBot="1" x14ac:dyDescent="0.3">
      <c r="A22" s="1" t="s">
        <v>37</v>
      </c>
      <c r="G22" s="18">
        <f>SUM(G11:G21)</f>
        <v>42136795.791220009</v>
      </c>
      <c r="H22" s="10"/>
      <c r="I22" s="10"/>
      <c r="J22" s="18">
        <f>SUM(J11:J21)</f>
        <v>42136795.791220009</v>
      </c>
      <c r="K22" s="91"/>
      <c r="L22" s="10"/>
      <c r="M22" s="1" t="s">
        <v>37</v>
      </c>
      <c r="S22" s="18">
        <f>SUM(S11:S21)</f>
        <v>44957346.070500001</v>
      </c>
      <c r="T22" s="10">
        <f>S22-J22</f>
        <v>2820550.279279992</v>
      </c>
      <c r="U22" s="315">
        <f>IF(J22=0,0,T22/J22)</f>
        <v>6.6937939307376251E-2</v>
      </c>
    </row>
    <row r="23" spans="1:21" ht="16.5" thickTop="1" x14ac:dyDescent="0.25">
      <c r="A23" s="1"/>
      <c r="B23" s="1"/>
      <c r="G23" s="10"/>
      <c r="H23" s="10"/>
      <c r="I23" s="10"/>
      <c r="J23" s="10"/>
      <c r="K23" s="91"/>
      <c r="L23" s="10"/>
      <c r="M23" s="1"/>
      <c r="N23" s="1"/>
      <c r="S23" s="10"/>
    </row>
    <row r="24" spans="1:21" x14ac:dyDescent="0.25">
      <c r="A24" s="1" t="s">
        <v>14</v>
      </c>
      <c r="B24" s="9"/>
      <c r="G24" s="10">
        <f>32735300.81552+419560+8850701</f>
        <v>42005561.815520003</v>
      </c>
      <c r="H24" s="10"/>
      <c r="I24" s="10"/>
      <c r="J24" s="10"/>
      <c r="K24" s="91"/>
      <c r="L24" s="10"/>
      <c r="M24" s="1" t="s">
        <v>63</v>
      </c>
      <c r="N24" s="9"/>
      <c r="S24" s="23">
        <f>S22-J22</f>
        <v>2820550.279279992</v>
      </c>
    </row>
    <row r="25" spans="1:21" x14ac:dyDescent="0.25">
      <c r="A25" s="9"/>
      <c r="B25" s="9"/>
      <c r="G25" s="9"/>
      <c r="H25" s="9"/>
      <c r="I25" s="9"/>
      <c r="J25" s="9"/>
      <c r="K25" s="92"/>
      <c r="L25" s="9"/>
      <c r="N25" s="9"/>
      <c r="S25" s="9"/>
    </row>
    <row r="26" spans="1:21" x14ac:dyDescent="0.25">
      <c r="A26" s="1" t="s">
        <v>10</v>
      </c>
      <c r="B26" s="9"/>
      <c r="G26" s="16">
        <f>G22-G24</f>
        <v>131233.97570000589</v>
      </c>
      <c r="H26" s="16"/>
      <c r="I26" s="16"/>
      <c r="J26" s="16">
        <f>J22-G22</f>
        <v>0</v>
      </c>
      <c r="K26" s="93"/>
      <c r="L26" s="98"/>
      <c r="M26" s="1" t="s">
        <v>64</v>
      </c>
      <c r="N26" s="9"/>
      <c r="S26" s="19">
        <f>S24/J22</f>
        <v>6.6937939307376251E-2</v>
      </c>
    </row>
    <row r="27" spans="1:21" x14ac:dyDescent="0.25">
      <c r="A27" s="9"/>
      <c r="B27" s="9"/>
      <c r="G27" s="10"/>
      <c r="H27" s="10"/>
      <c r="I27" s="10"/>
      <c r="J27" s="10"/>
      <c r="K27" s="91"/>
      <c r="L27" s="10"/>
      <c r="N27" s="9"/>
      <c r="S27" s="10"/>
    </row>
    <row r="28" spans="1:21" x14ac:dyDescent="0.25">
      <c r="A28" s="1" t="s">
        <v>16</v>
      </c>
      <c r="B28" s="9"/>
      <c r="G28" s="17">
        <f>G26/G24</f>
        <v>3.1242047487987225E-3</v>
      </c>
      <c r="H28" s="17"/>
      <c r="I28" s="17"/>
      <c r="J28" s="17">
        <f>J26/G24</f>
        <v>0</v>
      </c>
      <c r="K28" s="94"/>
      <c r="L28" s="17"/>
      <c r="M28" s="1" t="s">
        <v>40</v>
      </c>
      <c r="N28" s="9"/>
      <c r="S28" s="27">
        <f>S24/P11</f>
        <v>9.1477108566683913</v>
      </c>
    </row>
    <row r="29" spans="1:21" x14ac:dyDescent="0.25">
      <c r="A29" s="1"/>
      <c r="B29" s="9"/>
      <c r="D29" s="13">
        <f>D15/D11</f>
        <v>1042.2886739704347</v>
      </c>
      <c r="G29" s="17"/>
      <c r="H29" s="17"/>
      <c r="I29" s="17"/>
      <c r="J29" s="17"/>
      <c r="K29" s="17"/>
      <c r="L29" s="17"/>
      <c r="M29" s="1"/>
      <c r="N29" s="9"/>
      <c r="S29" s="17"/>
    </row>
    <row r="30" spans="1:21" x14ac:dyDescent="0.25">
      <c r="A30" s="1"/>
      <c r="B30" s="9"/>
      <c r="C30" s="9"/>
      <c r="D30" s="13"/>
      <c r="E30" s="9"/>
      <c r="F30" s="9"/>
      <c r="G30" s="9"/>
      <c r="H30" s="9"/>
      <c r="I30" s="9"/>
      <c r="J30" s="9"/>
      <c r="K30" s="9"/>
      <c r="L30" s="9"/>
      <c r="M30" s="9"/>
      <c r="N30" s="9"/>
      <c r="S30" s="17"/>
    </row>
    <row r="31" spans="1:21" x14ac:dyDescent="0.25">
      <c r="A31" s="1"/>
      <c r="B31" s="9"/>
      <c r="C31" s="9"/>
      <c r="E31" s="9">
        <f>(G18+G19)/D15</f>
        <v>2.0811189181409732E-2</v>
      </c>
      <c r="F31" s="9"/>
      <c r="G31" s="9"/>
      <c r="H31" s="9"/>
      <c r="I31" s="9"/>
      <c r="J31" s="314">
        <f>(J18+J19)/D15</f>
        <v>1.197618918140974E-2</v>
      </c>
      <c r="K31" s="9"/>
      <c r="L31" s="9"/>
      <c r="M31" s="9"/>
      <c r="N31" s="9"/>
      <c r="S31" s="17"/>
    </row>
    <row r="32" spans="1:21" x14ac:dyDescent="0.25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S32" s="17"/>
    </row>
    <row r="33" spans="1:20" x14ac:dyDescent="0.25">
      <c r="A33" s="1"/>
      <c r="B33" s="9"/>
      <c r="G33" s="17"/>
      <c r="H33" s="17"/>
      <c r="I33" s="17"/>
      <c r="J33" s="17"/>
      <c r="K33" s="17"/>
      <c r="L33" s="17"/>
      <c r="M33" s="1"/>
      <c r="N33" s="9"/>
      <c r="S33" s="17"/>
    </row>
    <row r="34" spans="1:20" x14ac:dyDescent="0.25">
      <c r="A34" s="1"/>
      <c r="B34" s="9"/>
      <c r="G34" s="17"/>
      <c r="H34" s="17"/>
      <c r="I34" s="17"/>
      <c r="J34" s="98">
        <f>J11+J15</f>
        <v>38273771.514279999</v>
      </c>
      <c r="K34" s="17"/>
      <c r="L34" s="17"/>
      <c r="M34" s="1"/>
      <c r="N34" s="9"/>
      <c r="S34" s="17"/>
    </row>
    <row r="35" spans="1:20" ht="18.75" customHeight="1" x14ac:dyDescent="0.25">
      <c r="A35" s="1"/>
      <c r="B35" s="10"/>
      <c r="G35" s="17"/>
      <c r="H35" s="17"/>
      <c r="I35" s="17"/>
      <c r="J35" s="17"/>
      <c r="K35" s="17"/>
      <c r="L35" s="17"/>
    </row>
    <row r="36" spans="1:20" x14ac:dyDescent="0.25">
      <c r="E36" s="10"/>
    </row>
    <row r="41" spans="1:20" x14ac:dyDescent="0.25">
      <c r="T41" s="46"/>
    </row>
    <row r="42" spans="1:20" x14ac:dyDescent="0.25">
      <c r="T42" s="46"/>
    </row>
    <row r="43" spans="1:20" x14ac:dyDescent="0.25">
      <c r="T43" s="46"/>
    </row>
    <row r="44" spans="1:20" x14ac:dyDescent="0.25">
      <c r="T44" s="46"/>
    </row>
    <row r="45" spans="1:20" x14ac:dyDescent="0.25">
      <c r="T45" s="46"/>
    </row>
    <row r="46" spans="1:20" x14ac:dyDescent="0.25">
      <c r="T46" s="46"/>
    </row>
    <row r="47" spans="1:20" x14ac:dyDescent="0.25">
      <c r="T47" s="46"/>
    </row>
    <row r="48" spans="1:20" x14ac:dyDescent="0.25">
      <c r="T48" s="46"/>
    </row>
    <row r="49" spans="20:20" x14ac:dyDescent="0.25">
      <c r="T49" s="46"/>
    </row>
    <row r="50" spans="20:20" ht="16.5" customHeight="1" x14ac:dyDescent="0.25">
      <c r="T50" s="46"/>
    </row>
    <row r="51" spans="20:20" x14ac:dyDescent="0.25">
      <c r="T51" s="46"/>
    </row>
    <row r="52" spans="20:20" x14ac:dyDescent="0.25">
      <c r="T52" s="46"/>
    </row>
    <row r="55" spans="20:20" x14ac:dyDescent="0.25">
      <c r="T55" s="32"/>
    </row>
    <row r="56" spans="20:20" x14ac:dyDescent="0.25">
      <c r="T56" s="32"/>
    </row>
    <row r="58" spans="20:20" x14ac:dyDescent="0.25">
      <c r="T58" s="32"/>
    </row>
    <row r="59" spans="20:20" x14ac:dyDescent="0.25">
      <c r="T59" s="32"/>
    </row>
    <row r="60" spans="20:20" x14ac:dyDescent="0.25">
      <c r="T60" s="32"/>
    </row>
    <row r="61" spans="20:20" x14ac:dyDescent="0.25">
      <c r="T61" s="32"/>
    </row>
    <row r="62" spans="20:20" x14ac:dyDescent="0.25">
      <c r="T62" s="32"/>
    </row>
    <row r="63" spans="20:20" x14ac:dyDescent="0.25">
      <c r="T63" s="32"/>
    </row>
    <row r="64" spans="20:20" x14ac:dyDescent="0.25">
      <c r="T64" s="32"/>
    </row>
    <row r="65" spans="20:20" x14ac:dyDescent="0.25">
      <c r="T65" s="32"/>
    </row>
    <row r="66" spans="20:20" x14ac:dyDescent="0.25">
      <c r="T66" s="32"/>
    </row>
    <row r="67" spans="20:20" x14ac:dyDescent="0.25">
      <c r="T67" s="32"/>
    </row>
    <row r="68" spans="20:20" x14ac:dyDescent="0.25">
      <c r="T68" s="32"/>
    </row>
    <row r="69" spans="20:20" x14ac:dyDescent="0.25">
      <c r="T69" s="32"/>
    </row>
    <row r="70" spans="20:20" x14ac:dyDescent="0.25">
      <c r="T70" s="47"/>
    </row>
    <row r="71" spans="20:20" x14ac:dyDescent="0.25">
      <c r="T71" s="47"/>
    </row>
    <row r="72" spans="20:20" x14ac:dyDescent="0.25">
      <c r="T72" s="47"/>
    </row>
    <row r="73" spans="20:20" x14ac:dyDescent="0.25">
      <c r="T73" s="47"/>
    </row>
    <row r="74" spans="20:20" x14ac:dyDescent="0.25">
      <c r="T74" s="47"/>
    </row>
    <row r="75" spans="20:20" x14ac:dyDescent="0.25">
      <c r="T75" s="47"/>
    </row>
    <row r="76" spans="20:20" x14ac:dyDescent="0.25">
      <c r="T76" s="47"/>
    </row>
    <row r="77" spans="20:20" x14ac:dyDescent="0.25">
      <c r="T77" s="47"/>
    </row>
    <row r="78" spans="20:20" x14ac:dyDescent="0.25">
      <c r="T78" s="47"/>
    </row>
    <row r="79" spans="20:20" x14ac:dyDescent="0.25">
      <c r="T79" s="47"/>
    </row>
    <row r="80" spans="20:20" x14ac:dyDescent="0.25">
      <c r="T80" s="47"/>
    </row>
    <row r="81" spans="20:20" x14ac:dyDescent="0.25">
      <c r="T81" s="47"/>
    </row>
    <row r="82" spans="20:20" x14ac:dyDescent="0.25">
      <c r="T82" s="47"/>
    </row>
    <row r="83" spans="20:20" ht="15" customHeight="1" x14ac:dyDescent="0.25">
      <c r="T83" s="47"/>
    </row>
    <row r="84" spans="20:20" x14ac:dyDescent="0.25">
      <c r="T84" s="47"/>
    </row>
    <row r="85" spans="20:20" x14ac:dyDescent="0.25">
      <c r="T85" s="47"/>
    </row>
    <row r="86" spans="20:20" x14ac:dyDescent="0.25">
      <c r="T86" s="47"/>
    </row>
    <row r="87" spans="20:20" x14ac:dyDescent="0.25">
      <c r="T87" s="47"/>
    </row>
    <row r="88" spans="20:20" x14ac:dyDescent="0.25">
      <c r="T88" s="47"/>
    </row>
    <row r="89" spans="20:20" x14ac:dyDescent="0.25">
      <c r="T89" s="47"/>
    </row>
    <row r="90" spans="20:20" x14ac:dyDescent="0.25">
      <c r="T90" s="47"/>
    </row>
    <row r="91" spans="20:20" x14ac:dyDescent="0.25">
      <c r="T91" s="47"/>
    </row>
    <row r="92" spans="20:20" x14ac:dyDescent="0.25">
      <c r="T92" s="47"/>
    </row>
    <row r="93" spans="20:20" x14ac:dyDescent="0.25">
      <c r="T93" s="47"/>
    </row>
    <row r="94" spans="20:20" x14ac:dyDescent="0.25">
      <c r="T94" s="47"/>
    </row>
    <row r="95" spans="20:20" x14ac:dyDescent="0.25">
      <c r="T95" s="47"/>
    </row>
    <row r="96" spans="20:20" x14ac:dyDescent="0.25">
      <c r="T96" s="47"/>
    </row>
    <row r="97" spans="20:20" x14ac:dyDescent="0.25">
      <c r="T97" s="47"/>
    </row>
    <row r="98" spans="20:20" x14ac:dyDescent="0.25">
      <c r="T98" s="47"/>
    </row>
    <row r="99" spans="20:20" x14ac:dyDescent="0.25">
      <c r="T99" s="47"/>
    </row>
    <row r="100" spans="20:20" x14ac:dyDescent="0.25">
      <c r="T100" s="47"/>
    </row>
    <row r="101" spans="20:20" x14ac:dyDescent="0.25">
      <c r="T101" s="47"/>
    </row>
    <row r="102" spans="20:20" x14ac:dyDescent="0.25">
      <c r="T102" s="47"/>
    </row>
    <row r="103" spans="20:20" x14ac:dyDescent="0.25">
      <c r="T103" s="47"/>
    </row>
    <row r="104" spans="20:20" x14ac:dyDescent="0.25">
      <c r="T104" s="47"/>
    </row>
    <row r="105" spans="20:20" x14ac:dyDescent="0.25">
      <c r="T105" s="47"/>
    </row>
    <row r="106" spans="20:20" x14ac:dyDescent="0.25">
      <c r="T106" s="47"/>
    </row>
    <row r="107" spans="20:20" x14ac:dyDescent="0.25">
      <c r="T107" s="47"/>
    </row>
    <row r="108" spans="20:20" x14ac:dyDescent="0.25">
      <c r="T108" s="47"/>
    </row>
    <row r="109" spans="20:20" x14ac:dyDescent="0.25">
      <c r="T109" s="47"/>
    </row>
    <row r="110" spans="20:20" x14ac:dyDescent="0.25">
      <c r="T110" s="47"/>
    </row>
    <row r="111" spans="20:20" x14ac:dyDescent="0.25">
      <c r="T111" s="47"/>
    </row>
    <row r="112" spans="20:20" x14ac:dyDescent="0.25">
      <c r="T112" s="47"/>
    </row>
    <row r="113" spans="20:20" x14ac:dyDescent="0.25">
      <c r="T113" s="47"/>
    </row>
    <row r="114" spans="20:20" x14ac:dyDescent="0.25">
      <c r="T114" s="47"/>
    </row>
    <row r="115" spans="20:20" x14ac:dyDescent="0.25">
      <c r="T115" s="47"/>
    </row>
    <row r="129" spans="3:14" x14ac:dyDescent="0.25">
      <c r="N129" s="32"/>
    </row>
    <row r="130" spans="3:14" x14ac:dyDescent="0.25">
      <c r="C130" s="32"/>
      <c r="D130" s="32"/>
      <c r="N130" s="32"/>
    </row>
    <row r="131" spans="3:14" x14ac:dyDescent="0.25">
      <c r="C131" s="33"/>
      <c r="D131" s="38"/>
      <c r="E131" s="42"/>
      <c r="N131" s="32"/>
    </row>
    <row r="132" spans="3:14" x14ac:dyDescent="0.25">
      <c r="C132" s="33"/>
      <c r="D132" s="38"/>
      <c r="E132" s="42"/>
      <c r="N132" s="32"/>
    </row>
    <row r="133" spans="3:14" x14ac:dyDescent="0.25">
      <c r="C133" s="33"/>
      <c r="D133" s="38"/>
      <c r="E133" s="42"/>
      <c r="N133" s="3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57" orientation="landscape" r:id="rId1"/>
  <headerFooter alignWithMargins="0">
    <oddFooter>&amp;RExhibit JW-9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U135"/>
  <sheetViews>
    <sheetView view="pageBreakPreview" zoomScale="75" zoomScaleNormal="85" zoomScaleSheetLayoutView="75" workbookViewId="0">
      <selection sqref="A1:XFD1048576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3.85546875" style="2" customWidth="1"/>
    <col min="10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20" width="13.140625" style="2" bestFit="1" customWidth="1"/>
    <col min="21" max="21" width="7.140625" style="2" bestFit="1" customWidth="1"/>
    <col min="22" max="16384" width="9.140625" style="2"/>
  </cols>
  <sheetData>
    <row r="1" spans="1:21" x14ac:dyDescent="0.25">
      <c r="A1" s="1" t="str">
        <f>'Present and Proposed Rates'!A1</f>
        <v>Clark Energy Cooperative</v>
      </c>
      <c r="N1" s="1"/>
    </row>
    <row r="2" spans="1:21" x14ac:dyDescent="0.25">
      <c r="A2" s="1" t="str">
        <f>List!B7</f>
        <v>Time Of Use Marketing Service</v>
      </c>
    </row>
    <row r="3" spans="1:21" ht="16.5" thickBot="1" x14ac:dyDescent="0.3">
      <c r="A3" s="128" t="str">
        <f>List!C7</f>
        <v>D</v>
      </c>
    </row>
    <row r="4" spans="1:21" x14ac:dyDescent="0.25">
      <c r="D4" s="326" t="s">
        <v>17</v>
      </c>
      <c r="E4" s="327"/>
      <c r="F4" s="327"/>
      <c r="G4" s="328"/>
      <c r="H4" s="3"/>
      <c r="I4" s="326" t="s">
        <v>62</v>
      </c>
      <c r="J4" s="328"/>
      <c r="K4" s="90"/>
      <c r="L4" s="3"/>
      <c r="P4" s="326" t="s">
        <v>45</v>
      </c>
      <c r="Q4" s="327"/>
      <c r="R4" s="327"/>
      <c r="S4" s="328"/>
    </row>
    <row r="5" spans="1:21" ht="16.5" thickBot="1" x14ac:dyDescent="0.3">
      <c r="A5" s="34"/>
      <c r="B5" s="41"/>
      <c r="C5" s="3"/>
      <c r="D5" s="329"/>
      <c r="E5" s="330"/>
      <c r="F5" s="330"/>
      <c r="G5" s="331"/>
      <c r="H5" s="3"/>
      <c r="I5" s="329"/>
      <c r="J5" s="331"/>
      <c r="K5" s="90"/>
      <c r="L5" s="3"/>
      <c r="M5" s="34"/>
      <c r="N5" s="41"/>
      <c r="O5" s="3"/>
      <c r="P5" s="329"/>
      <c r="Q5" s="330"/>
      <c r="R5" s="330"/>
      <c r="S5" s="331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90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21" ht="16.5" thickBot="1" x14ac:dyDescent="0.3">
      <c r="A7" s="5"/>
      <c r="B7" s="5"/>
      <c r="C7" s="5"/>
      <c r="D7" s="5" t="s">
        <v>3</v>
      </c>
      <c r="E7" s="330" t="s">
        <v>4</v>
      </c>
      <c r="F7" s="330"/>
      <c r="G7" s="5" t="s">
        <v>5</v>
      </c>
      <c r="H7" s="5"/>
      <c r="I7" s="5" t="s">
        <v>4</v>
      </c>
      <c r="J7" s="5" t="s">
        <v>5</v>
      </c>
      <c r="K7" s="89"/>
      <c r="L7" s="5"/>
      <c r="M7" s="5"/>
      <c r="N7" s="5"/>
      <c r="O7" s="5"/>
      <c r="P7" s="5" t="s">
        <v>3</v>
      </c>
      <c r="Q7" s="330" t="s">
        <v>4</v>
      </c>
      <c r="R7" s="330"/>
      <c r="S7" s="5" t="s">
        <v>5</v>
      </c>
      <c r="T7" s="5" t="s">
        <v>30</v>
      </c>
      <c r="U7" s="5" t="s">
        <v>35</v>
      </c>
    </row>
    <row r="8" spans="1:21" x14ac:dyDescent="0.25">
      <c r="K8" s="90"/>
    </row>
    <row r="9" spans="1:21" x14ac:dyDescent="0.25">
      <c r="K9" s="90"/>
    </row>
    <row r="10" spans="1:21" x14ac:dyDescent="0.25">
      <c r="A10" s="63" t="s">
        <v>8</v>
      </c>
      <c r="K10" s="90"/>
      <c r="M10" s="63" t="s">
        <v>8</v>
      </c>
    </row>
    <row r="11" spans="1:21" ht="31.5" x14ac:dyDescent="0.25">
      <c r="D11" s="99" t="s">
        <v>49</v>
      </c>
      <c r="E11" s="99" t="s">
        <v>50</v>
      </c>
      <c r="I11" s="99" t="s">
        <v>50</v>
      </c>
      <c r="K11" s="90"/>
      <c r="P11" s="99" t="s">
        <v>49</v>
      </c>
      <c r="Q11" s="99" t="s">
        <v>50</v>
      </c>
      <c r="T11" s="10"/>
      <c r="U11" s="315"/>
    </row>
    <row r="12" spans="1:21" x14ac:dyDescent="0.25">
      <c r="B12" s="2" t="s">
        <v>61</v>
      </c>
      <c r="D12" s="7">
        <v>12</v>
      </c>
      <c r="E12" s="8">
        <f>'Present and Proposed Rates'!F14</f>
        <v>0</v>
      </c>
      <c r="G12" s="10">
        <f>D12*E12</f>
        <v>0</v>
      </c>
      <c r="H12" s="10"/>
      <c r="I12" s="103">
        <f>'Present and Proposed Rates'!G14</f>
        <v>0</v>
      </c>
      <c r="J12" s="10">
        <f>I12*D12</f>
        <v>0</v>
      </c>
      <c r="K12" s="91"/>
      <c r="L12" s="10"/>
      <c r="N12" s="2" t="s">
        <v>56</v>
      </c>
      <c r="P12" s="7">
        <f>D12</f>
        <v>12</v>
      </c>
      <c r="Q12" s="8">
        <f>'Present and Proposed Rates'!H14</f>
        <v>0</v>
      </c>
      <c r="S12" s="10">
        <f>P12*Q12</f>
        <v>0</v>
      </c>
      <c r="T12" s="23">
        <f>IF(I12=0,0,S12/I12)</f>
        <v>0</v>
      </c>
      <c r="U12" s="315">
        <f>IF(J12=0,0,T12/J12)</f>
        <v>0</v>
      </c>
    </row>
    <row r="13" spans="1:21" x14ac:dyDescent="0.25">
      <c r="D13" s="7"/>
      <c r="G13" s="10"/>
      <c r="H13" s="10"/>
      <c r="I13" s="32"/>
      <c r="J13" s="10"/>
      <c r="K13" s="91"/>
      <c r="L13" s="10"/>
      <c r="P13" s="7"/>
      <c r="S13" s="10"/>
      <c r="T13" s="23"/>
    </row>
    <row r="14" spans="1:21" x14ac:dyDescent="0.25">
      <c r="A14" s="1" t="s">
        <v>6</v>
      </c>
      <c r="D14" s="7"/>
      <c r="G14" s="10"/>
      <c r="H14" s="10"/>
      <c r="I14" s="32"/>
      <c r="J14" s="10"/>
      <c r="K14" s="91"/>
      <c r="L14" s="10"/>
      <c r="M14" s="1" t="s">
        <v>6</v>
      </c>
      <c r="P14" s="29"/>
      <c r="Q14" s="32"/>
      <c r="S14" s="10"/>
      <c r="T14" s="23"/>
    </row>
    <row r="15" spans="1:21" x14ac:dyDescent="0.25">
      <c r="D15" s="100" t="s">
        <v>7</v>
      </c>
      <c r="E15" s="101" t="s">
        <v>9</v>
      </c>
      <c r="G15" s="10"/>
      <c r="H15" s="10"/>
      <c r="I15" s="101" t="s">
        <v>9</v>
      </c>
      <c r="J15" s="10"/>
      <c r="K15" s="91"/>
      <c r="L15" s="10"/>
      <c r="P15" s="100" t="s">
        <v>7</v>
      </c>
      <c r="Q15" s="101" t="s">
        <v>9</v>
      </c>
      <c r="S15" s="10"/>
      <c r="T15" s="23"/>
      <c r="U15" s="315"/>
    </row>
    <row r="16" spans="1:21" x14ac:dyDescent="0.25">
      <c r="B16" s="2" t="s">
        <v>21</v>
      </c>
      <c r="D16" s="7"/>
      <c r="E16" s="24">
        <f>'Present and Proposed Rates'!F15</f>
        <v>0</v>
      </c>
      <c r="G16" s="10">
        <f>D16*E16</f>
        <v>0</v>
      </c>
      <c r="H16" s="10"/>
      <c r="I16" s="102">
        <f>'Present and Proposed Rates'!G15</f>
        <v>0</v>
      </c>
      <c r="J16" s="10">
        <f>I16*D16</f>
        <v>0</v>
      </c>
      <c r="K16" s="91"/>
      <c r="L16" s="10"/>
      <c r="N16" s="2" t="s">
        <v>81</v>
      </c>
      <c r="P16" s="7">
        <f>D16</f>
        <v>0</v>
      </c>
      <c r="Q16" s="24">
        <f>'Present and Proposed Rates'!H15</f>
        <v>0</v>
      </c>
      <c r="S16" s="10">
        <f>P16*Q16</f>
        <v>0</v>
      </c>
      <c r="T16" s="23">
        <f>IF(I16=0,0,S16/I16)</f>
        <v>0</v>
      </c>
      <c r="U16" s="315">
        <f>IF(J16=0,0,T16/J16)</f>
        <v>0</v>
      </c>
    </row>
    <row r="17" spans="1:21" x14ac:dyDescent="0.25">
      <c r="B17" s="2" t="s">
        <v>22</v>
      </c>
      <c r="D17" s="7">
        <v>327183</v>
      </c>
      <c r="E17" s="24">
        <f>'Present and Proposed Rates'!F16*9/12+'Present and Proposed Rates'!G16*3/12</f>
        <v>6.7725000000000007E-2</v>
      </c>
      <c r="G17" s="10">
        <f>D17*E17</f>
        <v>22158.468675000004</v>
      </c>
      <c r="H17" s="10"/>
      <c r="I17" s="102">
        <f>'Present and Proposed Rates'!G16</f>
        <v>7.6560000000000003E-2</v>
      </c>
      <c r="J17" s="10">
        <f>I17*D17</f>
        <v>25049.13048</v>
      </c>
      <c r="K17" s="91"/>
      <c r="L17" s="10"/>
      <c r="N17" s="2" t="s">
        <v>81</v>
      </c>
      <c r="P17" s="7">
        <f>D17</f>
        <v>327183</v>
      </c>
      <c r="Q17" s="24">
        <f>'Present and Proposed Rates'!H16</f>
        <v>7.6560000000000003E-2</v>
      </c>
      <c r="S17" s="10">
        <f>P17*Q17</f>
        <v>25049.13048</v>
      </c>
      <c r="T17" s="23">
        <f>S17-J17</f>
        <v>0</v>
      </c>
      <c r="U17" s="315">
        <f>IF(J17=0,0,T17/J17)</f>
        <v>0</v>
      </c>
    </row>
    <row r="18" spans="1:21" x14ac:dyDescent="0.25">
      <c r="A18" s="1"/>
      <c r="C18" s="188"/>
      <c r="D18" s="189"/>
      <c r="K18" s="90"/>
      <c r="T18" s="10"/>
      <c r="U18" s="315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95"/>
      <c r="L19" s="1"/>
      <c r="M19" s="1"/>
      <c r="N19" s="1"/>
      <c r="O19" s="1"/>
      <c r="P19" s="1"/>
      <c r="Q19" s="1"/>
      <c r="R19" s="1"/>
      <c r="S19" s="1"/>
      <c r="T19" s="10"/>
      <c r="U19" s="315"/>
    </row>
    <row r="20" spans="1:21" x14ac:dyDescent="0.25">
      <c r="A20" s="1" t="s">
        <v>54</v>
      </c>
      <c r="B20" s="1"/>
      <c r="C20" s="59"/>
      <c r="D20" s="7"/>
      <c r="E20" s="24"/>
      <c r="G20" s="10"/>
      <c r="H20" s="10"/>
      <c r="I20" s="10"/>
      <c r="J20" s="10"/>
      <c r="K20" s="91"/>
      <c r="L20" s="10"/>
      <c r="M20" s="1" t="s">
        <v>54</v>
      </c>
      <c r="N20" s="1"/>
      <c r="O20" s="59"/>
      <c r="P20" s="7"/>
      <c r="Q20" s="24"/>
      <c r="S20" s="10"/>
      <c r="T20" s="10"/>
      <c r="U20" s="315"/>
    </row>
    <row r="21" spans="1:21" x14ac:dyDescent="0.25">
      <c r="A21" s="1"/>
      <c r="B21" s="2" t="s">
        <v>48</v>
      </c>
      <c r="C21" s="59"/>
      <c r="D21" s="7"/>
      <c r="E21" s="24"/>
      <c r="G21" s="10">
        <v>2108</v>
      </c>
      <c r="H21" s="10"/>
      <c r="I21" s="10"/>
      <c r="J21" s="10">
        <f>G21</f>
        <v>2108</v>
      </c>
      <c r="K21" s="91"/>
      <c r="L21" s="10"/>
      <c r="M21" s="1"/>
      <c r="N21" s="2" t="s">
        <v>48</v>
      </c>
      <c r="O21" s="59"/>
      <c r="P21" s="7"/>
      <c r="Q21" s="24"/>
      <c r="S21" s="10">
        <f>G21</f>
        <v>2108</v>
      </c>
      <c r="T21" s="10">
        <f>S21-J21</f>
        <v>0</v>
      </c>
      <c r="U21" s="315">
        <f>IF(J21=0,0,T21/J21)</f>
        <v>0</v>
      </c>
    </row>
    <row r="22" spans="1:21" x14ac:dyDescent="0.25">
      <c r="A22" s="1"/>
      <c r="B22" s="2" t="s">
        <v>55</v>
      </c>
      <c r="C22" s="59"/>
      <c r="D22" s="7"/>
      <c r="E22" s="24"/>
      <c r="G22" s="10">
        <v>0</v>
      </c>
      <c r="H22" s="10"/>
      <c r="I22" s="10"/>
      <c r="J22" s="10">
        <f>G22</f>
        <v>0</v>
      </c>
      <c r="K22" s="91"/>
      <c r="L22" s="10"/>
      <c r="M22" s="1"/>
      <c r="N22" s="2" t="s">
        <v>55</v>
      </c>
      <c r="O22" s="59"/>
      <c r="P22" s="7"/>
      <c r="Q22" s="24"/>
      <c r="S22" s="10">
        <f>G22</f>
        <v>0</v>
      </c>
      <c r="T22" s="10">
        <f>S22-J22</f>
        <v>0</v>
      </c>
      <c r="U22" s="315">
        <f>IF(J22=0,0,T22/J22)</f>
        <v>0</v>
      </c>
    </row>
    <row r="23" spans="1:21" x14ac:dyDescent="0.25">
      <c r="A23" s="1"/>
      <c r="D23" s="19"/>
      <c r="G23" s="10"/>
      <c r="H23" s="10"/>
      <c r="I23" s="10"/>
      <c r="J23" s="10"/>
      <c r="K23" s="91"/>
      <c r="L23" s="10"/>
      <c r="M23" s="1"/>
      <c r="S23" s="10"/>
    </row>
    <row r="24" spans="1:21" ht="16.5" thickBot="1" x14ac:dyDescent="0.3">
      <c r="A24" s="1" t="s">
        <v>37</v>
      </c>
      <c r="G24" s="18">
        <f>SUM(G12:G22)</f>
        <v>24266.468675000004</v>
      </c>
      <c r="H24" s="10"/>
      <c r="I24" s="10"/>
      <c r="J24" s="18">
        <f>SUM(J12:J22)</f>
        <v>27157.13048</v>
      </c>
      <c r="K24" s="91"/>
      <c r="L24" s="10"/>
      <c r="M24" s="1" t="s">
        <v>37</v>
      </c>
      <c r="S24" s="18">
        <f>SUM(S12:S22)</f>
        <v>27157.13048</v>
      </c>
      <c r="T24" s="10">
        <f>S24-J24</f>
        <v>0</v>
      </c>
      <c r="U24" s="315">
        <f>IF(J24=0,0,T24/J24)</f>
        <v>0</v>
      </c>
    </row>
    <row r="25" spans="1:21" ht="16.5" thickTop="1" x14ac:dyDescent="0.25">
      <c r="A25" s="1"/>
      <c r="B25" s="1"/>
      <c r="G25" s="10"/>
      <c r="H25" s="10"/>
      <c r="I25" s="10"/>
      <c r="J25" s="10"/>
      <c r="K25" s="91"/>
      <c r="L25" s="10"/>
      <c r="M25" s="1"/>
      <c r="N25" s="1"/>
      <c r="S25" s="10"/>
    </row>
    <row r="26" spans="1:21" x14ac:dyDescent="0.25">
      <c r="A26" s="1" t="s">
        <v>14</v>
      </c>
      <c r="B26" s="9"/>
      <c r="G26" s="10">
        <v>24044</v>
      </c>
      <c r="H26" s="10"/>
      <c r="I26" s="10"/>
      <c r="J26" s="10"/>
      <c r="K26" s="92"/>
      <c r="L26" s="10"/>
      <c r="M26" s="1" t="s">
        <v>63</v>
      </c>
      <c r="N26" s="9"/>
      <c r="S26" s="23">
        <f>S24-J24</f>
        <v>0</v>
      </c>
    </row>
    <row r="27" spans="1:21" x14ac:dyDescent="0.25">
      <c r="A27" s="9"/>
      <c r="B27" s="9"/>
      <c r="G27" s="9"/>
      <c r="H27" s="9"/>
      <c r="I27" s="9"/>
      <c r="J27" s="9"/>
      <c r="K27" s="93"/>
      <c r="L27" s="9"/>
      <c r="N27" s="9"/>
      <c r="S27" s="9"/>
    </row>
    <row r="28" spans="1:21" x14ac:dyDescent="0.25">
      <c r="A28" s="1" t="s">
        <v>10</v>
      </c>
      <c r="B28" s="9"/>
      <c r="G28" s="16">
        <f>G24-G26</f>
        <v>222.46867500000371</v>
      </c>
      <c r="H28" s="16"/>
      <c r="I28" s="16"/>
      <c r="J28" s="16">
        <f>J24-G24</f>
        <v>2890.6618049999961</v>
      </c>
      <c r="K28" s="91"/>
      <c r="L28" s="16"/>
      <c r="M28" s="1" t="s">
        <v>64</v>
      </c>
      <c r="N28" s="9"/>
      <c r="S28" s="60">
        <f>S26/J24</f>
        <v>0</v>
      </c>
    </row>
    <row r="29" spans="1:21" x14ac:dyDescent="0.25">
      <c r="A29" s="9"/>
      <c r="B29" s="9"/>
      <c r="G29" s="10"/>
      <c r="H29" s="10"/>
      <c r="I29" s="10"/>
      <c r="J29" s="10"/>
      <c r="K29" s="94"/>
      <c r="L29" s="10"/>
      <c r="N29" s="9"/>
      <c r="S29" s="10"/>
    </row>
    <row r="30" spans="1:21" x14ac:dyDescent="0.25">
      <c r="A30" s="1" t="s">
        <v>16</v>
      </c>
      <c r="B30" s="9"/>
      <c r="G30" s="17">
        <f>G28/G26</f>
        <v>9.2525650890036473E-3</v>
      </c>
      <c r="H30" s="17"/>
      <c r="I30" s="17"/>
      <c r="J30" s="17">
        <f>J28/G26</f>
        <v>0.12022383151721827</v>
      </c>
      <c r="K30" s="91"/>
      <c r="L30" s="17"/>
      <c r="M30" s="1" t="s">
        <v>40</v>
      </c>
      <c r="N30" s="9"/>
      <c r="S30" s="30">
        <f>S26/P12</f>
        <v>0</v>
      </c>
    </row>
    <row r="31" spans="1:21" x14ac:dyDescent="0.25">
      <c r="A31" s="1"/>
      <c r="B31" s="9"/>
      <c r="D31" s="13">
        <f>D17/D12</f>
        <v>27265.25</v>
      </c>
      <c r="G31" s="17"/>
      <c r="H31" s="17"/>
      <c r="I31" s="17"/>
      <c r="J31" s="17"/>
      <c r="K31" s="17"/>
      <c r="L31" s="17"/>
      <c r="M31" s="1"/>
      <c r="N31" s="9"/>
      <c r="S31" s="17"/>
    </row>
    <row r="32" spans="1:21" x14ac:dyDescent="0.25">
      <c r="A32" s="1"/>
      <c r="B32" s="9"/>
      <c r="G32" s="98"/>
      <c r="H32" s="17"/>
      <c r="I32" s="17"/>
      <c r="J32" s="17"/>
      <c r="K32" s="17"/>
      <c r="L32" s="17"/>
      <c r="M32" s="1"/>
      <c r="N32" s="9"/>
      <c r="S32" s="17"/>
    </row>
    <row r="33" spans="1:20" x14ac:dyDescent="0.25">
      <c r="A33" s="1"/>
      <c r="B33" s="9"/>
      <c r="G33" s="98"/>
      <c r="H33" s="17"/>
      <c r="I33" s="17"/>
      <c r="J33" s="17"/>
      <c r="K33" s="17"/>
      <c r="L33" s="17"/>
      <c r="M33" s="1"/>
      <c r="N33" s="9"/>
      <c r="S33" s="17"/>
    </row>
    <row r="34" spans="1:20" x14ac:dyDescent="0.25">
      <c r="A34" s="1"/>
      <c r="B34" s="9"/>
      <c r="G34" s="98"/>
      <c r="H34" s="17"/>
      <c r="I34" s="17"/>
      <c r="J34" s="17"/>
      <c r="K34" s="17"/>
      <c r="L34" s="17"/>
      <c r="M34" s="1"/>
      <c r="N34" s="9"/>
      <c r="S34" s="17"/>
    </row>
    <row r="35" spans="1:20" x14ac:dyDescent="0.25">
      <c r="A35" s="1"/>
      <c r="B35" s="9"/>
      <c r="G35" s="25"/>
      <c r="H35" s="17"/>
      <c r="I35" s="17"/>
      <c r="J35" s="17"/>
      <c r="K35" s="17"/>
      <c r="L35" s="17"/>
      <c r="M35" s="1"/>
      <c r="N35" s="9"/>
      <c r="S35" s="17"/>
    </row>
    <row r="36" spans="1:20" x14ac:dyDescent="0.25">
      <c r="A36" s="1"/>
      <c r="B36" s="9"/>
      <c r="G36" s="17"/>
      <c r="H36" s="17"/>
      <c r="I36" s="17"/>
      <c r="J36" s="17"/>
      <c r="K36" s="17"/>
      <c r="L36" s="17"/>
      <c r="M36" s="1"/>
      <c r="N36" s="9"/>
      <c r="S36" s="17"/>
    </row>
    <row r="37" spans="1:20" ht="18.75" customHeight="1" x14ac:dyDescent="0.25">
      <c r="A37" s="1"/>
      <c r="B37" s="10"/>
      <c r="G37" s="17"/>
      <c r="H37" s="17"/>
      <c r="I37" s="17"/>
      <c r="J37" s="17"/>
      <c r="K37" s="17"/>
      <c r="L37" s="17"/>
    </row>
    <row r="38" spans="1:20" x14ac:dyDescent="0.25">
      <c r="E38" s="10"/>
    </row>
    <row r="41" spans="1:20" x14ac:dyDescent="0.25">
      <c r="T41" s="46"/>
    </row>
    <row r="42" spans="1:20" x14ac:dyDescent="0.25">
      <c r="T42" s="46"/>
    </row>
    <row r="43" spans="1:20" x14ac:dyDescent="0.25">
      <c r="T43" s="46"/>
    </row>
    <row r="44" spans="1:20" x14ac:dyDescent="0.25">
      <c r="T44" s="46"/>
    </row>
    <row r="45" spans="1:20" x14ac:dyDescent="0.25">
      <c r="T45" s="46"/>
    </row>
    <row r="46" spans="1:20" x14ac:dyDescent="0.25">
      <c r="T46" s="46"/>
    </row>
    <row r="47" spans="1:20" x14ac:dyDescent="0.25">
      <c r="T47" s="46"/>
    </row>
    <row r="48" spans="1:20" x14ac:dyDescent="0.25">
      <c r="T48" s="46"/>
    </row>
    <row r="49" spans="20:20" x14ac:dyDescent="0.25">
      <c r="T49" s="46"/>
    </row>
    <row r="50" spans="20:20" x14ac:dyDescent="0.25">
      <c r="T50" s="46"/>
    </row>
    <row r="51" spans="20:20" x14ac:dyDescent="0.25">
      <c r="T51" s="46"/>
    </row>
    <row r="52" spans="20:20" ht="16.5" customHeight="1" x14ac:dyDescent="0.25">
      <c r="T52" s="46"/>
    </row>
    <row r="55" spans="20:20" x14ac:dyDescent="0.25">
      <c r="T55" s="32"/>
    </row>
    <row r="56" spans="20:20" x14ac:dyDescent="0.25">
      <c r="T56" s="32"/>
    </row>
    <row r="58" spans="20:20" x14ac:dyDescent="0.25">
      <c r="T58" s="32"/>
    </row>
    <row r="59" spans="20:20" x14ac:dyDescent="0.25">
      <c r="T59" s="32"/>
    </row>
    <row r="60" spans="20:20" x14ac:dyDescent="0.25">
      <c r="T60" s="32"/>
    </row>
    <row r="61" spans="20:20" x14ac:dyDescent="0.25">
      <c r="T61" s="32"/>
    </row>
    <row r="62" spans="20:20" x14ac:dyDescent="0.25">
      <c r="T62" s="32"/>
    </row>
    <row r="63" spans="20:20" x14ac:dyDescent="0.25">
      <c r="T63" s="32"/>
    </row>
    <row r="64" spans="20:20" x14ac:dyDescent="0.25">
      <c r="T64" s="32"/>
    </row>
    <row r="65" spans="20:20" x14ac:dyDescent="0.25">
      <c r="T65" s="32"/>
    </row>
    <row r="66" spans="20:20" x14ac:dyDescent="0.25">
      <c r="T66" s="32"/>
    </row>
    <row r="67" spans="20:20" x14ac:dyDescent="0.25">
      <c r="T67" s="32"/>
    </row>
    <row r="68" spans="20:20" x14ac:dyDescent="0.25">
      <c r="T68" s="32"/>
    </row>
    <row r="69" spans="20:20" x14ac:dyDescent="0.25">
      <c r="T69" s="32"/>
    </row>
    <row r="70" spans="20:20" x14ac:dyDescent="0.25">
      <c r="T70" s="47"/>
    </row>
    <row r="71" spans="20:20" x14ac:dyDescent="0.25">
      <c r="T71" s="47"/>
    </row>
    <row r="72" spans="20:20" x14ac:dyDescent="0.25">
      <c r="T72" s="47"/>
    </row>
    <row r="73" spans="20:20" x14ac:dyDescent="0.25">
      <c r="T73" s="47"/>
    </row>
    <row r="74" spans="20:20" x14ac:dyDescent="0.25">
      <c r="T74" s="47"/>
    </row>
    <row r="75" spans="20:20" x14ac:dyDescent="0.25">
      <c r="T75" s="47"/>
    </row>
    <row r="76" spans="20:20" x14ac:dyDescent="0.25">
      <c r="T76" s="47"/>
    </row>
    <row r="77" spans="20:20" x14ac:dyDescent="0.25">
      <c r="T77" s="47"/>
    </row>
    <row r="78" spans="20:20" x14ac:dyDescent="0.25">
      <c r="T78" s="47"/>
    </row>
    <row r="79" spans="20:20" x14ac:dyDescent="0.25">
      <c r="T79" s="47"/>
    </row>
    <row r="80" spans="20:20" x14ac:dyDescent="0.25">
      <c r="T80" s="47"/>
    </row>
    <row r="81" spans="20:20" x14ac:dyDescent="0.25">
      <c r="T81" s="47"/>
    </row>
    <row r="82" spans="20:20" x14ac:dyDescent="0.25">
      <c r="T82" s="47"/>
    </row>
    <row r="83" spans="20:20" x14ac:dyDescent="0.25">
      <c r="T83" s="47"/>
    </row>
    <row r="84" spans="20:20" x14ac:dyDescent="0.25">
      <c r="T84" s="47"/>
    </row>
    <row r="85" spans="20:20" ht="15" customHeight="1" x14ac:dyDescent="0.25">
      <c r="T85" s="47"/>
    </row>
    <row r="86" spans="20:20" x14ac:dyDescent="0.25">
      <c r="T86" s="47"/>
    </row>
    <row r="87" spans="20:20" x14ac:dyDescent="0.25">
      <c r="T87" s="47"/>
    </row>
    <row r="88" spans="20:20" x14ac:dyDescent="0.25">
      <c r="T88" s="47"/>
    </row>
    <row r="89" spans="20:20" x14ac:dyDescent="0.25">
      <c r="T89" s="47"/>
    </row>
    <row r="90" spans="20:20" x14ac:dyDescent="0.25">
      <c r="T90" s="47"/>
    </row>
    <row r="91" spans="20:20" x14ac:dyDescent="0.25">
      <c r="T91" s="47"/>
    </row>
    <row r="92" spans="20:20" x14ac:dyDescent="0.25">
      <c r="T92" s="47"/>
    </row>
    <row r="93" spans="20:20" x14ac:dyDescent="0.25">
      <c r="T93" s="47"/>
    </row>
    <row r="94" spans="20:20" x14ac:dyDescent="0.25">
      <c r="T94" s="47"/>
    </row>
    <row r="95" spans="20:20" x14ac:dyDescent="0.25">
      <c r="T95" s="47"/>
    </row>
    <row r="96" spans="20:20" x14ac:dyDescent="0.25">
      <c r="T96" s="47"/>
    </row>
    <row r="97" spans="20:20" x14ac:dyDescent="0.25">
      <c r="T97" s="47"/>
    </row>
    <row r="98" spans="20:20" x14ac:dyDescent="0.25">
      <c r="T98" s="47"/>
    </row>
    <row r="99" spans="20:20" x14ac:dyDescent="0.25">
      <c r="T99" s="47"/>
    </row>
    <row r="100" spans="20:20" x14ac:dyDescent="0.25">
      <c r="T100" s="47"/>
    </row>
    <row r="101" spans="20:20" x14ac:dyDescent="0.25">
      <c r="T101" s="47"/>
    </row>
    <row r="102" spans="20:20" x14ac:dyDescent="0.25">
      <c r="T102" s="47"/>
    </row>
    <row r="103" spans="20:20" x14ac:dyDescent="0.25">
      <c r="T103" s="47"/>
    </row>
    <row r="104" spans="20:20" x14ac:dyDescent="0.25">
      <c r="T104" s="47"/>
    </row>
    <row r="105" spans="20:20" x14ac:dyDescent="0.25">
      <c r="T105" s="47"/>
    </row>
    <row r="106" spans="20:20" x14ac:dyDescent="0.25">
      <c r="T106" s="47"/>
    </row>
    <row r="107" spans="20:20" x14ac:dyDescent="0.25">
      <c r="T107" s="47"/>
    </row>
    <row r="108" spans="20:20" x14ac:dyDescent="0.25">
      <c r="T108" s="47"/>
    </row>
    <row r="109" spans="20:20" x14ac:dyDescent="0.25">
      <c r="T109" s="47"/>
    </row>
    <row r="110" spans="20:20" x14ac:dyDescent="0.25">
      <c r="T110" s="47"/>
    </row>
    <row r="111" spans="20:20" x14ac:dyDescent="0.25">
      <c r="T111" s="47"/>
    </row>
    <row r="112" spans="20:20" x14ac:dyDescent="0.25">
      <c r="T112" s="47"/>
    </row>
    <row r="113" spans="20:20" x14ac:dyDescent="0.25">
      <c r="T113" s="47"/>
    </row>
    <row r="114" spans="20:20" x14ac:dyDescent="0.25">
      <c r="T114" s="47"/>
    </row>
    <row r="115" spans="20:20" x14ac:dyDescent="0.25">
      <c r="T115" s="47"/>
    </row>
    <row r="131" spans="3:14" x14ac:dyDescent="0.25">
      <c r="N131" s="32"/>
    </row>
    <row r="132" spans="3:14" x14ac:dyDescent="0.25">
      <c r="C132" s="32"/>
      <c r="D132" s="32"/>
      <c r="N132" s="32"/>
    </row>
    <row r="133" spans="3:14" x14ac:dyDescent="0.25">
      <c r="C133" s="33"/>
      <c r="D133" s="38"/>
      <c r="E133" s="42"/>
      <c r="N133" s="32"/>
    </row>
    <row r="134" spans="3:14" x14ac:dyDescent="0.25">
      <c r="C134" s="33"/>
      <c r="D134" s="38"/>
      <c r="E134" s="42"/>
      <c r="N134" s="32"/>
    </row>
    <row r="135" spans="3:14" x14ac:dyDescent="0.25">
      <c r="C135" s="33"/>
      <c r="D135" s="38"/>
      <c r="E135" s="42"/>
      <c r="N135" s="3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0" orientation="landscape" r:id="rId1"/>
  <headerFooter alignWithMargins="0">
    <oddFooter>&amp;RExhibit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U134"/>
  <sheetViews>
    <sheetView view="pageBreakPreview" topLeftCell="A37" zoomScale="75" zoomScaleNormal="85" zoomScaleSheetLayoutView="75" workbookViewId="0">
      <selection activeCell="D59" sqref="D59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3.85546875" style="2" customWidth="1"/>
    <col min="10" max="10" width="17.28515625" style="2" bestFit="1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20" width="13.140625" style="2" bestFit="1" customWidth="1"/>
    <col min="21" max="21" width="7.140625" style="2" bestFit="1" customWidth="1"/>
    <col min="22" max="16384" width="9.140625" style="2"/>
  </cols>
  <sheetData>
    <row r="1" spans="1:21" x14ac:dyDescent="0.25">
      <c r="A1" s="1" t="str">
        <f>'Present and Proposed Rates'!A1</f>
        <v>Clark Energy Cooperative</v>
      </c>
      <c r="N1" s="1"/>
    </row>
    <row r="2" spans="1:21" x14ac:dyDescent="0.25">
      <c r="A2" s="1" t="str">
        <f>List!B8</f>
        <v>General Power Service &lt; 50kW</v>
      </c>
    </row>
    <row r="3" spans="1:21" ht="16.5" thickBot="1" x14ac:dyDescent="0.3">
      <c r="A3" s="128" t="str">
        <f>List!C8</f>
        <v>C</v>
      </c>
    </row>
    <row r="4" spans="1:21" x14ac:dyDescent="0.25">
      <c r="D4" s="326" t="s">
        <v>17</v>
      </c>
      <c r="E4" s="327"/>
      <c r="F4" s="327"/>
      <c r="G4" s="328"/>
      <c r="H4" s="3"/>
      <c r="I4" s="326" t="s">
        <v>62</v>
      </c>
      <c r="J4" s="328"/>
      <c r="K4" s="90"/>
      <c r="L4" s="3"/>
      <c r="P4" s="326" t="s">
        <v>45</v>
      </c>
      <c r="Q4" s="327"/>
      <c r="R4" s="327"/>
      <c r="S4" s="328"/>
    </row>
    <row r="5" spans="1:21" ht="16.5" thickBot="1" x14ac:dyDescent="0.3">
      <c r="A5" s="34"/>
      <c r="B5" s="41"/>
      <c r="C5" s="3"/>
      <c r="D5" s="329"/>
      <c r="E5" s="330"/>
      <c r="F5" s="330"/>
      <c r="G5" s="331"/>
      <c r="H5" s="3"/>
      <c r="I5" s="329"/>
      <c r="J5" s="331"/>
      <c r="K5" s="90"/>
      <c r="L5" s="3"/>
      <c r="M5" s="34"/>
      <c r="N5" s="41"/>
      <c r="O5" s="3"/>
      <c r="P5" s="329"/>
      <c r="Q5" s="330"/>
      <c r="R5" s="330"/>
      <c r="S5" s="331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90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21" ht="16.5" thickBot="1" x14ac:dyDescent="0.3">
      <c r="A7" s="5"/>
      <c r="B7" s="5"/>
      <c r="C7" s="5"/>
      <c r="D7" s="5" t="s">
        <v>3</v>
      </c>
      <c r="E7" s="330" t="s">
        <v>4</v>
      </c>
      <c r="F7" s="330"/>
      <c r="G7" s="5" t="s">
        <v>5</v>
      </c>
      <c r="H7" s="5"/>
      <c r="I7" s="5" t="s">
        <v>4</v>
      </c>
      <c r="J7" s="5" t="s">
        <v>5</v>
      </c>
      <c r="K7" s="89"/>
      <c r="L7" s="5"/>
      <c r="M7" s="5"/>
      <c r="N7" s="5"/>
      <c r="O7" s="5"/>
      <c r="P7" s="5" t="s">
        <v>3</v>
      </c>
      <c r="Q7" s="330" t="s">
        <v>4</v>
      </c>
      <c r="R7" s="330"/>
      <c r="S7" s="5" t="s">
        <v>5</v>
      </c>
      <c r="T7" s="5" t="s">
        <v>30</v>
      </c>
      <c r="U7" s="5" t="s">
        <v>35</v>
      </c>
    </row>
    <row r="8" spans="1:21" x14ac:dyDescent="0.25">
      <c r="K8" s="90"/>
    </row>
    <row r="9" spans="1:21" x14ac:dyDescent="0.25">
      <c r="K9" s="90"/>
    </row>
    <row r="10" spans="1:21" x14ac:dyDescent="0.25">
      <c r="A10" s="63" t="s">
        <v>8</v>
      </c>
      <c r="K10" s="90"/>
      <c r="M10" s="63" t="s">
        <v>8</v>
      </c>
    </row>
    <row r="11" spans="1:21" ht="31.5" x14ac:dyDescent="0.25">
      <c r="D11" s="99" t="s">
        <v>49</v>
      </c>
      <c r="E11" s="99" t="s">
        <v>50</v>
      </c>
      <c r="I11" s="99" t="s">
        <v>50</v>
      </c>
      <c r="K11" s="90"/>
      <c r="P11" s="99" t="s">
        <v>49</v>
      </c>
      <c r="Q11" s="99" t="s">
        <v>50</v>
      </c>
      <c r="T11" s="10"/>
      <c r="U11" s="315"/>
    </row>
    <row r="12" spans="1:21" x14ac:dyDescent="0.25">
      <c r="B12" s="2" t="s">
        <v>122</v>
      </c>
      <c r="D12" s="290">
        <v>21562</v>
      </c>
      <c r="E12" s="8">
        <f>'Present and Proposed Rates'!F18</f>
        <v>26.2</v>
      </c>
      <c r="G12" s="10">
        <f>D12*E12</f>
        <v>564924.4</v>
      </c>
      <c r="H12" s="10"/>
      <c r="I12" s="103">
        <f>'Present and Proposed Rates'!G18</f>
        <v>26.2</v>
      </c>
      <c r="J12" s="10">
        <f>I12*D12</f>
        <v>564924.4</v>
      </c>
      <c r="K12" s="91"/>
      <c r="L12" s="10"/>
      <c r="N12" s="2" t="str">
        <f>B12</f>
        <v>Single Phase</v>
      </c>
      <c r="P12" s="7">
        <f>D12</f>
        <v>21562</v>
      </c>
      <c r="Q12" s="8">
        <f>'Present and Proposed Rates'!H18</f>
        <v>40.58</v>
      </c>
      <c r="S12" s="10">
        <f>P12*Q12</f>
        <v>874985.96</v>
      </c>
      <c r="T12" s="10">
        <f t="shared" ref="T12:T23" si="0">S12-J12</f>
        <v>310061.55999999994</v>
      </c>
      <c r="U12" s="315">
        <f t="shared" ref="U12:U23" si="1">IF(J12=0,0,T12/J12)</f>
        <v>0.54885496183206095</v>
      </c>
    </row>
    <row r="13" spans="1:21" x14ac:dyDescent="0.25">
      <c r="B13" s="2" t="s">
        <v>123</v>
      </c>
      <c r="D13" s="290">
        <v>2821</v>
      </c>
      <c r="E13" s="8">
        <f>'Present and Proposed Rates'!F19</f>
        <v>51.85</v>
      </c>
      <c r="G13" s="10">
        <f>D13*E13</f>
        <v>146268.85</v>
      </c>
      <c r="H13" s="10"/>
      <c r="I13" s="103">
        <f>'Present and Proposed Rates'!G19</f>
        <v>51.85</v>
      </c>
      <c r="J13" s="10">
        <f>I13*D13</f>
        <v>146268.85</v>
      </c>
      <c r="K13" s="91"/>
      <c r="L13" s="10"/>
      <c r="N13" s="2" t="str">
        <f>B13</f>
        <v>Three Phase</v>
      </c>
      <c r="P13" s="7">
        <f>D13</f>
        <v>2821</v>
      </c>
      <c r="Q13" s="8">
        <f>'Present and Proposed Rates'!H19</f>
        <v>51.85</v>
      </c>
      <c r="S13" s="10">
        <f>P13*Q13</f>
        <v>146268.85</v>
      </c>
      <c r="T13" s="10">
        <f t="shared" si="0"/>
        <v>0</v>
      </c>
      <c r="U13" s="315">
        <f t="shared" si="1"/>
        <v>0</v>
      </c>
    </row>
    <row r="14" spans="1:21" x14ac:dyDescent="0.25">
      <c r="D14" s="7"/>
      <c r="G14" s="10"/>
      <c r="H14" s="10"/>
      <c r="I14" s="32"/>
      <c r="J14" s="10"/>
      <c r="K14" s="91"/>
      <c r="L14" s="10"/>
      <c r="P14" s="7"/>
      <c r="S14" s="10"/>
      <c r="T14" s="10"/>
      <c r="U14" s="315"/>
    </row>
    <row r="15" spans="1:21" x14ac:dyDescent="0.25">
      <c r="A15" s="1" t="s">
        <v>6</v>
      </c>
      <c r="D15" s="7"/>
      <c r="G15" s="10"/>
      <c r="H15" s="10"/>
      <c r="I15" s="32"/>
      <c r="J15" s="10"/>
      <c r="K15" s="91"/>
      <c r="L15" s="10"/>
      <c r="M15" s="1" t="s">
        <v>6</v>
      </c>
      <c r="P15" s="29"/>
      <c r="Q15" s="32"/>
      <c r="S15" s="10"/>
      <c r="T15" s="10"/>
      <c r="U15" s="315"/>
    </row>
    <row r="16" spans="1:21" x14ac:dyDescent="0.25">
      <c r="D16" s="100" t="s">
        <v>7</v>
      </c>
      <c r="E16" s="101" t="s">
        <v>9</v>
      </c>
      <c r="G16" s="10"/>
      <c r="H16" s="10"/>
      <c r="I16" s="101" t="s">
        <v>9</v>
      </c>
      <c r="J16" s="10"/>
      <c r="K16" s="91"/>
      <c r="L16" s="10"/>
      <c r="P16" s="100" t="s">
        <v>7</v>
      </c>
      <c r="Q16" s="101" t="s">
        <v>9</v>
      </c>
      <c r="S16" s="10"/>
      <c r="T16" s="10"/>
      <c r="U16" s="315"/>
    </row>
    <row r="17" spans="1:21" x14ac:dyDescent="0.25">
      <c r="B17" s="2" t="s">
        <v>81</v>
      </c>
      <c r="D17" s="290">
        <f>22987158+9084343</f>
        <v>32071501</v>
      </c>
      <c r="E17" s="24">
        <f>'Present and Proposed Rates'!F20*9/12+'Present and Proposed Rates'!G20*3/12</f>
        <v>0.100925</v>
      </c>
      <c r="G17" s="10">
        <f>D17*E17</f>
        <v>3236816.2384250001</v>
      </c>
      <c r="H17" s="10"/>
      <c r="I17" s="102">
        <f>'Present and Proposed Rates'!G20</f>
        <v>0.10976</v>
      </c>
      <c r="J17" s="10">
        <f>I17*D17</f>
        <v>3520167.9497599998</v>
      </c>
      <c r="K17" s="91"/>
      <c r="L17" s="10"/>
      <c r="N17" s="2" t="s">
        <v>81</v>
      </c>
      <c r="P17" s="7">
        <f>D17</f>
        <v>32071501</v>
      </c>
      <c r="Q17" s="24">
        <f>'Present and Proposed Rates'!H20</f>
        <v>0.10009217809169571</v>
      </c>
      <c r="S17" s="10">
        <f>P17*Q17</f>
        <v>3210106.3897599969</v>
      </c>
      <c r="T17" s="10">
        <f t="shared" si="0"/>
        <v>-310061.56000000285</v>
      </c>
      <c r="U17" s="315">
        <f t="shared" si="1"/>
        <v>-8.8081467823472009E-2</v>
      </c>
    </row>
    <row r="18" spans="1:21" x14ac:dyDescent="0.25">
      <c r="D18" s="7"/>
      <c r="E18" s="24"/>
      <c r="G18" s="10"/>
      <c r="H18" s="10"/>
      <c r="I18" s="102"/>
      <c r="J18" s="10"/>
      <c r="K18" s="91"/>
      <c r="L18" s="10"/>
      <c r="P18" s="7"/>
      <c r="Q18" s="24"/>
      <c r="S18" s="10"/>
      <c r="T18" s="10"/>
      <c r="U18" s="315"/>
    </row>
    <row r="19" spans="1:21" x14ac:dyDescent="0.25">
      <c r="A19" s="1" t="s">
        <v>54</v>
      </c>
      <c r="B19" s="1"/>
      <c r="C19" s="59"/>
      <c r="D19" s="7"/>
      <c r="E19" s="24"/>
      <c r="G19" s="10"/>
      <c r="H19" s="10"/>
      <c r="I19" s="10"/>
      <c r="J19" s="10"/>
      <c r="K19" s="91"/>
      <c r="L19" s="10"/>
      <c r="M19" s="1" t="s">
        <v>54</v>
      </c>
      <c r="N19" s="1"/>
      <c r="O19" s="59"/>
      <c r="P19" s="7"/>
      <c r="Q19" s="24"/>
      <c r="S19" s="10"/>
      <c r="T19" s="10"/>
      <c r="U19" s="315"/>
    </row>
    <row r="20" spans="1:21" x14ac:dyDescent="0.25">
      <c r="A20" s="1"/>
      <c r="B20" s="2" t="s">
        <v>48</v>
      </c>
      <c r="C20" s="59"/>
      <c r="D20" s="7"/>
      <c r="E20" s="24"/>
      <c r="G20" s="291">
        <f>170199.88+68624</f>
        <v>238823.88</v>
      </c>
      <c r="H20" s="10"/>
      <c r="I20" s="10"/>
      <c r="J20" s="10">
        <f>G20</f>
        <v>238823.88</v>
      </c>
      <c r="K20" s="91"/>
      <c r="L20" s="10"/>
      <c r="M20" s="1"/>
      <c r="N20" s="2" t="s">
        <v>48</v>
      </c>
      <c r="O20" s="59"/>
      <c r="P20" s="7"/>
      <c r="Q20" s="24"/>
      <c r="S20" s="10">
        <f>G20</f>
        <v>238823.88</v>
      </c>
      <c r="T20" s="10">
        <f t="shared" si="0"/>
        <v>0</v>
      </c>
      <c r="U20" s="315">
        <f t="shared" si="1"/>
        <v>0</v>
      </c>
    </row>
    <row r="21" spans="1:21" x14ac:dyDescent="0.25">
      <c r="A21" s="1"/>
      <c r="B21" s="2" t="s">
        <v>55</v>
      </c>
      <c r="C21" s="59"/>
      <c r="D21" s="7"/>
      <c r="E21" s="24"/>
      <c r="G21" s="291">
        <f>357889.66+131761</f>
        <v>489650.66</v>
      </c>
      <c r="H21" s="10"/>
      <c r="I21" s="10"/>
      <c r="J21" s="10">
        <f>G21</f>
        <v>489650.66</v>
      </c>
      <c r="K21" s="91"/>
      <c r="L21" s="10"/>
      <c r="M21" s="1"/>
      <c r="N21" s="2" t="s">
        <v>55</v>
      </c>
      <c r="O21" s="59"/>
      <c r="P21" s="7"/>
      <c r="Q21" s="24"/>
      <c r="S21" s="10">
        <f>G21</f>
        <v>489650.66</v>
      </c>
      <c r="T21" s="10">
        <f t="shared" si="0"/>
        <v>0</v>
      </c>
      <c r="U21" s="315">
        <f t="shared" si="1"/>
        <v>0</v>
      </c>
    </row>
    <row r="22" spans="1:21" x14ac:dyDescent="0.25">
      <c r="A22" s="1"/>
      <c r="D22" s="19"/>
      <c r="G22" s="10"/>
      <c r="H22" s="10"/>
      <c r="I22" s="10"/>
      <c r="J22" s="10"/>
      <c r="K22" s="91"/>
      <c r="L22" s="10"/>
      <c r="M22" s="1"/>
      <c r="S22" s="10"/>
      <c r="T22" s="10"/>
      <c r="U22" s="315"/>
    </row>
    <row r="23" spans="1:21" ht="16.5" thickBot="1" x14ac:dyDescent="0.3">
      <c r="A23" s="1" t="s">
        <v>37</v>
      </c>
      <c r="G23" s="18">
        <f>SUM(G12:G21)</f>
        <v>4676484.0284249997</v>
      </c>
      <c r="H23" s="10"/>
      <c r="I23" s="10"/>
      <c r="J23" s="18">
        <f>SUM(J12:J21)</f>
        <v>4959835.7397599993</v>
      </c>
      <c r="K23" s="91"/>
      <c r="L23" s="10"/>
      <c r="M23" s="1" t="s">
        <v>37</v>
      </c>
      <c r="S23" s="18">
        <f>SUM(S12:S21)</f>
        <v>4959835.7397599965</v>
      </c>
      <c r="T23" s="10">
        <f t="shared" si="0"/>
        <v>0</v>
      </c>
      <c r="U23" s="315">
        <f t="shared" si="1"/>
        <v>0</v>
      </c>
    </row>
    <row r="24" spans="1:21" ht="16.5" thickTop="1" x14ac:dyDescent="0.25">
      <c r="A24" s="1"/>
      <c r="B24" s="1"/>
      <c r="G24" s="10"/>
      <c r="H24" s="10"/>
      <c r="I24" s="10"/>
      <c r="J24" s="10"/>
      <c r="K24" s="91"/>
      <c r="L24" s="10"/>
      <c r="M24" s="1"/>
      <c r="N24" s="1"/>
      <c r="S24" s="10"/>
    </row>
    <row r="25" spans="1:21" x14ac:dyDescent="0.25">
      <c r="A25" s="1" t="s">
        <v>14</v>
      </c>
      <c r="B25" s="9"/>
      <c r="G25" s="309">
        <f>3408015.52694+1261674</f>
        <v>4669689.5269399993</v>
      </c>
      <c r="H25" s="10"/>
      <c r="I25" s="10"/>
      <c r="J25" s="10"/>
      <c r="K25" s="92"/>
      <c r="L25" s="10"/>
      <c r="M25" s="1" t="s">
        <v>63</v>
      </c>
      <c r="N25" s="9"/>
      <c r="S25" s="23">
        <f>S23-J23</f>
        <v>0</v>
      </c>
    </row>
    <row r="26" spans="1:21" x14ac:dyDescent="0.25">
      <c r="A26" s="9"/>
      <c r="B26" s="9"/>
      <c r="G26" s="9"/>
      <c r="H26" s="9"/>
      <c r="I26" s="9"/>
      <c r="J26" s="9"/>
      <c r="K26" s="93"/>
      <c r="L26" s="9"/>
      <c r="N26" s="9"/>
      <c r="S26" s="9"/>
    </row>
    <row r="27" spans="1:21" x14ac:dyDescent="0.25">
      <c r="A27" s="1" t="s">
        <v>10</v>
      </c>
      <c r="B27" s="9"/>
      <c r="G27" s="16">
        <f>G23-G25</f>
        <v>6794.5014850003645</v>
      </c>
      <c r="H27" s="16"/>
      <c r="I27" s="16"/>
      <c r="J27" s="16">
        <f>J23-G23</f>
        <v>283351.71133499965</v>
      </c>
      <c r="K27" s="91"/>
      <c r="L27" s="16"/>
      <c r="M27" s="1" t="s">
        <v>64</v>
      </c>
      <c r="N27" s="9"/>
      <c r="S27" s="60">
        <f>S25/J23</f>
        <v>0</v>
      </c>
    </row>
    <row r="28" spans="1:21" x14ac:dyDescent="0.25">
      <c r="A28" s="9"/>
      <c r="B28" s="9"/>
      <c r="G28" s="10"/>
      <c r="H28" s="10"/>
      <c r="I28" s="10"/>
      <c r="J28" s="10"/>
      <c r="K28" s="94"/>
      <c r="L28" s="10"/>
      <c r="N28" s="9"/>
      <c r="S28" s="10"/>
    </row>
    <row r="29" spans="1:21" x14ac:dyDescent="0.25">
      <c r="A29" s="1" t="s">
        <v>16</v>
      </c>
      <c r="B29" s="9"/>
      <c r="G29" s="17">
        <f>G27/G25</f>
        <v>1.4550221049605269E-3</v>
      </c>
      <c r="H29" s="17"/>
      <c r="I29" s="17"/>
      <c r="J29" s="17">
        <f>J27/G25</f>
        <v>6.0678918737596926E-2</v>
      </c>
      <c r="K29" s="91"/>
      <c r="L29" s="17"/>
      <c r="M29" s="1" t="s">
        <v>40</v>
      </c>
      <c r="N29" s="9"/>
      <c r="S29" s="30">
        <f>S25/P12</f>
        <v>0</v>
      </c>
    </row>
    <row r="30" spans="1:21" x14ac:dyDescent="0.25">
      <c r="A30" s="1"/>
      <c r="B30" s="9"/>
      <c r="D30" s="14">
        <f>D17/(D12+D13)</f>
        <v>1315.3221916909322</v>
      </c>
      <c r="G30" s="17"/>
      <c r="H30" s="17"/>
      <c r="I30" s="17"/>
      <c r="J30" s="17"/>
      <c r="K30" s="17"/>
      <c r="L30" s="17"/>
      <c r="M30" s="1"/>
      <c r="N30" s="9"/>
      <c r="S30" s="17"/>
    </row>
    <row r="31" spans="1:21" x14ac:dyDescent="0.25">
      <c r="A31" s="1"/>
      <c r="B31" s="9"/>
      <c r="G31" s="98"/>
      <c r="H31" s="17"/>
      <c r="I31" s="17"/>
      <c r="J31" s="17"/>
      <c r="K31" s="17"/>
      <c r="L31" s="17"/>
      <c r="M31" s="1"/>
      <c r="N31" s="9"/>
      <c r="S31" s="17"/>
    </row>
    <row r="32" spans="1:21" x14ac:dyDescent="0.25">
      <c r="A32" s="1"/>
      <c r="B32" s="9"/>
      <c r="G32" s="98"/>
      <c r="H32" s="17"/>
      <c r="I32" s="17"/>
      <c r="J32" s="17"/>
      <c r="K32" s="17"/>
      <c r="L32" s="17"/>
      <c r="M32" s="1"/>
      <c r="N32" s="9"/>
      <c r="S32" s="17"/>
    </row>
    <row r="33" spans="1:20" x14ac:dyDescent="0.25">
      <c r="A33" s="1"/>
      <c r="B33" s="9"/>
      <c r="G33" s="98"/>
      <c r="H33" s="17"/>
      <c r="I33" s="17"/>
      <c r="J33" s="98">
        <f>J12+J13+J17</f>
        <v>4231361.1997599993</v>
      </c>
      <c r="K33" s="17"/>
      <c r="L33" s="17"/>
      <c r="M33" s="1"/>
      <c r="N33" s="9"/>
      <c r="S33" s="17"/>
    </row>
    <row r="34" spans="1:20" x14ac:dyDescent="0.25">
      <c r="A34" s="1"/>
      <c r="B34" s="9"/>
      <c r="G34" s="25"/>
      <c r="H34" s="17"/>
      <c r="I34" s="17"/>
      <c r="J34" s="17"/>
      <c r="K34" s="17"/>
      <c r="L34" s="17"/>
      <c r="M34" s="1"/>
      <c r="N34" s="9"/>
      <c r="S34" s="17"/>
    </row>
    <row r="35" spans="1:20" x14ac:dyDescent="0.25">
      <c r="A35" s="1"/>
      <c r="B35" s="9"/>
      <c r="G35" s="17"/>
      <c r="H35" s="17"/>
      <c r="I35" s="17"/>
      <c r="J35" s="17"/>
      <c r="K35" s="17"/>
      <c r="L35" s="17"/>
      <c r="M35" s="1"/>
      <c r="N35" s="9"/>
      <c r="S35" s="17"/>
    </row>
    <row r="36" spans="1:20" ht="18.75" customHeight="1" x14ac:dyDescent="0.25">
      <c r="A36" s="1"/>
      <c r="B36" s="10"/>
      <c r="G36" s="17"/>
      <c r="H36" s="17"/>
      <c r="I36" s="17"/>
      <c r="J36" s="17"/>
      <c r="K36" s="17"/>
      <c r="L36" s="17"/>
    </row>
    <row r="37" spans="1:20" x14ac:dyDescent="0.25">
      <c r="E37" s="10"/>
    </row>
    <row r="41" spans="1:20" x14ac:dyDescent="0.25">
      <c r="T41" s="46"/>
    </row>
    <row r="42" spans="1:20" x14ac:dyDescent="0.25">
      <c r="T42" s="46"/>
    </row>
    <row r="43" spans="1:20" x14ac:dyDescent="0.25">
      <c r="T43" s="46"/>
    </row>
    <row r="44" spans="1:20" x14ac:dyDescent="0.25">
      <c r="T44" s="46"/>
    </row>
    <row r="45" spans="1:20" x14ac:dyDescent="0.25">
      <c r="T45" s="46"/>
    </row>
    <row r="46" spans="1:20" x14ac:dyDescent="0.25">
      <c r="T46" s="46"/>
    </row>
    <row r="47" spans="1:20" x14ac:dyDescent="0.25">
      <c r="T47" s="46"/>
    </row>
    <row r="48" spans="1:20" x14ac:dyDescent="0.25">
      <c r="T48" s="46"/>
    </row>
    <row r="49" spans="20:20" x14ac:dyDescent="0.25">
      <c r="T49" s="46"/>
    </row>
    <row r="50" spans="20:20" x14ac:dyDescent="0.25">
      <c r="T50" s="46"/>
    </row>
    <row r="51" spans="20:20" ht="16.5" customHeight="1" x14ac:dyDescent="0.25">
      <c r="T51" s="46"/>
    </row>
    <row r="52" spans="20:20" x14ac:dyDescent="0.25">
      <c r="T52" s="46"/>
    </row>
    <row r="55" spans="20:20" x14ac:dyDescent="0.25">
      <c r="T55" s="32"/>
    </row>
    <row r="56" spans="20:20" x14ac:dyDescent="0.25">
      <c r="T56" s="32"/>
    </row>
    <row r="58" spans="20:20" x14ac:dyDescent="0.25">
      <c r="T58" s="32"/>
    </row>
    <row r="59" spans="20:20" x14ac:dyDescent="0.25">
      <c r="T59" s="32"/>
    </row>
    <row r="60" spans="20:20" x14ac:dyDescent="0.25">
      <c r="T60" s="32"/>
    </row>
    <row r="61" spans="20:20" x14ac:dyDescent="0.25">
      <c r="T61" s="32"/>
    </row>
    <row r="62" spans="20:20" x14ac:dyDescent="0.25">
      <c r="T62" s="32"/>
    </row>
    <row r="63" spans="20:20" x14ac:dyDescent="0.25">
      <c r="T63" s="32"/>
    </row>
    <row r="64" spans="20:20" x14ac:dyDescent="0.25">
      <c r="T64" s="32"/>
    </row>
    <row r="65" spans="20:20" x14ac:dyDescent="0.25">
      <c r="T65" s="32"/>
    </row>
    <row r="66" spans="20:20" x14ac:dyDescent="0.25">
      <c r="T66" s="32"/>
    </row>
    <row r="67" spans="20:20" x14ac:dyDescent="0.25">
      <c r="T67" s="32"/>
    </row>
    <row r="68" spans="20:20" x14ac:dyDescent="0.25">
      <c r="T68" s="32"/>
    </row>
    <row r="69" spans="20:20" x14ac:dyDescent="0.25">
      <c r="T69" s="32"/>
    </row>
    <row r="70" spans="20:20" x14ac:dyDescent="0.25">
      <c r="T70" s="47"/>
    </row>
    <row r="71" spans="20:20" x14ac:dyDescent="0.25">
      <c r="T71" s="47"/>
    </row>
    <row r="72" spans="20:20" x14ac:dyDescent="0.25">
      <c r="T72" s="47"/>
    </row>
    <row r="73" spans="20:20" x14ac:dyDescent="0.25">
      <c r="T73" s="47"/>
    </row>
    <row r="74" spans="20:20" x14ac:dyDescent="0.25">
      <c r="T74" s="47"/>
    </row>
    <row r="75" spans="20:20" x14ac:dyDescent="0.25">
      <c r="T75" s="47"/>
    </row>
    <row r="76" spans="20:20" x14ac:dyDescent="0.25">
      <c r="T76" s="47"/>
    </row>
    <row r="77" spans="20:20" x14ac:dyDescent="0.25">
      <c r="T77" s="47"/>
    </row>
    <row r="78" spans="20:20" x14ac:dyDescent="0.25">
      <c r="T78" s="47"/>
    </row>
    <row r="79" spans="20:20" x14ac:dyDescent="0.25">
      <c r="T79" s="47"/>
    </row>
    <row r="80" spans="20:20" x14ac:dyDescent="0.25">
      <c r="T80" s="47"/>
    </row>
    <row r="81" spans="20:20" x14ac:dyDescent="0.25">
      <c r="T81" s="47"/>
    </row>
    <row r="82" spans="20:20" x14ac:dyDescent="0.25">
      <c r="T82" s="47"/>
    </row>
    <row r="83" spans="20:20" x14ac:dyDescent="0.25">
      <c r="T83" s="47"/>
    </row>
    <row r="84" spans="20:20" ht="15" customHeight="1" x14ac:dyDescent="0.25">
      <c r="T84" s="47"/>
    </row>
    <row r="85" spans="20:20" x14ac:dyDescent="0.25">
      <c r="T85" s="47"/>
    </row>
    <row r="86" spans="20:20" x14ac:dyDescent="0.25">
      <c r="T86" s="47"/>
    </row>
    <row r="87" spans="20:20" x14ac:dyDescent="0.25">
      <c r="T87" s="47"/>
    </row>
    <row r="88" spans="20:20" x14ac:dyDescent="0.25">
      <c r="T88" s="47"/>
    </row>
    <row r="89" spans="20:20" x14ac:dyDescent="0.25">
      <c r="T89" s="47"/>
    </row>
    <row r="90" spans="20:20" x14ac:dyDescent="0.25">
      <c r="T90" s="47"/>
    </row>
    <row r="91" spans="20:20" x14ac:dyDescent="0.25">
      <c r="T91" s="47"/>
    </row>
    <row r="92" spans="20:20" x14ac:dyDescent="0.25">
      <c r="T92" s="47"/>
    </row>
    <row r="93" spans="20:20" x14ac:dyDescent="0.25">
      <c r="T93" s="47"/>
    </row>
    <row r="94" spans="20:20" x14ac:dyDescent="0.25">
      <c r="T94" s="47"/>
    </row>
    <row r="95" spans="20:20" x14ac:dyDescent="0.25">
      <c r="T95" s="47"/>
    </row>
    <row r="96" spans="20:20" x14ac:dyDescent="0.25">
      <c r="T96" s="47"/>
    </row>
    <row r="97" spans="20:20" x14ac:dyDescent="0.25">
      <c r="T97" s="47"/>
    </row>
    <row r="98" spans="20:20" x14ac:dyDescent="0.25">
      <c r="T98" s="47"/>
    </row>
    <row r="99" spans="20:20" x14ac:dyDescent="0.25">
      <c r="T99" s="47"/>
    </row>
    <row r="100" spans="20:20" x14ac:dyDescent="0.25">
      <c r="T100" s="47"/>
    </row>
    <row r="101" spans="20:20" x14ac:dyDescent="0.25">
      <c r="T101" s="47"/>
    </row>
    <row r="102" spans="20:20" x14ac:dyDescent="0.25">
      <c r="T102" s="47"/>
    </row>
    <row r="103" spans="20:20" x14ac:dyDescent="0.25">
      <c r="T103" s="47"/>
    </row>
    <row r="104" spans="20:20" x14ac:dyDescent="0.25">
      <c r="T104" s="47"/>
    </row>
    <row r="105" spans="20:20" x14ac:dyDescent="0.25">
      <c r="T105" s="47"/>
    </row>
    <row r="106" spans="20:20" x14ac:dyDescent="0.25">
      <c r="T106" s="47"/>
    </row>
    <row r="107" spans="20:20" x14ac:dyDescent="0.25">
      <c r="T107" s="47"/>
    </row>
    <row r="108" spans="20:20" x14ac:dyDescent="0.25">
      <c r="T108" s="47"/>
    </row>
    <row r="109" spans="20:20" x14ac:dyDescent="0.25">
      <c r="T109" s="47"/>
    </row>
    <row r="110" spans="20:20" x14ac:dyDescent="0.25">
      <c r="T110" s="47"/>
    </row>
    <row r="111" spans="20:20" x14ac:dyDescent="0.25">
      <c r="T111" s="47"/>
    </row>
    <row r="112" spans="20:20" x14ac:dyDescent="0.25">
      <c r="T112" s="47"/>
    </row>
    <row r="113" spans="20:20" x14ac:dyDescent="0.25">
      <c r="T113" s="47"/>
    </row>
    <row r="114" spans="20:20" x14ac:dyDescent="0.25">
      <c r="T114" s="47"/>
    </row>
    <row r="115" spans="20:20" x14ac:dyDescent="0.25">
      <c r="T115" s="47"/>
    </row>
    <row r="130" spans="3:14" x14ac:dyDescent="0.25">
      <c r="N130" s="32"/>
    </row>
    <row r="131" spans="3:14" x14ac:dyDescent="0.25">
      <c r="C131" s="32"/>
      <c r="D131" s="32"/>
      <c r="N131" s="32"/>
    </row>
    <row r="132" spans="3:14" x14ac:dyDescent="0.25">
      <c r="C132" s="33"/>
      <c r="D132" s="38"/>
      <c r="E132" s="42"/>
      <c r="N132" s="32"/>
    </row>
    <row r="133" spans="3:14" x14ac:dyDescent="0.25">
      <c r="C133" s="33"/>
      <c r="D133" s="38"/>
      <c r="E133" s="42"/>
      <c r="N133" s="32"/>
    </row>
    <row r="134" spans="3:14" x14ac:dyDescent="0.25">
      <c r="C134" s="33"/>
      <c r="D134" s="38"/>
      <c r="E134" s="42"/>
      <c r="N134" s="3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59" orientation="landscape" r:id="rId1"/>
  <headerFooter alignWithMargins="0">
    <oddFooter>&amp;RExhibit JW-9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U133"/>
  <sheetViews>
    <sheetView view="pageBreakPreview" zoomScale="75" zoomScaleNormal="85" zoomScaleSheetLayoutView="75" workbookViewId="0">
      <selection activeCell="D59" sqref="D59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3.85546875" style="2" customWidth="1"/>
    <col min="10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20" width="13.140625" style="2" bestFit="1" customWidth="1"/>
    <col min="21" max="21" width="7.140625" style="2" bestFit="1" customWidth="1"/>
    <col min="22" max="16384" width="9.140625" style="2"/>
  </cols>
  <sheetData>
    <row r="1" spans="1:21" x14ac:dyDescent="0.25">
      <c r="A1" s="1" t="str">
        <f>'Present and Proposed Rates'!A1</f>
        <v>Clark Energy Cooperative</v>
      </c>
      <c r="N1" s="1"/>
    </row>
    <row r="2" spans="1:21" x14ac:dyDescent="0.25">
      <c r="A2" s="1" t="str">
        <f>List!B10</f>
        <v>General Power Service 50-500kW</v>
      </c>
    </row>
    <row r="3" spans="1:21" ht="16.5" thickBot="1" x14ac:dyDescent="0.3">
      <c r="A3" s="128" t="str">
        <f>List!C9</f>
        <v>E</v>
      </c>
    </row>
    <row r="4" spans="1:21" x14ac:dyDescent="0.25">
      <c r="D4" s="326" t="s">
        <v>17</v>
      </c>
      <c r="E4" s="327"/>
      <c r="F4" s="327"/>
      <c r="G4" s="328"/>
      <c r="H4" s="3"/>
      <c r="I4" s="326" t="s">
        <v>62</v>
      </c>
      <c r="J4" s="328"/>
      <c r="K4" s="90"/>
      <c r="L4" s="3"/>
      <c r="P4" s="326" t="s">
        <v>45</v>
      </c>
      <c r="Q4" s="327"/>
      <c r="R4" s="327"/>
      <c r="S4" s="328"/>
    </row>
    <row r="5" spans="1:21" ht="16.5" thickBot="1" x14ac:dyDescent="0.3">
      <c r="A5" s="34"/>
      <c r="B5" s="41"/>
      <c r="C5" s="3"/>
      <c r="D5" s="329"/>
      <c r="E5" s="330"/>
      <c r="F5" s="330"/>
      <c r="G5" s="331"/>
      <c r="H5" s="3"/>
      <c r="I5" s="329"/>
      <c r="J5" s="331"/>
      <c r="K5" s="90"/>
      <c r="L5" s="3"/>
      <c r="M5" s="34"/>
      <c r="N5" s="41"/>
      <c r="O5" s="3"/>
      <c r="P5" s="329"/>
      <c r="Q5" s="330"/>
      <c r="R5" s="330"/>
      <c r="S5" s="331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90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21" ht="16.5" thickBot="1" x14ac:dyDescent="0.3">
      <c r="A7" s="5"/>
      <c r="B7" s="5"/>
      <c r="C7" s="5"/>
      <c r="D7" s="5" t="s">
        <v>3</v>
      </c>
      <c r="E7" s="330" t="s">
        <v>4</v>
      </c>
      <c r="F7" s="330"/>
      <c r="G7" s="5" t="s">
        <v>5</v>
      </c>
      <c r="H7" s="5"/>
      <c r="I7" s="5" t="s">
        <v>4</v>
      </c>
      <c r="J7" s="5" t="s">
        <v>5</v>
      </c>
      <c r="K7" s="89"/>
      <c r="L7" s="5"/>
      <c r="M7" s="5"/>
      <c r="N7" s="5"/>
      <c r="O7" s="5"/>
      <c r="P7" s="5" t="s">
        <v>3</v>
      </c>
      <c r="Q7" s="330" t="s">
        <v>4</v>
      </c>
      <c r="R7" s="330"/>
      <c r="S7" s="5" t="s">
        <v>5</v>
      </c>
      <c r="T7" s="5" t="s">
        <v>30</v>
      </c>
      <c r="U7" s="5" t="s">
        <v>35</v>
      </c>
    </row>
    <row r="8" spans="1:21" x14ac:dyDescent="0.25">
      <c r="K8" s="90"/>
    </row>
    <row r="9" spans="1:21" x14ac:dyDescent="0.25">
      <c r="K9" s="90"/>
    </row>
    <row r="10" spans="1:21" x14ac:dyDescent="0.25">
      <c r="A10" s="63" t="s">
        <v>8</v>
      </c>
      <c r="K10" s="90"/>
      <c r="M10" s="63" t="s">
        <v>8</v>
      </c>
    </row>
    <row r="11" spans="1:21" ht="31.5" x14ac:dyDescent="0.25">
      <c r="D11" s="99" t="s">
        <v>49</v>
      </c>
      <c r="E11" s="99" t="s">
        <v>50</v>
      </c>
      <c r="I11" s="99" t="s">
        <v>50</v>
      </c>
      <c r="K11" s="90"/>
      <c r="P11" s="99" t="s">
        <v>49</v>
      </c>
      <c r="Q11" s="99" t="s">
        <v>50</v>
      </c>
      <c r="T11" s="10"/>
      <c r="U11" s="315"/>
    </row>
    <row r="12" spans="1:21" x14ac:dyDescent="0.25">
      <c r="B12" s="2" t="s">
        <v>61</v>
      </c>
      <c r="D12" s="290">
        <v>3769</v>
      </c>
      <c r="E12" s="8">
        <f>'Present and Proposed Rates'!F22</f>
        <v>18.62</v>
      </c>
      <c r="G12" s="10">
        <f>D12*E12</f>
        <v>70178.78</v>
      </c>
      <c r="H12" s="10"/>
      <c r="I12" s="103">
        <f>'Present and Proposed Rates'!G22</f>
        <v>18.62</v>
      </c>
      <c r="J12" s="10">
        <f>I12*D12</f>
        <v>70178.78</v>
      </c>
      <c r="K12" s="91"/>
      <c r="L12" s="10"/>
      <c r="N12" s="2" t="s">
        <v>56</v>
      </c>
      <c r="P12" s="7">
        <f>D12</f>
        <v>3769</v>
      </c>
      <c r="Q12" s="8">
        <f>'Present and Proposed Rates'!H22</f>
        <v>33</v>
      </c>
      <c r="S12" s="10">
        <f>P12*Q12</f>
        <v>124377</v>
      </c>
      <c r="T12" s="10">
        <f t="shared" ref="T12" si="0">S12-J12</f>
        <v>54198.22</v>
      </c>
      <c r="U12" s="315">
        <f t="shared" ref="U12" si="1">IF(J12=0,0,T12/J12)</f>
        <v>0.7722878625134264</v>
      </c>
    </row>
    <row r="13" spans="1:21" x14ac:dyDescent="0.25">
      <c r="D13" s="7"/>
      <c r="G13" s="10"/>
      <c r="H13" s="10"/>
      <c r="I13" s="32"/>
      <c r="J13" s="10"/>
      <c r="K13" s="91"/>
      <c r="L13" s="10"/>
      <c r="P13" s="7"/>
      <c r="S13" s="10"/>
      <c r="T13" s="10"/>
      <c r="U13" s="315"/>
    </row>
    <row r="14" spans="1:21" x14ac:dyDescent="0.25">
      <c r="A14" s="1" t="s">
        <v>6</v>
      </c>
      <c r="D14" s="7"/>
      <c r="G14" s="10"/>
      <c r="H14" s="10"/>
      <c r="I14" s="32"/>
      <c r="J14" s="10"/>
      <c r="K14" s="91"/>
      <c r="L14" s="10"/>
      <c r="M14" s="1" t="s">
        <v>6</v>
      </c>
      <c r="P14" s="29"/>
      <c r="Q14" s="32"/>
      <c r="S14" s="10"/>
      <c r="T14" s="10"/>
      <c r="U14" s="315"/>
    </row>
    <row r="15" spans="1:21" x14ac:dyDescent="0.25">
      <c r="D15" s="100" t="s">
        <v>7</v>
      </c>
      <c r="E15" s="101" t="s">
        <v>9</v>
      </c>
      <c r="G15" s="10"/>
      <c r="H15" s="10"/>
      <c r="I15" s="101" t="s">
        <v>9</v>
      </c>
      <c r="J15" s="10"/>
      <c r="K15" s="91"/>
      <c r="L15" s="10"/>
      <c r="P15" s="100" t="s">
        <v>7</v>
      </c>
      <c r="Q15" s="101" t="s">
        <v>9</v>
      </c>
      <c r="S15" s="10"/>
      <c r="T15" s="10"/>
      <c r="U15" s="315"/>
    </row>
    <row r="16" spans="1:21" x14ac:dyDescent="0.25">
      <c r="B16" s="2" t="s">
        <v>81</v>
      </c>
      <c r="D16" s="290">
        <v>3649587</v>
      </c>
      <c r="E16" s="24">
        <f>'Present and Proposed Rates'!F23*9/12+'Present and Proposed Rates'!G23*3/12</f>
        <v>0.101465</v>
      </c>
      <c r="G16" s="10">
        <f>D16*E16</f>
        <v>370305.34495499998</v>
      </c>
      <c r="H16" s="10"/>
      <c r="I16" s="102">
        <f>'Present and Proposed Rates'!G23</f>
        <v>0.1103</v>
      </c>
      <c r="J16" s="10">
        <f>I16*D16</f>
        <v>402549.4461</v>
      </c>
      <c r="K16" s="91"/>
      <c r="L16" s="10"/>
      <c r="N16" s="2" t="s">
        <v>81</v>
      </c>
      <c r="P16" s="7">
        <f>D16</f>
        <v>3649587</v>
      </c>
      <c r="Q16" s="24">
        <f>'Present and Proposed Rates'!H23</f>
        <v>9.5449492257617091E-2</v>
      </c>
      <c r="S16" s="10">
        <f>P16*Q16</f>
        <v>348351.22609999997</v>
      </c>
      <c r="T16" s="10">
        <f t="shared" ref="T16:T22" si="2">S16-J16</f>
        <v>-54198.22000000003</v>
      </c>
      <c r="U16" s="315">
        <f t="shared" ref="U16:U22" si="3">IF(J16=0,0,T16/J16)</f>
        <v>-0.13463742286838543</v>
      </c>
    </row>
    <row r="17" spans="1:21" x14ac:dyDescent="0.25">
      <c r="A17" s="1"/>
      <c r="K17" s="90"/>
      <c r="T17" s="10"/>
      <c r="U17" s="315"/>
    </row>
    <row r="18" spans="1:21" x14ac:dyDescent="0.25">
      <c r="A18" s="1" t="s">
        <v>54</v>
      </c>
      <c r="B18" s="1"/>
      <c r="C18" s="59"/>
      <c r="D18" s="7"/>
      <c r="E18" s="24"/>
      <c r="G18" s="10"/>
      <c r="H18" s="10"/>
      <c r="I18" s="10"/>
      <c r="J18" s="10"/>
      <c r="K18" s="91"/>
      <c r="L18" s="10"/>
      <c r="M18" s="1" t="s">
        <v>54</v>
      </c>
      <c r="N18" s="1"/>
      <c r="O18" s="59"/>
      <c r="P18" s="7"/>
      <c r="Q18" s="24"/>
      <c r="S18" s="10"/>
      <c r="T18" s="10"/>
      <c r="U18" s="315"/>
    </row>
    <row r="19" spans="1:21" x14ac:dyDescent="0.25">
      <c r="A19" s="1"/>
      <c r="B19" s="2" t="s">
        <v>48</v>
      </c>
      <c r="C19" s="59"/>
      <c r="D19" s="7"/>
      <c r="E19" s="24"/>
      <c r="G19" s="291">
        <v>26296.460000000003</v>
      </c>
      <c r="H19" s="10"/>
      <c r="I19" s="10"/>
      <c r="J19" s="10">
        <f>G19</f>
        <v>26296.460000000003</v>
      </c>
      <c r="K19" s="91"/>
      <c r="L19" s="10"/>
      <c r="M19" s="1"/>
      <c r="N19" s="2" t="s">
        <v>48</v>
      </c>
      <c r="O19" s="59"/>
      <c r="P19" s="7"/>
      <c r="Q19" s="24"/>
      <c r="S19" s="10">
        <f>G19</f>
        <v>26296.460000000003</v>
      </c>
      <c r="T19" s="10">
        <f t="shared" si="2"/>
        <v>0</v>
      </c>
      <c r="U19" s="315">
        <f t="shared" si="3"/>
        <v>0</v>
      </c>
    </row>
    <row r="20" spans="1:21" x14ac:dyDescent="0.25">
      <c r="A20" s="1"/>
      <c r="B20" s="2" t="s">
        <v>55</v>
      </c>
      <c r="C20" s="59"/>
      <c r="D20" s="7"/>
      <c r="E20" s="24"/>
      <c r="G20" s="291">
        <v>58014.810000000012</v>
      </c>
      <c r="H20" s="10"/>
      <c r="I20" s="10"/>
      <c r="J20" s="10">
        <f>G20</f>
        <v>58014.810000000012</v>
      </c>
      <c r="K20" s="91"/>
      <c r="L20" s="10"/>
      <c r="M20" s="1"/>
      <c r="N20" s="2" t="s">
        <v>55</v>
      </c>
      <c r="O20" s="59"/>
      <c r="P20" s="7"/>
      <c r="Q20" s="24"/>
      <c r="S20" s="10">
        <f>G20</f>
        <v>58014.810000000012</v>
      </c>
      <c r="T20" s="10">
        <f t="shared" si="2"/>
        <v>0</v>
      </c>
      <c r="U20" s="315">
        <f t="shared" si="3"/>
        <v>0</v>
      </c>
    </row>
    <row r="21" spans="1:21" x14ac:dyDescent="0.25">
      <c r="A21" s="1"/>
      <c r="D21" s="19"/>
      <c r="G21" s="10"/>
      <c r="H21" s="10"/>
      <c r="I21" s="10"/>
      <c r="J21" s="10"/>
      <c r="K21" s="91"/>
      <c r="L21" s="10"/>
      <c r="M21" s="1"/>
      <c r="S21" s="10"/>
      <c r="T21" s="10"/>
      <c r="U21" s="315"/>
    </row>
    <row r="22" spans="1:21" ht="16.5" thickBot="1" x14ac:dyDescent="0.3">
      <c r="A22" s="1" t="s">
        <v>37</v>
      </c>
      <c r="G22" s="18">
        <f>SUM(G12:G20)</f>
        <v>524795.39495500003</v>
      </c>
      <c r="H22" s="10"/>
      <c r="I22" s="10"/>
      <c r="J22" s="18">
        <f>SUM(J12:J20)</f>
        <v>557039.49609999999</v>
      </c>
      <c r="K22" s="91"/>
      <c r="L22" s="10"/>
      <c r="M22" s="1" t="s">
        <v>37</v>
      </c>
      <c r="S22" s="18">
        <f>SUM(S12:S20)</f>
        <v>557039.49609999999</v>
      </c>
      <c r="T22" s="10">
        <f t="shared" si="2"/>
        <v>0</v>
      </c>
      <c r="U22" s="315">
        <f t="shared" si="3"/>
        <v>0</v>
      </c>
    </row>
    <row r="23" spans="1:21" ht="16.5" thickTop="1" x14ac:dyDescent="0.25">
      <c r="A23" s="1"/>
      <c r="B23" s="1"/>
      <c r="G23" s="10"/>
      <c r="H23" s="10"/>
      <c r="I23" s="10"/>
      <c r="J23" s="10"/>
      <c r="K23" s="91"/>
      <c r="L23" s="10"/>
      <c r="M23" s="1"/>
      <c r="N23" s="1"/>
      <c r="S23" s="10"/>
      <c r="T23" s="10"/>
      <c r="U23" s="315"/>
    </row>
    <row r="24" spans="1:21" x14ac:dyDescent="0.25">
      <c r="A24" s="1" t="s">
        <v>14</v>
      </c>
      <c r="B24" s="9"/>
      <c r="G24" s="309">
        <v>522504.48239999998</v>
      </c>
      <c r="H24" s="10"/>
      <c r="I24" s="10"/>
      <c r="J24" s="10"/>
      <c r="K24" s="92"/>
      <c r="L24" s="10"/>
      <c r="M24" s="1" t="s">
        <v>63</v>
      </c>
      <c r="N24" s="9"/>
      <c r="S24" s="23">
        <f>S22-J22</f>
        <v>0</v>
      </c>
    </row>
    <row r="25" spans="1:21" x14ac:dyDescent="0.25">
      <c r="A25" s="9"/>
      <c r="B25" s="9"/>
      <c r="G25" s="9"/>
      <c r="H25" s="9"/>
      <c r="I25" s="9"/>
      <c r="J25" s="9"/>
      <c r="K25" s="93"/>
      <c r="L25" s="9"/>
      <c r="N25" s="9"/>
      <c r="S25" s="9"/>
    </row>
    <row r="26" spans="1:21" x14ac:dyDescent="0.25">
      <c r="A26" s="1" t="s">
        <v>10</v>
      </c>
      <c r="B26" s="9"/>
      <c r="G26" s="16">
        <f>G22-G24</f>
        <v>2290.9125550000463</v>
      </c>
      <c r="H26" s="16"/>
      <c r="I26" s="16"/>
      <c r="J26" s="16">
        <f>J22-G22</f>
        <v>32244.101144999964</v>
      </c>
      <c r="K26" s="91"/>
      <c r="L26" s="16"/>
      <c r="M26" s="1" t="s">
        <v>64</v>
      </c>
      <c r="N26" s="9"/>
      <c r="S26" s="60">
        <f>S24/J22</f>
        <v>0</v>
      </c>
    </row>
    <row r="27" spans="1:21" x14ac:dyDescent="0.25">
      <c r="A27" s="9"/>
      <c r="B27" s="9"/>
      <c r="G27" s="10"/>
      <c r="H27" s="10"/>
      <c r="I27" s="10"/>
      <c r="J27" s="10"/>
      <c r="K27" s="94"/>
      <c r="L27" s="10"/>
      <c r="N27" s="9"/>
      <c r="S27" s="10"/>
    </row>
    <row r="28" spans="1:21" x14ac:dyDescent="0.25">
      <c r="A28" s="1" t="s">
        <v>16</v>
      </c>
      <c r="B28" s="9"/>
      <c r="G28" s="17">
        <f>G26/G24</f>
        <v>4.3844840229451901E-3</v>
      </c>
      <c r="H28" s="17"/>
      <c r="I28" s="17"/>
      <c r="J28" s="17">
        <f>J26/G24</f>
        <v>6.1710668962865853E-2</v>
      </c>
      <c r="K28" s="91"/>
      <c r="L28" s="17"/>
      <c r="M28" s="1" t="s">
        <v>40</v>
      </c>
      <c r="N28" s="9"/>
      <c r="S28" s="30">
        <f>S24/P12</f>
        <v>0</v>
      </c>
    </row>
    <row r="29" spans="1:21" x14ac:dyDescent="0.25">
      <c r="A29" s="1"/>
      <c r="B29" s="9"/>
      <c r="D29" s="13">
        <f>D16/D12</f>
        <v>968.31706022817718</v>
      </c>
      <c r="G29" s="17"/>
      <c r="H29" s="17"/>
      <c r="I29" s="17"/>
      <c r="J29" s="17"/>
      <c r="K29" s="17"/>
      <c r="L29" s="17"/>
      <c r="M29" s="1"/>
      <c r="N29" s="9"/>
      <c r="S29" s="17"/>
    </row>
    <row r="30" spans="1:21" x14ac:dyDescent="0.25">
      <c r="A30" s="1"/>
      <c r="B30" s="9"/>
      <c r="G30" s="98"/>
      <c r="H30" s="17"/>
      <c r="I30" s="17"/>
      <c r="J30" s="17"/>
      <c r="K30" s="17"/>
      <c r="L30" s="17"/>
      <c r="M30" s="1"/>
      <c r="N30" s="9"/>
      <c r="S30" s="17"/>
    </row>
    <row r="31" spans="1:21" x14ac:dyDescent="0.25">
      <c r="A31" s="1"/>
      <c r="B31" s="9"/>
      <c r="G31" s="98"/>
      <c r="H31" s="17"/>
      <c r="I31" s="17"/>
      <c r="J31" s="98">
        <f>J12+J16</f>
        <v>472728.22609999997</v>
      </c>
      <c r="K31" s="17"/>
      <c r="L31" s="17"/>
      <c r="M31" s="1"/>
      <c r="N31" s="9"/>
      <c r="S31" s="17"/>
    </row>
    <row r="32" spans="1:21" x14ac:dyDescent="0.25">
      <c r="A32" s="1"/>
      <c r="B32" s="9"/>
      <c r="G32" s="98"/>
      <c r="H32" s="17"/>
      <c r="I32" s="17"/>
      <c r="J32" s="17"/>
      <c r="K32" s="17"/>
      <c r="L32" s="17"/>
      <c r="M32" s="1"/>
      <c r="N32" s="9"/>
      <c r="S32" s="17"/>
    </row>
    <row r="33" spans="1:20" x14ac:dyDescent="0.25">
      <c r="A33" s="1"/>
      <c r="B33" s="9"/>
      <c r="G33" s="25"/>
      <c r="H33" s="17"/>
      <c r="I33" s="17"/>
      <c r="J33" s="17"/>
      <c r="K33" s="17"/>
      <c r="L33" s="17"/>
      <c r="M33" s="1"/>
      <c r="N33" s="9"/>
      <c r="S33" s="17"/>
    </row>
    <row r="34" spans="1:20" x14ac:dyDescent="0.25">
      <c r="A34" s="1"/>
      <c r="B34" s="9"/>
      <c r="G34" s="17"/>
      <c r="H34" s="17"/>
      <c r="I34" s="17"/>
      <c r="J34" s="17"/>
      <c r="K34" s="17"/>
      <c r="L34" s="17"/>
      <c r="M34" s="1"/>
      <c r="N34" s="9"/>
      <c r="S34" s="17"/>
    </row>
    <row r="35" spans="1:20" ht="18.75" customHeight="1" x14ac:dyDescent="0.25">
      <c r="A35" s="1"/>
      <c r="B35" s="10"/>
      <c r="G35" s="17"/>
      <c r="H35" s="17"/>
      <c r="I35" s="17"/>
      <c r="J35" s="17"/>
      <c r="K35" s="17"/>
      <c r="L35" s="17"/>
    </row>
    <row r="36" spans="1:20" x14ac:dyDescent="0.25">
      <c r="E36" s="10"/>
    </row>
    <row r="41" spans="1:20" x14ac:dyDescent="0.25">
      <c r="T41" s="46"/>
    </row>
    <row r="42" spans="1:20" x14ac:dyDescent="0.25">
      <c r="T42" s="46"/>
    </row>
    <row r="43" spans="1:20" x14ac:dyDescent="0.25">
      <c r="T43" s="46"/>
    </row>
    <row r="44" spans="1:20" x14ac:dyDescent="0.25">
      <c r="T44" s="46"/>
    </row>
    <row r="45" spans="1:20" x14ac:dyDescent="0.25">
      <c r="T45" s="46"/>
    </row>
    <row r="46" spans="1:20" x14ac:dyDescent="0.25">
      <c r="T46" s="46"/>
    </row>
    <row r="47" spans="1:20" x14ac:dyDescent="0.25">
      <c r="T47" s="46"/>
    </row>
    <row r="48" spans="1:20" x14ac:dyDescent="0.25">
      <c r="T48" s="46"/>
    </row>
    <row r="49" spans="20:20" x14ac:dyDescent="0.25">
      <c r="T49" s="46"/>
    </row>
    <row r="50" spans="20:20" ht="16.5" customHeight="1" x14ac:dyDescent="0.25">
      <c r="T50" s="46"/>
    </row>
    <row r="51" spans="20:20" x14ac:dyDescent="0.25">
      <c r="T51" s="46"/>
    </row>
    <row r="52" spans="20:20" x14ac:dyDescent="0.25">
      <c r="T52" s="46"/>
    </row>
    <row r="55" spans="20:20" x14ac:dyDescent="0.25">
      <c r="T55" s="32"/>
    </row>
    <row r="56" spans="20:20" x14ac:dyDescent="0.25">
      <c r="T56" s="32"/>
    </row>
    <row r="58" spans="20:20" x14ac:dyDescent="0.25">
      <c r="T58" s="32"/>
    </row>
    <row r="59" spans="20:20" x14ac:dyDescent="0.25">
      <c r="T59" s="32"/>
    </row>
    <row r="60" spans="20:20" x14ac:dyDescent="0.25">
      <c r="T60" s="32"/>
    </row>
    <row r="61" spans="20:20" x14ac:dyDescent="0.25">
      <c r="T61" s="32"/>
    </row>
    <row r="62" spans="20:20" x14ac:dyDescent="0.25">
      <c r="T62" s="32"/>
    </row>
    <row r="63" spans="20:20" x14ac:dyDescent="0.25">
      <c r="T63" s="32"/>
    </row>
    <row r="64" spans="20:20" x14ac:dyDescent="0.25">
      <c r="T64" s="32"/>
    </row>
    <row r="65" spans="20:20" x14ac:dyDescent="0.25">
      <c r="T65" s="32"/>
    </row>
    <row r="66" spans="20:20" x14ac:dyDescent="0.25">
      <c r="T66" s="32"/>
    </row>
    <row r="67" spans="20:20" x14ac:dyDescent="0.25">
      <c r="T67" s="32"/>
    </row>
    <row r="68" spans="20:20" x14ac:dyDescent="0.25">
      <c r="T68" s="32"/>
    </row>
    <row r="69" spans="20:20" x14ac:dyDescent="0.25">
      <c r="T69" s="32"/>
    </row>
    <row r="70" spans="20:20" x14ac:dyDescent="0.25">
      <c r="T70" s="47"/>
    </row>
    <row r="71" spans="20:20" x14ac:dyDescent="0.25">
      <c r="T71" s="47"/>
    </row>
    <row r="72" spans="20:20" x14ac:dyDescent="0.25">
      <c r="T72" s="47"/>
    </row>
    <row r="73" spans="20:20" x14ac:dyDescent="0.25">
      <c r="T73" s="47"/>
    </row>
    <row r="74" spans="20:20" x14ac:dyDescent="0.25">
      <c r="T74" s="47"/>
    </row>
    <row r="75" spans="20:20" x14ac:dyDescent="0.25">
      <c r="T75" s="47"/>
    </row>
    <row r="76" spans="20:20" x14ac:dyDescent="0.25">
      <c r="T76" s="47"/>
    </row>
    <row r="77" spans="20:20" x14ac:dyDescent="0.25">
      <c r="T77" s="47"/>
    </row>
    <row r="78" spans="20:20" x14ac:dyDescent="0.25">
      <c r="T78" s="47"/>
    </row>
    <row r="79" spans="20:20" x14ac:dyDescent="0.25">
      <c r="T79" s="47"/>
    </row>
    <row r="80" spans="20:20" x14ac:dyDescent="0.25">
      <c r="T80" s="47"/>
    </row>
    <row r="81" spans="20:20" x14ac:dyDescent="0.25">
      <c r="T81" s="47"/>
    </row>
    <row r="82" spans="20:20" x14ac:dyDescent="0.25">
      <c r="T82" s="47"/>
    </row>
    <row r="83" spans="20:20" ht="15" customHeight="1" x14ac:dyDescent="0.25">
      <c r="T83" s="47"/>
    </row>
    <row r="84" spans="20:20" x14ac:dyDescent="0.25">
      <c r="T84" s="47"/>
    </row>
    <row r="85" spans="20:20" x14ac:dyDescent="0.25">
      <c r="T85" s="47"/>
    </row>
    <row r="86" spans="20:20" x14ac:dyDescent="0.25">
      <c r="T86" s="47"/>
    </row>
    <row r="87" spans="20:20" x14ac:dyDescent="0.25">
      <c r="T87" s="47"/>
    </row>
    <row r="88" spans="20:20" x14ac:dyDescent="0.25">
      <c r="T88" s="47"/>
    </row>
    <row r="89" spans="20:20" x14ac:dyDescent="0.25">
      <c r="T89" s="47"/>
    </row>
    <row r="90" spans="20:20" x14ac:dyDescent="0.25">
      <c r="T90" s="47"/>
    </row>
    <row r="91" spans="20:20" x14ac:dyDescent="0.25">
      <c r="T91" s="47"/>
    </row>
    <row r="92" spans="20:20" x14ac:dyDescent="0.25">
      <c r="T92" s="47"/>
    </row>
    <row r="93" spans="20:20" x14ac:dyDescent="0.25">
      <c r="T93" s="47"/>
    </row>
    <row r="94" spans="20:20" x14ac:dyDescent="0.25">
      <c r="T94" s="47"/>
    </row>
    <row r="95" spans="20:20" x14ac:dyDescent="0.25">
      <c r="T95" s="47"/>
    </row>
    <row r="96" spans="20:20" x14ac:dyDescent="0.25">
      <c r="T96" s="47"/>
    </row>
    <row r="97" spans="20:20" x14ac:dyDescent="0.25">
      <c r="T97" s="47"/>
    </row>
    <row r="98" spans="20:20" x14ac:dyDescent="0.25">
      <c r="T98" s="47"/>
    </row>
    <row r="99" spans="20:20" x14ac:dyDescent="0.25">
      <c r="T99" s="47"/>
    </row>
    <row r="100" spans="20:20" x14ac:dyDescent="0.25">
      <c r="T100" s="47"/>
    </row>
    <row r="101" spans="20:20" x14ac:dyDescent="0.25">
      <c r="T101" s="47"/>
    </row>
    <row r="102" spans="20:20" x14ac:dyDescent="0.25">
      <c r="T102" s="47"/>
    </row>
    <row r="103" spans="20:20" x14ac:dyDescent="0.25">
      <c r="T103" s="47"/>
    </row>
    <row r="104" spans="20:20" x14ac:dyDescent="0.25">
      <c r="T104" s="47"/>
    </row>
    <row r="105" spans="20:20" x14ac:dyDescent="0.25">
      <c r="T105" s="47"/>
    </row>
    <row r="106" spans="20:20" x14ac:dyDescent="0.25">
      <c r="T106" s="47"/>
    </row>
    <row r="107" spans="20:20" x14ac:dyDescent="0.25">
      <c r="T107" s="47"/>
    </row>
    <row r="108" spans="20:20" x14ac:dyDescent="0.25">
      <c r="T108" s="47"/>
    </row>
    <row r="109" spans="20:20" x14ac:dyDescent="0.25">
      <c r="T109" s="47"/>
    </row>
    <row r="110" spans="20:20" x14ac:dyDescent="0.25">
      <c r="T110" s="47"/>
    </row>
    <row r="111" spans="20:20" x14ac:dyDescent="0.25">
      <c r="T111" s="47"/>
    </row>
    <row r="112" spans="20:20" x14ac:dyDescent="0.25">
      <c r="T112" s="47"/>
    </row>
    <row r="113" spans="20:20" x14ac:dyDescent="0.25">
      <c r="T113" s="47"/>
    </row>
    <row r="114" spans="20:20" x14ac:dyDescent="0.25">
      <c r="T114" s="47"/>
    </row>
    <row r="115" spans="20:20" x14ac:dyDescent="0.25">
      <c r="T115" s="47"/>
    </row>
    <row r="129" spans="3:14" x14ac:dyDescent="0.25">
      <c r="N129" s="32"/>
    </row>
    <row r="130" spans="3:14" x14ac:dyDescent="0.25">
      <c r="C130" s="32"/>
      <c r="D130" s="32"/>
      <c r="N130" s="32"/>
    </row>
    <row r="131" spans="3:14" x14ac:dyDescent="0.25">
      <c r="C131" s="33"/>
      <c r="D131" s="38"/>
      <c r="E131" s="42"/>
      <c r="N131" s="32"/>
    </row>
    <row r="132" spans="3:14" x14ac:dyDescent="0.25">
      <c r="C132" s="33"/>
      <c r="D132" s="38"/>
      <c r="E132" s="42"/>
      <c r="N132" s="32"/>
    </row>
    <row r="133" spans="3:14" x14ac:dyDescent="0.25">
      <c r="C133" s="33"/>
      <c r="D133" s="38"/>
      <c r="E133" s="42"/>
      <c r="N133" s="3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0" orientation="landscape" r:id="rId1"/>
  <headerFooter alignWithMargins="0">
    <oddFooter>&amp;RExhibit JW-9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U138"/>
  <sheetViews>
    <sheetView view="pageBreakPreview" zoomScale="75" zoomScaleNormal="85" zoomScaleSheetLayoutView="75" workbookViewId="0">
      <selection activeCell="D59" sqref="D59"/>
    </sheetView>
  </sheetViews>
  <sheetFormatPr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6.42578125" style="2" customWidth="1"/>
    <col min="8" max="8" width="2.7109375" style="2" customWidth="1"/>
    <col min="9" max="10" width="16.42578125" style="2" customWidth="1"/>
    <col min="11" max="12" width="2.85546875" style="2" customWidth="1"/>
    <col min="13" max="13" width="4.7109375" style="2" customWidth="1"/>
    <col min="14" max="14" width="15.85546875" style="2" customWidth="1"/>
    <col min="15" max="15" width="3" style="2" customWidth="1"/>
    <col min="16" max="16" width="15.7109375" style="2" customWidth="1"/>
    <col min="17" max="17" width="15.140625" style="2" customWidth="1"/>
    <col min="18" max="18" width="2.42578125" style="2" customWidth="1"/>
    <col min="19" max="19" width="17.42578125" style="2" customWidth="1"/>
    <col min="20" max="20" width="13.140625" style="2" bestFit="1" customWidth="1"/>
    <col min="21" max="21" width="7.140625" style="2" bestFit="1" customWidth="1"/>
    <col min="22" max="16384" width="9.140625" style="2"/>
  </cols>
  <sheetData>
    <row r="1" spans="1:21" x14ac:dyDescent="0.25">
      <c r="A1" s="1" t="str">
        <f>'Present and Proposed Rates'!A1</f>
        <v>Clark Energy Cooperative</v>
      </c>
      <c r="N1" s="1"/>
    </row>
    <row r="2" spans="1:21" x14ac:dyDescent="0.25">
      <c r="A2" s="1" t="str">
        <f>List!B11</f>
        <v>General Power Service 1000-5000kW</v>
      </c>
    </row>
    <row r="3" spans="1:21" ht="16.5" thickBot="1" x14ac:dyDescent="0.3">
      <c r="A3" s="128" t="str">
        <f>List!C10</f>
        <v>L</v>
      </c>
    </row>
    <row r="4" spans="1:21" x14ac:dyDescent="0.25">
      <c r="D4" s="326" t="s">
        <v>17</v>
      </c>
      <c r="E4" s="327"/>
      <c r="F4" s="327"/>
      <c r="G4" s="328"/>
      <c r="H4" s="3"/>
      <c r="I4" s="326" t="s">
        <v>62</v>
      </c>
      <c r="J4" s="328"/>
      <c r="K4" s="87"/>
      <c r="L4" s="3"/>
      <c r="P4" s="326" t="s">
        <v>45</v>
      </c>
      <c r="Q4" s="327"/>
      <c r="R4" s="327"/>
      <c r="S4" s="328"/>
    </row>
    <row r="5" spans="1:21" ht="16.5" thickBot="1" x14ac:dyDescent="0.3">
      <c r="A5" s="34"/>
      <c r="B5" s="41"/>
      <c r="C5" s="3"/>
      <c r="D5" s="329"/>
      <c r="E5" s="330"/>
      <c r="F5" s="330"/>
      <c r="G5" s="331"/>
      <c r="H5" s="3"/>
      <c r="I5" s="329"/>
      <c r="J5" s="331"/>
      <c r="K5" s="87"/>
      <c r="L5" s="3"/>
      <c r="M5" s="34"/>
      <c r="N5" s="41"/>
      <c r="O5" s="3"/>
      <c r="P5" s="329"/>
      <c r="Q5" s="330"/>
      <c r="R5" s="330"/>
      <c r="S5" s="331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88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21" ht="16.5" thickBot="1" x14ac:dyDescent="0.3">
      <c r="A7" s="5"/>
      <c r="B7" s="5"/>
      <c r="C7" s="5"/>
      <c r="D7" s="5" t="s">
        <v>3</v>
      </c>
      <c r="E7" s="330" t="s">
        <v>4</v>
      </c>
      <c r="F7" s="330"/>
      <c r="G7" s="5" t="s">
        <v>5</v>
      </c>
      <c r="H7" s="5"/>
      <c r="I7" s="5" t="s">
        <v>4</v>
      </c>
      <c r="J7" s="5" t="s">
        <v>5</v>
      </c>
      <c r="K7" s="89"/>
      <c r="L7" s="5"/>
      <c r="M7" s="5"/>
      <c r="N7" s="5"/>
      <c r="O7" s="5"/>
      <c r="P7" s="5" t="s">
        <v>3</v>
      </c>
      <c r="Q7" s="330" t="s">
        <v>4</v>
      </c>
      <c r="R7" s="330"/>
      <c r="S7" s="5" t="s">
        <v>5</v>
      </c>
      <c r="T7" s="5" t="s">
        <v>30</v>
      </c>
      <c r="U7" s="5" t="s">
        <v>35</v>
      </c>
    </row>
    <row r="8" spans="1:21" x14ac:dyDescent="0.25">
      <c r="K8" s="90"/>
    </row>
    <row r="9" spans="1:21" x14ac:dyDescent="0.25">
      <c r="A9" s="63" t="s">
        <v>8</v>
      </c>
      <c r="K9" s="90"/>
      <c r="M9" s="63" t="s">
        <v>8</v>
      </c>
    </row>
    <row r="10" spans="1:21" x14ac:dyDescent="0.25">
      <c r="D10" s="99" t="s">
        <v>49</v>
      </c>
      <c r="E10" s="99" t="s">
        <v>50</v>
      </c>
      <c r="I10" s="99" t="s">
        <v>50</v>
      </c>
      <c r="K10" s="90"/>
      <c r="P10" s="6" t="s">
        <v>49</v>
      </c>
      <c r="Q10" s="6" t="s">
        <v>50</v>
      </c>
    </row>
    <row r="11" spans="1:21" x14ac:dyDescent="0.25">
      <c r="B11" s="2" t="s">
        <v>61</v>
      </c>
      <c r="D11" s="290">
        <v>1432</v>
      </c>
      <c r="E11" s="8">
        <f>'Present and Proposed Rates'!F25</f>
        <v>65.989999999999995</v>
      </c>
      <c r="G11" s="10">
        <f>D11*E11</f>
        <v>94497.68</v>
      </c>
      <c r="H11" s="10"/>
      <c r="I11" s="8">
        <f>'Present and Proposed Rates'!G25</f>
        <v>65.989999999999995</v>
      </c>
      <c r="J11" s="10">
        <f>I11*D11</f>
        <v>94497.68</v>
      </c>
      <c r="K11" s="91"/>
      <c r="L11" s="10"/>
      <c r="N11" s="2" t="s">
        <v>56</v>
      </c>
      <c r="P11" s="7">
        <f>D11</f>
        <v>1432</v>
      </c>
      <c r="Q11" s="8">
        <f>'Present and Proposed Rates'!H25</f>
        <v>65.989999999999995</v>
      </c>
      <c r="S11" s="10">
        <f>P11*Q11</f>
        <v>94497.68</v>
      </c>
      <c r="T11" s="10">
        <f t="shared" ref="T11" si="0">S11-J11</f>
        <v>0</v>
      </c>
      <c r="U11" s="315">
        <f t="shared" ref="U11" si="1">IF(J11=0,0,T11/J11)</f>
        <v>0</v>
      </c>
    </row>
    <row r="12" spans="1:21" x14ac:dyDescent="0.25">
      <c r="D12" s="7"/>
      <c r="G12" s="10"/>
      <c r="H12" s="10"/>
      <c r="J12" s="10"/>
      <c r="K12" s="91"/>
      <c r="L12" s="10"/>
      <c r="P12" s="7"/>
      <c r="S12" s="10"/>
      <c r="T12" s="10"/>
      <c r="U12" s="315"/>
    </row>
    <row r="13" spans="1:21" x14ac:dyDescent="0.25">
      <c r="A13" s="1" t="s">
        <v>6</v>
      </c>
      <c r="D13" s="7"/>
      <c r="G13" s="10"/>
      <c r="H13" s="10"/>
      <c r="J13" s="10"/>
      <c r="K13" s="91"/>
      <c r="L13" s="10"/>
      <c r="M13" s="1" t="s">
        <v>6</v>
      </c>
      <c r="P13" s="7"/>
      <c r="S13" s="10"/>
      <c r="T13" s="10"/>
      <c r="U13" s="315"/>
    </row>
    <row r="14" spans="1:21" x14ac:dyDescent="0.25">
      <c r="D14" s="100" t="s">
        <v>7</v>
      </c>
      <c r="E14" s="101" t="s">
        <v>9</v>
      </c>
      <c r="G14" s="10"/>
      <c r="H14" s="10"/>
      <c r="I14" s="101" t="s">
        <v>9</v>
      </c>
      <c r="J14" s="10"/>
      <c r="K14" s="91"/>
      <c r="L14" s="10"/>
      <c r="P14" s="12" t="s">
        <v>7</v>
      </c>
      <c r="Q14" s="11" t="s">
        <v>9</v>
      </c>
      <c r="S14" s="10"/>
      <c r="T14" s="10"/>
      <c r="U14" s="315"/>
    </row>
    <row r="15" spans="1:21" x14ac:dyDescent="0.25">
      <c r="B15" s="2" t="s">
        <v>81</v>
      </c>
      <c r="D15" s="290">
        <v>42496124</v>
      </c>
      <c r="E15" s="24">
        <f>'Present and Proposed Rates'!F26*9/12+'Present and Proposed Rates'!G26*3/12</f>
        <v>7.2454999999999992E-2</v>
      </c>
      <c r="G15" s="10">
        <f>D15*E15</f>
        <v>3079056.6644199998</v>
      </c>
      <c r="H15" s="10"/>
      <c r="I15" s="24">
        <f>'Present and Proposed Rates'!G26</f>
        <v>8.1290000000000001E-2</v>
      </c>
      <c r="J15" s="10">
        <f>D15*I15</f>
        <v>3454509.9199600001</v>
      </c>
      <c r="K15" s="91"/>
      <c r="L15" s="10"/>
      <c r="N15" s="2" t="s">
        <v>81</v>
      </c>
      <c r="P15" s="7">
        <f>D15</f>
        <v>42496124</v>
      </c>
      <c r="Q15" s="24">
        <f>'Present and Proposed Rates'!H26</f>
        <v>7.7428409860084632E-2</v>
      </c>
      <c r="S15" s="10">
        <f>P15*Q15</f>
        <v>3290407.306536979</v>
      </c>
      <c r="T15" s="10">
        <f t="shared" ref="T15:T27" si="2">S15-J15</f>
        <v>-164102.61342302104</v>
      </c>
      <c r="U15" s="315">
        <f t="shared" ref="U15:U27" si="3">IF(J15=0,0,T15/J15)</f>
        <v>-4.7503876736565052E-2</v>
      </c>
    </row>
    <row r="16" spans="1:21" x14ac:dyDescent="0.25">
      <c r="A16" s="1"/>
      <c r="B16" s="1"/>
      <c r="C16" s="59"/>
      <c r="D16" s="7"/>
      <c r="E16" s="24"/>
      <c r="G16" s="10"/>
      <c r="H16" s="10"/>
      <c r="I16" s="10"/>
      <c r="J16" s="10"/>
      <c r="K16" s="91"/>
      <c r="L16" s="10"/>
      <c r="M16" s="1"/>
      <c r="N16" s="1"/>
      <c r="O16" s="59"/>
      <c r="P16" s="7"/>
      <c r="Q16" s="24"/>
      <c r="S16" s="10"/>
      <c r="T16" s="10"/>
      <c r="U16" s="315"/>
    </row>
    <row r="17" spans="1:21" x14ac:dyDescent="0.25">
      <c r="A17" s="1" t="s">
        <v>51</v>
      </c>
      <c r="D17" s="29"/>
      <c r="E17" s="102"/>
      <c r="G17" s="10"/>
      <c r="H17" s="10"/>
      <c r="I17" s="102"/>
      <c r="J17" s="10"/>
      <c r="K17" s="91"/>
      <c r="L17" s="10"/>
      <c r="M17" s="1" t="s">
        <v>51</v>
      </c>
      <c r="P17" s="7"/>
      <c r="Q17" s="24"/>
      <c r="S17" s="10"/>
      <c r="T17" s="10"/>
      <c r="U17" s="315"/>
    </row>
    <row r="18" spans="1:21" x14ac:dyDescent="0.25">
      <c r="A18" s="1"/>
      <c r="D18" s="100" t="s">
        <v>52</v>
      </c>
      <c r="E18" s="101" t="s">
        <v>53</v>
      </c>
      <c r="G18" s="10"/>
      <c r="H18" s="10"/>
      <c r="I18" s="101" t="s">
        <v>53</v>
      </c>
      <c r="J18" s="10"/>
      <c r="K18" s="91"/>
      <c r="L18" s="10"/>
      <c r="M18" s="1"/>
      <c r="P18" s="100" t="s">
        <v>52</v>
      </c>
      <c r="Q18" s="101" t="s">
        <v>53</v>
      </c>
      <c r="S18" s="10"/>
      <c r="T18" s="10"/>
      <c r="U18" s="315"/>
    </row>
    <row r="19" spans="1:21" x14ac:dyDescent="0.25">
      <c r="A19" s="1"/>
      <c r="B19" s="2" t="s">
        <v>82</v>
      </c>
      <c r="D19" s="290">
        <v>154813.78624813154</v>
      </c>
      <c r="E19" s="81">
        <f>'Present and Proposed Rates'!F27</f>
        <v>6.69</v>
      </c>
      <c r="G19" s="10">
        <f>D19*E19</f>
        <v>1035704.2300000001</v>
      </c>
      <c r="H19" s="10"/>
      <c r="I19" s="104">
        <f>'Present and Proposed Rates'!G27</f>
        <v>6.69</v>
      </c>
      <c r="J19" s="10">
        <f>I19*D19</f>
        <v>1035704.2300000001</v>
      </c>
      <c r="K19" s="95"/>
      <c r="L19" s="10"/>
      <c r="M19" s="1"/>
      <c r="N19" s="2" t="s">
        <v>82</v>
      </c>
      <c r="P19" s="7">
        <f>D19</f>
        <v>154813.78624813154</v>
      </c>
      <c r="Q19" s="81">
        <f>'Present and Proposed Rates'!H27</f>
        <v>7.75</v>
      </c>
      <c r="S19" s="10">
        <f>P19*Q19</f>
        <v>1199806.8434230194</v>
      </c>
      <c r="T19" s="10">
        <f t="shared" si="2"/>
        <v>164102.6134230193</v>
      </c>
      <c r="U19" s="315">
        <f t="shared" si="3"/>
        <v>0.15844544095665158</v>
      </c>
    </row>
    <row r="20" spans="1:2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72"/>
      <c r="L20" s="1"/>
      <c r="M20" s="1"/>
      <c r="N20" s="1"/>
      <c r="O20" s="1"/>
      <c r="P20" s="1"/>
      <c r="Q20" s="1"/>
      <c r="R20" s="1"/>
      <c r="S20" s="1"/>
      <c r="T20" s="10"/>
      <c r="U20" s="315"/>
    </row>
    <row r="21" spans="1:21" x14ac:dyDescent="0.25">
      <c r="A21" s="1" t="s">
        <v>54</v>
      </c>
      <c r="B21" s="1"/>
      <c r="C21" s="59"/>
      <c r="D21" s="7"/>
      <c r="E21" s="24"/>
      <c r="G21" s="10"/>
      <c r="H21" s="10"/>
      <c r="I21" s="10"/>
      <c r="J21" s="10"/>
      <c r="K21" s="91"/>
      <c r="L21" s="10"/>
      <c r="M21" s="1" t="s">
        <v>54</v>
      </c>
      <c r="N21" s="1"/>
      <c r="O21" s="59"/>
      <c r="P21" s="7"/>
      <c r="Q21" s="24"/>
      <c r="S21" s="10"/>
      <c r="T21" s="10"/>
      <c r="U21" s="315"/>
    </row>
    <row r="22" spans="1:21" x14ac:dyDescent="0.25">
      <c r="A22" s="1"/>
      <c r="B22" s="2" t="s">
        <v>48</v>
      </c>
      <c r="C22" s="59"/>
      <c r="D22" s="7"/>
      <c r="E22" s="24"/>
      <c r="G22" s="291">
        <v>321705.26999999996</v>
      </c>
      <c r="H22" s="10"/>
      <c r="I22" s="10"/>
      <c r="J22" s="10">
        <f>G22</f>
        <v>321705.26999999996</v>
      </c>
      <c r="K22" s="91"/>
      <c r="L22" s="10"/>
      <c r="M22" s="1"/>
      <c r="N22" s="2" t="str">
        <f>B22</f>
        <v>FAC</v>
      </c>
      <c r="O22" s="59"/>
      <c r="P22" s="7"/>
      <c r="Q22" s="24"/>
      <c r="S22" s="10">
        <f>G22</f>
        <v>321705.26999999996</v>
      </c>
      <c r="T22" s="10">
        <f t="shared" si="2"/>
        <v>0</v>
      </c>
      <c r="U22" s="315">
        <f t="shared" si="3"/>
        <v>0</v>
      </c>
    </row>
    <row r="23" spans="1:21" x14ac:dyDescent="0.25">
      <c r="A23" s="1"/>
      <c r="B23" s="2" t="s">
        <v>55</v>
      </c>
      <c r="C23" s="59"/>
      <c r="D23" s="7"/>
      <c r="E23" s="24"/>
      <c r="G23" s="291">
        <v>530751.1</v>
      </c>
      <c r="H23" s="10"/>
      <c r="I23" s="10"/>
      <c r="J23" s="10">
        <f>G23</f>
        <v>530751.1</v>
      </c>
      <c r="K23" s="91"/>
      <c r="L23" s="10"/>
      <c r="M23" s="1"/>
      <c r="N23" s="2" t="str">
        <f t="shared" ref="N23:N25" si="4">B23</f>
        <v>ES</v>
      </c>
      <c r="O23" s="59"/>
      <c r="P23" s="7"/>
      <c r="Q23" s="24"/>
      <c r="S23" s="10">
        <f>G23</f>
        <v>530751.1</v>
      </c>
      <c r="T23" s="10">
        <f t="shared" si="2"/>
        <v>0</v>
      </c>
      <c r="U23" s="315">
        <f t="shared" si="3"/>
        <v>0</v>
      </c>
    </row>
    <row r="24" spans="1:21" x14ac:dyDescent="0.25">
      <c r="A24" s="1"/>
      <c r="B24" s="2" t="s">
        <v>198</v>
      </c>
      <c r="C24" s="59"/>
      <c r="D24" s="7"/>
      <c r="E24" s="24"/>
      <c r="G24" s="291">
        <v>55409.619999999995</v>
      </c>
      <c r="H24" s="10"/>
      <c r="I24" s="10"/>
      <c r="J24" s="10">
        <f>G24</f>
        <v>55409.619999999995</v>
      </c>
      <c r="K24" s="91"/>
      <c r="L24" s="10"/>
      <c r="M24" s="1"/>
      <c r="N24" s="2" t="str">
        <f t="shared" ref="N24" si="5">B24</f>
        <v>DEMAND UPCHARGE</v>
      </c>
      <c r="O24" s="59"/>
      <c r="P24" s="7"/>
      <c r="Q24" s="24"/>
      <c r="S24" s="10">
        <f>G24</f>
        <v>55409.619999999995</v>
      </c>
      <c r="T24" s="10">
        <f t="shared" si="2"/>
        <v>0</v>
      </c>
      <c r="U24" s="315">
        <f t="shared" si="3"/>
        <v>0</v>
      </c>
    </row>
    <row r="25" spans="1:21" x14ac:dyDescent="0.25">
      <c r="A25" s="1"/>
      <c r="B25" s="2" t="s">
        <v>218</v>
      </c>
      <c r="C25" s="59"/>
      <c r="D25" s="7"/>
      <c r="E25" s="24"/>
      <c r="G25" s="291">
        <v>41096.469999999994</v>
      </c>
      <c r="H25" s="10"/>
      <c r="I25" s="10"/>
      <c r="J25" s="10">
        <f>G25</f>
        <v>41096.469999999994</v>
      </c>
      <c r="K25" s="91"/>
      <c r="L25" s="10"/>
      <c r="M25" s="1"/>
      <c r="N25" s="2" t="str">
        <f t="shared" si="4"/>
        <v>RATE MINIMUM UPCHARGE</v>
      </c>
      <c r="O25" s="59"/>
      <c r="P25" s="7"/>
      <c r="Q25" s="24"/>
      <c r="S25" s="10">
        <f>G25</f>
        <v>41096.469999999994</v>
      </c>
      <c r="T25" s="10">
        <f t="shared" si="2"/>
        <v>0</v>
      </c>
      <c r="U25" s="315">
        <f t="shared" si="3"/>
        <v>0</v>
      </c>
    </row>
    <row r="26" spans="1:21" x14ac:dyDescent="0.25">
      <c r="A26" s="1"/>
      <c r="D26" s="13"/>
      <c r="G26" s="10"/>
      <c r="H26" s="10"/>
      <c r="I26" s="10"/>
      <c r="J26" s="10"/>
      <c r="K26" s="91"/>
      <c r="L26" s="10"/>
      <c r="M26" s="1"/>
      <c r="S26" s="10"/>
      <c r="T26" s="10"/>
      <c r="U26" s="315"/>
    </row>
    <row r="27" spans="1:21" ht="16.5" thickBot="1" x14ac:dyDescent="0.3">
      <c r="A27" s="1" t="s">
        <v>37</v>
      </c>
      <c r="G27" s="18">
        <f>SUM(G11:G25)</f>
        <v>5158221.0344199995</v>
      </c>
      <c r="H27" s="10"/>
      <c r="I27" s="10"/>
      <c r="J27" s="18">
        <f>SUM(J11:J25)</f>
        <v>5533674.2899599997</v>
      </c>
      <c r="K27" s="91"/>
      <c r="L27" s="10"/>
      <c r="M27" s="1" t="s">
        <v>37</v>
      </c>
      <c r="S27" s="18">
        <f>SUM(S11:S25)</f>
        <v>5533674.2899599979</v>
      </c>
      <c r="T27" s="10">
        <f t="shared" si="2"/>
        <v>0</v>
      </c>
      <c r="U27" s="315">
        <f t="shared" si="3"/>
        <v>0</v>
      </c>
    </row>
    <row r="28" spans="1:21" ht="16.5" thickTop="1" x14ac:dyDescent="0.25">
      <c r="A28" s="1"/>
      <c r="B28" s="1"/>
      <c r="G28" s="10"/>
      <c r="H28" s="10"/>
      <c r="I28" s="10"/>
      <c r="J28" s="10"/>
      <c r="K28" s="91"/>
      <c r="L28" s="10"/>
      <c r="M28" s="1"/>
      <c r="N28" s="1"/>
      <c r="S28" s="10"/>
    </row>
    <row r="29" spans="1:21" x14ac:dyDescent="0.25">
      <c r="A29" s="1" t="s">
        <v>14</v>
      </c>
      <c r="B29" s="9"/>
      <c r="G29" s="309">
        <v>5150171.1242999993</v>
      </c>
      <c r="H29" s="10"/>
      <c r="I29" s="10"/>
      <c r="J29" s="10"/>
      <c r="K29" s="91"/>
      <c r="L29" s="10"/>
      <c r="M29" s="1" t="s">
        <v>63</v>
      </c>
      <c r="N29" s="9"/>
      <c r="S29" s="23">
        <f>S27-J27</f>
        <v>0</v>
      </c>
    </row>
    <row r="30" spans="1:21" x14ac:dyDescent="0.25">
      <c r="A30" s="9"/>
      <c r="B30" s="9"/>
      <c r="G30" s="9"/>
      <c r="H30" s="9"/>
      <c r="I30" s="9"/>
      <c r="J30" s="9"/>
      <c r="K30" s="92"/>
      <c r="L30" s="9"/>
      <c r="N30" s="9"/>
      <c r="S30" s="9"/>
    </row>
    <row r="31" spans="1:21" x14ac:dyDescent="0.25">
      <c r="A31" s="1" t="s">
        <v>10</v>
      </c>
      <c r="B31" s="9"/>
      <c r="G31" s="16">
        <f>G27-G29</f>
        <v>8049.9101200001314</v>
      </c>
      <c r="H31" s="16"/>
      <c r="I31" s="16"/>
      <c r="J31" s="16">
        <f>J27-G27</f>
        <v>375453.25554000027</v>
      </c>
      <c r="K31" s="93"/>
      <c r="L31" s="98"/>
      <c r="M31" s="1" t="s">
        <v>64</v>
      </c>
      <c r="N31" s="9"/>
      <c r="S31" s="60">
        <f>S29/J27</f>
        <v>0</v>
      </c>
    </row>
    <row r="32" spans="1:21" x14ac:dyDescent="0.25">
      <c r="A32" s="9"/>
      <c r="B32" s="9"/>
      <c r="G32" s="10"/>
      <c r="H32" s="10"/>
      <c r="I32" s="10"/>
      <c r="J32" s="10"/>
      <c r="K32" s="91"/>
      <c r="L32" s="10"/>
      <c r="N32" s="9"/>
      <c r="S32" s="10"/>
    </row>
    <row r="33" spans="1:20" x14ac:dyDescent="0.25">
      <c r="A33" s="1" t="s">
        <v>16</v>
      </c>
      <c r="B33" s="9"/>
      <c r="G33" s="17">
        <f>G31/G29</f>
        <v>1.5630374070520344E-3</v>
      </c>
      <c r="H33" s="17"/>
      <c r="I33" s="17"/>
      <c r="J33" s="17">
        <f>J31/G29</f>
        <v>7.2901122405137769E-2</v>
      </c>
      <c r="K33" s="94"/>
      <c r="L33" s="17"/>
      <c r="M33" s="1" t="s">
        <v>40</v>
      </c>
      <c r="N33" s="9"/>
      <c r="S33" s="27">
        <f>S29/P11</f>
        <v>0</v>
      </c>
    </row>
    <row r="34" spans="1:20" x14ac:dyDescent="0.25">
      <c r="A34" s="1"/>
      <c r="B34" s="9"/>
      <c r="D34" s="13">
        <f>D15/D11</f>
        <v>29676.064245810056</v>
      </c>
      <c r="G34" s="17"/>
      <c r="H34" s="17"/>
      <c r="I34" s="17"/>
      <c r="J34" s="17"/>
      <c r="K34" s="17"/>
      <c r="L34" s="17"/>
      <c r="M34" s="1"/>
      <c r="N34" s="9"/>
      <c r="S34" s="17"/>
    </row>
    <row r="35" spans="1:20" x14ac:dyDescent="0.25">
      <c r="A35" s="1"/>
      <c r="B35" s="9"/>
      <c r="C35" s="9"/>
      <c r="D35" s="13"/>
      <c r="E35" s="9"/>
      <c r="F35" s="9"/>
      <c r="G35" s="9"/>
      <c r="H35" s="9"/>
      <c r="I35" s="9"/>
      <c r="J35" s="9"/>
      <c r="K35" s="9"/>
      <c r="L35" s="9"/>
      <c r="M35" s="9"/>
      <c r="N35" s="9"/>
      <c r="S35" s="17"/>
    </row>
    <row r="36" spans="1:20" x14ac:dyDescent="0.25">
      <c r="A36" s="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S36" s="17"/>
    </row>
    <row r="37" spans="1:20" x14ac:dyDescent="0.25">
      <c r="A37" s="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S37" s="17"/>
    </row>
    <row r="38" spans="1:20" x14ac:dyDescent="0.25">
      <c r="A38" s="1"/>
      <c r="B38" s="9"/>
      <c r="G38" s="17"/>
      <c r="H38" s="17"/>
      <c r="I38" s="17"/>
      <c r="J38" s="98">
        <f>J11+J15+J19</f>
        <v>4584711.8299600007</v>
      </c>
      <c r="K38" s="17"/>
      <c r="L38" s="17"/>
      <c r="M38" s="1"/>
      <c r="N38" s="9"/>
      <c r="S38" s="17"/>
    </row>
    <row r="39" spans="1:20" x14ac:dyDescent="0.25">
      <c r="A39" s="1"/>
      <c r="B39" s="9"/>
      <c r="G39" s="17"/>
      <c r="H39" s="17"/>
      <c r="I39" s="17"/>
      <c r="J39" s="17"/>
      <c r="K39" s="17"/>
      <c r="L39" s="17"/>
      <c r="M39" s="1"/>
      <c r="N39" s="9"/>
      <c r="S39" s="17"/>
    </row>
    <row r="40" spans="1:20" ht="18.75" customHeight="1" x14ac:dyDescent="0.25">
      <c r="A40" s="1"/>
      <c r="B40" s="10"/>
      <c r="G40" s="17"/>
      <c r="H40" s="17"/>
      <c r="I40" s="17"/>
      <c r="J40" s="17"/>
      <c r="K40" s="17"/>
      <c r="L40" s="17"/>
    </row>
    <row r="41" spans="1:20" x14ac:dyDescent="0.25">
      <c r="E41" s="10"/>
      <c r="T41" s="46"/>
    </row>
    <row r="42" spans="1:20" x14ac:dyDescent="0.25">
      <c r="T42" s="46"/>
    </row>
    <row r="43" spans="1:20" x14ac:dyDescent="0.25">
      <c r="T43" s="46"/>
    </row>
    <row r="44" spans="1:20" x14ac:dyDescent="0.25">
      <c r="T44" s="46"/>
    </row>
    <row r="45" spans="1:20" x14ac:dyDescent="0.25">
      <c r="T45" s="46"/>
    </row>
    <row r="46" spans="1:20" x14ac:dyDescent="0.25">
      <c r="T46" s="46"/>
    </row>
    <row r="47" spans="1:20" x14ac:dyDescent="0.25">
      <c r="T47" s="46"/>
    </row>
    <row r="48" spans="1:20" x14ac:dyDescent="0.25">
      <c r="T48" s="46"/>
    </row>
    <row r="49" spans="20:20" x14ac:dyDescent="0.25">
      <c r="T49" s="46"/>
    </row>
    <row r="50" spans="20:20" x14ac:dyDescent="0.25">
      <c r="T50" s="46"/>
    </row>
    <row r="51" spans="20:20" x14ac:dyDescent="0.25">
      <c r="T51" s="46"/>
    </row>
    <row r="52" spans="20:20" x14ac:dyDescent="0.25">
      <c r="T52" s="46"/>
    </row>
    <row r="55" spans="20:20" ht="16.5" customHeight="1" x14ac:dyDescent="0.25">
      <c r="T55" s="32"/>
    </row>
    <row r="56" spans="20:20" x14ac:dyDescent="0.25">
      <c r="T56" s="32"/>
    </row>
    <row r="58" spans="20:20" x14ac:dyDescent="0.25">
      <c r="T58" s="32"/>
    </row>
    <row r="59" spans="20:20" x14ac:dyDescent="0.25">
      <c r="T59" s="32"/>
    </row>
    <row r="60" spans="20:20" x14ac:dyDescent="0.25">
      <c r="T60" s="32"/>
    </row>
    <row r="61" spans="20:20" x14ac:dyDescent="0.25">
      <c r="T61" s="32"/>
    </row>
    <row r="62" spans="20:20" x14ac:dyDescent="0.25">
      <c r="T62" s="32"/>
    </row>
    <row r="63" spans="20:20" x14ac:dyDescent="0.25">
      <c r="T63" s="32"/>
    </row>
    <row r="64" spans="20:20" x14ac:dyDescent="0.25">
      <c r="T64" s="32"/>
    </row>
    <row r="65" spans="20:20" x14ac:dyDescent="0.25">
      <c r="T65" s="32"/>
    </row>
    <row r="66" spans="20:20" x14ac:dyDescent="0.25">
      <c r="T66" s="32"/>
    </row>
    <row r="67" spans="20:20" x14ac:dyDescent="0.25">
      <c r="T67" s="32"/>
    </row>
    <row r="68" spans="20:20" x14ac:dyDescent="0.25">
      <c r="T68" s="32"/>
    </row>
    <row r="69" spans="20:20" x14ac:dyDescent="0.25">
      <c r="T69" s="32"/>
    </row>
    <row r="70" spans="20:20" x14ac:dyDescent="0.25">
      <c r="T70" s="47"/>
    </row>
    <row r="71" spans="20:20" x14ac:dyDescent="0.25">
      <c r="T71" s="47"/>
    </row>
    <row r="72" spans="20:20" x14ac:dyDescent="0.25">
      <c r="T72" s="47"/>
    </row>
    <row r="73" spans="20:20" x14ac:dyDescent="0.25">
      <c r="T73" s="47"/>
    </row>
    <row r="74" spans="20:20" x14ac:dyDescent="0.25">
      <c r="T74" s="47"/>
    </row>
    <row r="75" spans="20:20" x14ac:dyDescent="0.25">
      <c r="T75" s="47"/>
    </row>
    <row r="76" spans="20:20" x14ac:dyDescent="0.25">
      <c r="T76" s="47"/>
    </row>
    <row r="77" spans="20:20" x14ac:dyDescent="0.25">
      <c r="T77" s="47"/>
    </row>
    <row r="78" spans="20:20" x14ac:dyDescent="0.25">
      <c r="T78" s="47"/>
    </row>
    <row r="79" spans="20:20" x14ac:dyDescent="0.25">
      <c r="T79" s="47"/>
    </row>
    <row r="80" spans="20:20" x14ac:dyDescent="0.25">
      <c r="T80" s="47"/>
    </row>
    <row r="81" spans="20:20" x14ac:dyDescent="0.25">
      <c r="T81" s="47"/>
    </row>
    <row r="82" spans="20:20" x14ac:dyDescent="0.25">
      <c r="T82" s="47"/>
    </row>
    <row r="83" spans="20:20" x14ac:dyDescent="0.25">
      <c r="T83" s="47"/>
    </row>
    <row r="84" spans="20:20" x14ac:dyDescent="0.25">
      <c r="T84" s="47"/>
    </row>
    <row r="85" spans="20:20" x14ac:dyDescent="0.25">
      <c r="T85" s="47"/>
    </row>
    <row r="86" spans="20:20" x14ac:dyDescent="0.25">
      <c r="T86" s="47"/>
    </row>
    <row r="87" spans="20:20" x14ac:dyDescent="0.25">
      <c r="T87" s="47"/>
    </row>
    <row r="88" spans="20:20" ht="15" customHeight="1" x14ac:dyDescent="0.25">
      <c r="T88" s="47"/>
    </row>
    <row r="89" spans="20:20" x14ac:dyDescent="0.25">
      <c r="T89" s="47"/>
    </row>
    <row r="90" spans="20:20" x14ac:dyDescent="0.25">
      <c r="T90" s="47"/>
    </row>
    <row r="91" spans="20:20" x14ac:dyDescent="0.25">
      <c r="T91" s="47"/>
    </row>
    <row r="92" spans="20:20" x14ac:dyDescent="0.25">
      <c r="T92" s="47"/>
    </row>
    <row r="93" spans="20:20" x14ac:dyDescent="0.25">
      <c r="T93" s="47"/>
    </row>
    <row r="94" spans="20:20" x14ac:dyDescent="0.25">
      <c r="T94" s="47"/>
    </row>
    <row r="95" spans="20:20" x14ac:dyDescent="0.25">
      <c r="T95" s="47"/>
    </row>
    <row r="96" spans="20:20" x14ac:dyDescent="0.25">
      <c r="T96" s="47"/>
    </row>
    <row r="97" spans="20:20" x14ac:dyDescent="0.25">
      <c r="T97" s="47"/>
    </row>
    <row r="98" spans="20:20" x14ac:dyDescent="0.25">
      <c r="T98" s="47"/>
    </row>
    <row r="99" spans="20:20" x14ac:dyDescent="0.25">
      <c r="T99" s="47"/>
    </row>
    <row r="100" spans="20:20" x14ac:dyDescent="0.25">
      <c r="T100" s="47"/>
    </row>
    <row r="101" spans="20:20" x14ac:dyDescent="0.25">
      <c r="T101" s="47"/>
    </row>
    <row r="102" spans="20:20" x14ac:dyDescent="0.25">
      <c r="T102" s="47"/>
    </row>
    <row r="103" spans="20:20" x14ac:dyDescent="0.25">
      <c r="T103" s="47"/>
    </row>
    <row r="104" spans="20:20" x14ac:dyDescent="0.25">
      <c r="T104" s="47"/>
    </row>
    <row r="105" spans="20:20" x14ac:dyDescent="0.25">
      <c r="T105" s="47"/>
    </row>
    <row r="106" spans="20:20" x14ac:dyDescent="0.25">
      <c r="T106" s="47"/>
    </row>
    <row r="107" spans="20:20" x14ac:dyDescent="0.25">
      <c r="T107" s="47"/>
    </row>
    <row r="108" spans="20:20" x14ac:dyDescent="0.25">
      <c r="T108" s="47"/>
    </row>
    <row r="109" spans="20:20" x14ac:dyDescent="0.25">
      <c r="T109" s="47"/>
    </row>
    <row r="110" spans="20:20" x14ac:dyDescent="0.25">
      <c r="T110" s="47"/>
    </row>
    <row r="111" spans="20:20" x14ac:dyDescent="0.25">
      <c r="T111" s="47"/>
    </row>
    <row r="112" spans="20:20" x14ac:dyDescent="0.25">
      <c r="T112" s="47"/>
    </row>
    <row r="113" spans="20:20" x14ac:dyDescent="0.25">
      <c r="T113" s="47"/>
    </row>
    <row r="114" spans="20:20" x14ac:dyDescent="0.25">
      <c r="T114" s="47"/>
    </row>
    <row r="115" spans="20:20" x14ac:dyDescent="0.25">
      <c r="T115" s="47"/>
    </row>
    <row r="134" spans="3:14" x14ac:dyDescent="0.25">
      <c r="N134" s="32"/>
    </row>
    <row r="135" spans="3:14" x14ac:dyDescent="0.25">
      <c r="C135" s="32"/>
      <c r="D135" s="32"/>
      <c r="N135" s="32"/>
    </row>
    <row r="136" spans="3:14" x14ac:dyDescent="0.25">
      <c r="C136" s="33"/>
      <c r="D136" s="38"/>
      <c r="E136" s="42"/>
      <c r="N136" s="32"/>
    </row>
    <row r="137" spans="3:14" x14ac:dyDescent="0.25">
      <c r="C137" s="33"/>
      <c r="D137" s="38"/>
      <c r="E137" s="42"/>
      <c r="N137" s="32"/>
    </row>
    <row r="138" spans="3:14" x14ac:dyDescent="0.25">
      <c r="C138" s="33"/>
      <c r="D138" s="38"/>
      <c r="E138" s="42"/>
      <c r="N138" s="3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58" orientation="landscape" r:id="rId1"/>
  <headerFooter alignWithMargins="0">
    <oddFooter>&amp;RExhibit JW-9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U138"/>
  <sheetViews>
    <sheetView view="pageBreakPreview" zoomScale="75" zoomScaleNormal="85" zoomScaleSheetLayoutView="75" workbookViewId="0">
      <selection activeCell="D59" sqref="D59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20" width="13.140625" style="2" bestFit="1" customWidth="1"/>
    <col min="21" max="21" width="7.140625" style="2" bestFit="1" customWidth="1"/>
    <col min="22" max="16384" width="9.140625" style="2"/>
  </cols>
  <sheetData>
    <row r="1" spans="1:21" x14ac:dyDescent="0.25">
      <c r="A1" s="1" t="str">
        <f>'Present and Proposed Rates'!A1</f>
        <v>Clark Energy Cooperative</v>
      </c>
      <c r="N1" s="1"/>
    </row>
    <row r="2" spans="1:21" x14ac:dyDescent="0.25">
      <c r="A2" s="1" t="str">
        <f>List!B12</f>
        <v>General Power Service 500+kW</v>
      </c>
    </row>
    <row r="3" spans="1:21" ht="16.5" thickBot="1" x14ac:dyDescent="0.3">
      <c r="A3" s="128" t="str">
        <f>List!C11</f>
        <v>M</v>
      </c>
    </row>
    <row r="4" spans="1:21" x14ac:dyDescent="0.25">
      <c r="D4" s="326" t="s">
        <v>17</v>
      </c>
      <c r="E4" s="327"/>
      <c r="F4" s="327"/>
      <c r="G4" s="328"/>
      <c r="H4" s="3"/>
      <c r="I4" s="326" t="s">
        <v>62</v>
      </c>
      <c r="J4" s="328"/>
      <c r="K4" s="90"/>
      <c r="L4" s="3"/>
      <c r="P4" s="326" t="s">
        <v>45</v>
      </c>
      <c r="Q4" s="327"/>
      <c r="R4" s="327"/>
      <c r="S4" s="328"/>
    </row>
    <row r="5" spans="1:21" ht="16.5" thickBot="1" x14ac:dyDescent="0.3">
      <c r="A5" s="34"/>
      <c r="B5" s="41"/>
      <c r="C5" s="3"/>
      <c r="D5" s="329"/>
      <c r="E5" s="330"/>
      <c r="F5" s="330"/>
      <c r="G5" s="331"/>
      <c r="H5" s="3"/>
      <c r="I5" s="329"/>
      <c r="J5" s="331"/>
      <c r="K5" s="90"/>
      <c r="L5" s="3"/>
      <c r="M5" s="34"/>
      <c r="N5" s="41"/>
      <c r="O5" s="3"/>
      <c r="P5" s="329"/>
      <c r="Q5" s="330"/>
      <c r="R5" s="330"/>
      <c r="S5" s="331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90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21" ht="16.5" thickBot="1" x14ac:dyDescent="0.3">
      <c r="A7" s="5"/>
      <c r="B7" s="5"/>
      <c r="C7" s="5"/>
      <c r="D7" s="5" t="s">
        <v>3</v>
      </c>
      <c r="E7" s="330" t="s">
        <v>4</v>
      </c>
      <c r="F7" s="330"/>
      <c r="G7" s="5" t="s">
        <v>5</v>
      </c>
      <c r="H7" s="5"/>
      <c r="I7" s="5" t="s">
        <v>4</v>
      </c>
      <c r="J7" s="5" t="s">
        <v>5</v>
      </c>
      <c r="K7" s="89"/>
      <c r="L7" s="5"/>
      <c r="M7" s="5"/>
      <c r="N7" s="5"/>
      <c r="O7" s="5"/>
      <c r="P7" s="5" t="s">
        <v>3</v>
      </c>
      <c r="Q7" s="330" t="s">
        <v>4</v>
      </c>
      <c r="R7" s="330"/>
      <c r="S7" s="5" t="s">
        <v>5</v>
      </c>
      <c r="T7" s="5" t="s">
        <v>30</v>
      </c>
      <c r="U7" s="5" t="s">
        <v>35</v>
      </c>
    </row>
    <row r="8" spans="1:21" x14ac:dyDescent="0.25">
      <c r="K8" s="90"/>
    </row>
    <row r="9" spans="1:21" x14ac:dyDescent="0.25">
      <c r="K9" s="90"/>
    </row>
    <row r="10" spans="1:21" x14ac:dyDescent="0.25">
      <c r="A10" s="63" t="s">
        <v>8</v>
      </c>
      <c r="K10" s="90"/>
      <c r="M10" s="63" t="s">
        <v>8</v>
      </c>
    </row>
    <row r="11" spans="1:21" x14ac:dyDescent="0.25">
      <c r="D11" s="99" t="s">
        <v>49</v>
      </c>
      <c r="E11" s="99" t="s">
        <v>50</v>
      </c>
      <c r="I11" s="99" t="s">
        <v>50</v>
      </c>
      <c r="K11" s="90"/>
      <c r="P11" s="99" t="s">
        <v>49</v>
      </c>
      <c r="Q11" s="99" t="s">
        <v>50</v>
      </c>
      <c r="T11" s="10"/>
      <c r="U11" s="315"/>
    </row>
    <row r="12" spans="1:21" x14ac:dyDescent="0.25">
      <c r="B12" s="2" t="s">
        <v>61</v>
      </c>
      <c r="D12" s="7">
        <v>0</v>
      </c>
      <c r="E12" s="8">
        <f>'Present and Proposed Rates'!F29</f>
        <v>0</v>
      </c>
      <c r="G12" s="10">
        <f>D12*E12</f>
        <v>0</v>
      </c>
      <c r="H12" s="10"/>
      <c r="I12" s="103">
        <f>'Present and Proposed Rates'!G29</f>
        <v>0</v>
      </c>
      <c r="J12" s="10">
        <f>I12*D12</f>
        <v>0</v>
      </c>
      <c r="K12" s="91"/>
      <c r="L12" s="10"/>
      <c r="N12" s="2" t="s">
        <v>56</v>
      </c>
      <c r="P12" s="7">
        <f>D12</f>
        <v>0</v>
      </c>
      <c r="Q12" s="8">
        <f>'Present and Proposed Rates'!H29</f>
        <v>0</v>
      </c>
      <c r="S12" s="10">
        <f>P12*Q12</f>
        <v>0</v>
      </c>
      <c r="T12" s="10">
        <f t="shared" ref="T12:T27" si="0">S12-J12</f>
        <v>0</v>
      </c>
      <c r="U12" s="315">
        <f t="shared" ref="U12:U27" si="1">IF(J12=0,0,T12/J12)</f>
        <v>0</v>
      </c>
    </row>
    <row r="13" spans="1:21" x14ac:dyDescent="0.25">
      <c r="D13" s="7"/>
      <c r="E13" s="8"/>
      <c r="G13" s="10"/>
      <c r="H13" s="10"/>
      <c r="I13" s="103"/>
      <c r="J13" s="10"/>
      <c r="K13" s="91"/>
      <c r="L13" s="10"/>
      <c r="P13" s="7"/>
      <c r="Q13" s="8"/>
      <c r="S13" s="10"/>
      <c r="T13" s="10"/>
      <c r="U13" s="315"/>
    </row>
    <row r="14" spans="1:21" x14ac:dyDescent="0.25">
      <c r="D14" s="7"/>
      <c r="G14" s="10"/>
      <c r="H14" s="10"/>
      <c r="I14" s="32"/>
      <c r="J14" s="10"/>
      <c r="K14" s="91"/>
      <c r="L14" s="10"/>
      <c r="P14" s="7"/>
      <c r="S14" s="10"/>
      <c r="T14" s="10"/>
      <c r="U14" s="315"/>
    </row>
    <row r="15" spans="1:21" x14ac:dyDescent="0.25">
      <c r="A15" s="1" t="s">
        <v>6</v>
      </c>
      <c r="D15" s="7"/>
      <c r="G15" s="10"/>
      <c r="H15" s="10"/>
      <c r="I15" s="32"/>
      <c r="J15" s="10"/>
      <c r="K15" s="91"/>
      <c r="L15" s="10"/>
      <c r="M15" s="1" t="s">
        <v>6</v>
      </c>
      <c r="P15" s="29"/>
      <c r="Q15" s="32"/>
      <c r="S15" s="10"/>
      <c r="T15" s="10"/>
      <c r="U15" s="315"/>
    </row>
    <row r="16" spans="1:21" x14ac:dyDescent="0.25">
      <c r="D16" s="100" t="s">
        <v>7</v>
      </c>
      <c r="E16" s="101" t="s">
        <v>9</v>
      </c>
      <c r="G16" s="10"/>
      <c r="H16" s="10"/>
      <c r="I16" s="101" t="s">
        <v>9</v>
      </c>
      <c r="J16" s="10"/>
      <c r="K16" s="91"/>
      <c r="L16" s="10"/>
      <c r="P16" s="100" t="s">
        <v>7</v>
      </c>
      <c r="Q16" s="101" t="s">
        <v>9</v>
      </c>
      <c r="S16" s="10"/>
      <c r="T16" s="10"/>
      <c r="U16" s="315"/>
    </row>
    <row r="17" spans="1:21" x14ac:dyDescent="0.25">
      <c r="B17" s="2" t="s">
        <v>81</v>
      </c>
      <c r="D17" s="7">
        <v>0</v>
      </c>
      <c r="E17" s="24">
        <f>'Present and Proposed Rates'!F30</f>
        <v>6.2050000000000001E-2</v>
      </c>
      <c r="G17" s="10">
        <f>D17*E17</f>
        <v>0</v>
      </c>
      <c r="H17" s="10"/>
      <c r="I17" s="102">
        <f>'Present and Proposed Rates'!G30</f>
        <v>7.4300000000000005E-2</v>
      </c>
      <c r="J17" s="10">
        <f>I17*D17</f>
        <v>0</v>
      </c>
      <c r="K17" s="91"/>
      <c r="L17" s="10"/>
      <c r="N17" s="2" t="s">
        <v>81</v>
      </c>
      <c r="P17" s="7">
        <f>D17</f>
        <v>0</v>
      </c>
      <c r="Q17" s="24">
        <f>'Present and Proposed Rates'!H30</f>
        <v>7.4300000000000005E-2</v>
      </c>
      <c r="S17" s="10">
        <f>P17*Q17</f>
        <v>0</v>
      </c>
      <c r="T17" s="10">
        <f t="shared" si="0"/>
        <v>0</v>
      </c>
      <c r="U17" s="315">
        <f t="shared" si="1"/>
        <v>0</v>
      </c>
    </row>
    <row r="18" spans="1:21" x14ac:dyDescent="0.25">
      <c r="A18" s="1"/>
      <c r="K18" s="90"/>
      <c r="T18" s="10"/>
      <c r="U18" s="315"/>
    </row>
    <row r="19" spans="1:21" x14ac:dyDescent="0.25">
      <c r="A19" s="1" t="s">
        <v>51</v>
      </c>
      <c r="D19" s="29"/>
      <c r="E19" s="102"/>
      <c r="G19" s="10"/>
      <c r="H19" s="10"/>
      <c r="I19" s="102"/>
      <c r="J19" s="10"/>
      <c r="K19" s="91"/>
      <c r="L19" s="10"/>
      <c r="M19" s="1" t="s">
        <v>51</v>
      </c>
      <c r="P19" s="7"/>
      <c r="Q19" s="24"/>
      <c r="S19" s="10"/>
      <c r="T19" s="10"/>
      <c r="U19" s="315"/>
    </row>
    <row r="20" spans="1:21" x14ac:dyDescent="0.25">
      <c r="A20" s="1"/>
      <c r="D20" s="100" t="s">
        <v>52</v>
      </c>
      <c r="E20" s="101" t="s">
        <v>53</v>
      </c>
      <c r="G20" s="10"/>
      <c r="H20" s="10"/>
      <c r="I20" s="101" t="s">
        <v>53</v>
      </c>
      <c r="J20" s="10"/>
      <c r="K20" s="91"/>
      <c r="L20" s="10"/>
      <c r="M20" s="1"/>
      <c r="P20" s="100" t="s">
        <v>52</v>
      </c>
      <c r="Q20" s="101" t="s">
        <v>53</v>
      </c>
      <c r="S20" s="10"/>
      <c r="T20" s="10"/>
      <c r="U20" s="315"/>
    </row>
    <row r="21" spans="1:21" x14ac:dyDescent="0.25">
      <c r="A21" s="1"/>
      <c r="B21" s="2" t="s">
        <v>82</v>
      </c>
      <c r="D21" s="7">
        <v>0</v>
      </c>
      <c r="E21" s="81">
        <f>'Present and Proposed Rates'!F31</f>
        <v>10.07</v>
      </c>
      <c r="G21" s="10">
        <f>D21*E21</f>
        <v>0</v>
      </c>
      <c r="H21" s="10"/>
      <c r="I21" s="104">
        <f>'Present and Proposed Rates'!G31</f>
        <v>10.41</v>
      </c>
      <c r="J21" s="10">
        <f>I21*D21</f>
        <v>0</v>
      </c>
      <c r="K21" s="95"/>
      <c r="L21" s="10"/>
      <c r="M21" s="1"/>
      <c r="N21" s="2" t="s">
        <v>82</v>
      </c>
      <c r="P21" s="7">
        <f>D21</f>
        <v>0</v>
      </c>
      <c r="Q21" s="81">
        <f>'Present and Proposed Rates'!H31</f>
        <v>10.41</v>
      </c>
      <c r="S21" s="10">
        <f>P21*Q21</f>
        <v>0</v>
      </c>
      <c r="T21" s="10">
        <f t="shared" si="0"/>
        <v>0</v>
      </c>
      <c r="U21" s="315">
        <f t="shared" si="1"/>
        <v>0</v>
      </c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72"/>
      <c r="L22" s="1"/>
      <c r="M22" s="1"/>
      <c r="N22" s="1"/>
      <c r="O22" s="1"/>
      <c r="P22" s="1"/>
      <c r="Q22" s="1"/>
      <c r="R22" s="1"/>
      <c r="S22" s="1"/>
      <c r="T22" s="10"/>
      <c r="U22" s="315"/>
    </row>
    <row r="23" spans="1:21" x14ac:dyDescent="0.25">
      <c r="A23" s="1" t="s">
        <v>54</v>
      </c>
      <c r="B23" s="1"/>
      <c r="C23" s="59"/>
      <c r="D23" s="7"/>
      <c r="E23" s="24"/>
      <c r="G23" s="10"/>
      <c r="H23" s="10"/>
      <c r="I23" s="10"/>
      <c r="J23" s="10"/>
      <c r="K23" s="91"/>
      <c r="L23" s="10"/>
      <c r="M23" s="1" t="s">
        <v>54</v>
      </c>
      <c r="N23" s="1"/>
      <c r="O23" s="59"/>
      <c r="P23" s="7"/>
      <c r="Q23" s="24"/>
      <c r="S23" s="10"/>
      <c r="T23" s="10"/>
      <c r="U23" s="315"/>
    </row>
    <row r="24" spans="1:21" x14ac:dyDescent="0.25">
      <c r="A24" s="1"/>
      <c r="B24" s="2" t="s">
        <v>48</v>
      </c>
      <c r="C24" s="59"/>
      <c r="D24" s="7"/>
      <c r="E24" s="24"/>
      <c r="G24" s="10">
        <v>0</v>
      </c>
      <c r="H24" s="10"/>
      <c r="I24" s="10"/>
      <c r="J24" s="10">
        <f>G24</f>
        <v>0</v>
      </c>
      <c r="K24" s="91"/>
      <c r="L24" s="10"/>
      <c r="M24" s="1"/>
      <c r="N24" s="2" t="s">
        <v>48</v>
      </c>
      <c r="O24" s="59"/>
      <c r="P24" s="7"/>
      <c r="Q24" s="24"/>
      <c r="S24" s="10">
        <f>G24</f>
        <v>0</v>
      </c>
      <c r="T24" s="10">
        <f t="shared" si="0"/>
        <v>0</v>
      </c>
      <c r="U24" s="315">
        <f t="shared" si="1"/>
        <v>0</v>
      </c>
    </row>
    <row r="25" spans="1:21" x14ac:dyDescent="0.25">
      <c r="A25" s="1"/>
      <c r="B25" s="2" t="s">
        <v>55</v>
      </c>
      <c r="C25" s="59"/>
      <c r="D25" s="7"/>
      <c r="E25" s="24"/>
      <c r="G25" s="10">
        <v>0</v>
      </c>
      <c r="H25" s="10"/>
      <c r="I25" s="10"/>
      <c r="J25" s="10">
        <f>G25</f>
        <v>0</v>
      </c>
      <c r="K25" s="91"/>
      <c r="L25" s="10"/>
      <c r="M25" s="1"/>
      <c r="N25" s="2" t="s">
        <v>55</v>
      </c>
      <c r="O25" s="59"/>
      <c r="P25" s="7"/>
      <c r="Q25" s="24"/>
      <c r="S25" s="10">
        <f>G25</f>
        <v>0</v>
      </c>
      <c r="T25" s="10">
        <f t="shared" si="0"/>
        <v>0</v>
      </c>
      <c r="U25" s="315">
        <f t="shared" si="1"/>
        <v>0</v>
      </c>
    </row>
    <row r="26" spans="1:21" x14ac:dyDescent="0.25">
      <c r="A26" s="1"/>
      <c r="D26" s="19"/>
      <c r="G26" s="10"/>
      <c r="H26" s="10"/>
      <c r="I26" s="10"/>
      <c r="J26" s="10"/>
      <c r="K26" s="91"/>
      <c r="L26" s="10"/>
      <c r="M26" s="1"/>
      <c r="S26" s="10"/>
      <c r="T26" s="10"/>
      <c r="U26" s="315"/>
    </row>
    <row r="27" spans="1:21" ht="16.5" thickBot="1" x14ac:dyDescent="0.3">
      <c r="A27" s="1" t="s">
        <v>37</v>
      </c>
      <c r="G27" s="18">
        <f>SUM(G12:G25)</f>
        <v>0</v>
      </c>
      <c r="H27" s="10"/>
      <c r="I27" s="10"/>
      <c r="J27" s="18">
        <f>SUM(J12:J25)</f>
        <v>0</v>
      </c>
      <c r="K27" s="91"/>
      <c r="L27" s="10"/>
      <c r="M27" s="1" t="s">
        <v>37</v>
      </c>
      <c r="S27" s="18">
        <f>SUM(S12:S25)</f>
        <v>0</v>
      </c>
      <c r="T27" s="10">
        <f t="shared" si="0"/>
        <v>0</v>
      </c>
      <c r="U27" s="315">
        <f t="shared" si="1"/>
        <v>0</v>
      </c>
    </row>
    <row r="28" spans="1:21" ht="16.5" thickTop="1" x14ac:dyDescent="0.25">
      <c r="A28" s="1"/>
      <c r="B28" s="1"/>
      <c r="G28" s="10"/>
      <c r="H28" s="10"/>
      <c r="I28" s="10"/>
      <c r="J28" s="10"/>
      <c r="K28" s="91"/>
      <c r="L28" s="10"/>
      <c r="M28" s="1"/>
      <c r="N28" s="1"/>
      <c r="S28" s="10"/>
    </row>
    <row r="29" spans="1:21" x14ac:dyDescent="0.25">
      <c r="A29" s="1" t="s">
        <v>14</v>
      </c>
      <c r="B29" s="9"/>
      <c r="G29" s="309">
        <v>0</v>
      </c>
      <c r="H29" s="10"/>
      <c r="I29" s="10"/>
      <c r="J29" s="10"/>
      <c r="K29" s="92"/>
      <c r="L29" s="10"/>
      <c r="M29" s="1" t="s">
        <v>63</v>
      </c>
      <c r="N29" s="9"/>
      <c r="S29" s="23">
        <f>S27-J27</f>
        <v>0</v>
      </c>
    </row>
    <row r="30" spans="1:21" x14ac:dyDescent="0.25">
      <c r="A30" s="9"/>
      <c r="B30" s="9"/>
      <c r="G30" s="9"/>
      <c r="H30" s="9"/>
      <c r="I30" s="9"/>
      <c r="J30" s="9"/>
      <c r="K30" s="93"/>
      <c r="L30" s="9"/>
      <c r="N30" s="9"/>
      <c r="S30" s="9"/>
    </row>
    <row r="31" spans="1:21" x14ac:dyDescent="0.25">
      <c r="A31" s="1" t="s">
        <v>10</v>
      </c>
      <c r="B31" s="9"/>
      <c r="G31" s="16">
        <f>G27-G29</f>
        <v>0</v>
      </c>
      <c r="H31" s="16"/>
      <c r="I31" s="16"/>
      <c r="J31" s="16">
        <f>J27-G27</f>
        <v>0</v>
      </c>
      <c r="K31" s="91"/>
      <c r="L31" s="16"/>
      <c r="M31" s="1" t="s">
        <v>64</v>
      </c>
      <c r="N31" s="9"/>
      <c r="S31" s="60" t="e">
        <f>S29/J27</f>
        <v>#DIV/0!</v>
      </c>
    </row>
    <row r="32" spans="1:21" x14ac:dyDescent="0.25">
      <c r="A32" s="9"/>
      <c r="B32" s="9"/>
      <c r="G32" s="10"/>
      <c r="H32" s="10"/>
      <c r="I32" s="10"/>
      <c r="J32" s="10"/>
      <c r="K32" s="94"/>
      <c r="L32" s="10"/>
      <c r="N32" s="9"/>
      <c r="S32" s="10"/>
    </row>
    <row r="33" spans="1:20" x14ac:dyDescent="0.25">
      <c r="A33" s="1" t="s">
        <v>16</v>
      </c>
      <c r="B33" s="9"/>
      <c r="G33" s="17" t="e">
        <f>G31/G29</f>
        <v>#DIV/0!</v>
      </c>
      <c r="H33" s="17"/>
      <c r="I33" s="17"/>
      <c r="J33" s="17" t="e">
        <f>J31/G29</f>
        <v>#DIV/0!</v>
      </c>
      <c r="K33" s="91"/>
      <c r="L33" s="17"/>
      <c r="M33" s="1" t="s">
        <v>40</v>
      </c>
      <c r="N33" s="9"/>
      <c r="S33" s="30" t="e">
        <f>S29/P12</f>
        <v>#DIV/0!</v>
      </c>
    </row>
    <row r="34" spans="1:20" x14ac:dyDescent="0.25">
      <c r="A34" s="1"/>
      <c r="B34" s="9"/>
      <c r="D34" s="13" t="e">
        <f>D17/D12</f>
        <v>#DIV/0!</v>
      </c>
      <c r="G34" s="17"/>
      <c r="H34" s="17"/>
      <c r="I34" s="17"/>
      <c r="J34" s="17"/>
      <c r="K34" s="17"/>
      <c r="L34" s="17"/>
      <c r="M34" s="1"/>
      <c r="N34" s="9"/>
      <c r="S34" s="17"/>
    </row>
    <row r="35" spans="1:20" x14ac:dyDescent="0.25">
      <c r="A35" s="1"/>
      <c r="B35" s="9"/>
      <c r="G35" s="98"/>
      <c r="H35" s="17"/>
      <c r="I35" s="17"/>
      <c r="J35" s="17"/>
      <c r="K35" s="17"/>
      <c r="L35" s="17"/>
      <c r="M35" s="1"/>
      <c r="N35" s="9"/>
      <c r="S35" s="17"/>
    </row>
    <row r="36" spans="1:20" x14ac:dyDescent="0.25">
      <c r="A36" s="1"/>
      <c r="B36" s="9"/>
      <c r="G36" s="98"/>
      <c r="H36" s="17"/>
      <c r="I36" s="17"/>
      <c r="J36" s="17"/>
      <c r="K36" s="17"/>
      <c r="L36" s="17"/>
      <c r="M36" s="1"/>
      <c r="N36" s="9"/>
      <c r="S36" s="17"/>
    </row>
    <row r="37" spans="1:20" x14ac:dyDescent="0.25">
      <c r="A37" s="1"/>
      <c r="B37" s="9"/>
      <c r="G37" s="98"/>
      <c r="H37" s="17"/>
      <c r="I37" s="17"/>
      <c r="J37" s="17"/>
      <c r="K37" s="17"/>
      <c r="L37" s="17"/>
      <c r="M37" s="1"/>
      <c r="N37" s="9"/>
      <c r="S37" s="17"/>
    </row>
    <row r="38" spans="1:20" x14ac:dyDescent="0.25">
      <c r="A38" s="1"/>
      <c r="B38" s="9"/>
      <c r="G38" s="17"/>
      <c r="H38" s="17"/>
      <c r="I38" s="17"/>
      <c r="J38" s="17"/>
      <c r="K38" s="17"/>
      <c r="L38" s="17"/>
      <c r="M38" s="1"/>
      <c r="N38" s="9"/>
      <c r="S38" s="17"/>
    </row>
    <row r="39" spans="1:20" x14ac:dyDescent="0.25">
      <c r="A39" s="1"/>
      <c r="B39" s="9"/>
      <c r="G39" s="17"/>
      <c r="H39" s="17"/>
      <c r="I39" s="17"/>
      <c r="J39" s="17"/>
      <c r="K39" s="17"/>
      <c r="L39" s="17"/>
      <c r="M39" s="1"/>
      <c r="N39" s="9"/>
      <c r="S39" s="17"/>
    </row>
    <row r="40" spans="1:20" ht="18.75" customHeight="1" x14ac:dyDescent="0.25">
      <c r="A40" s="1"/>
      <c r="B40" s="10"/>
      <c r="G40" s="17"/>
      <c r="H40" s="17"/>
      <c r="I40" s="17"/>
      <c r="J40" s="17"/>
      <c r="K40" s="17"/>
      <c r="L40" s="17"/>
    </row>
    <row r="41" spans="1:20" x14ac:dyDescent="0.25">
      <c r="E41" s="10"/>
      <c r="T41" s="46"/>
    </row>
    <row r="42" spans="1:20" x14ac:dyDescent="0.25">
      <c r="T42" s="46"/>
    </row>
    <row r="43" spans="1:20" x14ac:dyDescent="0.25">
      <c r="T43" s="46"/>
    </row>
    <row r="44" spans="1:20" x14ac:dyDescent="0.25">
      <c r="T44" s="46"/>
    </row>
    <row r="45" spans="1:20" x14ac:dyDescent="0.25">
      <c r="T45" s="46"/>
    </row>
    <row r="46" spans="1:20" x14ac:dyDescent="0.25">
      <c r="T46" s="46"/>
    </row>
    <row r="47" spans="1:20" x14ac:dyDescent="0.25">
      <c r="T47" s="46"/>
    </row>
    <row r="48" spans="1:20" x14ac:dyDescent="0.25">
      <c r="T48" s="46"/>
    </row>
    <row r="49" spans="20:20" x14ac:dyDescent="0.25">
      <c r="T49" s="46"/>
    </row>
    <row r="50" spans="20:20" x14ac:dyDescent="0.25">
      <c r="T50" s="46"/>
    </row>
    <row r="51" spans="20:20" x14ac:dyDescent="0.25">
      <c r="T51" s="46"/>
    </row>
    <row r="52" spans="20:20" x14ac:dyDescent="0.25">
      <c r="T52" s="46"/>
    </row>
    <row r="55" spans="20:20" ht="16.5" customHeight="1" x14ac:dyDescent="0.25">
      <c r="T55" s="32"/>
    </row>
    <row r="56" spans="20:20" x14ac:dyDescent="0.25">
      <c r="T56" s="32"/>
    </row>
    <row r="58" spans="20:20" x14ac:dyDescent="0.25">
      <c r="T58" s="32"/>
    </row>
    <row r="59" spans="20:20" x14ac:dyDescent="0.25">
      <c r="T59" s="32"/>
    </row>
    <row r="60" spans="20:20" x14ac:dyDescent="0.25">
      <c r="T60" s="32"/>
    </row>
    <row r="61" spans="20:20" x14ac:dyDescent="0.25">
      <c r="T61" s="32"/>
    </row>
    <row r="62" spans="20:20" x14ac:dyDescent="0.25">
      <c r="T62" s="32"/>
    </row>
    <row r="63" spans="20:20" x14ac:dyDescent="0.25">
      <c r="T63" s="32"/>
    </row>
    <row r="64" spans="20:20" x14ac:dyDescent="0.25">
      <c r="T64" s="32"/>
    </row>
    <row r="65" spans="20:20" x14ac:dyDescent="0.25">
      <c r="T65" s="32"/>
    </row>
    <row r="66" spans="20:20" x14ac:dyDescent="0.25">
      <c r="T66" s="32"/>
    </row>
    <row r="67" spans="20:20" x14ac:dyDescent="0.25">
      <c r="T67" s="32"/>
    </row>
    <row r="68" spans="20:20" x14ac:dyDescent="0.25">
      <c r="T68" s="32"/>
    </row>
    <row r="69" spans="20:20" x14ac:dyDescent="0.25">
      <c r="T69" s="32"/>
    </row>
    <row r="70" spans="20:20" x14ac:dyDescent="0.25">
      <c r="T70" s="47"/>
    </row>
    <row r="71" spans="20:20" x14ac:dyDescent="0.25">
      <c r="T71" s="47"/>
    </row>
    <row r="72" spans="20:20" x14ac:dyDescent="0.25">
      <c r="T72" s="47"/>
    </row>
    <row r="73" spans="20:20" x14ac:dyDescent="0.25">
      <c r="T73" s="47"/>
    </row>
    <row r="74" spans="20:20" x14ac:dyDescent="0.25">
      <c r="T74" s="47"/>
    </row>
    <row r="75" spans="20:20" x14ac:dyDescent="0.25">
      <c r="T75" s="47"/>
    </row>
    <row r="76" spans="20:20" x14ac:dyDescent="0.25">
      <c r="T76" s="47"/>
    </row>
    <row r="77" spans="20:20" x14ac:dyDescent="0.25">
      <c r="T77" s="47"/>
    </row>
    <row r="78" spans="20:20" x14ac:dyDescent="0.25">
      <c r="T78" s="47"/>
    </row>
    <row r="79" spans="20:20" x14ac:dyDescent="0.25">
      <c r="T79" s="47"/>
    </row>
    <row r="80" spans="20:20" x14ac:dyDescent="0.25">
      <c r="T80" s="47"/>
    </row>
    <row r="81" spans="20:20" x14ac:dyDescent="0.25">
      <c r="T81" s="47"/>
    </row>
    <row r="82" spans="20:20" x14ac:dyDescent="0.25">
      <c r="T82" s="47"/>
    </row>
    <row r="83" spans="20:20" x14ac:dyDescent="0.25">
      <c r="T83" s="47"/>
    </row>
    <row r="84" spans="20:20" x14ac:dyDescent="0.25">
      <c r="T84" s="47"/>
    </row>
    <row r="85" spans="20:20" x14ac:dyDescent="0.25">
      <c r="T85" s="47"/>
    </row>
    <row r="86" spans="20:20" x14ac:dyDescent="0.25">
      <c r="T86" s="47"/>
    </row>
    <row r="87" spans="20:20" x14ac:dyDescent="0.25">
      <c r="T87" s="47"/>
    </row>
    <row r="88" spans="20:20" ht="15" customHeight="1" x14ac:dyDescent="0.25">
      <c r="T88" s="47"/>
    </row>
    <row r="89" spans="20:20" x14ac:dyDescent="0.25">
      <c r="T89" s="47"/>
    </row>
    <row r="90" spans="20:20" x14ac:dyDescent="0.25">
      <c r="T90" s="47"/>
    </row>
    <row r="91" spans="20:20" x14ac:dyDescent="0.25">
      <c r="T91" s="47"/>
    </row>
    <row r="92" spans="20:20" x14ac:dyDescent="0.25">
      <c r="T92" s="47"/>
    </row>
    <row r="93" spans="20:20" x14ac:dyDescent="0.25">
      <c r="T93" s="47"/>
    </row>
    <row r="94" spans="20:20" x14ac:dyDescent="0.25">
      <c r="T94" s="47"/>
    </row>
    <row r="95" spans="20:20" x14ac:dyDescent="0.25">
      <c r="T95" s="47"/>
    </row>
    <row r="96" spans="20:20" x14ac:dyDescent="0.25">
      <c r="T96" s="47"/>
    </row>
    <row r="97" spans="20:20" x14ac:dyDescent="0.25">
      <c r="T97" s="47"/>
    </row>
    <row r="98" spans="20:20" x14ac:dyDescent="0.25">
      <c r="T98" s="47"/>
    </row>
    <row r="99" spans="20:20" x14ac:dyDescent="0.25">
      <c r="T99" s="47"/>
    </row>
    <row r="100" spans="20:20" x14ac:dyDescent="0.25">
      <c r="T100" s="47"/>
    </row>
    <row r="101" spans="20:20" x14ac:dyDescent="0.25">
      <c r="T101" s="47"/>
    </row>
    <row r="102" spans="20:20" x14ac:dyDescent="0.25">
      <c r="T102" s="47"/>
    </row>
    <row r="103" spans="20:20" x14ac:dyDescent="0.25">
      <c r="T103" s="47"/>
    </row>
    <row r="104" spans="20:20" x14ac:dyDescent="0.25">
      <c r="T104" s="47"/>
    </row>
    <row r="105" spans="20:20" x14ac:dyDescent="0.25">
      <c r="T105" s="47"/>
    </row>
    <row r="106" spans="20:20" x14ac:dyDescent="0.25">
      <c r="T106" s="47"/>
    </row>
    <row r="107" spans="20:20" x14ac:dyDescent="0.25">
      <c r="T107" s="47"/>
    </row>
    <row r="108" spans="20:20" x14ac:dyDescent="0.25">
      <c r="T108" s="47"/>
    </row>
    <row r="109" spans="20:20" x14ac:dyDescent="0.25">
      <c r="T109" s="47"/>
    </row>
    <row r="110" spans="20:20" x14ac:dyDescent="0.25">
      <c r="T110" s="47"/>
    </row>
    <row r="111" spans="20:20" x14ac:dyDescent="0.25">
      <c r="T111" s="47"/>
    </row>
    <row r="112" spans="20:20" x14ac:dyDescent="0.25">
      <c r="T112" s="47"/>
    </row>
    <row r="113" spans="20:20" x14ac:dyDescent="0.25">
      <c r="T113" s="47"/>
    </row>
    <row r="114" spans="20:20" x14ac:dyDescent="0.25">
      <c r="T114" s="47"/>
    </row>
    <row r="115" spans="20:20" x14ac:dyDescent="0.25">
      <c r="T115" s="47"/>
    </row>
    <row r="134" spans="3:14" x14ac:dyDescent="0.25">
      <c r="N134" s="32"/>
    </row>
    <row r="135" spans="3:14" x14ac:dyDescent="0.25">
      <c r="C135" s="32"/>
      <c r="D135" s="32"/>
      <c r="N135" s="32"/>
    </row>
    <row r="136" spans="3:14" x14ac:dyDescent="0.25">
      <c r="C136" s="33"/>
      <c r="D136" s="38"/>
      <c r="E136" s="42"/>
      <c r="N136" s="32"/>
    </row>
    <row r="137" spans="3:14" x14ac:dyDescent="0.25">
      <c r="C137" s="33"/>
      <c r="D137" s="38"/>
      <c r="E137" s="42"/>
      <c r="N137" s="32"/>
    </row>
    <row r="138" spans="3:14" x14ac:dyDescent="0.25">
      <c r="C138" s="33"/>
      <c r="D138" s="38"/>
      <c r="E138" s="42"/>
      <c r="N138" s="3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0" orientation="landscape" r:id="rId1"/>
  <headerFooter alignWithMargins="0">
    <oddFooter>&amp;RExhibit JW-9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U140"/>
  <sheetViews>
    <sheetView view="pageBreakPreview" zoomScale="75" zoomScaleNormal="85" zoomScaleSheetLayoutView="75" workbookViewId="0">
      <selection activeCell="D59" sqref="D59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4.5703125" style="2" bestFit="1" customWidth="1"/>
    <col min="18" max="18" width="4.28515625" style="2" customWidth="1"/>
    <col min="19" max="19" width="15.5703125" style="2" customWidth="1"/>
    <col min="20" max="20" width="13.140625" style="2" bestFit="1" customWidth="1"/>
    <col min="21" max="21" width="7.140625" style="2" bestFit="1" customWidth="1"/>
    <col min="22" max="16384" width="9.140625" style="2"/>
  </cols>
  <sheetData>
    <row r="1" spans="1:21" x14ac:dyDescent="0.25">
      <c r="A1" s="1" t="str">
        <f>'Present and Proposed Rates'!A1</f>
        <v>Clark Energy Cooperative</v>
      </c>
      <c r="N1" s="1"/>
    </row>
    <row r="2" spans="1:21" x14ac:dyDescent="0.25">
      <c r="A2" s="1" t="str">
        <f>List!B12</f>
        <v>General Power Service 500+kW</v>
      </c>
    </row>
    <row r="3" spans="1:21" ht="16.5" thickBot="1" x14ac:dyDescent="0.3">
      <c r="A3" s="128" t="str">
        <f>List!C12</f>
        <v>P</v>
      </c>
    </row>
    <row r="4" spans="1:21" x14ac:dyDescent="0.25">
      <c r="D4" s="326" t="s">
        <v>17</v>
      </c>
      <c r="E4" s="327"/>
      <c r="F4" s="327"/>
      <c r="G4" s="328"/>
      <c r="H4" s="3"/>
      <c r="I4" s="326" t="s">
        <v>62</v>
      </c>
      <c r="J4" s="328"/>
      <c r="K4" s="90"/>
      <c r="L4" s="3"/>
      <c r="P4" s="326" t="s">
        <v>45</v>
      </c>
      <c r="Q4" s="327"/>
      <c r="R4" s="327"/>
      <c r="S4" s="328"/>
    </row>
    <row r="5" spans="1:21" ht="16.5" thickBot="1" x14ac:dyDescent="0.3">
      <c r="A5" s="34"/>
      <c r="B5" s="41"/>
      <c r="C5" s="3"/>
      <c r="D5" s="329"/>
      <c r="E5" s="330"/>
      <c r="F5" s="330"/>
      <c r="G5" s="331"/>
      <c r="H5" s="3"/>
      <c r="I5" s="329"/>
      <c r="J5" s="331"/>
      <c r="K5" s="90"/>
      <c r="L5" s="3"/>
      <c r="M5" s="34"/>
      <c r="N5" s="41"/>
      <c r="O5" s="3"/>
      <c r="P5" s="329"/>
      <c r="Q5" s="330"/>
      <c r="R5" s="330"/>
      <c r="S5" s="331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90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21" ht="16.5" thickBot="1" x14ac:dyDescent="0.3">
      <c r="A7" s="5"/>
      <c r="B7" s="5"/>
      <c r="C7" s="5"/>
      <c r="D7" s="5" t="s">
        <v>3</v>
      </c>
      <c r="E7" s="330" t="s">
        <v>4</v>
      </c>
      <c r="F7" s="330"/>
      <c r="G7" s="5" t="s">
        <v>5</v>
      </c>
      <c r="H7" s="5"/>
      <c r="I7" s="5" t="s">
        <v>4</v>
      </c>
      <c r="J7" s="5" t="s">
        <v>5</v>
      </c>
      <c r="K7" s="89"/>
      <c r="L7" s="5"/>
      <c r="M7" s="5"/>
      <c r="N7" s="5"/>
      <c r="O7" s="5"/>
      <c r="P7" s="5" t="s">
        <v>3</v>
      </c>
      <c r="Q7" s="330" t="s">
        <v>4</v>
      </c>
      <c r="R7" s="330"/>
      <c r="S7" s="5" t="s">
        <v>5</v>
      </c>
      <c r="T7" s="5" t="s">
        <v>30</v>
      </c>
      <c r="U7" s="5" t="s">
        <v>35</v>
      </c>
    </row>
    <row r="8" spans="1:21" x14ac:dyDescent="0.25">
      <c r="K8" s="90"/>
    </row>
    <row r="9" spans="1:21" x14ac:dyDescent="0.25">
      <c r="K9" s="90"/>
    </row>
    <row r="10" spans="1:21" x14ac:dyDescent="0.25">
      <c r="A10" s="63" t="s">
        <v>8</v>
      </c>
      <c r="K10" s="90"/>
      <c r="M10" s="63" t="s">
        <v>8</v>
      </c>
    </row>
    <row r="11" spans="1:21" x14ac:dyDescent="0.25">
      <c r="D11" s="99" t="s">
        <v>49</v>
      </c>
      <c r="E11" s="99" t="s">
        <v>50</v>
      </c>
      <c r="I11" s="99" t="s">
        <v>50</v>
      </c>
      <c r="K11" s="90"/>
      <c r="P11" s="99" t="s">
        <v>49</v>
      </c>
      <c r="Q11" s="99" t="s">
        <v>50</v>
      </c>
      <c r="T11" s="10"/>
      <c r="U11" s="315"/>
    </row>
    <row r="12" spans="1:21" x14ac:dyDescent="0.25">
      <c r="B12" s="2" t="s">
        <v>61</v>
      </c>
      <c r="D12" s="308">
        <v>96</v>
      </c>
      <c r="E12" s="8">
        <f>'Present and Proposed Rates'!F33</f>
        <v>89.85</v>
      </c>
      <c r="G12" s="10">
        <f>D12*E12</f>
        <v>8625.5999999999985</v>
      </c>
      <c r="H12" s="10"/>
      <c r="I12" s="103">
        <f>'Present and Proposed Rates'!G33</f>
        <v>89.85</v>
      </c>
      <c r="J12" s="10">
        <f>I12*D12</f>
        <v>8625.5999999999985</v>
      </c>
      <c r="K12" s="91"/>
      <c r="L12" s="10"/>
      <c r="N12" s="2" t="s">
        <v>56</v>
      </c>
      <c r="P12" s="7">
        <f>D12</f>
        <v>96</v>
      </c>
      <c r="Q12" s="8">
        <f>'Present and Proposed Rates'!H33</f>
        <v>89.85</v>
      </c>
      <c r="S12" s="10">
        <f>P12*Q12</f>
        <v>8625.5999999999985</v>
      </c>
      <c r="T12" s="10">
        <f t="shared" ref="T12:T29" si="0">S12-J12</f>
        <v>0</v>
      </c>
      <c r="U12" s="315">
        <f t="shared" ref="U12:U29" si="1">IF(J12=0,0,T12/J12)</f>
        <v>0</v>
      </c>
    </row>
    <row r="13" spans="1:21" x14ac:dyDescent="0.25">
      <c r="D13" s="7"/>
      <c r="E13" s="8"/>
      <c r="G13" s="10"/>
      <c r="H13" s="10"/>
      <c r="I13" s="103"/>
      <c r="J13" s="10"/>
      <c r="K13" s="91"/>
      <c r="L13" s="10"/>
      <c r="P13" s="7"/>
      <c r="Q13" s="8"/>
      <c r="S13" s="10"/>
      <c r="T13" s="10"/>
      <c r="U13" s="315"/>
    </row>
    <row r="14" spans="1:21" x14ac:dyDescent="0.25">
      <c r="D14" s="7"/>
      <c r="G14" s="10"/>
      <c r="H14" s="10"/>
      <c r="I14" s="32"/>
      <c r="J14" s="10"/>
      <c r="K14" s="91"/>
      <c r="L14" s="10"/>
      <c r="P14" s="7"/>
      <c r="S14" s="10"/>
      <c r="T14" s="10"/>
      <c r="U14" s="315"/>
    </row>
    <row r="15" spans="1:21" x14ac:dyDescent="0.25">
      <c r="A15" s="1" t="s">
        <v>6</v>
      </c>
      <c r="D15" s="7"/>
      <c r="G15" s="10"/>
      <c r="H15" s="10"/>
      <c r="I15" s="32"/>
      <c r="J15" s="10"/>
      <c r="K15" s="91"/>
      <c r="L15" s="10"/>
      <c r="M15" s="1" t="s">
        <v>6</v>
      </c>
      <c r="P15" s="29"/>
      <c r="Q15" s="32"/>
      <c r="S15" s="10"/>
      <c r="T15" s="10"/>
      <c r="U15" s="315"/>
    </row>
    <row r="16" spans="1:21" x14ac:dyDescent="0.25">
      <c r="D16" s="100" t="s">
        <v>7</v>
      </c>
      <c r="E16" s="101" t="s">
        <v>9</v>
      </c>
      <c r="G16" s="10"/>
      <c r="H16" s="10"/>
      <c r="I16" s="101" t="s">
        <v>9</v>
      </c>
      <c r="J16" s="10"/>
      <c r="K16" s="91"/>
      <c r="L16" s="10"/>
      <c r="P16" s="100" t="s">
        <v>7</v>
      </c>
      <c r="Q16" s="101" t="s">
        <v>9</v>
      </c>
      <c r="S16" s="10"/>
      <c r="T16" s="10"/>
      <c r="U16" s="315"/>
    </row>
    <row r="17" spans="1:21" x14ac:dyDescent="0.25">
      <c r="B17" s="2" t="s">
        <v>81</v>
      </c>
      <c r="D17" s="308">
        <v>21237280</v>
      </c>
      <c r="E17" s="24">
        <f>'Present and Proposed Rates'!F34*9/12+'Present and Proposed Rates'!G34*3/12</f>
        <v>6.1944999999999986E-2</v>
      </c>
      <c r="G17" s="10">
        <f>D17*E17</f>
        <v>1315543.3095999998</v>
      </c>
      <c r="H17" s="10"/>
      <c r="I17" s="102">
        <f>'Present and Proposed Rates'!G34</f>
        <v>7.0779999999999996E-2</v>
      </c>
      <c r="J17" s="10">
        <f>I17*D17</f>
        <v>1503174.6783999999</v>
      </c>
      <c r="K17" s="91"/>
      <c r="L17" s="10"/>
      <c r="N17" s="2" t="s">
        <v>81</v>
      </c>
      <c r="P17" s="7">
        <f>D17</f>
        <v>21237280</v>
      </c>
      <c r="Q17" s="24">
        <f>'Present and Proposed Rates'!H34</f>
        <v>6.6428794370572794E-2</v>
      </c>
      <c r="S17" s="10">
        <f>P17*Q17</f>
        <v>1410766.9061102781</v>
      </c>
      <c r="T17" s="10">
        <f t="shared" si="0"/>
        <v>-92407.772289721761</v>
      </c>
      <c r="U17" s="315">
        <f t="shared" si="1"/>
        <v>-6.1475072470008531E-2</v>
      </c>
    </row>
    <row r="18" spans="1:21" x14ac:dyDescent="0.25">
      <c r="A18" s="1"/>
      <c r="K18" s="90"/>
      <c r="T18" s="10"/>
      <c r="U18" s="315"/>
    </row>
    <row r="19" spans="1:21" x14ac:dyDescent="0.25">
      <c r="A19" s="1" t="s">
        <v>51</v>
      </c>
      <c r="D19" s="29"/>
      <c r="E19" s="102"/>
      <c r="G19" s="10"/>
      <c r="H19" s="10"/>
      <c r="I19" s="102"/>
      <c r="J19" s="10"/>
      <c r="K19" s="91"/>
      <c r="L19" s="10"/>
      <c r="M19" s="1" t="s">
        <v>51</v>
      </c>
      <c r="P19" s="7"/>
      <c r="Q19" s="24"/>
      <c r="S19" s="10"/>
      <c r="T19" s="10"/>
      <c r="U19" s="315"/>
    </row>
    <row r="20" spans="1:21" x14ac:dyDescent="0.25">
      <c r="A20" s="1"/>
      <c r="D20" s="100" t="s">
        <v>52</v>
      </c>
      <c r="E20" s="101" t="s">
        <v>53</v>
      </c>
      <c r="G20" s="10"/>
      <c r="H20" s="10"/>
      <c r="I20" s="101" t="s">
        <v>53</v>
      </c>
      <c r="J20" s="10"/>
      <c r="K20" s="91"/>
      <c r="L20" s="10"/>
      <c r="M20" s="1"/>
      <c r="P20" s="100" t="s">
        <v>52</v>
      </c>
      <c r="Q20" s="101" t="s">
        <v>53</v>
      </c>
      <c r="S20" s="10"/>
      <c r="T20" s="10"/>
      <c r="U20" s="315"/>
    </row>
    <row r="21" spans="1:21" x14ac:dyDescent="0.25">
      <c r="A21" s="1"/>
      <c r="B21" s="2" t="s">
        <v>82</v>
      </c>
      <c r="D21" s="308">
        <v>69479.528037383192</v>
      </c>
      <c r="E21" s="81">
        <f>'Present and Proposed Rates'!F35</f>
        <v>6.42</v>
      </c>
      <c r="G21" s="10">
        <f>D21*E21</f>
        <v>446058.57000000007</v>
      </c>
      <c r="H21" s="10"/>
      <c r="I21" s="104">
        <f>'Present and Proposed Rates'!G35</f>
        <v>6.42</v>
      </c>
      <c r="J21" s="10">
        <f>I21*D21</f>
        <v>446058.57000000007</v>
      </c>
      <c r="K21" s="95"/>
      <c r="L21" s="10"/>
      <c r="M21" s="1"/>
      <c r="N21" s="2" t="s">
        <v>82</v>
      </c>
      <c r="P21" s="7">
        <f>D21</f>
        <v>69479.528037383192</v>
      </c>
      <c r="Q21" s="81">
        <f>'Present and Proposed Rates'!H35</f>
        <v>7.75</v>
      </c>
      <c r="S21" s="10">
        <f>P21*Q21</f>
        <v>538466.34228971973</v>
      </c>
      <c r="T21" s="10">
        <f t="shared" si="0"/>
        <v>92407.772289719665</v>
      </c>
      <c r="U21" s="315">
        <f t="shared" si="1"/>
        <v>0.20716510903426796</v>
      </c>
    </row>
    <row r="22" spans="1:2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72"/>
      <c r="L22" s="1"/>
      <c r="M22" s="1"/>
      <c r="N22" s="1"/>
      <c r="O22" s="1"/>
      <c r="P22" s="1"/>
      <c r="Q22" s="1"/>
      <c r="R22" s="1"/>
      <c r="S22" s="1"/>
      <c r="T22" s="10"/>
      <c r="U22" s="315"/>
    </row>
    <row r="23" spans="1:21" x14ac:dyDescent="0.25">
      <c r="A23" s="1" t="s">
        <v>54</v>
      </c>
      <c r="B23" s="1"/>
      <c r="C23" s="59"/>
      <c r="D23" s="7"/>
      <c r="E23" s="24"/>
      <c r="G23" s="10"/>
      <c r="H23" s="10"/>
      <c r="I23" s="10"/>
      <c r="J23" s="10"/>
      <c r="K23" s="91"/>
      <c r="L23" s="10"/>
      <c r="M23" s="1" t="s">
        <v>54</v>
      </c>
      <c r="N23" s="1"/>
      <c r="O23" s="59"/>
      <c r="P23" s="7"/>
      <c r="Q23" s="24"/>
      <c r="S23" s="10"/>
      <c r="T23" s="10"/>
      <c r="U23" s="315"/>
    </row>
    <row r="24" spans="1:21" x14ac:dyDescent="0.25">
      <c r="A24" s="1"/>
      <c r="B24" s="2" t="s">
        <v>48</v>
      </c>
      <c r="C24" s="59"/>
      <c r="D24" s="7"/>
      <c r="E24" s="24"/>
      <c r="G24" s="309">
        <v>162912.13</v>
      </c>
      <c r="H24" s="10"/>
      <c r="I24" s="10"/>
      <c r="J24" s="10">
        <f>G24</f>
        <v>162912.13</v>
      </c>
      <c r="K24" s="91"/>
      <c r="L24" s="10"/>
      <c r="M24" s="1"/>
      <c r="N24" s="2" t="s">
        <v>48</v>
      </c>
      <c r="O24" s="59"/>
      <c r="P24" s="7"/>
      <c r="Q24" s="24"/>
      <c r="S24" s="10">
        <f>G24</f>
        <v>162912.13</v>
      </c>
      <c r="T24" s="10">
        <f t="shared" si="0"/>
        <v>0</v>
      </c>
      <c r="U24" s="315">
        <f t="shared" si="1"/>
        <v>0</v>
      </c>
    </row>
    <row r="25" spans="1:21" x14ac:dyDescent="0.25">
      <c r="A25" s="1"/>
      <c r="B25" s="2" t="s">
        <v>55</v>
      </c>
      <c r="C25" s="59"/>
      <c r="D25" s="7"/>
      <c r="E25" s="24"/>
      <c r="G25" s="309">
        <v>227430.84</v>
      </c>
      <c r="H25" s="10"/>
      <c r="I25" s="10"/>
      <c r="J25" s="10">
        <f>G25</f>
        <v>227430.84</v>
      </c>
      <c r="K25" s="91"/>
      <c r="L25" s="10"/>
      <c r="M25" s="1"/>
      <c r="N25" s="2" t="s">
        <v>55</v>
      </c>
      <c r="O25" s="59"/>
      <c r="P25" s="7"/>
      <c r="Q25" s="24"/>
      <c r="S25" s="10">
        <f>G25</f>
        <v>227430.84</v>
      </c>
      <c r="T25" s="10">
        <f t="shared" si="0"/>
        <v>0</v>
      </c>
      <c r="U25" s="315">
        <f t="shared" si="1"/>
        <v>0</v>
      </c>
    </row>
    <row r="26" spans="1:21" x14ac:dyDescent="0.25">
      <c r="B26" s="125" t="s">
        <v>198</v>
      </c>
      <c r="D26" s="7"/>
      <c r="E26" s="24"/>
      <c r="G26" s="30">
        <v>26656.809999999998</v>
      </c>
      <c r="H26" s="30"/>
      <c r="I26" s="30"/>
      <c r="J26" s="30">
        <f>G26</f>
        <v>26656.809999999998</v>
      </c>
      <c r="K26" s="91"/>
      <c r="L26" s="30"/>
      <c r="M26" s="63"/>
      <c r="N26" s="2" t="str">
        <f>B26</f>
        <v>DEMAND UPCHARGE</v>
      </c>
      <c r="S26" s="10">
        <f>G26</f>
        <v>26656.809999999998</v>
      </c>
      <c r="T26" s="10">
        <f t="shared" si="0"/>
        <v>0</v>
      </c>
      <c r="U26" s="315">
        <f t="shared" si="1"/>
        <v>0</v>
      </c>
    </row>
    <row r="27" spans="1:21" x14ac:dyDescent="0.25">
      <c r="A27" s="1"/>
      <c r="B27" s="125" t="s">
        <v>218</v>
      </c>
      <c r="D27" s="19"/>
      <c r="G27" s="10">
        <v>20184.48</v>
      </c>
      <c r="H27" s="10"/>
      <c r="I27" s="10"/>
      <c r="J27" s="30">
        <f>G27</f>
        <v>20184.48</v>
      </c>
      <c r="K27" s="91"/>
      <c r="L27" s="10"/>
      <c r="M27" s="1"/>
      <c r="S27" s="10">
        <f>G27</f>
        <v>20184.48</v>
      </c>
      <c r="T27" s="10">
        <f t="shared" si="0"/>
        <v>0</v>
      </c>
      <c r="U27" s="315">
        <f t="shared" si="1"/>
        <v>0</v>
      </c>
    </row>
    <row r="28" spans="1:21" x14ac:dyDescent="0.25">
      <c r="A28" s="1"/>
      <c r="B28" s="125"/>
      <c r="D28" s="19"/>
      <c r="G28" s="10"/>
      <c r="H28" s="10"/>
      <c r="I28" s="10"/>
      <c r="J28" s="10"/>
      <c r="K28" s="91"/>
      <c r="L28" s="10"/>
      <c r="M28" s="1"/>
      <c r="S28" s="10"/>
      <c r="T28" s="10"/>
      <c r="U28" s="315"/>
    </row>
    <row r="29" spans="1:21" ht="16.5" thickBot="1" x14ac:dyDescent="0.3">
      <c r="A29" s="1" t="s">
        <v>37</v>
      </c>
      <c r="G29" s="18">
        <f>SUM(G12:G27)</f>
        <v>2207411.7396</v>
      </c>
      <c r="H29" s="10"/>
      <c r="I29" s="10"/>
      <c r="J29" s="18">
        <f>SUM(J12:J27)</f>
        <v>2395043.1083999998</v>
      </c>
      <c r="K29" s="91"/>
      <c r="L29" s="10"/>
      <c r="M29" s="1" t="s">
        <v>37</v>
      </c>
      <c r="S29" s="18">
        <f>SUM(S12:S27)</f>
        <v>2395043.1083999979</v>
      </c>
      <c r="T29" s="10">
        <f t="shared" si="0"/>
        <v>0</v>
      </c>
      <c r="U29" s="315">
        <f t="shared" si="1"/>
        <v>0</v>
      </c>
    </row>
    <row r="30" spans="1:21" ht="16.5" thickTop="1" x14ac:dyDescent="0.25">
      <c r="A30" s="1"/>
      <c r="B30" s="1"/>
      <c r="G30" s="10"/>
      <c r="H30" s="10"/>
      <c r="I30" s="10"/>
      <c r="J30" s="10"/>
      <c r="K30" s="91"/>
      <c r="L30" s="10"/>
      <c r="M30" s="1"/>
      <c r="N30" s="1"/>
      <c r="S30" s="10"/>
    </row>
    <row r="31" spans="1:21" x14ac:dyDescent="0.25">
      <c r="A31" s="1" t="s">
        <v>14</v>
      </c>
      <c r="B31" s="9"/>
      <c r="G31" s="309">
        <v>2213581.8679999998</v>
      </c>
      <c r="H31" s="10"/>
      <c r="I31" s="10"/>
      <c r="J31" s="10"/>
      <c r="K31" s="92"/>
      <c r="L31" s="10"/>
      <c r="M31" s="1" t="s">
        <v>63</v>
      </c>
      <c r="N31" s="9"/>
      <c r="S31" s="23">
        <f>S29-J29</f>
        <v>0</v>
      </c>
    </row>
    <row r="32" spans="1:21" x14ac:dyDescent="0.25">
      <c r="A32" s="9"/>
      <c r="B32" s="9"/>
      <c r="G32" s="9"/>
      <c r="H32" s="9"/>
      <c r="I32" s="9"/>
      <c r="J32" s="9"/>
      <c r="K32" s="93"/>
      <c r="L32" s="9"/>
      <c r="N32" s="9"/>
      <c r="S32" s="9"/>
    </row>
    <row r="33" spans="1:20" x14ac:dyDescent="0.25">
      <c r="A33" s="1" t="s">
        <v>10</v>
      </c>
      <c r="B33" s="9"/>
      <c r="G33" s="16">
        <f>G29-G31</f>
        <v>-6170.1283999998122</v>
      </c>
      <c r="H33" s="16"/>
      <c r="I33" s="16"/>
      <c r="J33" s="16">
        <f>J29-G29</f>
        <v>187631.36879999982</v>
      </c>
      <c r="K33" s="91"/>
      <c r="L33" s="16"/>
      <c r="M33" s="1" t="s">
        <v>64</v>
      </c>
      <c r="N33" s="9"/>
      <c r="S33" s="60">
        <f>S31/J29</f>
        <v>0</v>
      </c>
    </row>
    <row r="34" spans="1:20" x14ac:dyDescent="0.25">
      <c r="A34" s="9"/>
      <c r="B34" s="9"/>
      <c r="G34" s="10"/>
      <c r="H34" s="10"/>
      <c r="I34" s="10"/>
      <c r="J34" s="10"/>
      <c r="K34" s="94"/>
      <c r="L34" s="10"/>
      <c r="N34" s="9"/>
      <c r="S34" s="10"/>
    </row>
    <row r="35" spans="1:20" x14ac:dyDescent="0.25">
      <c r="A35" s="1" t="s">
        <v>16</v>
      </c>
      <c r="B35" s="9"/>
      <c r="G35" s="17">
        <f>G33/G31</f>
        <v>-2.7873956184754096E-3</v>
      </c>
      <c r="H35" s="17"/>
      <c r="I35" s="17"/>
      <c r="J35" s="17">
        <f>J33/G31</f>
        <v>8.4763690700776842E-2</v>
      </c>
      <c r="K35" s="91"/>
      <c r="L35" s="17"/>
      <c r="M35" s="1" t="s">
        <v>40</v>
      </c>
      <c r="N35" s="9"/>
      <c r="S35" s="30">
        <f>S31/P12</f>
        <v>0</v>
      </c>
    </row>
    <row r="36" spans="1:20" x14ac:dyDescent="0.25">
      <c r="A36" s="1"/>
      <c r="B36" s="9"/>
      <c r="D36" s="13">
        <f>D17/D12</f>
        <v>221221.66666666666</v>
      </c>
      <c r="G36" s="17"/>
      <c r="H36" s="17"/>
      <c r="I36" s="17"/>
      <c r="J36" s="17"/>
      <c r="K36" s="17"/>
      <c r="L36" s="17"/>
      <c r="M36" s="1"/>
      <c r="N36" s="9"/>
      <c r="S36" s="17"/>
    </row>
    <row r="37" spans="1:20" x14ac:dyDescent="0.25">
      <c r="A37" s="1"/>
      <c r="B37" s="9"/>
      <c r="G37" s="98"/>
      <c r="H37" s="17"/>
      <c r="I37" s="17"/>
      <c r="J37" s="17"/>
      <c r="K37" s="17"/>
      <c r="L37" s="17"/>
      <c r="M37" s="1"/>
      <c r="N37" s="9"/>
      <c r="S37" s="17"/>
    </row>
    <row r="38" spans="1:20" x14ac:dyDescent="0.25">
      <c r="A38" s="1"/>
      <c r="B38" s="9"/>
      <c r="G38" s="98"/>
      <c r="H38" s="17"/>
      <c r="I38" s="17"/>
      <c r="J38" s="17"/>
      <c r="K38" s="17"/>
      <c r="L38" s="17"/>
      <c r="M38" s="1"/>
      <c r="N38" s="9"/>
      <c r="S38" s="17"/>
    </row>
    <row r="39" spans="1:20" x14ac:dyDescent="0.25">
      <c r="A39" s="1"/>
      <c r="B39" s="9"/>
      <c r="G39" s="98"/>
      <c r="H39" s="17"/>
      <c r="I39" s="17"/>
      <c r="J39" s="17"/>
      <c r="K39" s="17"/>
      <c r="L39" s="17"/>
      <c r="M39" s="1"/>
      <c r="N39" s="9"/>
      <c r="S39" s="17"/>
    </row>
    <row r="40" spans="1:20" x14ac:dyDescent="0.25">
      <c r="A40" s="1"/>
      <c r="B40" s="9"/>
      <c r="G40" s="17"/>
      <c r="H40" s="17"/>
      <c r="I40" s="17"/>
      <c r="J40" s="17"/>
      <c r="K40" s="17"/>
      <c r="L40" s="17"/>
      <c r="M40" s="1"/>
      <c r="N40" s="9"/>
      <c r="S40" s="17"/>
    </row>
    <row r="41" spans="1:20" x14ac:dyDescent="0.25">
      <c r="A41" s="1"/>
      <c r="B41" s="9"/>
      <c r="G41" s="17"/>
      <c r="H41" s="17"/>
      <c r="I41" s="17"/>
      <c r="J41" s="17"/>
      <c r="K41" s="17"/>
      <c r="L41" s="17"/>
      <c r="M41" s="1"/>
      <c r="N41" s="9"/>
      <c r="S41" s="17"/>
      <c r="T41" s="46"/>
    </row>
    <row r="42" spans="1:20" ht="18.75" customHeight="1" x14ac:dyDescent="0.25">
      <c r="A42" s="1"/>
      <c r="B42" s="10"/>
      <c r="G42" s="17"/>
      <c r="H42" s="17"/>
      <c r="I42" s="17"/>
      <c r="J42" s="17"/>
      <c r="K42" s="17"/>
      <c r="L42" s="17"/>
      <c r="T42" s="46"/>
    </row>
    <row r="43" spans="1:20" x14ac:dyDescent="0.25">
      <c r="E43" s="10"/>
      <c r="T43" s="46"/>
    </row>
    <row r="44" spans="1:20" x14ac:dyDescent="0.25">
      <c r="T44" s="46"/>
    </row>
    <row r="45" spans="1:20" x14ac:dyDescent="0.25">
      <c r="T45" s="46"/>
    </row>
    <row r="46" spans="1:20" x14ac:dyDescent="0.25">
      <c r="T46" s="46"/>
    </row>
    <row r="47" spans="1:20" x14ac:dyDescent="0.25">
      <c r="T47" s="46"/>
    </row>
    <row r="48" spans="1:20" x14ac:dyDescent="0.25">
      <c r="T48" s="46"/>
    </row>
    <row r="49" spans="20:20" x14ac:dyDescent="0.25">
      <c r="T49" s="46"/>
    </row>
    <row r="50" spans="20:20" x14ac:dyDescent="0.25">
      <c r="T50" s="46"/>
    </row>
    <row r="51" spans="20:20" x14ac:dyDescent="0.25">
      <c r="T51" s="46"/>
    </row>
    <row r="52" spans="20:20" x14ac:dyDescent="0.25">
      <c r="T52" s="46"/>
    </row>
    <row r="55" spans="20:20" x14ac:dyDescent="0.25">
      <c r="T55" s="32"/>
    </row>
    <row r="56" spans="20:20" x14ac:dyDescent="0.25">
      <c r="T56" s="32"/>
    </row>
    <row r="57" spans="20:20" ht="16.5" customHeight="1" x14ac:dyDescent="0.25"/>
    <row r="58" spans="20:20" x14ac:dyDescent="0.25">
      <c r="T58" s="32"/>
    </row>
    <row r="59" spans="20:20" x14ac:dyDescent="0.25">
      <c r="T59" s="32"/>
    </row>
    <row r="60" spans="20:20" x14ac:dyDescent="0.25">
      <c r="T60" s="32"/>
    </row>
    <row r="61" spans="20:20" x14ac:dyDescent="0.25">
      <c r="T61" s="32"/>
    </row>
    <row r="62" spans="20:20" x14ac:dyDescent="0.25">
      <c r="T62" s="32"/>
    </row>
    <row r="63" spans="20:20" x14ac:dyDescent="0.25">
      <c r="T63" s="32"/>
    </row>
    <row r="64" spans="20:20" x14ac:dyDescent="0.25">
      <c r="T64" s="32"/>
    </row>
    <row r="65" spans="20:20" x14ac:dyDescent="0.25">
      <c r="T65" s="32"/>
    </row>
    <row r="66" spans="20:20" x14ac:dyDescent="0.25">
      <c r="T66" s="32"/>
    </row>
    <row r="67" spans="20:20" x14ac:dyDescent="0.25">
      <c r="T67" s="32"/>
    </row>
    <row r="68" spans="20:20" x14ac:dyDescent="0.25">
      <c r="T68" s="32"/>
    </row>
    <row r="69" spans="20:20" x14ac:dyDescent="0.25">
      <c r="T69" s="32"/>
    </row>
    <row r="70" spans="20:20" x14ac:dyDescent="0.25">
      <c r="T70" s="47"/>
    </row>
    <row r="71" spans="20:20" x14ac:dyDescent="0.25">
      <c r="T71" s="47"/>
    </row>
    <row r="72" spans="20:20" x14ac:dyDescent="0.25">
      <c r="T72" s="47"/>
    </row>
    <row r="73" spans="20:20" x14ac:dyDescent="0.25">
      <c r="T73" s="47"/>
    </row>
    <row r="74" spans="20:20" x14ac:dyDescent="0.25">
      <c r="T74" s="47"/>
    </row>
    <row r="75" spans="20:20" x14ac:dyDescent="0.25">
      <c r="T75" s="47"/>
    </row>
    <row r="76" spans="20:20" x14ac:dyDescent="0.25">
      <c r="T76" s="47"/>
    </row>
    <row r="77" spans="20:20" x14ac:dyDescent="0.25">
      <c r="T77" s="47"/>
    </row>
    <row r="78" spans="20:20" x14ac:dyDescent="0.25">
      <c r="T78" s="47"/>
    </row>
    <row r="79" spans="20:20" x14ac:dyDescent="0.25">
      <c r="T79" s="47"/>
    </row>
    <row r="80" spans="20:20" x14ac:dyDescent="0.25">
      <c r="T80" s="47"/>
    </row>
    <row r="81" spans="20:20" x14ac:dyDescent="0.25">
      <c r="T81" s="47"/>
    </row>
    <row r="82" spans="20:20" x14ac:dyDescent="0.25">
      <c r="T82" s="47"/>
    </row>
    <row r="83" spans="20:20" x14ac:dyDescent="0.25">
      <c r="T83" s="47"/>
    </row>
    <row r="84" spans="20:20" x14ac:dyDescent="0.25">
      <c r="T84" s="47"/>
    </row>
    <row r="85" spans="20:20" x14ac:dyDescent="0.25">
      <c r="T85" s="47"/>
    </row>
    <row r="86" spans="20:20" x14ac:dyDescent="0.25">
      <c r="T86" s="47"/>
    </row>
    <row r="87" spans="20:20" x14ac:dyDescent="0.25">
      <c r="T87" s="47"/>
    </row>
    <row r="88" spans="20:20" x14ac:dyDescent="0.25">
      <c r="T88" s="47"/>
    </row>
    <row r="89" spans="20:20" x14ac:dyDescent="0.25">
      <c r="T89" s="47"/>
    </row>
    <row r="90" spans="20:20" ht="15" customHeight="1" x14ac:dyDescent="0.25">
      <c r="T90" s="47"/>
    </row>
    <row r="91" spans="20:20" x14ac:dyDescent="0.25">
      <c r="T91" s="47"/>
    </row>
    <row r="92" spans="20:20" x14ac:dyDescent="0.25">
      <c r="T92" s="47"/>
    </row>
    <row r="93" spans="20:20" x14ac:dyDescent="0.25">
      <c r="T93" s="47"/>
    </row>
    <row r="94" spans="20:20" x14ac:dyDescent="0.25">
      <c r="T94" s="47"/>
    </row>
    <row r="95" spans="20:20" x14ac:dyDescent="0.25">
      <c r="T95" s="47"/>
    </row>
    <row r="96" spans="20:20" x14ac:dyDescent="0.25">
      <c r="T96" s="47"/>
    </row>
    <row r="97" spans="20:20" x14ac:dyDescent="0.25">
      <c r="T97" s="47"/>
    </row>
    <row r="98" spans="20:20" x14ac:dyDescent="0.25">
      <c r="T98" s="47"/>
    </row>
    <row r="99" spans="20:20" x14ac:dyDescent="0.25">
      <c r="T99" s="47"/>
    </row>
    <row r="100" spans="20:20" x14ac:dyDescent="0.25">
      <c r="T100" s="47"/>
    </row>
    <row r="101" spans="20:20" x14ac:dyDescent="0.25">
      <c r="T101" s="47"/>
    </row>
    <row r="102" spans="20:20" x14ac:dyDescent="0.25">
      <c r="T102" s="47"/>
    </row>
    <row r="103" spans="20:20" x14ac:dyDescent="0.25">
      <c r="T103" s="47"/>
    </row>
    <row r="104" spans="20:20" x14ac:dyDescent="0.25">
      <c r="T104" s="47"/>
    </row>
    <row r="105" spans="20:20" x14ac:dyDescent="0.25">
      <c r="T105" s="47"/>
    </row>
    <row r="106" spans="20:20" x14ac:dyDescent="0.25">
      <c r="T106" s="47"/>
    </row>
    <row r="107" spans="20:20" x14ac:dyDescent="0.25">
      <c r="T107" s="47"/>
    </row>
    <row r="108" spans="20:20" x14ac:dyDescent="0.25">
      <c r="T108" s="47"/>
    </row>
    <row r="109" spans="20:20" x14ac:dyDescent="0.25">
      <c r="T109" s="47"/>
    </row>
    <row r="110" spans="20:20" x14ac:dyDescent="0.25">
      <c r="T110" s="47"/>
    </row>
    <row r="111" spans="20:20" x14ac:dyDescent="0.25">
      <c r="T111" s="47"/>
    </row>
    <row r="112" spans="20:20" x14ac:dyDescent="0.25">
      <c r="T112" s="47"/>
    </row>
    <row r="113" spans="20:20" x14ac:dyDescent="0.25">
      <c r="T113" s="47"/>
    </row>
    <row r="114" spans="20:20" x14ac:dyDescent="0.25">
      <c r="T114" s="47"/>
    </row>
    <row r="115" spans="20:20" x14ac:dyDescent="0.25">
      <c r="T115" s="47"/>
    </row>
    <row r="136" spans="3:14" x14ac:dyDescent="0.25">
      <c r="N136" s="32"/>
    </row>
    <row r="137" spans="3:14" x14ac:dyDescent="0.25">
      <c r="C137" s="32"/>
      <c r="D137" s="32"/>
      <c r="N137" s="32"/>
    </row>
    <row r="138" spans="3:14" x14ac:dyDescent="0.25">
      <c r="C138" s="33"/>
      <c r="D138" s="38"/>
      <c r="E138" s="42"/>
      <c r="N138" s="32"/>
    </row>
    <row r="139" spans="3:14" x14ac:dyDescent="0.25">
      <c r="C139" s="33"/>
      <c r="D139" s="38"/>
      <c r="E139" s="42"/>
      <c r="N139" s="32"/>
    </row>
    <row r="140" spans="3:14" x14ac:dyDescent="0.25">
      <c r="C140" s="33"/>
      <c r="D140" s="38"/>
      <c r="E140" s="42"/>
      <c r="N140" s="3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0" orientation="landscape" r:id="rId1"/>
  <headerFooter alignWithMargins="0">
    <oddFooter>&amp;RExhibit JW-9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6357-BF22-4267-B15F-837DE7F0FEC6}">
  <sheetPr>
    <pageSetUpPr fitToPage="1"/>
  </sheetPr>
  <dimension ref="A1:U140"/>
  <sheetViews>
    <sheetView view="pageBreakPreview" zoomScale="75" zoomScaleNormal="85" zoomScaleSheetLayoutView="75" workbookViewId="0">
      <selection activeCell="D59" sqref="D59"/>
    </sheetView>
  </sheetViews>
  <sheetFormatPr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2.710937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10" width="14.42578125" style="2" customWidth="1"/>
    <col min="11" max="11" width="2" style="2" customWidth="1"/>
    <col min="12" max="12" width="2.85546875" style="2" customWidth="1"/>
    <col min="13" max="13" width="9.85546875" style="2" customWidth="1"/>
    <col min="14" max="14" width="18.28515625" style="2" customWidth="1"/>
    <col min="15" max="15" width="3.42578125" style="2" customWidth="1"/>
    <col min="16" max="16" width="12.7109375" style="2" bestFit="1" customWidth="1"/>
    <col min="17" max="17" width="15.140625" style="2" bestFit="1" customWidth="1"/>
    <col min="18" max="18" width="4.28515625" style="2" customWidth="1"/>
    <col min="19" max="19" width="15.5703125" style="2" customWidth="1"/>
    <col min="20" max="20" width="13.140625" style="2" bestFit="1" customWidth="1"/>
    <col min="21" max="21" width="7.140625" style="2" bestFit="1" customWidth="1"/>
    <col min="22" max="16384" width="9.140625" style="2"/>
  </cols>
  <sheetData>
    <row r="1" spans="1:21" x14ac:dyDescent="0.25">
      <c r="A1" s="1" t="str">
        <f>'Present and Proposed Rates'!A1</f>
        <v>Clark Energy Cooperative</v>
      </c>
      <c r="N1" s="1"/>
    </row>
    <row r="2" spans="1:21" x14ac:dyDescent="0.25">
      <c r="A2" s="1" t="str">
        <f>List!B13</f>
        <v>Large Industrial Rate</v>
      </c>
    </row>
    <row r="3" spans="1:21" ht="16.5" thickBot="1" x14ac:dyDescent="0.3">
      <c r="A3" s="128" t="str">
        <f>List!C13</f>
        <v>B-1</v>
      </c>
    </row>
    <row r="4" spans="1:21" x14ac:dyDescent="0.25">
      <c r="D4" s="326" t="s">
        <v>17</v>
      </c>
      <c r="E4" s="327"/>
      <c r="F4" s="327"/>
      <c r="G4" s="328"/>
      <c r="H4" s="3"/>
      <c r="I4" s="326" t="s">
        <v>62</v>
      </c>
      <c r="J4" s="328"/>
      <c r="K4" s="90"/>
      <c r="L4" s="3"/>
      <c r="P4" s="326" t="s">
        <v>45</v>
      </c>
      <c r="Q4" s="327"/>
      <c r="R4" s="327"/>
      <c r="S4" s="328"/>
    </row>
    <row r="5" spans="1:21" ht="16.5" thickBot="1" x14ac:dyDescent="0.3">
      <c r="A5" s="34"/>
      <c r="B5" s="41"/>
      <c r="C5" s="3"/>
      <c r="D5" s="329"/>
      <c r="E5" s="330"/>
      <c r="F5" s="330"/>
      <c r="G5" s="331"/>
      <c r="H5" s="3"/>
      <c r="I5" s="329"/>
      <c r="J5" s="331"/>
      <c r="K5" s="90"/>
      <c r="L5" s="3"/>
      <c r="M5" s="34"/>
      <c r="N5" s="41"/>
      <c r="O5" s="3"/>
      <c r="P5" s="329"/>
      <c r="Q5" s="330"/>
      <c r="R5" s="330"/>
      <c r="S5" s="331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/>
      <c r="J6" s="4" t="s">
        <v>1</v>
      </c>
      <c r="K6" s="90"/>
      <c r="L6" s="4"/>
      <c r="M6" s="4"/>
      <c r="N6" s="4"/>
      <c r="O6" s="4"/>
      <c r="P6" s="4" t="s">
        <v>0</v>
      </c>
      <c r="Q6" s="4"/>
      <c r="R6" s="4"/>
      <c r="S6" s="4" t="s">
        <v>1</v>
      </c>
    </row>
    <row r="7" spans="1:21" ht="16.5" thickBot="1" x14ac:dyDescent="0.3">
      <c r="A7" s="5"/>
      <c r="B7" s="5"/>
      <c r="C7" s="5"/>
      <c r="D7" s="5" t="s">
        <v>3</v>
      </c>
      <c r="E7" s="330" t="s">
        <v>4</v>
      </c>
      <c r="F7" s="330"/>
      <c r="G7" s="5" t="s">
        <v>5</v>
      </c>
      <c r="H7" s="5"/>
      <c r="I7" s="5" t="s">
        <v>4</v>
      </c>
      <c r="J7" s="5" t="s">
        <v>5</v>
      </c>
      <c r="K7" s="89"/>
      <c r="L7" s="5"/>
      <c r="M7" s="5"/>
      <c r="N7" s="5"/>
      <c r="O7" s="5"/>
      <c r="P7" s="5" t="s">
        <v>3</v>
      </c>
      <c r="Q7" s="330" t="s">
        <v>4</v>
      </c>
      <c r="R7" s="330"/>
      <c r="S7" s="5" t="s">
        <v>5</v>
      </c>
      <c r="T7" s="5" t="s">
        <v>30</v>
      </c>
      <c r="U7" s="5" t="s">
        <v>35</v>
      </c>
    </row>
    <row r="8" spans="1:21" x14ac:dyDescent="0.25">
      <c r="K8" s="90"/>
    </row>
    <row r="9" spans="1:21" x14ac:dyDescent="0.25">
      <c r="K9" s="90"/>
    </row>
    <row r="10" spans="1:21" x14ac:dyDescent="0.25">
      <c r="A10" s="63" t="s">
        <v>8</v>
      </c>
      <c r="K10" s="90"/>
      <c r="M10" s="63" t="s">
        <v>8</v>
      </c>
    </row>
    <row r="11" spans="1:21" x14ac:dyDescent="0.25">
      <c r="D11" s="99" t="s">
        <v>49</v>
      </c>
      <c r="E11" s="99" t="s">
        <v>50</v>
      </c>
      <c r="I11" s="99" t="s">
        <v>50</v>
      </c>
      <c r="K11" s="90"/>
      <c r="P11" s="99" t="s">
        <v>49</v>
      </c>
      <c r="Q11" s="99" t="s">
        <v>50</v>
      </c>
      <c r="T11" s="10"/>
      <c r="U11" s="315"/>
    </row>
    <row r="12" spans="1:21" x14ac:dyDescent="0.25">
      <c r="B12" s="2" t="s">
        <v>61</v>
      </c>
      <c r="D12" s="308">
        <v>12</v>
      </c>
      <c r="E12" s="8">
        <f>'Present and Proposed Rates'!F37</f>
        <v>868.72</v>
      </c>
      <c r="G12" s="10">
        <f>D12*E12</f>
        <v>10424.64</v>
      </c>
      <c r="H12" s="10"/>
      <c r="I12" s="103">
        <f>'Present and Proposed Rates'!G37</f>
        <v>868.72</v>
      </c>
      <c r="J12" s="10">
        <f>I12*D12</f>
        <v>10424.64</v>
      </c>
      <c r="K12" s="91"/>
      <c r="L12" s="10"/>
      <c r="N12" s="2" t="s">
        <v>56</v>
      </c>
      <c r="P12" s="7">
        <f>D12</f>
        <v>12</v>
      </c>
      <c r="Q12" s="8">
        <f>'Present and Proposed Rates'!H37</f>
        <v>868.72</v>
      </c>
      <c r="S12" s="10">
        <f>P12*Q12</f>
        <v>10424.64</v>
      </c>
      <c r="T12" s="10">
        <f t="shared" ref="T12:T29" si="0">S12-J12</f>
        <v>0</v>
      </c>
      <c r="U12" s="315">
        <f t="shared" ref="U12:U29" si="1">IF(J12=0,0,T12/J12)</f>
        <v>0</v>
      </c>
    </row>
    <row r="13" spans="1:21" x14ac:dyDescent="0.25">
      <c r="D13" s="7"/>
      <c r="E13" s="8"/>
      <c r="G13" s="10"/>
      <c r="H13" s="10"/>
      <c r="I13" s="103"/>
      <c r="J13" s="10"/>
      <c r="K13" s="91"/>
      <c r="L13" s="10"/>
      <c r="P13" s="7"/>
      <c r="Q13" s="8"/>
      <c r="S13" s="10"/>
      <c r="T13" s="10"/>
      <c r="U13" s="315"/>
    </row>
    <row r="14" spans="1:21" x14ac:dyDescent="0.25">
      <c r="D14" s="7"/>
      <c r="G14" s="10"/>
      <c r="H14" s="10"/>
      <c r="I14" s="32"/>
      <c r="J14" s="10"/>
      <c r="K14" s="91"/>
      <c r="L14" s="10"/>
      <c r="P14" s="7"/>
      <c r="S14" s="10"/>
      <c r="T14" s="10"/>
      <c r="U14" s="315"/>
    </row>
    <row r="15" spans="1:21" x14ac:dyDescent="0.25">
      <c r="A15" s="1" t="s">
        <v>6</v>
      </c>
      <c r="D15" s="7"/>
      <c r="G15" s="10"/>
      <c r="H15" s="10"/>
      <c r="I15" s="32"/>
      <c r="J15" s="10"/>
      <c r="K15" s="91"/>
      <c r="L15" s="10"/>
      <c r="M15" s="1" t="s">
        <v>6</v>
      </c>
      <c r="P15" s="29"/>
      <c r="Q15" s="32"/>
      <c r="S15" s="10"/>
      <c r="T15" s="10"/>
      <c r="U15" s="315"/>
    </row>
    <row r="16" spans="1:21" x14ac:dyDescent="0.25">
      <c r="D16" s="100" t="s">
        <v>7</v>
      </c>
      <c r="E16" s="101" t="s">
        <v>9</v>
      </c>
      <c r="G16" s="10"/>
      <c r="H16" s="10"/>
      <c r="I16" s="101" t="s">
        <v>9</v>
      </c>
      <c r="J16" s="10"/>
      <c r="K16" s="91"/>
      <c r="L16" s="10"/>
      <c r="P16" s="100" t="s">
        <v>7</v>
      </c>
      <c r="Q16" s="101" t="s">
        <v>9</v>
      </c>
      <c r="S16" s="10"/>
      <c r="T16" s="10"/>
      <c r="U16" s="315"/>
    </row>
    <row r="17" spans="1:21" x14ac:dyDescent="0.25">
      <c r="B17" s="2" t="s">
        <v>81</v>
      </c>
      <c r="D17" s="308">
        <v>9599778</v>
      </c>
      <c r="E17" s="24">
        <f>'Present and Proposed Rates'!F40*9/12+'Present and Proposed Rates'!G40*3/12</f>
        <v>5.3603999999999992E-2</v>
      </c>
      <c r="G17" s="10">
        <f>D17*E17</f>
        <v>514586.49991199991</v>
      </c>
      <c r="H17" s="10"/>
      <c r="I17" s="102">
        <f>'Present and Proposed Rates'!G40</f>
        <v>6.2435999999999998E-2</v>
      </c>
      <c r="J17" s="10">
        <f>I17*D17</f>
        <v>599371.73920800001</v>
      </c>
      <c r="K17" s="91"/>
      <c r="L17" s="10"/>
      <c r="N17" s="2" t="s">
        <v>81</v>
      </c>
      <c r="P17" s="7">
        <f>D17</f>
        <v>9599778</v>
      </c>
      <c r="Q17" s="24">
        <f>'Present and Proposed Rates'!H40</f>
        <v>5.9780337546139081E-2</v>
      </c>
      <c r="S17" s="10">
        <f>P17*Q17</f>
        <v>573877.96920799999</v>
      </c>
      <c r="T17" s="10">
        <f t="shared" si="0"/>
        <v>-25493.770000000019</v>
      </c>
      <c r="U17" s="315">
        <f t="shared" si="1"/>
        <v>-4.2534154235711996E-2</v>
      </c>
    </row>
    <row r="18" spans="1:21" x14ac:dyDescent="0.25">
      <c r="A18" s="1"/>
      <c r="K18" s="90"/>
      <c r="T18" s="10"/>
      <c r="U18" s="315"/>
    </row>
    <row r="19" spans="1:21" x14ac:dyDescent="0.25">
      <c r="A19" s="1" t="s">
        <v>51</v>
      </c>
      <c r="D19" s="29"/>
      <c r="E19" s="102"/>
      <c r="G19" s="10"/>
      <c r="H19" s="10"/>
      <c r="I19" s="102"/>
      <c r="J19" s="10"/>
      <c r="K19" s="91"/>
      <c r="L19" s="10"/>
      <c r="M19" s="1" t="s">
        <v>51</v>
      </c>
      <c r="P19" s="7"/>
      <c r="Q19" s="24"/>
      <c r="S19" s="10"/>
      <c r="T19" s="10"/>
      <c r="U19" s="315"/>
    </row>
    <row r="20" spans="1:21" x14ac:dyDescent="0.25">
      <c r="A20" s="1"/>
      <c r="D20" s="100" t="s">
        <v>52</v>
      </c>
      <c r="E20" s="101" t="s">
        <v>53</v>
      </c>
      <c r="G20" s="10"/>
      <c r="H20" s="10"/>
      <c r="I20" s="101" t="s">
        <v>53</v>
      </c>
      <c r="J20" s="10"/>
      <c r="K20" s="91"/>
      <c r="L20" s="10"/>
      <c r="M20" s="1"/>
      <c r="P20" s="100" t="s">
        <v>52</v>
      </c>
      <c r="Q20" s="101" t="s">
        <v>53</v>
      </c>
      <c r="S20" s="10"/>
      <c r="T20" s="10"/>
      <c r="U20" s="315"/>
    </row>
    <row r="21" spans="1:21" x14ac:dyDescent="0.25">
      <c r="A21" s="1"/>
      <c r="B21" s="2" t="s">
        <v>277</v>
      </c>
      <c r="D21" s="308">
        <v>12000</v>
      </c>
      <c r="E21" s="81">
        <f>'Present and Proposed Rates'!F38</f>
        <v>7.41</v>
      </c>
      <c r="G21" s="10">
        <f>D21*E21</f>
        <v>88920</v>
      </c>
      <c r="H21" s="10"/>
      <c r="I21" s="104">
        <f>'Present and Proposed Rates'!G38</f>
        <v>7.41</v>
      </c>
      <c r="J21" s="10">
        <f>I21*D21</f>
        <v>88920</v>
      </c>
      <c r="K21" s="95"/>
      <c r="L21" s="10"/>
      <c r="M21" s="1"/>
      <c r="N21" s="2" t="str">
        <f>B21</f>
        <v>Contract</v>
      </c>
      <c r="P21" s="7">
        <f>D21</f>
        <v>12000</v>
      </c>
      <c r="Q21" s="81">
        <f>'Present and Proposed Rates'!H38</f>
        <v>9.25</v>
      </c>
      <c r="S21" s="10">
        <f>P21*Q21</f>
        <v>111000</v>
      </c>
      <c r="T21" s="10">
        <f t="shared" si="0"/>
        <v>22080</v>
      </c>
      <c r="U21" s="315">
        <f t="shared" si="1"/>
        <v>0.24831309041835359</v>
      </c>
    </row>
    <row r="22" spans="1:21" x14ac:dyDescent="0.25">
      <c r="A22" s="1"/>
      <c r="B22" s="2" t="s">
        <v>278</v>
      </c>
      <c r="D22" s="308">
        <v>7939</v>
      </c>
      <c r="E22" s="81">
        <f>'Present and Proposed Rates'!F39</f>
        <v>10.32</v>
      </c>
      <c r="G22" s="10">
        <f>D22*E22</f>
        <v>81930.48</v>
      </c>
      <c r="H22" s="10"/>
      <c r="I22" s="104">
        <f>'Present and Proposed Rates'!G39</f>
        <v>10.32</v>
      </c>
      <c r="J22" s="10">
        <f>I22*D22</f>
        <v>81930.48</v>
      </c>
      <c r="K22" s="95"/>
      <c r="L22" s="10"/>
      <c r="M22" s="1"/>
      <c r="N22" s="2" t="str">
        <f>B22</f>
        <v>Excess</v>
      </c>
      <c r="P22" s="7">
        <f>D22</f>
        <v>7939</v>
      </c>
      <c r="Q22" s="81">
        <f>'Present and Proposed Rates'!H39</f>
        <v>10.75</v>
      </c>
      <c r="S22" s="10">
        <f>P22*Q22</f>
        <v>85344.25</v>
      </c>
      <c r="T22" s="10">
        <f t="shared" si="0"/>
        <v>3413.7700000000041</v>
      </c>
      <c r="U22" s="315">
        <f t="shared" si="1"/>
        <v>4.166666666666672E-2</v>
      </c>
    </row>
    <row r="23" spans="1:2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72"/>
      <c r="L23" s="1"/>
      <c r="M23" s="1"/>
      <c r="N23" s="1"/>
      <c r="O23" s="1"/>
      <c r="P23" s="1"/>
      <c r="Q23" s="1"/>
      <c r="R23" s="1"/>
      <c r="S23" s="1"/>
      <c r="T23" s="10"/>
      <c r="U23" s="315"/>
    </row>
    <row r="24" spans="1:21" x14ac:dyDescent="0.25">
      <c r="A24" s="1" t="s">
        <v>54</v>
      </c>
      <c r="B24" s="1"/>
      <c r="C24" s="59"/>
      <c r="D24" s="7"/>
      <c r="E24" s="24"/>
      <c r="G24" s="10"/>
      <c r="H24" s="10"/>
      <c r="I24" s="10"/>
      <c r="J24" s="10"/>
      <c r="K24" s="91"/>
      <c r="L24" s="10"/>
      <c r="M24" s="1" t="s">
        <v>54</v>
      </c>
      <c r="N24" s="1"/>
      <c r="O24" s="59"/>
      <c r="P24" s="7"/>
      <c r="Q24" s="24"/>
      <c r="S24" s="10"/>
      <c r="T24" s="10"/>
      <c r="U24" s="315"/>
    </row>
    <row r="25" spans="1:21" x14ac:dyDescent="0.25">
      <c r="A25" s="1"/>
      <c r="B25" s="2" t="s">
        <v>48</v>
      </c>
      <c r="C25" s="59"/>
      <c r="D25" s="7"/>
      <c r="E25" s="24"/>
      <c r="G25" s="309">
        <v>75898.869999999981</v>
      </c>
      <c r="H25" s="10"/>
      <c r="I25" s="10"/>
      <c r="J25" s="10">
        <f>G25</f>
        <v>75898.869999999981</v>
      </c>
      <c r="K25" s="91"/>
      <c r="L25" s="10"/>
      <c r="M25" s="1"/>
      <c r="N25" s="2" t="s">
        <v>48</v>
      </c>
      <c r="O25" s="59"/>
      <c r="P25" s="7"/>
      <c r="Q25" s="24"/>
      <c r="S25" s="10">
        <f>G25</f>
        <v>75898.869999999981</v>
      </c>
      <c r="T25" s="10">
        <f t="shared" si="0"/>
        <v>0</v>
      </c>
      <c r="U25" s="315">
        <f t="shared" si="1"/>
        <v>0</v>
      </c>
    </row>
    <row r="26" spans="1:21" x14ac:dyDescent="0.25">
      <c r="A26" s="1"/>
      <c r="B26" s="2" t="s">
        <v>55</v>
      </c>
      <c r="C26" s="59"/>
      <c r="D26" s="7"/>
      <c r="E26" s="24"/>
      <c r="G26" s="309">
        <v>87584.25</v>
      </c>
      <c r="H26" s="10"/>
      <c r="I26" s="10"/>
      <c r="J26" s="10">
        <f>G26</f>
        <v>87584.25</v>
      </c>
      <c r="K26" s="91"/>
      <c r="L26" s="10"/>
      <c r="M26" s="1"/>
      <c r="N26" s="2" t="s">
        <v>55</v>
      </c>
      <c r="O26" s="59"/>
      <c r="P26" s="7"/>
      <c r="Q26" s="24"/>
      <c r="S26" s="10">
        <f>G26</f>
        <v>87584.25</v>
      </c>
      <c r="T26" s="10">
        <f t="shared" si="0"/>
        <v>0</v>
      </c>
      <c r="U26" s="315">
        <f t="shared" si="1"/>
        <v>0</v>
      </c>
    </row>
    <row r="27" spans="1:21" x14ac:dyDescent="0.25">
      <c r="B27" s="2" t="s">
        <v>54</v>
      </c>
      <c r="D27" s="7"/>
      <c r="E27" s="24"/>
      <c r="G27" s="30"/>
      <c r="H27" s="30"/>
      <c r="I27" s="30"/>
      <c r="J27" s="30">
        <f>G27</f>
        <v>0</v>
      </c>
      <c r="K27" s="91"/>
      <c r="L27" s="30"/>
      <c r="M27" s="63"/>
      <c r="N27" s="2" t="str">
        <f>B27</f>
        <v>Other</v>
      </c>
      <c r="S27" s="10">
        <f>G27</f>
        <v>0</v>
      </c>
      <c r="T27" s="10">
        <f t="shared" si="0"/>
        <v>0</v>
      </c>
      <c r="U27" s="315">
        <f t="shared" si="1"/>
        <v>0</v>
      </c>
    </row>
    <row r="28" spans="1:21" x14ac:dyDescent="0.25">
      <c r="A28" s="1"/>
      <c r="D28" s="19"/>
      <c r="G28" s="10"/>
      <c r="H28" s="10"/>
      <c r="I28" s="10"/>
      <c r="J28" s="10"/>
      <c r="K28" s="91"/>
      <c r="L28" s="10"/>
      <c r="M28" s="1"/>
      <c r="S28" s="10"/>
      <c r="T28" s="10"/>
      <c r="U28" s="315"/>
    </row>
    <row r="29" spans="1:21" ht="16.5" thickBot="1" x14ac:dyDescent="0.3">
      <c r="A29" s="1" t="s">
        <v>37</v>
      </c>
      <c r="G29" s="18">
        <f>SUM(G12:G27)</f>
        <v>859344.7399119999</v>
      </c>
      <c r="H29" s="10"/>
      <c r="I29" s="10"/>
      <c r="J29" s="18">
        <f>SUM(J12:J27)</f>
        <v>944129.979208</v>
      </c>
      <c r="K29" s="91"/>
      <c r="L29" s="10"/>
      <c r="M29" s="1" t="s">
        <v>37</v>
      </c>
      <c r="S29" s="18">
        <f>SUM(S12:S27)</f>
        <v>944129.979208</v>
      </c>
      <c r="T29" s="10">
        <f t="shared" si="0"/>
        <v>0</v>
      </c>
      <c r="U29" s="315">
        <f t="shared" si="1"/>
        <v>0</v>
      </c>
    </row>
    <row r="30" spans="1:21" ht="16.5" thickTop="1" x14ac:dyDescent="0.25">
      <c r="A30" s="1"/>
      <c r="B30" s="1"/>
      <c r="G30" s="10"/>
      <c r="H30" s="10"/>
      <c r="I30" s="10"/>
      <c r="J30" s="10"/>
      <c r="K30" s="91"/>
      <c r="L30" s="10"/>
      <c r="M30" s="1"/>
      <c r="N30" s="1"/>
      <c r="S30" s="10"/>
    </row>
    <row r="31" spans="1:21" x14ac:dyDescent="0.25">
      <c r="A31" s="1" t="s">
        <v>14</v>
      </c>
      <c r="B31" s="9"/>
      <c r="G31" s="309">
        <v>857825.64365600003</v>
      </c>
      <c r="H31" s="10"/>
      <c r="I31" s="10"/>
      <c r="J31" s="10"/>
      <c r="K31" s="92"/>
      <c r="L31" s="10"/>
      <c r="M31" s="1" t="s">
        <v>63</v>
      </c>
      <c r="N31" s="9"/>
      <c r="S31" s="23">
        <f>S29-J29</f>
        <v>0</v>
      </c>
    </row>
    <row r="32" spans="1:21" x14ac:dyDescent="0.25">
      <c r="A32" s="9"/>
      <c r="B32" s="9"/>
      <c r="G32" s="9"/>
      <c r="H32" s="9"/>
      <c r="I32" s="9"/>
      <c r="J32" s="9"/>
      <c r="K32" s="93"/>
      <c r="L32" s="9"/>
      <c r="N32" s="9"/>
      <c r="S32" s="9"/>
    </row>
    <row r="33" spans="1:20" x14ac:dyDescent="0.25">
      <c r="A33" s="1" t="s">
        <v>10</v>
      </c>
      <c r="B33" s="9"/>
      <c r="G33" s="16">
        <f>G29-G31</f>
        <v>1519.0962559998734</v>
      </c>
      <c r="H33" s="16"/>
      <c r="I33" s="16"/>
      <c r="J33" s="16">
        <f>J29-G29</f>
        <v>84785.239296000102</v>
      </c>
      <c r="K33" s="91"/>
      <c r="L33" s="16"/>
      <c r="M33" s="1" t="s">
        <v>64</v>
      </c>
      <c r="N33" s="9"/>
      <c r="S33" s="60">
        <f>S31/J29</f>
        <v>0</v>
      </c>
    </row>
    <row r="34" spans="1:20" x14ac:dyDescent="0.25">
      <c r="A34" s="9"/>
      <c r="B34" s="9"/>
      <c r="G34" s="10"/>
      <c r="H34" s="10"/>
      <c r="I34" s="10"/>
      <c r="J34" s="10"/>
      <c r="K34" s="94"/>
      <c r="L34" s="10"/>
      <c r="N34" s="9"/>
      <c r="S34" s="10"/>
    </row>
    <row r="35" spans="1:20" x14ac:dyDescent="0.25">
      <c r="A35" s="1" t="s">
        <v>16</v>
      </c>
      <c r="B35" s="9"/>
      <c r="G35" s="17">
        <f>G33/G31</f>
        <v>1.7708683194938995E-3</v>
      </c>
      <c r="H35" s="17"/>
      <c r="I35" s="17"/>
      <c r="J35" s="17">
        <f>J33/G31</f>
        <v>9.8837380210097983E-2</v>
      </c>
      <c r="K35" s="91"/>
      <c r="L35" s="17"/>
      <c r="M35" s="1" t="s">
        <v>40</v>
      </c>
      <c r="N35" s="9"/>
      <c r="S35" s="30">
        <f>S31/P12</f>
        <v>0</v>
      </c>
    </row>
    <row r="36" spans="1:20" x14ac:dyDescent="0.25">
      <c r="A36" s="1"/>
      <c r="B36" s="9"/>
      <c r="D36" s="13">
        <f>D17/D12</f>
        <v>799981.5</v>
      </c>
      <c r="G36" s="17"/>
      <c r="H36" s="17"/>
      <c r="I36" s="17"/>
      <c r="J36" s="17"/>
      <c r="K36" s="17"/>
      <c r="L36" s="17"/>
      <c r="M36" s="1"/>
      <c r="N36" s="9"/>
      <c r="S36" s="17"/>
    </row>
    <row r="37" spans="1:20" x14ac:dyDescent="0.25">
      <c r="A37" s="1"/>
      <c r="B37" s="9"/>
      <c r="G37" s="98"/>
      <c r="H37" s="17"/>
      <c r="I37" s="17"/>
      <c r="J37" s="17"/>
      <c r="K37" s="17"/>
      <c r="L37" s="17"/>
      <c r="M37" s="1"/>
      <c r="N37" s="9"/>
      <c r="S37" s="17"/>
    </row>
    <row r="38" spans="1:20" x14ac:dyDescent="0.25">
      <c r="A38" s="1"/>
      <c r="B38" s="9"/>
      <c r="G38" s="98"/>
      <c r="H38" s="17"/>
      <c r="I38" s="17"/>
      <c r="J38" s="17"/>
      <c r="K38" s="17"/>
      <c r="L38" s="17"/>
      <c r="M38" s="1"/>
      <c r="N38" s="9"/>
      <c r="S38" s="17"/>
    </row>
    <row r="39" spans="1:20" x14ac:dyDescent="0.25">
      <c r="A39" s="1"/>
      <c r="B39" s="9"/>
      <c r="G39" s="98"/>
      <c r="H39" s="17"/>
      <c r="I39" s="17"/>
      <c r="J39" s="17"/>
      <c r="K39" s="17"/>
      <c r="L39" s="17"/>
      <c r="M39" s="1"/>
      <c r="N39" s="9"/>
      <c r="S39" s="17"/>
    </row>
    <row r="40" spans="1:20" x14ac:dyDescent="0.25">
      <c r="A40" s="1"/>
      <c r="B40" s="9"/>
      <c r="G40" s="17"/>
      <c r="H40" s="17"/>
      <c r="I40" s="17"/>
      <c r="J40" s="17"/>
      <c r="K40" s="17"/>
      <c r="L40" s="17"/>
      <c r="M40" s="1"/>
      <c r="N40" s="9"/>
      <c r="S40" s="17"/>
    </row>
    <row r="41" spans="1:20" x14ac:dyDescent="0.25">
      <c r="A41" s="1"/>
      <c r="B41" s="9"/>
      <c r="G41" s="17"/>
      <c r="H41" s="17"/>
      <c r="I41" s="17"/>
      <c r="J41" s="17"/>
      <c r="K41" s="17"/>
      <c r="L41" s="17"/>
      <c r="M41" s="1"/>
      <c r="N41" s="9"/>
      <c r="S41" s="17"/>
      <c r="T41" s="46"/>
    </row>
    <row r="42" spans="1:20" ht="18.75" customHeight="1" x14ac:dyDescent="0.25">
      <c r="A42" s="1"/>
      <c r="B42" s="10"/>
      <c r="G42" s="17"/>
      <c r="H42" s="17"/>
      <c r="I42" s="17"/>
      <c r="J42" s="17"/>
      <c r="K42" s="17"/>
      <c r="L42" s="17"/>
      <c r="T42" s="46"/>
    </row>
    <row r="43" spans="1:20" x14ac:dyDescent="0.25">
      <c r="E43" s="10"/>
      <c r="T43" s="46"/>
    </row>
    <row r="44" spans="1:20" x14ac:dyDescent="0.25">
      <c r="T44" s="46"/>
    </row>
    <row r="45" spans="1:20" x14ac:dyDescent="0.25">
      <c r="T45" s="46"/>
    </row>
    <row r="46" spans="1:20" x14ac:dyDescent="0.25">
      <c r="T46" s="46"/>
    </row>
    <row r="47" spans="1:20" x14ac:dyDescent="0.25">
      <c r="T47" s="46"/>
    </row>
    <row r="48" spans="1:20" x14ac:dyDescent="0.25">
      <c r="T48" s="46"/>
    </row>
    <row r="49" spans="20:20" x14ac:dyDescent="0.25">
      <c r="T49" s="46"/>
    </row>
    <row r="50" spans="20:20" x14ac:dyDescent="0.25">
      <c r="T50" s="46"/>
    </row>
    <row r="51" spans="20:20" x14ac:dyDescent="0.25">
      <c r="T51" s="46"/>
    </row>
    <row r="52" spans="20:20" x14ac:dyDescent="0.25">
      <c r="T52" s="46"/>
    </row>
    <row r="55" spans="20:20" x14ac:dyDescent="0.25">
      <c r="T55" s="32"/>
    </row>
    <row r="56" spans="20:20" x14ac:dyDescent="0.25">
      <c r="T56" s="32"/>
    </row>
    <row r="57" spans="20:20" ht="16.5" customHeight="1" x14ac:dyDescent="0.25"/>
    <row r="58" spans="20:20" x14ac:dyDescent="0.25">
      <c r="T58" s="32"/>
    </row>
    <row r="59" spans="20:20" x14ac:dyDescent="0.25">
      <c r="T59" s="32"/>
    </row>
    <row r="60" spans="20:20" x14ac:dyDescent="0.25">
      <c r="T60" s="32"/>
    </row>
    <row r="61" spans="20:20" x14ac:dyDescent="0.25">
      <c r="T61" s="32"/>
    </row>
    <row r="62" spans="20:20" x14ac:dyDescent="0.25">
      <c r="T62" s="32"/>
    </row>
    <row r="63" spans="20:20" x14ac:dyDescent="0.25">
      <c r="T63" s="32"/>
    </row>
    <row r="64" spans="20:20" x14ac:dyDescent="0.25">
      <c r="T64" s="32"/>
    </row>
    <row r="65" spans="20:20" x14ac:dyDescent="0.25">
      <c r="T65" s="32"/>
    </row>
    <row r="66" spans="20:20" x14ac:dyDescent="0.25">
      <c r="T66" s="32"/>
    </row>
    <row r="67" spans="20:20" x14ac:dyDescent="0.25">
      <c r="T67" s="32"/>
    </row>
    <row r="68" spans="20:20" x14ac:dyDescent="0.25">
      <c r="T68" s="32"/>
    </row>
    <row r="69" spans="20:20" x14ac:dyDescent="0.25">
      <c r="T69" s="32"/>
    </row>
    <row r="70" spans="20:20" x14ac:dyDescent="0.25">
      <c r="T70" s="47"/>
    </row>
    <row r="71" spans="20:20" x14ac:dyDescent="0.25">
      <c r="T71" s="47"/>
    </row>
    <row r="72" spans="20:20" x14ac:dyDescent="0.25">
      <c r="T72" s="47"/>
    </row>
    <row r="73" spans="20:20" x14ac:dyDescent="0.25">
      <c r="T73" s="47"/>
    </row>
    <row r="74" spans="20:20" x14ac:dyDescent="0.25">
      <c r="T74" s="47"/>
    </row>
    <row r="75" spans="20:20" x14ac:dyDescent="0.25">
      <c r="T75" s="47"/>
    </row>
    <row r="76" spans="20:20" x14ac:dyDescent="0.25">
      <c r="T76" s="47"/>
    </row>
    <row r="77" spans="20:20" x14ac:dyDescent="0.25">
      <c r="T77" s="47"/>
    </row>
    <row r="78" spans="20:20" x14ac:dyDescent="0.25">
      <c r="T78" s="47"/>
    </row>
    <row r="79" spans="20:20" x14ac:dyDescent="0.25">
      <c r="T79" s="47"/>
    </row>
    <row r="80" spans="20:20" x14ac:dyDescent="0.25">
      <c r="T80" s="47"/>
    </row>
    <row r="81" spans="20:20" x14ac:dyDescent="0.25">
      <c r="T81" s="47"/>
    </row>
    <row r="82" spans="20:20" x14ac:dyDescent="0.25">
      <c r="T82" s="47"/>
    </row>
    <row r="83" spans="20:20" x14ac:dyDescent="0.25">
      <c r="T83" s="47"/>
    </row>
    <row r="84" spans="20:20" x14ac:dyDescent="0.25">
      <c r="T84" s="47"/>
    </row>
    <row r="85" spans="20:20" x14ac:dyDescent="0.25">
      <c r="T85" s="47"/>
    </row>
    <row r="86" spans="20:20" x14ac:dyDescent="0.25">
      <c r="T86" s="47"/>
    </row>
    <row r="87" spans="20:20" x14ac:dyDescent="0.25">
      <c r="T87" s="47"/>
    </row>
    <row r="88" spans="20:20" x14ac:dyDescent="0.25">
      <c r="T88" s="47"/>
    </row>
    <row r="89" spans="20:20" x14ac:dyDescent="0.25">
      <c r="T89" s="47"/>
    </row>
    <row r="90" spans="20:20" ht="15" customHeight="1" x14ac:dyDescent="0.25">
      <c r="T90" s="47"/>
    </row>
    <row r="91" spans="20:20" x14ac:dyDescent="0.25">
      <c r="T91" s="47"/>
    </row>
    <row r="92" spans="20:20" x14ac:dyDescent="0.25">
      <c r="T92" s="47"/>
    </row>
    <row r="93" spans="20:20" x14ac:dyDescent="0.25">
      <c r="T93" s="47"/>
    </row>
    <row r="94" spans="20:20" x14ac:dyDescent="0.25">
      <c r="T94" s="47"/>
    </row>
    <row r="95" spans="20:20" x14ac:dyDescent="0.25">
      <c r="T95" s="47"/>
    </row>
    <row r="96" spans="20:20" x14ac:dyDescent="0.25">
      <c r="T96" s="47"/>
    </row>
    <row r="97" spans="20:20" x14ac:dyDescent="0.25">
      <c r="T97" s="47"/>
    </row>
    <row r="98" spans="20:20" x14ac:dyDescent="0.25">
      <c r="T98" s="47"/>
    </row>
    <row r="99" spans="20:20" x14ac:dyDescent="0.25">
      <c r="T99" s="47"/>
    </row>
    <row r="100" spans="20:20" x14ac:dyDescent="0.25">
      <c r="T100" s="47"/>
    </row>
    <row r="101" spans="20:20" x14ac:dyDescent="0.25">
      <c r="T101" s="47"/>
    </row>
    <row r="102" spans="20:20" x14ac:dyDescent="0.25">
      <c r="T102" s="47"/>
    </row>
    <row r="103" spans="20:20" x14ac:dyDescent="0.25">
      <c r="T103" s="47"/>
    </row>
    <row r="104" spans="20:20" x14ac:dyDescent="0.25">
      <c r="T104" s="47"/>
    </row>
    <row r="105" spans="20:20" x14ac:dyDescent="0.25">
      <c r="T105" s="47"/>
    </row>
    <row r="106" spans="20:20" x14ac:dyDescent="0.25">
      <c r="T106" s="47"/>
    </row>
    <row r="107" spans="20:20" x14ac:dyDescent="0.25">
      <c r="T107" s="47"/>
    </row>
    <row r="108" spans="20:20" x14ac:dyDescent="0.25">
      <c r="T108" s="47"/>
    </row>
    <row r="109" spans="20:20" x14ac:dyDescent="0.25">
      <c r="T109" s="47"/>
    </row>
    <row r="110" spans="20:20" x14ac:dyDescent="0.25">
      <c r="T110" s="47"/>
    </row>
    <row r="111" spans="20:20" x14ac:dyDescent="0.25">
      <c r="T111" s="47"/>
    </row>
    <row r="112" spans="20:20" x14ac:dyDescent="0.25">
      <c r="T112" s="47"/>
    </row>
    <row r="113" spans="20:20" x14ac:dyDescent="0.25">
      <c r="T113" s="47"/>
    </row>
    <row r="114" spans="20:20" x14ac:dyDescent="0.25">
      <c r="T114" s="47"/>
    </row>
    <row r="115" spans="20:20" x14ac:dyDescent="0.25">
      <c r="T115" s="47"/>
    </row>
    <row r="136" spans="3:14" x14ac:dyDescent="0.25">
      <c r="N136" s="32"/>
    </row>
    <row r="137" spans="3:14" x14ac:dyDescent="0.25">
      <c r="C137" s="32"/>
      <c r="D137" s="32"/>
      <c r="N137" s="32"/>
    </row>
    <row r="138" spans="3:14" x14ac:dyDescent="0.25">
      <c r="C138" s="33"/>
      <c r="D138" s="38"/>
      <c r="E138" s="42"/>
      <c r="N138" s="32"/>
    </row>
    <row r="139" spans="3:14" x14ac:dyDescent="0.25">
      <c r="C139" s="33"/>
      <c r="D139" s="38"/>
      <c r="E139" s="42"/>
      <c r="N139" s="32"/>
    </row>
    <row r="140" spans="3:14" x14ac:dyDescent="0.25">
      <c r="C140" s="33"/>
      <c r="D140" s="38"/>
      <c r="E140" s="42"/>
      <c r="N140" s="32"/>
    </row>
  </sheetData>
  <mergeCells count="5">
    <mergeCell ref="D4:G5"/>
    <mergeCell ref="I4:J5"/>
    <mergeCell ref="P4:S5"/>
    <mergeCell ref="E7:F7"/>
    <mergeCell ref="Q7:R7"/>
  </mergeCells>
  <pageMargins left="0.75" right="0.75" top="1" bottom="1" header="0.5" footer="0.5"/>
  <pageSetup scale="60" orientation="landscape" r:id="rId1"/>
  <headerFooter alignWithMargins="0">
    <oddFooter>&amp;RExhibit JW-9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Present and Proposed Rates</vt:lpstr>
      <vt:lpstr>R</vt:lpstr>
      <vt:lpstr>D-RTOD</vt:lpstr>
      <vt:lpstr>C</vt:lpstr>
      <vt:lpstr>E</vt:lpstr>
      <vt:lpstr>L</vt:lpstr>
      <vt:lpstr>M</vt:lpstr>
      <vt:lpstr>P</vt:lpstr>
      <vt:lpstr>B-1</vt:lpstr>
      <vt:lpstr>S,T,O Lights</vt:lpstr>
      <vt:lpstr>ResIncr</vt:lpstr>
      <vt:lpstr>Notice</vt:lpstr>
      <vt:lpstr>Act-vs-Calc</vt:lpstr>
      <vt:lpstr>Notice-Abbrev</vt:lpstr>
      <vt:lpstr>Notice-Full</vt:lpstr>
      <vt:lpstr>Billing Determ</vt:lpstr>
      <vt:lpstr>List</vt:lpstr>
      <vt:lpstr>'Act-vs-Calc'!Print_Area</vt:lpstr>
      <vt:lpstr>'B-1'!Print_Area</vt:lpstr>
      <vt:lpstr>'C'!Print_Area</vt:lpstr>
      <vt:lpstr>'D-RTOD'!Print_Area</vt:lpstr>
      <vt:lpstr>E!Print_Area</vt:lpstr>
      <vt:lpstr>L!Print_Area</vt:lpstr>
      <vt:lpstr>List!Print_Area</vt:lpstr>
      <vt:lpstr>M!Print_Area</vt:lpstr>
      <vt:lpstr>Notice!Print_Area</vt:lpstr>
      <vt:lpstr>'Notice-Abbrev'!Print_Area</vt:lpstr>
      <vt:lpstr>'Notice-Full'!Print_Area</vt:lpstr>
      <vt:lpstr>P!Print_Area</vt:lpstr>
      <vt:lpstr>'Present and Proposed Rates'!Print_Area</vt:lpstr>
      <vt:lpstr>'R'!Print_Area</vt:lpstr>
      <vt:lpstr>ResIncr!Print_Area</vt:lpstr>
      <vt:lpstr>'S,T,O Lights'!Print_Area</vt:lpstr>
      <vt:lpstr>ResIncr!Print_Titles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John Wolfram</cp:lastModifiedBy>
  <cp:lastPrinted>2025-06-30T17:25:03Z</cp:lastPrinted>
  <dcterms:created xsi:type="dcterms:W3CDTF">2000-07-10T18:54:31Z</dcterms:created>
  <dcterms:modified xsi:type="dcterms:W3CDTF">2025-08-07T19:24:34Z</dcterms:modified>
</cp:coreProperties>
</file>