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Clark/Rate Case 2025-00230/COS and Rates/"/>
    </mc:Choice>
  </mc:AlternateContent>
  <xr:revisionPtr revIDLastSave="60" documentId="8_{D8425E76-C230-425E-A4B8-736D50E8F5AF}" xr6:coauthVersionLast="47" xr6:coauthVersionMax="47" xr10:uidLastSave="{83F21241-9B0E-4F0C-B0D6-8DCB0FC19FF5}"/>
  <bookViews>
    <workbookView xWindow="-120" yWindow="-120" windowWidth="29040" windowHeight="15720" tabRatio="741" activeTab="1" xr2:uid="{00000000-000D-0000-FFFF-FFFF00000000}"/>
  </bookViews>
  <sheets>
    <sheet name="Summary of Returns" sheetId="4" r:id="rId1"/>
    <sheet name="Summary of Rates" sheetId="17" r:id="rId2"/>
    <sheet name="Func &amp; Classif" sheetId="1" r:id="rId3"/>
    <sheet name="Alloc &amp; Returns" sheetId="2" r:id="rId4"/>
    <sheet name="Billing Det" sheetId="15" r:id="rId5"/>
    <sheet name="Purchased Power" sheetId="16" r:id="rId6"/>
    <sheet name="Meters" sheetId="8" r:id="rId7"/>
    <sheet name="Services" sheetId="9" r:id="rId8"/>
    <sheet name="Line Loss Calculation" sheetId="10" state="hidden" r:id="rId9"/>
    <sheet name="ZeroInt" sheetId="18" r:id="rId10"/>
  </sheets>
  <definedNames>
    <definedName name="_xlnm.Print_Area" localSheetId="3">'Alloc &amp; Returns'!$A$1:$N$659</definedName>
    <definedName name="_xlnm.Print_Area" localSheetId="4">'Billing Det'!$A$1:$T$205</definedName>
    <definedName name="_xlnm.Print_Area" localSheetId="2">'Func &amp; Classif'!$A$1:$AA$490</definedName>
    <definedName name="_xlnm.Print_Area" localSheetId="6">Meters!$A$1:$G$32</definedName>
    <definedName name="_xlnm.Print_Area" localSheetId="5">'Purchased Power'!$A$1:$O$66</definedName>
    <definedName name="_xlnm.Print_Area" localSheetId="7">Services!$A$1:$G$33</definedName>
    <definedName name="_xlnm.Print_Area" localSheetId="1">'Summary of Rates'!$A$1:$G$17</definedName>
    <definedName name="_xlnm.Print_Area" localSheetId="0">'Summary of Returns'!$A$1:$I$52</definedName>
    <definedName name="_xlnm.Print_Titles" localSheetId="3">'Alloc &amp; Returns'!$A:$D,'Alloc &amp; Returns'!$1:$3</definedName>
    <definedName name="_xlnm.Print_Titles" localSheetId="4">'Billing Det'!$A:$B,'Billing Det'!$32:$36</definedName>
    <definedName name="_xlnm.Print_Titles" localSheetId="2">'Func &amp; Classif'!$A:$E,'Func &amp; Classif'!$1:$3</definedName>
    <definedName name="_xlnm.Print_Titles" localSheetId="9">ZeroInt!$1:$3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5" i="2" l="1"/>
  <c r="E355" i="2" s="1"/>
  <c r="E524" i="2"/>
  <c r="E523" i="2"/>
  <c r="D515" i="2"/>
  <c r="D514" i="2"/>
  <c r="AH368" i="2"/>
  <c r="AI368" i="2" s="1"/>
  <c r="AH355" i="2" l="1"/>
  <c r="AI355" i="2" s="1"/>
  <c r="AF424" i="2" l="1"/>
  <c r="X424" i="2"/>
  <c r="AG423" i="2"/>
  <c r="AF423" i="2"/>
  <c r="AE423" i="2"/>
  <c r="AD423" i="2"/>
  <c r="AC423" i="2"/>
  <c r="AB423" i="2"/>
  <c r="AA423" i="2"/>
  <c r="Z423" i="2"/>
  <c r="Y423" i="2"/>
  <c r="X423" i="2"/>
  <c r="W423" i="2"/>
  <c r="V423" i="2"/>
  <c r="U423" i="2"/>
  <c r="T423" i="2"/>
  <c r="S423" i="2"/>
  <c r="M423" i="2"/>
  <c r="L423" i="2"/>
  <c r="K423" i="2"/>
  <c r="J423" i="2"/>
  <c r="I423" i="2"/>
  <c r="H423" i="2"/>
  <c r="G423" i="2"/>
  <c r="F423" i="2"/>
  <c r="AA420" i="2"/>
  <c r="Z420" i="2"/>
  <c r="Y420" i="2"/>
  <c r="X420" i="2"/>
  <c r="O415" i="2"/>
  <c r="P415" i="2"/>
  <c r="Q415" i="2"/>
  <c r="R415" i="2"/>
  <c r="S415" i="2"/>
  <c r="W415" i="2"/>
  <c r="X415" i="2"/>
  <c r="Y415" i="2"/>
  <c r="Z415" i="2"/>
  <c r="AA415" i="2"/>
  <c r="AB415" i="2"/>
  <c r="AC415" i="2"/>
  <c r="AD415" i="2"/>
  <c r="AE415" i="2"/>
  <c r="AF415" i="2"/>
  <c r="AG415" i="2"/>
  <c r="M444" i="2"/>
  <c r="N443" i="2"/>
  <c r="M443" i="2"/>
  <c r="N442" i="2"/>
  <c r="M442" i="2"/>
  <c r="N441" i="2"/>
  <c r="M441" i="2"/>
  <c r="N440" i="2"/>
  <c r="M440" i="2"/>
  <c r="E437" i="2"/>
  <c r="AE424" i="2" s="1"/>
  <c r="M432" i="2"/>
  <c r="N432" i="2"/>
  <c r="N429" i="2"/>
  <c r="M429" i="2"/>
  <c r="N428" i="2"/>
  <c r="M428" i="2"/>
  <c r="F256" i="1"/>
  <c r="F250" i="1"/>
  <c r="F252" i="1"/>
  <c r="F271" i="1"/>
  <c r="F270" i="1"/>
  <c r="F279" i="1"/>
  <c r="F277" i="1"/>
  <c r="F242" i="1"/>
  <c r="F241" i="1"/>
  <c r="F226" i="1"/>
  <c r="F223" i="1"/>
  <c r="F222" i="1"/>
  <c r="F208" i="1"/>
  <c r="F211" i="1"/>
  <c r="F212" i="1"/>
  <c r="F205" i="1"/>
  <c r="F67" i="1"/>
  <c r="F65" i="1"/>
  <c r="F64" i="1"/>
  <c r="F49" i="1"/>
  <c r="F40" i="1"/>
  <c r="F122" i="1"/>
  <c r="M504" i="2"/>
  <c r="E504" i="2" s="1"/>
  <c r="M497" i="2"/>
  <c r="E497" i="2" s="1"/>
  <c r="A55" i="16"/>
  <c r="A56" i="16" s="1"/>
  <c r="A57" i="16" s="1"/>
  <c r="A58" i="16" s="1"/>
  <c r="A59" i="16" s="1"/>
  <c r="A60" i="16" s="1"/>
  <c r="O59" i="16"/>
  <c r="O58" i="16"/>
  <c r="O57" i="16"/>
  <c r="O56" i="16"/>
  <c r="D56" i="16"/>
  <c r="D58" i="16" s="1"/>
  <c r="D59" i="16" s="1"/>
  <c r="E56" i="16"/>
  <c r="F56" i="16"/>
  <c r="G56" i="16"/>
  <c r="G58" i="16" s="1"/>
  <c r="G59" i="16" s="1"/>
  <c r="H56" i="16"/>
  <c r="I56" i="16"/>
  <c r="J56" i="16"/>
  <c r="J58" i="16" s="1"/>
  <c r="J59" i="16" s="1"/>
  <c r="K56" i="16"/>
  <c r="K58" i="16" s="1"/>
  <c r="K59" i="16" s="1"/>
  <c r="L56" i="16"/>
  <c r="L58" i="16" s="1"/>
  <c r="L59" i="16" s="1"/>
  <c r="M56" i="16"/>
  <c r="N56" i="16"/>
  <c r="D57" i="16"/>
  <c r="E57" i="16"/>
  <c r="F57" i="16"/>
  <c r="G57" i="16"/>
  <c r="H57" i="16"/>
  <c r="I57" i="16"/>
  <c r="I58" i="16" s="1"/>
  <c r="I59" i="16" s="1"/>
  <c r="J57" i="16"/>
  <c r="K57" i="16"/>
  <c r="L57" i="16"/>
  <c r="M57" i="16"/>
  <c r="N57" i="16"/>
  <c r="E58" i="16"/>
  <c r="F58" i="16"/>
  <c r="F59" i="16" s="1"/>
  <c r="H58" i="16"/>
  <c r="H59" i="16" s="1"/>
  <c r="M58" i="16"/>
  <c r="N58" i="16"/>
  <c r="N59" i="16" s="1"/>
  <c r="E59" i="16"/>
  <c r="M59" i="16"/>
  <c r="C59" i="16"/>
  <c r="C58" i="16"/>
  <c r="C57" i="16"/>
  <c r="C56" i="16"/>
  <c r="Y424" i="2" l="1"/>
  <c r="AG424" i="2"/>
  <c r="Z424" i="2"/>
  <c r="AA424" i="2"/>
  <c r="AB424" i="2"/>
  <c r="AC424" i="2"/>
  <c r="AD424" i="2"/>
  <c r="D62" i="16" l="1"/>
  <c r="E62" i="16" s="1"/>
  <c r="F62" i="16" s="1"/>
  <c r="G62" i="16" s="1"/>
  <c r="H62" i="16" s="1"/>
  <c r="I62" i="16" s="1"/>
  <c r="J62" i="16" s="1"/>
  <c r="K62" i="16" s="1"/>
  <c r="L62" i="16" s="1"/>
  <c r="M62" i="16" s="1"/>
  <c r="N62" i="16" s="1"/>
  <c r="O62" i="16" s="1"/>
  <c r="D61" i="16"/>
  <c r="E61" i="16" s="1"/>
  <c r="F61" i="16" s="1"/>
  <c r="G61" i="16" s="1"/>
  <c r="H61" i="16" s="1"/>
  <c r="I61" i="16" s="1"/>
  <c r="J61" i="16" s="1"/>
  <c r="K61" i="16" s="1"/>
  <c r="L61" i="16" s="1"/>
  <c r="M61" i="16" s="1"/>
  <c r="N61" i="16" s="1"/>
  <c r="O61" i="16" s="1"/>
  <c r="O30" i="16" l="1"/>
  <c r="O29" i="16"/>
  <c r="O28" i="16"/>
  <c r="O27" i="16"/>
  <c r="O26" i="16"/>
  <c r="O25" i="16"/>
  <c r="O24" i="16"/>
  <c r="O23" i="16"/>
  <c r="O19" i="16"/>
  <c r="O18" i="16"/>
  <c r="O17" i="16"/>
  <c r="O16" i="16"/>
  <c r="O15" i="16"/>
  <c r="O13" i="16"/>
  <c r="O12" i="16"/>
  <c r="O11" i="16"/>
  <c r="O10" i="16"/>
  <c r="O9" i="16"/>
  <c r="O8" i="16"/>
  <c r="O7" i="16"/>
  <c r="D43" i="16"/>
  <c r="E43" i="16"/>
  <c r="F43" i="16"/>
  <c r="G43" i="16"/>
  <c r="H43" i="16"/>
  <c r="I43" i="16"/>
  <c r="J43" i="16"/>
  <c r="K43" i="16"/>
  <c r="L43" i="16"/>
  <c r="M43" i="16"/>
  <c r="N43" i="16"/>
  <c r="D44" i="16"/>
  <c r="E44" i="16"/>
  <c r="F44" i="16"/>
  <c r="G44" i="16"/>
  <c r="H44" i="16"/>
  <c r="I44" i="16"/>
  <c r="J44" i="16"/>
  <c r="K44" i="16"/>
  <c r="L44" i="16"/>
  <c r="M44" i="16"/>
  <c r="N44" i="16"/>
  <c r="D45" i="16"/>
  <c r="E45" i="16"/>
  <c r="F45" i="16"/>
  <c r="G45" i="16"/>
  <c r="H45" i="16"/>
  <c r="I45" i="16"/>
  <c r="J45" i="16"/>
  <c r="K45" i="16"/>
  <c r="L45" i="16"/>
  <c r="M45" i="16"/>
  <c r="N45" i="16"/>
  <c r="C45" i="16"/>
  <c r="C44" i="16"/>
  <c r="C43" i="16"/>
  <c r="O43" i="16" s="1"/>
  <c r="D34" i="16"/>
  <c r="E34" i="16"/>
  <c r="F34" i="16"/>
  <c r="G34" i="16"/>
  <c r="H34" i="16"/>
  <c r="I34" i="16"/>
  <c r="J34" i="16"/>
  <c r="K34" i="16"/>
  <c r="L34" i="16"/>
  <c r="M34" i="16"/>
  <c r="N34" i="16"/>
  <c r="D35" i="16"/>
  <c r="E35" i="16"/>
  <c r="F35" i="16"/>
  <c r="G35" i="16"/>
  <c r="H35" i="16"/>
  <c r="I35" i="16"/>
  <c r="J35" i="16"/>
  <c r="K35" i="16"/>
  <c r="L35" i="16"/>
  <c r="M35" i="16"/>
  <c r="N35" i="16"/>
  <c r="D36" i="16"/>
  <c r="E36" i="16"/>
  <c r="F36" i="16"/>
  <c r="G36" i="16"/>
  <c r="H36" i="16"/>
  <c r="I36" i="16"/>
  <c r="J36" i="16"/>
  <c r="K36" i="16"/>
  <c r="L36" i="16"/>
  <c r="M36" i="16"/>
  <c r="N36" i="16"/>
  <c r="D37" i="16"/>
  <c r="E37" i="16"/>
  <c r="F37" i="16"/>
  <c r="G37" i="16"/>
  <c r="H37" i="16"/>
  <c r="I37" i="16"/>
  <c r="J37" i="16"/>
  <c r="K37" i="16"/>
  <c r="L37" i="16"/>
  <c r="M37" i="16"/>
  <c r="N37" i="16"/>
  <c r="D38" i="16"/>
  <c r="E38" i="16"/>
  <c r="F38" i="16"/>
  <c r="G38" i="16"/>
  <c r="H38" i="16"/>
  <c r="I38" i="16"/>
  <c r="J38" i="16"/>
  <c r="K38" i="16"/>
  <c r="L38" i="16"/>
  <c r="M38" i="16"/>
  <c r="N38" i="16"/>
  <c r="D39" i="16"/>
  <c r="E39" i="16"/>
  <c r="F39" i="16"/>
  <c r="G39" i="16"/>
  <c r="H39" i="16"/>
  <c r="I39" i="16"/>
  <c r="J39" i="16"/>
  <c r="K39" i="16"/>
  <c r="L39" i="16"/>
  <c r="M39" i="16"/>
  <c r="N39" i="16"/>
  <c r="D40" i="16"/>
  <c r="E40" i="16"/>
  <c r="F40" i="16"/>
  <c r="G40" i="16"/>
  <c r="H40" i="16"/>
  <c r="I40" i="16"/>
  <c r="J40" i="16"/>
  <c r="K40" i="16"/>
  <c r="L40" i="16"/>
  <c r="M40" i="16"/>
  <c r="N40" i="16"/>
  <c r="D41" i="16"/>
  <c r="E41" i="16"/>
  <c r="F41" i="16"/>
  <c r="G41" i="16"/>
  <c r="H41" i="16"/>
  <c r="I41" i="16"/>
  <c r="J41" i="16"/>
  <c r="K41" i="16"/>
  <c r="L41" i="16"/>
  <c r="M41" i="16"/>
  <c r="N41" i="16"/>
  <c r="C35" i="16"/>
  <c r="C36" i="16"/>
  <c r="C37" i="16"/>
  <c r="C38" i="16"/>
  <c r="C39" i="16"/>
  <c r="C40" i="16"/>
  <c r="C41" i="16"/>
  <c r="C34" i="16"/>
  <c r="D31" i="16"/>
  <c r="E31" i="16"/>
  <c r="F31" i="16"/>
  <c r="G31" i="16"/>
  <c r="H31" i="16"/>
  <c r="I31" i="16"/>
  <c r="J31" i="16"/>
  <c r="K31" i="16"/>
  <c r="L31" i="16"/>
  <c r="M31" i="16"/>
  <c r="N31" i="16"/>
  <c r="C31" i="16"/>
  <c r="L163" i="18"/>
  <c r="M163" i="18" s="1"/>
  <c r="J163" i="18"/>
  <c r="I163" i="18"/>
  <c r="F163" i="18"/>
  <c r="H163" i="18" s="1"/>
  <c r="L164" i="18"/>
  <c r="M164" i="18" s="1"/>
  <c r="J164" i="18"/>
  <c r="I164" i="18"/>
  <c r="F164" i="18"/>
  <c r="H164" i="18" s="1"/>
  <c r="L165" i="18"/>
  <c r="M165" i="18" s="1"/>
  <c r="J165" i="18"/>
  <c r="I165" i="18"/>
  <c r="F165" i="18"/>
  <c r="H165" i="18" s="1"/>
  <c r="L123" i="18"/>
  <c r="M123" i="18" s="1"/>
  <c r="J123" i="18"/>
  <c r="I123" i="18"/>
  <c r="F123" i="18"/>
  <c r="H123" i="18" s="1"/>
  <c r="L116" i="18"/>
  <c r="M116" i="18" s="1"/>
  <c r="J116" i="18"/>
  <c r="I116" i="18"/>
  <c r="F116" i="18"/>
  <c r="H116" i="18" s="1"/>
  <c r="P436" i="2"/>
  <c r="P432" i="2"/>
  <c r="P433" i="2" s="1"/>
  <c r="P435" i="2" s="1"/>
  <c r="P429" i="2"/>
  <c r="P502" i="2" s="1"/>
  <c r="P428" i="2"/>
  <c r="P422" i="2"/>
  <c r="P416" i="2"/>
  <c r="O436" i="2"/>
  <c r="O432" i="2"/>
  <c r="O433" i="2" s="1"/>
  <c r="O429" i="2"/>
  <c r="O502" i="2" s="1"/>
  <c r="O428" i="2"/>
  <c r="O422" i="2"/>
  <c r="O416" i="2"/>
  <c r="E13" i="9"/>
  <c r="E13" i="8"/>
  <c r="B13" i="9"/>
  <c r="C13" i="9"/>
  <c r="B14" i="9"/>
  <c r="C14" i="9"/>
  <c r="D13" i="8"/>
  <c r="D14" i="8"/>
  <c r="C13" i="8"/>
  <c r="C14" i="8"/>
  <c r="B13" i="8"/>
  <c r="B14" i="8"/>
  <c r="D112" i="15"/>
  <c r="E112" i="15"/>
  <c r="F112" i="15"/>
  <c r="G112" i="15"/>
  <c r="H112" i="15"/>
  <c r="I112" i="15"/>
  <c r="J112" i="15"/>
  <c r="K112" i="15"/>
  <c r="L112" i="15"/>
  <c r="M112" i="15"/>
  <c r="N112" i="15"/>
  <c r="C112" i="15"/>
  <c r="O89" i="15"/>
  <c r="O90" i="15"/>
  <c r="O91" i="15"/>
  <c r="O92" i="15"/>
  <c r="O93" i="15"/>
  <c r="O94" i="15"/>
  <c r="O95" i="15"/>
  <c r="D102" i="15"/>
  <c r="E102" i="15"/>
  <c r="F102" i="15"/>
  <c r="G102" i="15"/>
  <c r="H102" i="15"/>
  <c r="I102" i="15"/>
  <c r="J102" i="15"/>
  <c r="K102" i="15"/>
  <c r="L102" i="15"/>
  <c r="M102" i="15"/>
  <c r="N102" i="15"/>
  <c r="C102" i="15"/>
  <c r="C115" i="15"/>
  <c r="C111" i="15" s="1"/>
  <c r="D113" i="15"/>
  <c r="E113" i="15" s="1"/>
  <c r="F113" i="15" s="1"/>
  <c r="G113" i="15" s="1"/>
  <c r="H113" i="15" s="1"/>
  <c r="I113" i="15" s="1"/>
  <c r="J113" i="15" s="1"/>
  <c r="K113" i="15" s="1"/>
  <c r="L113" i="15" s="1"/>
  <c r="M113" i="15" s="1"/>
  <c r="N113" i="15" s="1"/>
  <c r="N110" i="15"/>
  <c r="M110" i="15"/>
  <c r="M115" i="15" s="1"/>
  <c r="M111" i="15" s="1"/>
  <c r="L110" i="15"/>
  <c r="L115" i="15" s="1"/>
  <c r="L111" i="15" s="1"/>
  <c r="K110" i="15"/>
  <c r="J110" i="15"/>
  <c r="J115" i="15" s="1"/>
  <c r="J111" i="15" s="1"/>
  <c r="I110" i="15"/>
  <c r="I115" i="15" s="1"/>
  <c r="I111" i="15" s="1"/>
  <c r="H110" i="15"/>
  <c r="G110" i="15"/>
  <c r="F110" i="15"/>
  <c r="E110" i="15"/>
  <c r="E115" i="15" s="1"/>
  <c r="E111" i="15" s="1"/>
  <c r="D110" i="15"/>
  <c r="D115" i="15" s="1"/>
  <c r="D111" i="15" s="1"/>
  <c r="C110" i="15"/>
  <c r="N120" i="15"/>
  <c r="N126" i="15" s="1"/>
  <c r="M120" i="15"/>
  <c r="M126" i="15" s="1"/>
  <c r="L120" i="15"/>
  <c r="L126" i="15" s="1"/>
  <c r="K120" i="15"/>
  <c r="K126" i="15" s="1"/>
  <c r="J120" i="15"/>
  <c r="J122" i="15" s="1"/>
  <c r="J124" i="15" s="1"/>
  <c r="I120" i="15"/>
  <c r="I122" i="15" s="1"/>
  <c r="I124" i="15" s="1"/>
  <c r="H120" i="15"/>
  <c r="H122" i="15" s="1"/>
  <c r="H124" i="15" s="1"/>
  <c r="G120" i="15"/>
  <c r="G122" i="15" s="1"/>
  <c r="G124" i="15" s="1"/>
  <c r="F120" i="15"/>
  <c r="F126" i="15" s="1"/>
  <c r="E120" i="15"/>
  <c r="E126" i="15" s="1"/>
  <c r="D120" i="15"/>
  <c r="D126" i="15" s="1"/>
  <c r="C120" i="15"/>
  <c r="C126" i="15" s="1"/>
  <c r="B15" i="15"/>
  <c r="B16" i="15"/>
  <c r="A16" i="15"/>
  <c r="A15" i="15"/>
  <c r="M3" i="2"/>
  <c r="M2" i="2"/>
  <c r="M616" i="2"/>
  <c r="M457" i="2"/>
  <c r="C17" i="17"/>
  <c r="B17" i="17"/>
  <c r="C42" i="4"/>
  <c r="B42" i="4"/>
  <c r="P431" i="2" l="1"/>
  <c r="O420" i="2"/>
  <c r="P420" i="2"/>
  <c r="Q420" i="2"/>
  <c r="Q423" i="2"/>
  <c r="P423" i="2"/>
  <c r="O423" i="2"/>
  <c r="O431" i="2"/>
  <c r="Q409" i="2"/>
  <c r="P409" i="2"/>
  <c r="O409" i="2"/>
  <c r="Q314" i="2"/>
  <c r="P314" i="2"/>
  <c r="O314" i="2"/>
  <c r="O39" i="16"/>
  <c r="O38" i="16"/>
  <c r="O44" i="16"/>
  <c r="O41" i="16"/>
  <c r="O40" i="16"/>
  <c r="O45" i="16"/>
  <c r="O31" i="16"/>
  <c r="O35" i="16"/>
  <c r="O37" i="16"/>
  <c r="O36" i="16"/>
  <c r="O34" i="16"/>
  <c r="C42" i="16"/>
  <c r="C46" i="16" s="1"/>
  <c r="F42" i="16"/>
  <c r="F46" i="16" s="1"/>
  <c r="H42" i="16"/>
  <c r="H46" i="16" s="1"/>
  <c r="N42" i="16"/>
  <c r="N46" i="16" s="1"/>
  <c r="I42" i="16"/>
  <c r="K42" i="16"/>
  <c r="L42" i="16"/>
  <c r="L46" i="16" s="1"/>
  <c r="M42" i="16"/>
  <c r="M46" i="16" s="1"/>
  <c r="E42" i="16"/>
  <c r="E46" i="16" s="1"/>
  <c r="D42" i="16"/>
  <c r="D46" i="16" s="1"/>
  <c r="G42" i="16"/>
  <c r="G46" i="16" s="1"/>
  <c r="J42" i="16"/>
  <c r="J46" i="16" s="1"/>
  <c r="I46" i="16"/>
  <c r="P437" i="2"/>
  <c r="P434" i="2"/>
  <c r="O435" i="2"/>
  <c r="O437" i="2" s="1"/>
  <c r="O434" i="2"/>
  <c r="O438" i="2" s="1"/>
  <c r="G126" i="15"/>
  <c r="H126" i="15"/>
  <c r="I126" i="15"/>
  <c r="J126" i="15"/>
  <c r="F115" i="15"/>
  <c r="F111" i="15" s="1"/>
  <c r="F114" i="15" s="1"/>
  <c r="G115" i="15"/>
  <c r="G111" i="15" s="1"/>
  <c r="G114" i="15" s="1"/>
  <c r="K115" i="15"/>
  <c r="K111" i="15" s="1"/>
  <c r="K114" i="15" s="1"/>
  <c r="N115" i="15"/>
  <c r="N111" i="15" s="1"/>
  <c r="N114" i="15" s="1"/>
  <c r="C114" i="15"/>
  <c r="I114" i="15"/>
  <c r="H115" i="15"/>
  <c r="H111" i="15" s="1"/>
  <c r="H114" i="15" s="1"/>
  <c r="D114" i="15"/>
  <c r="L114" i="15"/>
  <c r="J114" i="15"/>
  <c r="E114" i="15"/>
  <c r="M114" i="15"/>
  <c r="C122" i="15"/>
  <c r="C124" i="15" s="1"/>
  <c r="K122" i="15"/>
  <c r="K124" i="15" s="1"/>
  <c r="D122" i="15"/>
  <c r="D124" i="15" s="1"/>
  <c r="L122" i="15"/>
  <c r="L124" i="15" s="1"/>
  <c r="E122" i="15"/>
  <c r="E124" i="15" s="1"/>
  <c r="M122" i="15"/>
  <c r="M124" i="15" s="1"/>
  <c r="F122" i="15"/>
  <c r="F124" i="15" s="1"/>
  <c r="N122" i="15"/>
  <c r="N124" i="15" s="1"/>
  <c r="M431" i="2"/>
  <c r="M409" i="2" s="1"/>
  <c r="R365" i="2" l="1"/>
  <c r="R367" i="2"/>
  <c r="M365" i="2"/>
  <c r="M367" i="2"/>
  <c r="P424" i="2"/>
  <c r="Q424" i="2"/>
  <c r="O424" i="2"/>
  <c r="Q367" i="2"/>
  <c r="P365" i="2"/>
  <c r="P367" i="2"/>
  <c r="O367" i="2"/>
  <c r="Q365" i="2"/>
  <c r="O365" i="2"/>
  <c r="K46" i="16"/>
  <c r="O46" i="16" s="1"/>
  <c r="O42" i="16"/>
  <c r="P438" i="2"/>
  <c r="A1" i="15" l="1"/>
  <c r="C8" i="17" l="1"/>
  <c r="C9" i="4"/>
  <c r="T522" i="2" l="1"/>
  <c r="U522" i="2"/>
  <c r="V522" i="2"/>
  <c r="W522" i="2"/>
  <c r="X522" i="2"/>
  <c r="Y522" i="2"/>
  <c r="Z522" i="2"/>
  <c r="AA522" i="2"/>
  <c r="AB522" i="2"/>
  <c r="AC522" i="2"/>
  <c r="AD522" i="2"/>
  <c r="AE522" i="2"/>
  <c r="AF522" i="2"/>
  <c r="AG522" i="2"/>
  <c r="AH369" i="2"/>
  <c r="AI369" i="2" s="1"/>
  <c r="A35" i="4" l="1"/>
  <c r="A36" i="4" s="1"/>
  <c r="A37" i="4" s="1"/>
  <c r="A38" i="4" s="1"/>
  <c r="G12" i="17"/>
  <c r="G11" i="17"/>
  <c r="G10" i="17"/>
  <c r="D63" i="15"/>
  <c r="E63" i="15"/>
  <c r="F63" i="15"/>
  <c r="G63" i="15"/>
  <c r="H63" i="15"/>
  <c r="I63" i="15"/>
  <c r="J63" i="15"/>
  <c r="K63" i="15"/>
  <c r="L63" i="15"/>
  <c r="M63" i="15"/>
  <c r="N63" i="15"/>
  <c r="C63" i="15"/>
  <c r="D53" i="15"/>
  <c r="E53" i="15" s="1"/>
  <c r="F53" i="15" s="1"/>
  <c r="G53" i="15" s="1"/>
  <c r="H53" i="15" s="1"/>
  <c r="I53" i="15" s="1"/>
  <c r="J53" i="15" s="1"/>
  <c r="K53" i="15" s="1"/>
  <c r="L53" i="15" s="1"/>
  <c r="M53" i="15" s="1"/>
  <c r="N53" i="15" s="1"/>
  <c r="A39" i="4" l="1"/>
  <c r="A40" i="4" l="1"/>
  <c r="D75" i="15"/>
  <c r="E75" i="15" s="1"/>
  <c r="F75" i="15" s="1"/>
  <c r="G75" i="15" s="1"/>
  <c r="D71" i="15"/>
  <c r="E71" i="15" s="1"/>
  <c r="F71" i="15" s="1"/>
  <c r="G71" i="15" s="1"/>
  <c r="N70" i="15"/>
  <c r="M70" i="15"/>
  <c r="L70" i="15"/>
  <c r="K70" i="15"/>
  <c r="J70" i="15"/>
  <c r="I70" i="15"/>
  <c r="H70" i="15"/>
  <c r="G70" i="15"/>
  <c r="F70" i="15"/>
  <c r="E70" i="15"/>
  <c r="D70" i="15"/>
  <c r="C70" i="15"/>
  <c r="C76" i="15" s="1"/>
  <c r="D103" i="15"/>
  <c r="E103" i="15" s="1"/>
  <c r="F103" i="15" s="1"/>
  <c r="G103" i="15" s="1"/>
  <c r="H103" i="15" s="1"/>
  <c r="I103" i="15" s="1"/>
  <c r="J103" i="15" s="1"/>
  <c r="K103" i="15" s="1"/>
  <c r="L103" i="15" s="1"/>
  <c r="M103" i="15" s="1"/>
  <c r="N103" i="15" s="1"/>
  <c r="D83" i="15"/>
  <c r="E83" i="15" s="1"/>
  <c r="F83" i="15" s="1"/>
  <c r="G83" i="15" s="1"/>
  <c r="H83" i="15" s="1"/>
  <c r="I83" i="15" s="1"/>
  <c r="J83" i="15" s="1"/>
  <c r="K83" i="15" s="1"/>
  <c r="L83" i="15" s="1"/>
  <c r="M83" i="15" s="1"/>
  <c r="N83" i="15" s="1"/>
  <c r="N100" i="15"/>
  <c r="N105" i="15" s="1"/>
  <c r="N101" i="15" s="1"/>
  <c r="M100" i="15"/>
  <c r="M105" i="15" s="1"/>
  <c r="M101" i="15" s="1"/>
  <c r="L100" i="15"/>
  <c r="L105" i="15" s="1"/>
  <c r="L101" i="15" s="1"/>
  <c r="K100" i="15"/>
  <c r="K105" i="15" s="1"/>
  <c r="K101" i="15" s="1"/>
  <c r="J100" i="15"/>
  <c r="J105" i="15" s="1"/>
  <c r="J101" i="15" s="1"/>
  <c r="I100" i="15"/>
  <c r="I105" i="15" s="1"/>
  <c r="I101" i="15" s="1"/>
  <c r="H100" i="15"/>
  <c r="G100" i="15"/>
  <c r="F100" i="15"/>
  <c r="F105" i="15" s="1"/>
  <c r="F101" i="15" s="1"/>
  <c r="E100" i="15"/>
  <c r="E105" i="15" s="1"/>
  <c r="E101" i="15" s="1"/>
  <c r="D100" i="15"/>
  <c r="D105" i="15" s="1"/>
  <c r="D101" i="15" s="1"/>
  <c r="C100" i="15"/>
  <c r="C105" i="15" s="1"/>
  <c r="C101" i="15" s="1"/>
  <c r="D80" i="15"/>
  <c r="D85" i="15" s="1"/>
  <c r="D81" i="15" s="1"/>
  <c r="D82" i="15" s="1"/>
  <c r="D84" i="15" s="1"/>
  <c r="E80" i="15"/>
  <c r="E85" i="15" s="1"/>
  <c r="E81" i="15" s="1"/>
  <c r="E82" i="15" s="1"/>
  <c r="E84" i="15" s="1"/>
  <c r="F80" i="15"/>
  <c r="F85" i="15" s="1"/>
  <c r="F81" i="15" s="1"/>
  <c r="G80" i="15"/>
  <c r="H80" i="15"/>
  <c r="H85" i="15" s="1"/>
  <c r="H81" i="15" s="1"/>
  <c r="H82" i="15" s="1"/>
  <c r="I80" i="15"/>
  <c r="J80" i="15"/>
  <c r="K80" i="15"/>
  <c r="L80" i="15"/>
  <c r="L85" i="15" s="1"/>
  <c r="L81" i="15" s="1"/>
  <c r="L82" i="15" s="1"/>
  <c r="M80" i="15"/>
  <c r="N80" i="15"/>
  <c r="G85" i="15"/>
  <c r="G81" i="15" s="1"/>
  <c r="I85" i="15"/>
  <c r="I81" i="15" s="1"/>
  <c r="I82" i="15" s="1"/>
  <c r="K85" i="15"/>
  <c r="K81" i="15" s="1"/>
  <c r="C80" i="15"/>
  <c r="C85" i="15" s="1"/>
  <c r="C81" i="15" s="1"/>
  <c r="C82" i="15" s="1"/>
  <c r="C84" i="15" s="1"/>
  <c r="K82" i="15" l="1"/>
  <c r="K84" i="15" s="1"/>
  <c r="C72" i="15"/>
  <c r="G105" i="15"/>
  <c r="N85" i="15"/>
  <c r="N81" i="15" s="1"/>
  <c r="N82" i="15" s="1"/>
  <c r="N84" i="15" s="1"/>
  <c r="H105" i="15"/>
  <c r="D72" i="15"/>
  <c r="M85" i="15"/>
  <c r="M81" i="15" s="1"/>
  <c r="M82" i="15" s="1"/>
  <c r="M84" i="15" s="1"/>
  <c r="E72" i="15"/>
  <c r="F76" i="15"/>
  <c r="A41" i="4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H71" i="15"/>
  <c r="I71" i="15" s="1"/>
  <c r="J71" i="15" s="1"/>
  <c r="G72" i="15"/>
  <c r="G76" i="15"/>
  <c r="H75" i="15"/>
  <c r="H72" i="15"/>
  <c r="F72" i="15"/>
  <c r="D76" i="15"/>
  <c r="E76" i="15"/>
  <c r="H84" i="15"/>
  <c r="L84" i="15"/>
  <c r="I84" i="15"/>
  <c r="C104" i="15"/>
  <c r="K104" i="15"/>
  <c r="D104" i="15"/>
  <c r="L104" i="15"/>
  <c r="E104" i="15"/>
  <c r="I104" i="15"/>
  <c r="M104" i="15"/>
  <c r="F104" i="15"/>
  <c r="J104" i="15"/>
  <c r="N104" i="15"/>
  <c r="G82" i="15"/>
  <c r="G84" i="15" s="1"/>
  <c r="F82" i="15"/>
  <c r="F84" i="15" s="1"/>
  <c r="J85" i="15"/>
  <c r="J81" i="15" s="1"/>
  <c r="J82" i="15" s="1"/>
  <c r="J84" i="15" s="1"/>
  <c r="E9" i="8"/>
  <c r="E11" i="8"/>
  <c r="E8" i="8"/>
  <c r="E8" i="9"/>
  <c r="E11" i="9"/>
  <c r="E7" i="9"/>
  <c r="G104" i="15" l="1"/>
  <c r="G101" i="15"/>
  <c r="H104" i="15"/>
  <c r="H101" i="15"/>
  <c r="I72" i="15"/>
  <c r="H76" i="15"/>
  <c r="I75" i="15"/>
  <c r="K71" i="15"/>
  <c r="J72" i="15"/>
  <c r="L71" i="15" l="1"/>
  <c r="K72" i="15"/>
  <c r="J75" i="15"/>
  <c r="I76" i="15"/>
  <c r="K75" i="15" l="1"/>
  <c r="J76" i="15"/>
  <c r="M71" i="15"/>
  <c r="L72" i="15"/>
  <c r="L75" i="15" l="1"/>
  <c r="K76" i="15"/>
  <c r="N71" i="15"/>
  <c r="N72" i="15" s="1"/>
  <c r="M72" i="15"/>
  <c r="M75" i="15" l="1"/>
  <c r="L76" i="15"/>
  <c r="N75" i="15" l="1"/>
  <c r="N76" i="15" s="1"/>
  <c r="M76" i="15"/>
  <c r="C14" i="16" l="1"/>
  <c r="C20" i="16" l="1"/>
  <c r="C30" i="18"/>
  <c r="C29" i="18"/>
  <c r="C25" i="18"/>
  <c r="J37" i="18" l="1"/>
  <c r="I37" i="18"/>
  <c r="F37" i="18"/>
  <c r="H37" i="18" s="1"/>
  <c r="J36" i="18"/>
  <c r="I36" i="18"/>
  <c r="F36" i="18"/>
  <c r="H36" i="18" s="1"/>
  <c r="J35" i="18"/>
  <c r="I35" i="18"/>
  <c r="F35" i="18"/>
  <c r="H35" i="18" s="1"/>
  <c r="J33" i="18"/>
  <c r="I33" i="18"/>
  <c r="F33" i="18"/>
  <c r="H33" i="18" s="1"/>
  <c r="J32" i="18"/>
  <c r="I32" i="18"/>
  <c r="F32" i="18"/>
  <c r="H32" i="18" s="1"/>
  <c r="J31" i="18"/>
  <c r="I31" i="18"/>
  <c r="F31" i="18"/>
  <c r="H31" i="18" s="1"/>
  <c r="J30" i="18"/>
  <c r="I30" i="18"/>
  <c r="F30" i="18"/>
  <c r="H30" i="18" s="1"/>
  <c r="J29" i="18"/>
  <c r="I29" i="18"/>
  <c r="F29" i="18"/>
  <c r="H29" i="18" s="1"/>
  <c r="J28" i="18"/>
  <c r="I28" i="18"/>
  <c r="F28" i="18"/>
  <c r="H28" i="18" s="1"/>
  <c r="J27" i="18"/>
  <c r="I27" i="18"/>
  <c r="F27" i="18"/>
  <c r="H27" i="18" s="1"/>
  <c r="J26" i="18"/>
  <c r="I26" i="18"/>
  <c r="F26" i="18"/>
  <c r="H26" i="18" s="1"/>
  <c r="J25" i="18"/>
  <c r="I25" i="18"/>
  <c r="F25" i="18"/>
  <c r="H25" i="18" s="1"/>
  <c r="J24" i="18"/>
  <c r="I24" i="18"/>
  <c r="F24" i="18"/>
  <c r="H24" i="18" s="1"/>
  <c r="J23" i="18"/>
  <c r="I23" i="18"/>
  <c r="F23" i="18"/>
  <c r="H23" i="18" s="1"/>
  <c r="J22" i="18"/>
  <c r="I22" i="18"/>
  <c r="F22" i="18"/>
  <c r="H22" i="18" s="1"/>
  <c r="J21" i="18"/>
  <c r="I21" i="18"/>
  <c r="F21" i="18"/>
  <c r="H21" i="18" s="1"/>
  <c r="J20" i="18"/>
  <c r="I20" i="18"/>
  <c r="F20" i="18"/>
  <c r="H20" i="18" s="1"/>
  <c r="J19" i="18"/>
  <c r="I19" i="18"/>
  <c r="F19" i="18"/>
  <c r="H19" i="18" s="1"/>
  <c r="J18" i="18"/>
  <c r="I18" i="18"/>
  <c r="F18" i="18"/>
  <c r="H18" i="18" s="1"/>
  <c r="J34" i="18"/>
  <c r="I34" i="18"/>
  <c r="F34" i="18"/>
  <c r="H34" i="18" s="1"/>
  <c r="F71" i="18"/>
  <c r="H71" i="18" s="1"/>
  <c r="I71" i="18"/>
  <c r="J71" i="18"/>
  <c r="F166" i="18"/>
  <c r="H166" i="18" s="1"/>
  <c r="I166" i="18"/>
  <c r="J166" i="18"/>
  <c r="L166" i="18"/>
  <c r="M166" i="18" s="1"/>
  <c r="L143" i="18"/>
  <c r="M143" i="18" s="1"/>
  <c r="J143" i="18"/>
  <c r="I143" i="18"/>
  <c r="F143" i="18"/>
  <c r="H143" i="18" s="1"/>
  <c r="L142" i="18"/>
  <c r="M142" i="18" s="1"/>
  <c r="J142" i="18"/>
  <c r="I142" i="18"/>
  <c r="F142" i="18"/>
  <c r="H142" i="18" s="1"/>
  <c r="L141" i="18"/>
  <c r="M141" i="18" s="1"/>
  <c r="J141" i="18"/>
  <c r="I141" i="18"/>
  <c r="F141" i="18"/>
  <c r="H141" i="18" s="1"/>
  <c r="L140" i="18"/>
  <c r="M140" i="18" s="1"/>
  <c r="J140" i="18"/>
  <c r="I140" i="18"/>
  <c r="F140" i="18"/>
  <c r="H140" i="18" s="1"/>
  <c r="L139" i="18"/>
  <c r="M139" i="18" s="1"/>
  <c r="J139" i="18"/>
  <c r="I139" i="18"/>
  <c r="F139" i="18"/>
  <c r="H139" i="18" s="1"/>
  <c r="L138" i="18"/>
  <c r="M138" i="18" s="1"/>
  <c r="J138" i="18"/>
  <c r="I138" i="18"/>
  <c r="F138" i="18"/>
  <c r="H138" i="18" s="1"/>
  <c r="L137" i="18"/>
  <c r="M137" i="18" s="1"/>
  <c r="J137" i="18"/>
  <c r="I137" i="18"/>
  <c r="F137" i="18"/>
  <c r="H137" i="18" s="1"/>
  <c r="L136" i="18"/>
  <c r="M136" i="18" s="1"/>
  <c r="J136" i="18"/>
  <c r="I136" i="18"/>
  <c r="F136" i="18"/>
  <c r="H136" i="18" s="1"/>
  <c r="L135" i="18"/>
  <c r="M135" i="18" s="1"/>
  <c r="J135" i="18"/>
  <c r="I135" i="18"/>
  <c r="F135" i="18"/>
  <c r="H135" i="18" s="1"/>
  <c r="L134" i="18"/>
  <c r="M134" i="18" s="1"/>
  <c r="J134" i="18"/>
  <c r="I134" i="18"/>
  <c r="F134" i="18"/>
  <c r="H134" i="18" s="1"/>
  <c r="L133" i="18"/>
  <c r="M133" i="18" s="1"/>
  <c r="J133" i="18"/>
  <c r="I133" i="18"/>
  <c r="F133" i="18"/>
  <c r="H133" i="18" s="1"/>
  <c r="L132" i="18"/>
  <c r="M132" i="18" s="1"/>
  <c r="J132" i="18"/>
  <c r="I132" i="18"/>
  <c r="F132" i="18"/>
  <c r="H132" i="18" s="1"/>
  <c r="L131" i="18"/>
  <c r="M131" i="18" s="1"/>
  <c r="J131" i="18"/>
  <c r="I131" i="18"/>
  <c r="F131" i="18"/>
  <c r="H131" i="18" s="1"/>
  <c r="L130" i="18"/>
  <c r="M130" i="18" s="1"/>
  <c r="J130" i="18"/>
  <c r="I130" i="18"/>
  <c r="F130" i="18"/>
  <c r="H130" i="18" s="1"/>
  <c r="L129" i="18"/>
  <c r="M129" i="18" s="1"/>
  <c r="J129" i="18"/>
  <c r="I129" i="18"/>
  <c r="F129" i="18"/>
  <c r="H129" i="18" s="1"/>
  <c r="L128" i="18"/>
  <c r="M128" i="18" s="1"/>
  <c r="J128" i="18"/>
  <c r="I128" i="18"/>
  <c r="F128" i="18"/>
  <c r="H128" i="18" s="1"/>
  <c r="L127" i="18"/>
  <c r="M127" i="18" s="1"/>
  <c r="J127" i="18"/>
  <c r="I127" i="18"/>
  <c r="F127" i="18"/>
  <c r="H127" i="18" s="1"/>
  <c r="L126" i="18"/>
  <c r="M126" i="18" s="1"/>
  <c r="J126" i="18"/>
  <c r="I126" i="18"/>
  <c r="F126" i="18"/>
  <c r="H126" i="18" s="1"/>
  <c r="L125" i="18"/>
  <c r="M125" i="18" s="1"/>
  <c r="J125" i="18"/>
  <c r="I125" i="18"/>
  <c r="F125" i="18"/>
  <c r="H125" i="18" s="1"/>
  <c r="L124" i="18"/>
  <c r="M124" i="18" s="1"/>
  <c r="J124" i="18"/>
  <c r="I124" i="18"/>
  <c r="F124" i="18"/>
  <c r="H124" i="18" s="1"/>
  <c r="L122" i="18"/>
  <c r="M122" i="18" s="1"/>
  <c r="J122" i="18"/>
  <c r="I122" i="18"/>
  <c r="F122" i="18"/>
  <c r="H122" i="18" s="1"/>
  <c r="L121" i="18"/>
  <c r="M121" i="18" s="1"/>
  <c r="J121" i="18"/>
  <c r="I121" i="18"/>
  <c r="F121" i="18"/>
  <c r="H121" i="18" s="1"/>
  <c r="L120" i="18"/>
  <c r="M120" i="18" s="1"/>
  <c r="J120" i="18"/>
  <c r="I120" i="18"/>
  <c r="F120" i="18"/>
  <c r="H120" i="18" s="1"/>
  <c r="L119" i="18"/>
  <c r="M119" i="18" s="1"/>
  <c r="J119" i="18"/>
  <c r="I119" i="18"/>
  <c r="F119" i="18"/>
  <c r="H119" i="18" s="1"/>
  <c r="L118" i="18"/>
  <c r="M118" i="18" s="1"/>
  <c r="J118" i="18"/>
  <c r="I118" i="18"/>
  <c r="F118" i="18"/>
  <c r="H118" i="18" s="1"/>
  <c r="L117" i="18"/>
  <c r="M117" i="18" s="1"/>
  <c r="J117" i="18"/>
  <c r="I117" i="18"/>
  <c r="F117" i="18"/>
  <c r="H117" i="18" s="1"/>
  <c r="L115" i="18"/>
  <c r="M115" i="18" s="1"/>
  <c r="J115" i="18"/>
  <c r="I115" i="18"/>
  <c r="F115" i="18"/>
  <c r="H115" i="18" s="1"/>
  <c r="L114" i="18"/>
  <c r="M114" i="18" s="1"/>
  <c r="J114" i="18"/>
  <c r="I114" i="18"/>
  <c r="F114" i="18"/>
  <c r="H114" i="18" s="1"/>
  <c r="L113" i="18"/>
  <c r="M113" i="18" s="1"/>
  <c r="J113" i="18"/>
  <c r="I113" i="18"/>
  <c r="F113" i="18"/>
  <c r="H113" i="18" s="1"/>
  <c r="L112" i="18"/>
  <c r="M112" i="18" s="1"/>
  <c r="J112" i="18"/>
  <c r="I112" i="18"/>
  <c r="F112" i="18"/>
  <c r="H112" i="18" s="1"/>
  <c r="L111" i="18"/>
  <c r="M111" i="18" s="1"/>
  <c r="J111" i="18"/>
  <c r="I111" i="18"/>
  <c r="F111" i="18"/>
  <c r="H111" i="18" s="1"/>
  <c r="L110" i="18"/>
  <c r="M110" i="18" s="1"/>
  <c r="J110" i="18"/>
  <c r="I110" i="18"/>
  <c r="F110" i="18"/>
  <c r="H110" i="18" s="1"/>
  <c r="L109" i="18"/>
  <c r="M109" i="18" s="1"/>
  <c r="J109" i="18"/>
  <c r="I109" i="18"/>
  <c r="F109" i="18"/>
  <c r="H109" i="18" s="1"/>
  <c r="L108" i="18"/>
  <c r="M108" i="18" s="1"/>
  <c r="J108" i="18"/>
  <c r="I108" i="18"/>
  <c r="F108" i="18"/>
  <c r="H108" i="18" s="1"/>
  <c r="L107" i="18"/>
  <c r="M107" i="18" s="1"/>
  <c r="J107" i="18"/>
  <c r="I107" i="18"/>
  <c r="F107" i="18"/>
  <c r="H107" i="18" s="1"/>
  <c r="L106" i="18"/>
  <c r="M106" i="18" s="1"/>
  <c r="J106" i="18"/>
  <c r="I106" i="18"/>
  <c r="F106" i="18"/>
  <c r="H106" i="18" s="1"/>
  <c r="L105" i="18"/>
  <c r="M105" i="18" s="1"/>
  <c r="J105" i="18"/>
  <c r="I105" i="18"/>
  <c r="F105" i="18"/>
  <c r="H105" i="18" s="1"/>
  <c r="L104" i="18"/>
  <c r="M104" i="18" s="1"/>
  <c r="J104" i="18"/>
  <c r="I104" i="18"/>
  <c r="F104" i="18"/>
  <c r="H104" i="18" s="1"/>
  <c r="L103" i="18"/>
  <c r="M103" i="18" s="1"/>
  <c r="J103" i="18"/>
  <c r="I103" i="18"/>
  <c r="F103" i="18"/>
  <c r="H103" i="18" s="1"/>
  <c r="L102" i="18"/>
  <c r="M102" i="18" s="1"/>
  <c r="J102" i="18"/>
  <c r="I102" i="18"/>
  <c r="F102" i="18"/>
  <c r="H102" i="18" s="1"/>
  <c r="L101" i="18"/>
  <c r="M101" i="18" s="1"/>
  <c r="J101" i="18"/>
  <c r="I101" i="18"/>
  <c r="F101" i="18"/>
  <c r="H101" i="18" s="1"/>
  <c r="L100" i="18"/>
  <c r="M100" i="18" s="1"/>
  <c r="J100" i="18"/>
  <c r="I100" i="18"/>
  <c r="F100" i="18"/>
  <c r="H100" i="18" s="1"/>
  <c r="L99" i="18"/>
  <c r="M99" i="18" s="1"/>
  <c r="J99" i="18"/>
  <c r="I99" i="18"/>
  <c r="F99" i="18"/>
  <c r="H99" i="18" s="1"/>
  <c r="L162" i="18"/>
  <c r="M162" i="18" s="1"/>
  <c r="J162" i="18"/>
  <c r="I162" i="18"/>
  <c r="F162" i="18"/>
  <c r="H162" i="18" s="1"/>
  <c r="L161" i="18"/>
  <c r="M161" i="18" s="1"/>
  <c r="J161" i="18"/>
  <c r="I161" i="18"/>
  <c r="F161" i="18"/>
  <c r="H161" i="18" s="1"/>
  <c r="L160" i="18"/>
  <c r="M160" i="18" s="1"/>
  <c r="J160" i="18"/>
  <c r="I160" i="18"/>
  <c r="F160" i="18"/>
  <c r="H160" i="18" s="1"/>
  <c r="L159" i="18"/>
  <c r="M159" i="18" s="1"/>
  <c r="J159" i="18"/>
  <c r="I159" i="18"/>
  <c r="F159" i="18"/>
  <c r="H159" i="18" s="1"/>
  <c r="L158" i="18"/>
  <c r="M158" i="18" s="1"/>
  <c r="J158" i="18"/>
  <c r="I158" i="18"/>
  <c r="F158" i="18"/>
  <c r="H158" i="18" s="1"/>
  <c r="L157" i="18"/>
  <c r="M157" i="18" s="1"/>
  <c r="J157" i="18"/>
  <c r="I157" i="18"/>
  <c r="F157" i="18"/>
  <c r="H157" i="18" s="1"/>
  <c r="L156" i="18"/>
  <c r="M156" i="18" s="1"/>
  <c r="J156" i="18"/>
  <c r="I156" i="18"/>
  <c r="F156" i="18"/>
  <c r="H156" i="18" s="1"/>
  <c r="L155" i="18"/>
  <c r="M155" i="18" s="1"/>
  <c r="J155" i="18"/>
  <c r="I155" i="18"/>
  <c r="F155" i="18"/>
  <c r="H155" i="18" s="1"/>
  <c r="L154" i="18"/>
  <c r="M154" i="18" s="1"/>
  <c r="J154" i="18"/>
  <c r="I154" i="18"/>
  <c r="F154" i="18"/>
  <c r="H154" i="18" s="1"/>
  <c r="L153" i="18"/>
  <c r="M153" i="18" s="1"/>
  <c r="J153" i="18"/>
  <c r="I153" i="18"/>
  <c r="F153" i="18"/>
  <c r="H153" i="18" s="1"/>
  <c r="L152" i="18"/>
  <c r="M152" i="18" s="1"/>
  <c r="J152" i="18"/>
  <c r="I152" i="18"/>
  <c r="F152" i="18"/>
  <c r="H152" i="18" s="1"/>
  <c r="L151" i="18"/>
  <c r="M151" i="18" s="1"/>
  <c r="J151" i="18"/>
  <c r="I151" i="18"/>
  <c r="F151" i="18"/>
  <c r="H151" i="18" s="1"/>
  <c r="L150" i="18"/>
  <c r="M150" i="18" s="1"/>
  <c r="J150" i="18"/>
  <c r="I150" i="18"/>
  <c r="F150" i="18"/>
  <c r="H150" i="18" s="1"/>
  <c r="L149" i="18"/>
  <c r="M149" i="18" s="1"/>
  <c r="J149" i="18"/>
  <c r="I149" i="18"/>
  <c r="F149" i="18"/>
  <c r="H149" i="18" s="1"/>
  <c r="L148" i="18"/>
  <c r="M148" i="18" s="1"/>
  <c r="J148" i="18"/>
  <c r="I148" i="18"/>
  <c r="F148" i="18"/>
  <c r="H148" i="18" s="1"/>
  <c r="L147" i="18"/>
  <c r="M147" i="18" s="1"/>
  <c r="J147" i="18"/>
  <c r="I147" i="18"/>
  <c r="F147" i="18"/>
  <c r="H147" i="18" s="1"/>
  <c r="L146" i="18"/>
  <c r="M146" i="18" s="1"/>
  <c r="J146" i="18"/>
  <c r="I146" i="18"/>
  <c r="F146" i="18"/>
  <c r="H146" i="18" s="1"/>
  <c r="L145" i="18"/>
  <c r="M145" i="18" s="1"/>
  <c r="J145" i="18"/>
  <c r="I145" i="18"/>
  <c r="F145" i="18"/>
  <c r="H145" i="18" s="1"/>
  <c r="L144" i="18"/>
  <c r="M144" i="18" s="1"/>
  <c r="J144" i="18"/>
  <c r="I144" i="18"/>
  <c r="F144" i="18"/>
  <c r="H144" i="18" s="1"/>
  <c r="L98" i="18"/>
  <c r="M98" i="18" s="1"/>
  <c r="J98" i="18"/>
  <c r="I98" i="18"/>
  <c r="F98" i="18"/>
  <c r="H98" i="18" s="1"/>
  <c r="J65" i="18"/>
  <c r="I65" i="18"/>
  <c r="F65" i="18"/>
  <c r="H65" i="18" s="1"/>
  <c r="J66" i="18"/>
  <c r="I66" i="18"/>
  <c r="F66" i="18"/>
  <c r="H66" i="18" s="1"/>
  <c r="J67" i="18"/>
  <c r="I67" i="18"/>
  <c r="F67" i="18"/>
  <c r="H67" i="18" s="1"/>
  <c r="A1" i="18" l="1"/>
  <c r="A1" i="9"/>
  <c r="A1" i="8"/>
  <c r="A1" i="16"/>
  <c r="A1" i="17"/>
  <c r="F246" i="1" l="1"/>
  <c r="D65" i="15" l="1"/>
  <c r="E65" i="15" s="1"/>
  <c r="F65" i="15" s="1"/>
  <c r="G65" i="15" s="1"/>
  <c r="H65" i="15" s="1"/>
  <c r="I65" i="15" s="1"/>
  <c r="J65" i="15" s="1"/>
  <c r="K65" i="15" s="1"/>
  <c r="L65" i="15" s="1"/>
  <c r="M65" i="15" s="1"/>
  <c r="N65" i="15" s="1"/>
  <c r="D61" i="15"/>
  <c r="E61" i="15" s="1"/>
  <c r="F61" i="15" s="1"/>
  <c r="G61" i="15" s="1"/>
  <c r="H61" i="15" s="1"/>
  <c r="I61" i="15" s="1"/>
  <c r="J61" i="15" s="1"/>
  <c r="K61" i="15" s="1"/>
  <c r="L61" i="15" s="1"/>
  <c r="M61" i="15" s="1"/>
  <c r="N61" i="15" s="1"/>
  <c r="J13" i="18" l="1"/>
  <c r="I13" i="18"/>
  <c r="F13" i="18"/>
  <c r="H13" i="18" s="1"/>
  <c r="J12" i="18"/>
  <c r="I12" i="18"/>
  <c r="F12" i="18"/>
  <c r="H12" i="18" s="1"/>
  <c r="J11" i="18"/>
  <c r="I11" i="18"/>
  <c r="F11" i="18"/>
  <c r="H11" i="18" s="1"/>
  <c r="J10" i="18"/>
  <c r="I10" i="18"/>
  <c r="F10" i="18"/>
  <c r="H10" i="18" s="1"/>
  <c r="J9" i="18"/>
  <c r="I9" i="18"/>
  <c r="F9" i="18"/>
  <c r="H9" i="18" s="1"/>
  <c r="J14" i="18"/>
  <c r="I14" i="18"/>
  <c r="F14" i="18"/>
  <c r="H14" i="18" s="1"/>
  <c r="AB495" i="2" l="1"/>
  <c r="AC495" i="2"/>
  <c r="AD495" i="2"/>
  <c r="AE495" i="2"/>
  <c r="AF495" i="2"/>
  <c r="AG495" i="2"/>
  <c r="D73" i="15" l="1"/>
  <c r="D74" i="15" s="1"/>
  <c r="E73" i="15"/>
  <c r="E74" i="15" s="1"/>
  <c r="F73" i="15"/>
  <c r="F74" i="15" s="1"/>
  <c r="G73" i="15"/>
  <c r="G74" i="15" s="1"/>
  <c r="H73" i="15"/>
  <c r="H74" i="15" s="1"/>
  <c r="I73" i="15"/>
  <c r="I74" i="15" s="1"/>
  <c r="J73" i="15"/>
  <c r="J74" i="15" s="1"/>
  <c r="K73" i="15"/>
  <c r="K74" i="15" s="1"/>
  <c r="L73" i="15"/>
  <c r="L74" i="15" s="1"/>
  <c r="M73" i="15"/>
  <c r="M74" i="15" s="1"/>
  <c r="N73" i="15"/>
  <c r="N74" i="15" s="1"/>
  <c r="C73" i="15"/>
  <c r="C74" i="15" s="1"/>
  <c r="D51" i="15"/>
  <c r="E51" i="15"/>
  <c r="F51" i="15"/>
  <c r="G51" i="15"/>
  <c r="H51" i="15"/>
  <c r="I51" i="15"/>
  <c r="J51" i="15"/>
  <c r="K51" i="15"/>
  <c r="L51" i="15"/>
  <c r="M51" i="15"/>
  <c r="N51" i="15"/>
  <c r="C51" i="15"/>
  <c r="N60" i="15"/>
  <c r="N66" i="15" s="1"/>
  <c r="M60" i="15"/>
  <c r="M66" i="15" s="1"/>
  <c r="L60" i="15"/>
  <c r="L66" i="15" s="1"/>
  <c r="K60" i="15"/>
  <c r="K66" i="15" s="1"/>
  <c r="J60" i="15"/>
  <c r="J66" i="15" s="1"/>
  <c r="I60" i="15"/>
  <c r="I66" i="15" s="1"/>
  <c r="H60" i="15"/>
  <c r="H66" i="15" s="1"/>
  <c r="G60" i="15"/>
  <c r="G66" i="15" s="1"/>
  <c r="F60" i="15"/>
  <c r="F66" i="15" s="1"/>
  <c r="E60" i="15"/>
  <c r="E66" i="15" s="1"/>
  <c r="D60" i="15"/>
  <c r="D66" i="15" s="1"/>
  <c r="C60" i="15"/>
  <c r="C66" i="15" s="1"/>
  <c r="N50" i="15"/>
  <c r="N56" i="15" s="1"/>
  <c r="M50" i="15"/>
  <c r="M56" i="15" s="1"/>
  <c r="L50" i="15"/>
  <c r="L56" i="15" s="1"/>
  <c r="K50" i="15"/>
  <c r="K56" i="15" s="1"/>
  <c r="J50" i="15"/>
  <c r="J56" i="15" s="1"/>
  <c r="I50" i="15"/>
  <c r="I56" i="15" s="1"/>
  <c r="H50" i="15"/>
  <c r="H56" i="15" s="1"/>
  <c r="G50" i="15"/>
  <c r="G56" i="15" s="1"/>
  <c r="F50" i="15"/>
  <c r="F56" i="15" s="1"/>
  <c r="E50" i="15"/>
  <c r="E56" i="15" s="1"/>
  <c r="D50" i="15"/>
  <c r="D56" i="15" s="1"/>
  <c r="C50" i="15"/>
  <c r="C56" i="15" s="1"/>
  <c r="C62" i="15" l="1"/>
  <c r="C64" i="15" s="1"/>
  <c r="G62" i="15"/>
  <c r="G64" i="15" s="1"/>
  <c r="K62" i="15"/>
  <c r="K64" i="15" s="1"/>
  <c r="D62" i="15"/>
  <c r="D64" i="15" s="1"/>
  <c r="H62" i="15"/>
  <c r="H64" i="15" s="1"/>
  <c r="L62" i="15"/>
  <c r="L64" i="15" s="1"/>
  <c r="E62" i="15"/>
  <c r="E64" i="15" s="1"/>
  <c r="I62" i="15"/>
  <c r="I64" i="15" s="1"/>
  <c r="M62" i="15"/>
  <c r="M64" i="15" s="1"/>
  <c r="F62" i="15"/>
  <c r="F64" i="15" s="1"/>
  <c r="J62" i="15"/>
  <c r="J64" i="15" s="1"/>
  <c r="N62" i="15"/>
  <c r="N64" i="15" s="1"/>
  <c r="F52" i="15"/>
  <c r="F54" i="15" s="1"/>
  <c r="J52" i="15"/>
  <c r="J54" i="15" s="1"/>
  <c r="N52" i="15"/>
  <c r="N54" i="15" s="1"/>
  <c r="C52" i="15"/>
  <c r="C54" i="15" s="1"/>
  <c r="G52" i="15"/>
  <c r="G54" i="15" s="1"/>
  <c r="K52" i="15"/>
  <c r="K54" i="15" s="1"/>
  <c r="D52" i="15"/>
  <c r="D54" i="15" s="1"/>
  <c r="H52" i="15"/>
  <c r="H54" i="15" s="1"/>
  <c r="L52" i="15"/>
  <c r="L54" i="15" s="1"/>
  <c r="E52" i="15"/>
  <c r="E54" i="15" s="1"/>
  <c r="I52" i="15"/>
  <c r="I54" i="15" s="1"/>
  <c r="M52" i="15"/>
  <c r="M54" i="15" s="1"/>
  <c r="H193" i="18" l="1"/>
  <c r="H192" i="18"/>
  <c r="H191" i="18"/>
  <c r="E167" i="18"/>
  <c r="J68" i="18" l="1"/>
  <c r="I68" i="18"/>
  <c r="F68" i="18"/>
  <c r="H68" i="18" s="1"/>
  <c r="J64" i="18"/>
  <c r="I64" i="18"/>
  <c r="F64" i="18"/>
  <c r="H64" i="18" s="1"/>
  <c r="J70" i="18"/>
  <c r="I70" i="18"/>
  <c r="F70" i="18"/>
  <c r="H70" i="18" s="1"/>
  <c r="J69" i="18"/>
  <c r="I69" i="18"/>
  <c r="F69" i="18"/>
  <c r="H69" i="18" s="1"/>
  <c r="J17" i="18"/>
  <c r="I17" i="18"/>
  <c r="F17" i="18"/>
  <c r="H17" i="18" s="1"/>
  <c r="J16" i="18"/>
  <c r="I16" i="18"/>
  <c r="F16" i="18"/>
  <c r="H16" i="18" s="1"/>
  <c r="J15" i="18"/>
  <c r="I15" i="18"/>
  <c r="F15" i="18"/>
  <c r="H15" i="18" s="1"/>
  <c r="J38" i="18"/>
  <c r="I38" i="18"/>
  <c r="F38" i="18"/>
  <c r="H38" i="18" s="1"/>
  <c r="D14" i="16" l="1"/>
  <c r="E14" i="16"/>
  <c r="E20" i="16" s="1"/>
  <c r="F14" i="16"/>
  <c r="F20" i="16" s="1"/>
  <c r="G14" i="16"/>
  <c r="G20" i="16" s="1"/>
  <c r="H14" i="16"/>
  <c r="H20" i="16" s="1"/>
  <c r="I14" i="16"/>
  <c r="I20" i="16" s="1"/>
  <c r="J14" i="16"/>
  <c r="J20" i="16" s="1"/>
  <c r="K14" i="16"/>
  <c r="K20" i="16" s="1"/>
  <c r="L14" i="16"/>
  <c r="L20" i="16" s="1"/>
  <c r="M14" i="16"/>
  <c r="M20" i="16" s="1"/>
  <c r="N14" i="16"/>
  <c r="N20" i="16" s="1"/>
  <c r="D20" i="16" l="1"/>
  <c r="O20" i="16" s="1"/>
  <c r="O64" i="16" s="1"/>
  <c r="O14" i="16"/>
  <c r="C11" i="17"/>
  <c r="C12" i="17"/>
  <c r="C13" i="17"/>
  <c r="C14" i="17"/>
  <c r="C15" i="17"/>
  <c r="C16" i="17"/>
  <c r="C10" i="17"/>
  <c r="B36" i="4"/>
  <c r="C36" i="4"/>
  <c r="B37" i="4"/>
  <c r="C37" i="4"/>
  <c r="B38" i="4"/>
  <c r="C38" i="4"/>
  <c r="B39" i="4"/>
  <c r="C39" i="4"/>
  <c r="B40" i="4"/>
  <c r="C40" i="4"/>
  <c r="B41" i="4"/>
  <c r="C41" i="4"/>
  <c r="B43" i="4"/>
  <c r="C43" i="4"/>
  <c r="B44" i="4"/>
  <c r="C44" i="4"/>
  <c r="B45" i="4"/>
  <c r="C45" i="4"/>
  <c r="C35" i="4"/>
  <c r="B35" i="4"/>
  <c r="D201" i="15" l="1"/>
  <c r="E201" i="15"/>
  <c r="F201" i="15"/>
  <c r="G201" i="15"/>
  <c r="H201" i="15"/>
  <c r="I201" i="15"/>
  <c r="J201" i="15"/>
  <c r="K201" i="15"/>
  <c r="L201" i="15"/>
  <c r="M201" i="15"/>
  <c r="N201" i="15"/>
  <c r="C201" i="15"/>
  <c r="D200" i="15"/>
  <c r="E200" i="15"/>
  <c r="F200" i="15"/>
  <c r="G200" i="15"/>
  <c r="H200" i="15"/>
  <c r="I200" i="15"/>
  <c r="J200" i="15"/>
  <c r="K200" i="15"/>
  <c r="L200" i="15"/>
  <c r="M200" i="15"/>
  <c r="N200" i="15"/>
  <c r="C200" i="15"/>
  <c r="B11" i="17" l="1"/>
  <c r="B12" i="17"/>
  <c r="B13" i="17"/>
  <c r="B14" i="17"/>
  <c r="B15" i="17"/>
  <c r="B16" i="17"/>
  <c r="B10" i="17"/>
  <c r="O128" i="15" l="1"/>
  <c r="C17" i="15" s="1"/>
  <c r="D15" i="8" s="1"/>
  <c r="O108" i="15"/>
  <c r="C15" i="15" s="1"/>
  <c r="O118" i="15"/>
  <c r="C16" i="15" s="1"/>
  <c r="N49" i="16" l="1"/>
  <c r="D49" i="16"/>
  <c r="E49" i="16"/>
  <c r="F49" i="16"/>
  <c r="G49" i="16"/>
  <c r="H49" i="16"/>
  <c r="I49" i="16"/>
  <c r="J49" i="16"/>
  <c r="K49" i="16"/>
  <c r="L49" i="16"/>
  <c r="M49" i="16"/>
  <c r="C49" i="16"/>
  <c r="O49" i="16" l="1"/>
  <c r="D16" i="9"/>
  <c r="F16" i="9" s="1"/>
  <c r="D15" i="9"/>
  <c r="F15" i="9" s="1"/>
  <c r="D14" i="9"/>
  <c r="F14" i="9" s="1"/>
  <c r="D13" i="9"/>
  <c r="F13" i="9" s="1"/>
  <c r="C12" i="9"/>
  <c r="C15" i="9"/>
  <c r="C16" i="9"/>
  <c r="B12" i="9"/>
  <c r="B15" i="9"/>
  <c r="B16" i="9"/>
  <c r="D16" i="8"/>
  <c r="F16" i="8" s="1"/>
  <c r="F15" i="8"/>
  <c r="F14" i="8"/>
  <c r="F13" i="8"/>
  <c r="C12" i="8"/>
  <c r="C15" i="8"/>
  <c r="C16" i="8"/>
  <c r="B12" i="8"/>
  <c r="B15" i="8"/>
  <c r="B16" i="8"/>
  <c r="Q2" i="2"/>
  <c r="P2" i="2"/>
  <c r="O2" i="2"/>
  <c r="N2" i="2"/>
  <c r="L2" i="2"/>
  <c r="Q3" i="2"/>
  <c r="F97" i="18" l="1"/>
  <c r="L97" i="18"/>
  <c r="H97" i="18" l="1"/>
  <c r="I97" i="18"/>
  <c r="J97" i="18"/>
  <c r="M97" i="18"/>
  <c r="A6" i="16" l="1"/>
  <c r="A7" i="16" s="1"/>
  <c r="A8" i="16" s="1"/>
  <c r="A9" i="16" s="1"/>
  <c r="A10" i="16" s="1"/>
  <c r="A11" i="16" s="1"/>
  <c r="A12" i="16" s="1"/>
  <c r="A13" i="16" s="1"/>
  <c r="A14" i="16" s="1"/>
  <c r="A15" i="16" l="1"/>
  <c r="A16" i="16" s="1"/>
  <c r="A18" i="16" s="1"/>
  <c r="A20" i="16" s="1"/>
  <c r="A21" i="16" s="1"/>
  <c r="D50" i="16"/>
  <c r="D51" i="16" s="1"/>
  <c r="D52" i="16" s="1"/>
  <c r="E50" i="16"/>
  <c r="E51" i="16" s="1"/>
  <c r="E52" i="16" s="1"/>
  <c r="F50" i="16"/>
  <c r="F51" i="16" s="1"/>
  <c r="F52" i="16" s="1"/>
  <c r="G50" i="16"/>
  <c r="G51" i="16" s="1"/>
  <c r="G52" i="16" s="1"/>
  <c r="H50" i="16"/>
  <c r="H51" i="16" s="1"/>
  <c r="H52" i="16" s="1"/>
  <c r="I50" i="16"/>
  <c r="I51" i="16" s="1"/>
  <c r="I52" i="16" s="1"/>
  <c r="J50" i="16"/>
  <c r="J51" i="16" s="1"/>
  <c r="J52" i="16" s="1"/>
  <c r="K50" i="16"/>
  <c r="K51" i="16" s="1"/>
  <c r="K52" i="16" s="1"/>
  <c r="L50" i="16"/>
  <c r="L51" i="16" s="1"/>
  <c r="L52" i="16" s="1"/>
  <c r="M50" i="16"/>
  <c r="M51" i="16" s="1"/>
  <c r="M52" i="16" s="1"/>
  <c r="N50" i="16"/>
  <c r="N51" i="16" s="1"/>
  <c r="N52" i="16" s="1"/>
  <c r="C50" i="16"/>
  <c r="O50" i="16" l="1"/>
  <c r="A22" i="16"/>
  <c r="A23" i="16" s="1"/>
  <c r="A24" i="16" s="1"/>
  <c r="A25" i="16" s="1"/>
  <c r="A26" i="16" s="1"/>
  <c r="A27" i="16" s="1"/>
  <c r="A28" i="16" s="1"/>
  <c r="A29" i="16" s="1"/>
  <c r="A30" i="16" s="1"/>
  <c r="A31" i="16" s="1"/>
  <c r="D167" i="18"/>
  <c r="D182" i="18" s="1"/>
  <c r="E72" i="18"/>
  <c r="D82" i="18" s="1"/>
  <c r="D72" i="18"/>
  <c r="D87" i="18" s="1"/>
  <c r="E39" i="18"/>
  <c r="D49" i="18" s="1"/>
  <c r="D39" i="18"/>
  <c r="D54" i="18" s="1"/>
  <c r="N190" i="15"/>
  <c r="N196" i="15" s="1"/>
  <c r="M190" i="15"/>
  <c r="M196" i="15" s="1"/>
  <c r="L190" i="15"/>
  <c r="L196" i="15" s="1"/>
  <c r="K190" i="15"/>
  <c r="K196" i="15" s="1"/>
  <c r="J190" i="15"/>
  <c r="J196" i="15" s="1"/>
  <c r="I190" i="15"/>
  <c r="I196" i="15" s="1"/>
  <c r="H190" i="15"/>
  <c r="H196" i="15" s="1"/>
  <c r="G190" i="15"/>
  <c r="G196" i="15" s="1"/>
  <c r="F190" i="15"/>
  <c r="F196" i="15" s="1"/>
  <c r="E190" i="15"/>
  <c r="E196" i="15" s="1"/>
  <c r="D190" i="15"/>
  <c r="D196" i="15" s="1"/>
  <c r="C190" i="15"/>
  <c r="C196" i="15" s="1"/>
  <c r="N180" i="15"/>
  <c r="N186" i="15" s="1"/>
  <c r="M180" i="15"/>
  <c r="M186" i="15" s="1"/>
  <c r="L180" i="15"/>
  <c r="L186" i="15" s="1"/>
  <c r="K180" i="15"/>
  <c r="K186" i="15" s="1"/>
  <c r="J180" i="15"/>
  <c r="J186" i="15" s="1"/>
  <c r="I180" i="15"/>
  <c r="I186" i="15" s="1"/>
  <c r="H180" i="15"/>
  <c r="H186" i="15" s="1"/>
  <c r="G180" i="15"/>
  <c r="G186" i="15" s="1"/>
  <c r="F180" i="15"/>
  <c r="F186" i="15" s="1"/>
  <c r="E180" i="15"/>
  <c r="E186" i="15" s="1"/>
  <c r="D180" i="15"/>
  <c r="D186" i="15" s="1"/>
  <c r="C180" i="15"/>
  <c r="C186" i="15" s="1"/>
  <c r="N170" i="15"/>
  <c r="N176" i="15" s="1"/>
  <c r="M170" i="15"/>
  <c r="M176" i="15" s="1"/>
  <c r="L170" i="15"/>
  <c r="L176" i="15" s="1"/>
  <c r="K170" i="15"/>
  <c r="K176" i="15" s="1"/>
  <c r="J170" i="15"/>
  <c r="J176" i="15" s="1"/>
  <c r="I170" i="15"/>
  <c r="I176" i="15" s="1"/>
  <c r="H170" i="15"/>
  <c r="H176" i="15" s="1"/>
  <c r="G170" i="15"/>
  <c r="G176" i="15" s="1"/>
  <c r="F170" i="15"/>
  <c r="F176" i="15" s="1"/>
  <c r="E170" i="15"/>
  <c r="E176" i="15" s="1"/>
  <c r="D170" i="15"/>
  <c r="D176" i="15" s="1"/>
  <c r="C170" i="15"/>
  <c r="C176" i="15" s="1"/>
  <c r="N160" i="15"/>
  <c r="N166" i="15" s="1"/>
  <c r="M160" i="15"/>
  <c r="M166" i="15" s="1"/>
  <c r="L160" i="15"/>
  <c r="L166" i="15" s="1"/>
  <c r="K160" i="15"/>
  <c r="K166" i="15" s="1"/>
  <c r="J160" i="15"/>
  <c r="J166" i="15" s="1"/>
  <c r="I160" i="15"/>
  <c r="I166" i="15" s="1"/>
  <c r="H160" i="15"/>
  <c r="H166" i="15" s="1"/>
  <c r="G160" i="15"/>
  <c r="G166" i="15" s="1"/>
  <c r="F160" i="15"/>
  <c r="F166" i="15" s="1"/>
  <c r="E160" i="15"/>
  <c r="E166" i="15" s="1"/>
  <c r="D160" i="15"/>
  <c r="D166" i="15" s="1"/>
  <c r="C160" i="15"/>
  <c r="C166" i="15" s="1"/>
  <c r="N150" i="15"/>
  <c r="N156" i="15" s="1"/>
  <c r="M150" i="15"/>
  <c r="M156" i="15" s="1"/>
  <c r="L150" i="15"/>
  <c r="L156" i="15" s="1"/>
  <c r="K150" i="15"/>
  <c r="K156" i="15" s="1"/>
  <c r="J150" i="15"/>
  <c r="J156" i="15" s="1"/>
  <c r="I150" i="15"/>
  <c r="I156" i="15" s="1"/>
  <c r="H150" i="15"/>
  <c r="H156" i="15" s="1"/>
  <c r="G150" i="15"/>
  <c r="G156" i="15" s="1"/>
  <c r="F150" i="15"/>
  <c r="F156" i="15" s="1"/>
  <c r="E150" i="15"/>
  <c r="E156" i="15" s="1"/>
  <c r="D150" i="15"/>
  <c r="D156" i="15" s="1"/>
  <c r="C150" i="15"/>
  <c r="C156" i="15" s="1"/>
  <c r="N140" i="15"/>
  <c r="N146" i="15" s="1"/>
  <c r="M140" i="15"/>
  <c r="M146" i="15" s="1"/>
  <c r="L140" i="15"/>
  <c r="L146" i="15" s="1"/>
  <c r="K140" i="15"/>
  <c r="K146" i="15" s="1"/>
  <c r="J140" i="15"/>
  <c r="J146" i="15" s="1"/>
  <c r="I140" i="15"/>
  <c r="I146" i="15" s="1"/>
  <c r="H140" i="15"/>
  <c r="H146" i="15" s="1"/>
  <c r="G140" i="15"/>
  <c r="G146" i="15" s="1"/>
  <c r="F140" i="15"/>
  <c r="F146" i="15" s="1"/>
  <c r="E140" i="15"/>
  <c r="E146" i="15" s="1"/>
  <c r="D140" i="15"/>
  <c r="D146" i="15" s="1"/>
  <c r="C140" i="15"/>
  <c r="C146" i="15" s="1"/>
  <c r="N130" i="15"/>
  <c r="N136" i="15" s="1"/>
  <c r="M130" i="15"/>
  <c r="M136" i="15" s="1"/>
  <c r="L130" i="15"/>
  <c r="L136" i="15" s="1"/>
  <c r="K130" i="15"/>
  <c r="K136" i="15" s="1"/>
  <c r="J130" i="15"/>
  <c r="J136" i="15" s="1"/>
  <c r="I130" i="15"/>
  <c r="I136" i="15" s="1"/>
  <c r="H130" i="15"/>
  <c r="H136" i="15" s="1"/>
  <c r="G130" i="15"/>
  <c r="G136" i="15" s="1"/>
  <c r="F130" i="15"/>
  <c r="F136" i="15" s="1"/>
  <c r="E130" i="15"/>
  <c r="E136" i="15" s="1"/>
  <c r="D130" i="15"/>
  <c r="D136" i="15" s="1"/>
  <c r="C130" i="15"/>
  <c r="C136" i="15" s="1"/>
  <c r="M198" i="15"/>
  <c r="K198" i="15"/>
  <c r="I198" i="15"/>
  <c r="E198" i="15"/>
  <c r="I40" i="15"/>
  <c r="I46" i="15" s="1"/>
  <c r="H40" i="15"/>
  <c r="H46" i="15" s="1"/>
  <c r="D40" i="15"/>
  <c r="D46" i="15" s="1"/>
  <c r="O88" i="15"/>
  <c r="C13" i="15" s="1"/>
  <c r="N13" i="15" s="1"/>
  <c r="E356" i="2"/>
  <c r="O78" i="15"/>
  <c r="C12" i="15" s="1"/>
  <c r="N12" i="15" s="1"/>
  <c r="O98" i="15"/>
  <c r="C14" i="15" s="1"/>
  <c r="M433" i="2" s="1"/>
  <c r="O68" i="15"/>
  <c r="C11" i="15" s="1"/>
  <c r="O58" i="15"/>
  <c r="C10" i="15" s="1"/>
  <c r="D8" i="9" s="1"/>
  <c r="F8" i="9" s="1"/>
  <c r="O48" i="15"/>
  <c r="C9" i="15" s="1"/>
  <c r="D7" i="9" s="1"/>
  <c r="F7" i="9" s="1"/>
  <c r="O38" i="15"/>
  <c r="C8" i="15" s="1"/>
  <c r="D6" i="9" s="1"/>
  <c r="F6" i="9" s="1"/>
  <c r="C40" i="15"/>
  <c r="C46" i="15" s="1"/>
  <c r="O6" i="16"/>
  <c r="F283" i="1"/>
  <c r="C11" i="8"/>
  <c r="B11" i="8"/>
  <c r="C10" i="8"/>
  <c r="B10" i="8"/>
  <c r="C9" i="8"/>
  <c r="B9" i="8"/>
  <c r="C8" i="8"/>
  <c r="B8" i="8"/>
  <c r="C7" i="8"/>
  <c r="B7" i="8"/>
  <c r="C6" i="8"/>
  <c r="B6" i="8"/>
  <c r="B7" i="9"/>
  <c r="C7" i="9"/>
  <c r="B8" i="9"/>
  <c r="C8" i="9"/>
  <c r="B9" i="9"/>
  <c r="C9" i="9"/>
  <c r="B10" i="9"/>
  <c r="C10" i="9"/>
  <c r="B11" i="9"/>
  <c r="C11" i="9"/>
  <c r="C6" i="9"/>
  <c r="B6" i="9"/>
  <c r="A32" i="15"/>
  <c r="O109" i="15"/>
  <c r="O110" i="15" s="1"/>
  <c r="F262" i="1"/>
  <c r="Y258" i="1"/>
  <c r="W258" i="1"/>
  <c r="U258" i="1"/>
  <c r="S258" i="1"/>
  <c r="R258" i="1"/>
  <c r="P258" i="1"/>
  <c r="O258" i="1"/>
  <c r="M258" i="1"/>
  <c r="K258" i="1"/>
  <c r="I258" i="1"/>
  <c r="H258" i="1"/>
  <c r="O59" i="15"/>
  <c r="D10" i="15" s="1"/>
  <c r="B8" i="15"/>
  <c r="B38" i="15" s="1"/>
  <c r="B9" i="15"/>
  <c r="B48" i="15" s="1"/>
  <c r="B10" i="15"/>
  <c r="B58" i="15" s="1"/>
  <c r="B11" i="15"/>
  <c r="B68" i="15" s="1"/>
  <c r="B12" i="15"/>
  <c r="B78" i="15" s="1"/>
  <c r="B13" i="15"/>
  <c r="B88" i="15" s="1"/>
  <c r="B14" i="15"/>
  <c r="B98" i="15" s="1"/>
  <c r="B108" i="15"/>
  <c r="B118" i="15"/>
  <c r="B17" i="15"/>
  <c r="B128" i="15" s="1"/>
  <c r="B18" i="15"/>
  <c r="B138" i="15" s="1"/>
  <c r="B19" i="15"/>
  <c r="B148" i="15" s="1"/>
  <c r="B20" i="15"/>
  <c r="B158" i="15" s="1"/>
  <c r="B21" i="15"/>
  <c r="B168" i="15" s="1"/>
  <c r="B22" i="15"/>
  <c r="B178" i="15" s="1"/>
  <c r="B23" i="15"/>
  <c r="B188" i="15" s="1"/>
  <c r="A23" i="15"/>
  <c r="A188" i="15" s="1"/>
  <c r="A22" i="15"/>
  <c r="A178" i="15" s="1"/>
  <c r="A21" i="15"/>
  <c r="A168" i="15" s="1"/>
  <c r="A20" i="15"/>
  <c r="A158" i="15" s="1"/>
  <c r="A19" i="15"/>
  <c r="A148" i="15" s="1"/>
  <c r="A18" i="15"/>
  <c r="A138" i="15" s="1"/>
  <c r="A17" i="15"/>
  <c r="A14" i="15"/>
  <c r="A13" i="15"/>
  <c r="A12" i="15"/>
  <c r="A11" i="15"/>
  <c r="A10" i="15"/>
  <c r="A9" i="15"/>
  <c r="A8" i="15"/>
  <c r="P3" i="2"/>
  <c r="O3" i="2"/>
  <c r="N3" i="2"/>
  <c r="L3" i="2"/>
  <c r="K3" i="2"/>
  <c r="J3" i="2"/>
  <c r="I3" i="2"/>
  <c r="H3" i="2"/>
  <c r="G3" i="2"/>
  <c r="F3" i="2"/>
  <c r="K2" i="2"/>
  <c r="J2" i="2"/>
  <c r="I2" i="2"/>
  <c r="H2" i="2"/>
  <c r="G2" i="2"/>
  <c r="F2" i="2"/>
  <c r="N184" i="15"/>
  <c r="M184" i="15"/>
  <c r="L184" i="15"/>
  <c r="K184" i="15"/>
  <c r="J184" i="15"/>
  <c r="I184" i="15"/>
  <c r="H184" i="15"/>
  <c r="G184" i="15"/>
  <c r="F184" i="15"/>
  <c r="E184" i="15"/>
  <c r="D184" i="15"/>
  <c r="C184" i="15"/>
  <c r="Q182" i="15"/>
  <c r="H22" i="15" s="1"/>
  <c r="U443" i="2" s="1"/>
  <c r="O182" i="15"/>
  <c r="O179" i="15"/>
  <c r="O180" i="15" s="1"/>
  <c r="N174" i="15"/>
  <c r="M174" i="15"/>
  <c r="L174" i="15"/>
  <c r="K174" i="15"/>
  <c r="J174" i="15"/>
  <c r="I174" i="15"/>
  <c r="H174" i="15"/>
  <c r="G174" i="15"/>
  <c r="F174" i="15"/>
  <c r="E174" i="15"/>
  <c r="D174" i="15"/>
  <c r="C174" i="15"/>
  <c r="Q172" i="15"/>
  <c r="H21" i="15" s="1"/>
  <c r="T443" i="2" s="1"/>
  <c r="O172" i="15"/>
  <c r="O169" i="15"/>
  <c r="O170" i="15" s="1"/>
  <c r="N164" i="15"/>
  <c r="M164" i="15"/>
  <c r="L164" i="15"/>
  <c r="K164" i="15"/>
  <c r="J164" i="15"/>
  <c r="I164" i="15"/>
  <c r="H164" i="15"/>
  <c r="G164" i="15"/>
  <c r="F164" i="15"/>
  <c r="E164" i="15"/>
  <c r="D164" i="15"/>
  <c r="C164" i="15"/>
  <c r="Q162" i="15"/>
  <c r="H20" i="15" s="1"/>
  <c r="S443" i="2" s="1"/>
  <c r="O162" i="15"/>
  <c r="O159" i="15"/>
  <c r="N154" i="15"/>
  <c r="M154" i="15"/>
  <c r="L154" i="15"/>
  <c r="K154" i="15"/>
  <c r="J154" i="15"/>
  <c r="I154" i="15"/>
  <c r="H154" i="15"/>
  <c r="G154" i="15"/>
  <c r="F154" i="15"/>
  <c r="E154" i="15"/>
  <c r="D154" i="15"/>
  <c r="C154" i="15"/>
  <c r="Q152" i="15"/>
  <c r="H19" i="15" s="1"/>
  <c r="R443" i="2" s="1"/>
  <c r="O152" i="15"/>
  <c r="O149" i="15"/>
  <c r="N144" i="15"/>
  <c r="M144" i="15"/>
  <c r="L144" i="15"/>
  <c r="K144" i="15"/>
  <c r="J144" i="15"/>
  <c r="I144" i="15"/>
  <c r="H144" i="15"/>
  <c r="G144" i="15"/>
  <c r="F144" i="15"/>
  <c r="E144" i="15"/>
  <c r="D144" i="15"/>
  <c r="C144" i="15"/>
  <c r="Q142" i="15"/>
  <c r="H18" i="15" s="1"/>
  <c r="O142" i="15"/>
  <c r="O139" i="15"/>
  <c r="O140" i="15" s="1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Q132" i="15"/>
  <c r="H17" i="15" s="1"/>
  <c r="O132" i="15"/>
  <c r="O129" i="15"/>
  <c r="D17" i="15" s="1"/>
  <c r="O119" i="15"/>
  <c r="O6" i="15"/>
  <c r="Q6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N6" i="15"/>
  <c r="N15" i="15"/>
  <c r="N16" i="15"/>
  <c r="N17" i="15"/>
  <c r="N18" i="15"/>
  <c r="N19" i="15"/>
  <c r="N20" i="15"/>
  <c r="N21" i="15"/>
  <c r="N22" i="15"/>
  <c r="N23" i="15"/>
  <c r="N5" i="15"/>
  <c r="E390" i="2"/>
  <c r="AG621" i="2"/>
  <c r="AF621" i="2"/>
  <c r="AE621" i="2"/>
  <c r="AD621" i="2"/>
  <c r="AC621" i="2"/>
  <c r="AB621" i="2"/>
  <c r="AA621" i="2"/>
  <c r="Z621" i="2"/>
  <c r="Y621" i="2"/>
  <c r="X621" i="2"/>
  <c r="W621" i="2"/>
  <c r="V621" i="2"/>
  <c r="U621" i="2"/>
  <c r="T621" i="2"/>
  <c r="AG595" i="2"/>
  <c r="AF595" i="2"/>
  <c r="AE595" i="2"/>
  <c r="AD595" i="2"/>
  <c r="AC595" i="2"/>
  <c r="AB595" i="2"/>
  <c r="AA595" i="2"/>
  <c r="Z595" i="2"/>
  <c r="Y595" i="2"/>
  <c r="X595" i="2"/>
  <c r="W595" i="2"/>
  <c r="V595" i="2"/>
  <c r="U595" i="2"/>
  <c r="T595" i="2"/>
  <c r="Q287" i="1"/>
  <c r="T655" i="2"/>
  <c r="T645" i="2"/>
  <c r="T643" i="2"/>
  <c r="O201" i="15"/>
  <c r="Q436" i="2"/>
  <c r="R423" i="2" s="1"/>
  <c r="V432" i="2"/>
  <c r="V433" i="2" s="1"/>
  <c r="V435" i="2" s="1"/>
  <c r="W420" i="2" s="1"/>
  <c r="U432" i="2"/>
  <c r="U433" i="2" s="1"/>
  <c r="T432" i="2"/>
  <c r="T433" i="2" s="1"/>
  <c r="T435" i="2" s="1"/>
  <c r="U420" i="2" s="1"/>
  <c r="S432" i="2"/>
  <c r="S437" i="2" s="1"/>
  <c r="T424" i="2" s="1"/>
  <c r="R432" i="2"/>
  <c r="R437" i="2" s="1"/>
  <c r="S424" i="2" s="1"/>
  <c r="Q432" i="2"/>
  <c r="Q433" i="2" s="1"/>
  <c r="Q434" i="2" s="1"/>
  <c r="Q438" i="2" s="1"/>
  <c r="V428" i="2"/>
  <c r="U428" i="2"/>
  <c r="T428" i="2"/>
  <c r="S428" i="2"/>
  <c r="R428" i="2"/>
  <c r="Q428" i="2"/>
  <c r="L428" i="2"/>
  <c r="K428" i="2"/>
  <c r="J428" i="2"/>
  <c r="I428" i="2"/>
  <c r="H428" i="2"/>
  <c r="G428" i="2"/>
  <c r="D198" i="15"/>
  <c r="F198" i="15"/>
  <c r="H198" i="15"/>
  <c r="J198" i="15"/>
  <c r="L198" i="15"/>
  <c r="N198" i="15"/>
  <c r="O200" i="15"/>
  <c r="W431" i="2"/>
  <c r="X409" i="2" s="1"/>
  <c r="X431" i="2"/>
  <c r="Y409" i="2" s="1"/>
  <c r="Y431" i="2"/>
  <c r="Z409" i="2" s="1"/>
  <c r="Z431" i="2"/>
  <c r="AA409" i="2" s="1"/>
  <c r="AA431" i="2"/>
  <c r="AB409" i="2" s="1"/>
  <c r="AB431" i="2"/>
  <c r="AC409" i="2" s="1"/>
  <c r="AC431" i="2"/>
  <c r="AD409" i="2" s="1"/>
  <c r="AD431" i="2"/>
  <c r="AE409" i="2" s="1"/>
  <c r="AE431" i="2"/>
  <c r="AF409" i="2" s="1"/>
  <c r="AF431" i="2"/>
  <c r="AG409" i="2" s="1"/>
  <c r="AG431" i="2"/>
  <c r="W422" i="2"/>
  <c r="X422" i="2"/>
  <c r="Y422" i="2"/>
  <c r="Z422" i="2"/>
  <c r="AA422" i="2"/>
  <c r="AB422" i="2"/>
  <c r="AC422" i="2"/>
  <c r="AD422" i="2"/>
  <c r="AE422" i="2"/>
  <c r="AF422" i="2"/>
  <c r="AG422" i="2"/>
  <c r="W416" i="2"/>
  <c r="X416" i="2"/>
  <c r="Y416" i="2"/>
  <c r="Z416" i="2"/>
  <c r="AA416" i="2"/>
  <c r="AB416" i="2"/>
  <c r="AC416" i="2"/>
  <c r="AD416" i="2"/>
  <c r="AE416" i="2"/>
  <c r="AF416" i="2"/>
  <c r="AG416" i="2"/>
  <c r="W448" i="2"/>
  <c r="W455" i="2" s="1"/>
  <c r="W462" i="2"/>
  <c r="W469" i="2" s="1"/>
  <c r="W476" i="2"/>
  <c r="W483" i="2" s="1"/>
  <c r="W495" i="2"/>
  <c r="W502" i="2"/>
  <c r="W568" i="2"/>
  <c r="W570" i="2"/>
  <c r="W579" i="2"/>
  <c r="W584" i="2"/>
  <c r="W604" i="2"/>
  <c r="W630" i="2" s="1"/>
  <c r="W609" i="2"/>
  <c r="W635" i="2" s="1"/>
  <c r="Q328" i="1"/>
  <c r="Q330" i="1" s="1"/>
  <c r="F356" i="1"/>
  <c r="F347" i="1"/>
  <c r="AA354" i="1"/>
  <c r="Y354" i="1"/>
  <c r="W354" i="1"/>
  <c r="U354" i="1"/>
  <c r="S354" i="1"/>
  <c r="R354" i="1"/>
  <c r="P354" i="1"/>
  <c r="O354" i="1"/>
  <c r="M354" i="1"/>
  <c r="K354" i="1"/>
  <c r="I354" i="1"/>
  <c r="H354" i="1"/>
  <c r="AA353" i="1"/>
  <c r="Y353" i="1"/>
  <c r="W353" i="1"/>
  <c r="U353" i="1"/>
  <c r="S353" i="1"/>
  <c r="R353" i="1"/>
  <c r="P353" i="1"/>
  <c r="O353" i="1"/>
  <c r="M353" i="1"/>
  <c r="K353" i="1"/>
  <c r="I353" i="1"/>
  <c r="H353" i="1"/>
  <c r="AA352" i="1"/>
  <c r="Y352" i="1"/>
  <c r="W352" i="1"/>
  <c r="U352" i="1"/>
  <c r="S352" i="1"/>
  <c r="R352" i="1"/>
  <c r="P352" i="1"/>
  <c r="O352" i="1"/>
  <c r="M352" i="1"/>
  <c r="K352" i="1"/>
  <c r="I352" i="1"/>
  <c r="H352" i="1"/>
  <c r="AA351" i="1"/>
  <c r="Y351" i="1"/>
  <c r="W351" i="1"/>
  <c r="U351" i="1"/>
  <c r="S351" i="1"/>
  <c r="R351" i="1"/>
  <c r="P351" i="1"/>
  <c r="O351" i="1"/>
  <c r="M351" i="1"/>
  <c r="K351" i="1"/>
  <c r="I351" i="1"/>
  <c r="H351" i="1"/>
  <c r="AA350" i="1"/>
  <c r="Y350" i="1"/>
  <c r="W350" i="1"/>
  <c r="U350" i="1"/>
  <c r="S350" i="1"/>
  <c r="R350" i="1"/>
  <c r="P350" i="1"/>
  <c r="O350" i="1"/>
  <c r="M350" i="1"/>
  <c r="K350" i="1"/>
  <c r="I350" i="1"/>
  <c r="H350" i="1"/>
  <c r="AA345" i="1"/>
  <c r="Y345" i="1"/>
  <c r="W345" i="1"/>
  <c r="U345" i="1"/>
  <c r="S345" i="1"/>
  <c r="R345" i="1"/>
  <c r="P345" i="1"/>
  <c r="O345" i="1"/>
  <c r="M345" i="1"/>
  <c r="K345" i="1"/>
  <c r="I345" i="1"/>
  <c r="H345" i="1"/>
  <c r="AA344" i="1"/>
  <c r="Y344" i="1"/>
  <c r="W344" i="1"/>
  <c r="U344" i="1"/>
  <c r="S344" i="1"/>
  <c r="R344" i="1"/>
  <c r="P344" i="1"/>
  <c r="O344" i="1"/>
  <c r="M344" i="1"/>
  <c r="K344" i="1"/>
  <c r="I344" i="1"/>
  <c r="H344" i="1"/>
  <c r="AA343" i="1"/>
  <c r="Y343" i="1"/>
  <c r="W343" i="1"/>
  <c r="U343" i="1"/>
  <c r="S343" i="1"/>
  <c r="R343" i="1"/>
  <c r="P343" i="1"/>
  <c r="O343" i="1"/>
  <c r="M343" i="1"/>
  <c r="K343" i="1"/>
  <c r="I343" i="1"/>
  <c r="H343" i="1"/>
  <c r="AA342" i="1"/>
  <c r="Y342" i="1"/>
  <c r="W342" i="1"/>
  <c r="U342" i="1"/>
  <c r="S342" i="1"/>
  <c r="R342" i="1"/>
  <c r="P342" i="1"/>
  <c r="O342" i="1"/>
  <c r="M342" i="1"/>
  <c r="K342" i="1"/>
  <c r="I342" i="1"/>
  <c r="H342" i="1"/>
  <c r="AA341" i="1"/>
  <c r="Y341" i="1"/>
  <c r="W341" i="1"/>
  <c r="U341" i="1"/>
  <c r="S341" i="1"/>
  <c r="R341" i="1"/>
  <c r="P341" i="1"/>
  <c r="O341" i="1"/>
  <c r="M341" i="1"/>
  <c r="K341" i="1"/>
  <c r="I341" i="1"/>
  <c r="H341" i="1"/>
  <c r="AA340" i="1"/>
  <c r="Y340" i="1"/>
  <c r="W340" i="1"/>
  <c r="U340" i="1"/>
  <c r="S340" i="1"/>
  <c r="R340" i="1"/>
  <c r="P340" i="1"/>
  <c r="O340" i="1"/>
  <c r="M340" i="1"/>
  <c r="K340" i="1"/>
  <c r="I340" i="1"/>
  <c r="H340" i="1"/>
  <c r="AA339" i="1"/>
  <c r="Y339" i="1"/>
  <c r="W339" i="1"/>
  <c r="U339" i="1"/>
  <c r="S339" i="1"/>
  <c r="R339" i="1"/>
  <c r="P339" i="1"/>
  <c r="O339" i="1"/>
  <c r="M339" i="1"/>
  <c r="K339" i="1"/>
  <c r="I339" i="1"/>
  <c r="H339" i="1"/>
  <c r="AA338" i="1"/>
  <c r="Y338" i="1"/>
  <c r="W338" i="1"/>
  <c r="U338" i="1"/>
  <c r="S338" i="1"/>
  <c r="R338" i="1"/>
  <c r="P338" i="1"/>
  <c r="O338" i="1"/>
  <c r="M338" i="1"/>
  <c r="K338" i="1"/>
  <c r="I338" i="1"/>
  <c r="H338" i="1"/>
  <c r="AA177" i="1"/>
  <c r="Y177" i="1"/>
  <c r="W177" i="1"/>
  <c r="U177" i="1"/>
  <c r="S177" i="1"/>
  <c r="R177" i="1"/>
  <c r="P177" i="1"/>
  <c r="O177" i="1"/>
  <c r="M177" i="1"/>
  <c r="K177" i="1"/>
  <c r="AB489" i="1"/>
  <c r="AC489" i="1" s="1"/>
  <c r="AA156" i="1"/>
  <c r="Y156" i="1"/>
  <c r="W156" i="1"/>
  <c r="U156" i="1"/>
  <c r="S156" i="1"/>
  <c r="R156" i="1"/>
  <c r="P156" i="1"/>
  <c r="O156" i="1"/>
  <c r="M156" i="1"/>
  <c r="K156" i="1"/>
  <c r="I156" i="1"/>
  <c r="H156" i="1"/>
  <c r="AA21" i="1"/>
  <c r="Y21" i="1"/>
  <c r="W21" i="1"/>
  <c r="U21" i="1"/>
  <c r="S21" i="1"/>
  <c r="R21" i="1"/>
  <c r="P21" i="1"/>
  <c r="O21" i="1"/>
  <c r="M21" i="1"/>
  <c r="K21" i="1"/>
  <c r="I21" i="1"/>
  <c r="H21" i="1"/>
  <c r="AA22" i="1"/>
  <c r="Y22" i="1"/>
  <c r="W22" i="1"/>
  <c r="U22" i="1"/>
  <c r="S22" i="1"/>
  <c r="R22" i="1"/>
  <c r="P22" i="1"/>
  <c r="O22" i="1"/>
  <c r="M22" i="1"/>
  <c r="K22" i="1"/>
  <c r="I22" i="1"/>
  <c r="H22" i="1"/>
  <c r="AA20" i="1"/>
  <c r="Y20" i="1"/>
  <c r="W20" i="1"/>
  <c r="U20" i="1"/>
  <c r="S20" i="1"/>
  <c r="R20" i="1"/>
  <c r="P20" i="1"/>
  <c r="O20" i="1"/>
  <c r="M20" i="1"/>
  <c r="K20" i="1"/>
  <c r="I20" i="1"/>
  <c r="H20" i="1"/>
  <c r="AA19" i="1"/>
  <c r="Y19" i="1"/>
  <c r="W19" i="1"/>
  <c r="U19" i="1"/>
  <c r="S19" i="1"/>
  <c r="R19" i="1"/>
  <c r="P19" i="1"/>
  <c r="O19" i="1"/>
  <c r="M19" i="1"/>
  <c r="K19" i="1"/>
  <c r="I19" i="1"/>
  <c r="H19" i="1"/>
  <c r="AA18" i="1"/>
  <c r="Y18" i="1"/>
  <c r="W18" i="1"/>
  <c r="U18" i="1"/>
  <c r="S18" i="1"/>
  <c r="R18" i="1"/>
  <c r="P18" i="1"/>
  <c r="O18" i="1"/>
  <c r="M18" i="1"/>
  <c r="K18" i="1"/>
  <c r="I18" i="1"/>
  <c r="H18" i="1"/>
  <c r="AA17" i="1"/>
  <c r="Y17" i="1"/>
  <c r="W17" i="1"/>
  <c r="U17" i="1"/>
  <c r="S17" i="1"/>
  <c r="R17" i="1"/>
  <c r="P17" i="1"/>
  <c r="O17" i="1"/>
  <c r="M17" i="1"/>
  <c r="K17" i="1"/>
  <c r="I17" i="1"/>
  <c r="H17" i="1"/>
  <c r="AA16" i="1"/>
  <c r="Y16" i="1"/>
  <c r="W16" i="1"/>
  <c r="U16" i="1"/>
  <c r="S16" i="1"/>
  <c r="R16" i="1"/>
  <c r="P16" i="1"/>
  <c r="O16" i="1"/>
  <c r="M16" i="1"/>
  <c r="K16" i="1"/>
  <c r="I16" i="1"/>
  <c r="H16" i="1"/>
  <c r="AA15" i="1"/>
  <c r="Y15" i="1"/>
  <c r="W15" i="1"/>
  <c r="U15" i="1"/>
  <c r="S15" i="1"/>
  <c r="R15" i="1"/>
  <c r="P15" i="1"/>
  <c r="O15" i="1"/>
  <c r="M15" i="1"/>
  <c r="K15" i="1"/>
  <c r="I15" i="1"/>
  <c r="H15" i="1"/>
  <c r="F24" i="1"/>
  <c r="K162" i="1"/>
  <c r="F159" i="1"/>
  <c r="F168" i="1"/>
  <c r="F180" i="1"/>
  <c r="AA176" i="1"/>
  <c r="Y176" i="1"/>
  <c r="W176" i="1"/>
  <c r="U176" i="1"/>
  <c r="S176" i="1"/>
  <c r="R176" i="1"/>
  <c r="P176" i="1"/>
  <c r="O176" i="1"/>
  <c r="M176" i="1"/>
  <c r="K176" i="1"/>
  <c r="Y241" i="1"/>
  <c r="K27" i="1"/>
  <c r="AF593" i="2"/>
  <c r="AF619" i="2" s="1"/>
  <c r="AF594" i="2"/>
  <c r="AF620" i="2" s="1"/>
  <c r="G457" i="2"/>
  <c r="H457" i="2"/>
  <c r="I457" i="2"/>
  <c r="J457" i="2"/>
  <c r="K457" i="2"/>
  <c r="L457" i="2"/>
  <c r="N457" i="2"/>
  <c r="O457" i="2"/>
  <c r="P457" i="2"/>
  <c r="Q457" i="2"/>
  <c r="R457" i="2"/>
  <c r="S457" i="2"/>
  <c r="T457" i="2"/>
  <c r="F457" i="2"/>
  <c r="E457" i="2"/>
  <c r="F428" i="2"/>
  <c r="N194" i="15"/>
  <c r="M194" i="15"/>
  <c r="K194" i="15"/>
  <c r="G194" i="15"/>
  <c r="F194" i="15"/>
  <c r="E194" i="15"/>
  <c r="C194" i="15"/>
  <c r="O189" i="15"/>
  <c r="O190" i="15" s="1"/>
  <c r="O99" i="15"/>
  <c r="O100" i="15" s="1"/>
  <c r="O69" i="15"/>
  <c r="O70" i="15" s="1"/>
  <c r="O49" i="15"/>
  <c r="O50" i="15" s="1"/>
  <c r="N40" i="15"/>
  <c r="N46" i="15" s="1"/>
  <c r="M40" i="15"/>
  <c r="M42" i="15" s="1"/>
  <c r="M44" i="15" s="1"/>
  <c r="L40" i="15"/>
  <c r="L42" i="15" s="1"/>
  <c r="L44" i="15" s="1"/>
  <c r="K40" i="15"/>
  <c r="K42" i="15" s="1"/>
  <c r="K44" i="15" s="1"/>
  <c r="J40" i="15"/>
  <c r="J42" i="15" s="1"/>
  <c r="J44" i="15" s="1"/>
  <c r="G40" i="15"/>
  <c r="G46" i="15" s="1"/>
  <c r="F40" i="15"/>
  <c r="F42" i="15" s="1"/>
  <c r="E40" i="15"/>
  <c r="E46" i="15" s="1"/>
  <c r="O39" i="15"/>
  <c r="D8" i="15" s="1"/>
  <c r="F429" i="2" s="1"/>
  <c r="E25" i="15"/>
  <c r="M40" i="1"/>
  <c r="L54" i="1"/>
  <c r="L56" i="1" s="1"/>
  <c r="L58" i="1" s="1"/>
  <c r="F54" i="1"/>
  <c r="F394" i="1"/>
  <c r="J56" i="1"/>
  <c r="J58" i="1" s="1"/>
  <c r="Q56" i="1"/>
  <c r="Q58" i="1" s="1"/>
  <c r="T56" i="1"/>
  <c r="T58" i="1" s="1"/>
  <c r="V56" i="1"/>
  <c r="V58" i="1" s="1"/>
  <c r="X56" i="1"/>
  <c r="X58" i="1" s="1"/>
  <c r="Z56" i="1"/>
  <c r="R464" i="2"/>
  <c r="AH464" i="2" s="1"/>
  <c r="AI464" i="2" s="1"/>
  <c r="N8" i="10"/>
  <c r="O8" i="10"/>
  <c r="F8" i="10"/>
  <c r="K7" i="10"/>
  <c r="K8" i="10" s="1"/>
  <c r="L7" i="10"/>
  <c r="L8" i="10" s="1"/>
  <c r="R7" i="10"/>
  <c r="R8" i="10" s="1"/>
  <c r="Q7" i="10"/>
  <c r="Q8" i="10" s="1"/>
  <c r="M7" i="10"/>
  <c r="M8" i="10"/>
  <c r="J7" i="10"/>
  <c r="J8" i="10" s="1"/>
  <c r="I7" i="10"/>
  <c r="I8" i="10" s="1"/>
  <c r="H7" i="10"/>
  <c r="H8" i="10" s="1"/>
  <c r="G7" i="10"/>
  <c r="S6" i="10"/>
  <c r="T6" i="10" s="1"/>
  <c r="AH497" i="2"/>
  <c r="AI497" i="2" s="1"/>
  <c r="K175" i="1"/>
  <c r="M175" i="1"/>
  <c r="O175" i="1"/>
  <c r="P175" i="1"/>
  <c r="R175" i="1"/>
  <c r="S175" i="1"/>
  <c r="U175" i="1"/>
  <c r="W175" i="1"/>
  <c r="Y175" i="1"/>
  <c r="AA175" i="1"/>
  <c r="AA434" i="1"/>
  <c r="W434" i="1"/>
  <c r="U434" i="1"/>
  <c r="S434" i="1"/>
  <c r="R434" i="1"/>
  <c r="P434" i="1"/>
  <c r="O434" i="1"/>
  <c r="M434" i="1"/>
  <c r="K434" i="1"/>
  <c r="I434" i="1"/>
  <c r="H434" i="1"/>
  <c r="Y434" i="1"/>
  <c r="AA255" i="1"/>
  <c r="W255" i="1"/>
  <c r="U255" i="1"/>
  <c r="S255" i="1"/>
  <c r="R255" i="1"/>
  <c r="P255" i="1"/>
  <c r="O255" i="1"/>
  <c r="M255" i="1"/>
  <c r="K255" i="1"/>
  <c r="I255" i="1"/>
  <c r="H255" i="1"/>
  <c r="Y255" i="1"/>
  <c r="AE462" i="2"/>
  <c r="AE492" i="2" s="1"/>
  <c r="AD462" i="2"/>
  <c r="AD492" i="2" s="1"/>
  <c r="AB462" i="2"/>
  <c r="AB492" i="2" s="1"/>
  <c r="AA433" i="2"/>
  <c r="AA434" i="2" s="1"/>
  <c r="AC433" i="2"/>
  <c r="AC435" i="2" s="1"/>
  <c r="AD420" i="2" s="1"/>
  <c r="AE433" i="2"/>
  <c r="AE435" i="2" s="1"/>
  <c r="AF420" i="2" s="1"/>
  <c r="AB433" i="2"/>
  <c r="AB435" i="2" s="1"/>
  <c r="AC420" i="2" s="1"/>
  <c r="AD433" i="2"/>
  <c r="AD435" i="2" s="1"/>
  <c r="AE420" i="2" s="1"/>
  <c r="AF433" i="2"/>
  <c r="AF434" i="2" s="1"/>
  <c r="AG433" i="2"/>
  <c r="AG435" i="2" s="1"/>
  <c r="AF448" i="2"/>
  <c r="AF455" i="2" s="1"/>
  <c r="AG448" i="2"/>
  <c r="AG455" i="2" s="1"/>
  <c r="AH450" i="2"/>
  <c r="AI450" i="2" s="1"/>
  <c r="AF462" i="2"/>
  <c r="AF492" i="2" s="1"/>
  <c r="AG462" i="2"/>
  <c r="AG492" i="2" s="1"/>
  <c r="E469" i="2"/>
  <c r="AE471" i="2"/>
  <c r="AH471" i="2" s="1"/>
  <c r="AI471" i="2" s="1"/>
  <c r="AG476" i="2"/>
  <c r="AG483" i="2" s="1"/>
  <c r="AH478" i="2"/>
  <c r="AI478" i="2" s="1"/>
  <c r="AF483" i="2"/>
  <c r="AH485" i="2"/>
  <c r="AI485" i="2" s="1"/>
  <c r="E492" i="2"/>
  <c r="AG502" i="2"/>
  <c r="AG630" i="2"/>
  <c r="AG635" i="2"/>
  <c r="AF636" i="2"/>
  <c r="AA462" i="2"/>
  <c r="AA492" i="2" s="1"/>
  <c r="AA476" i="2"/>
  <c r="AA483" i="2"/>
  <c r="AE483" i="2"/>
  <c r="AC448" i="2"/>
  <c r="AC455" i="2" s="1"/>
  <c r="AC476" i="2"/>
  <c r="AC483" i="2" s="1"/>
  <c r="K28" i="1"/>
  <c r="K29" i="1"/>
  <c r="K30" i="1"/>
  <c r="K31" i="1"/>
  <c r="K32" i="1"/>
  <c r="K33" i="1"/>
  <c r="M41" i="1"/>
  <c r="M295" i="1" s="1"/>
  <c r="M42" i="1"/>
  <c r="M402" i="1" s="1"/>
  <c r="M43" i="1"/>
  <c r="M44" i="1"/>
  <c r="M403" i="1" s="1"/>
  <c r="M45" i="1"/>
  <c r="M299" i="1" s="1"/>
  <c r="M46" i="1"/>
  <c r="M47" i="1"/>
  <c r="M301" i="1" s="1"/>
  <c r="M166" i="1"/>
  <c r="M48" i="1"/>
  <c r="M390" i="1" s="1"/>
  <c r="M49" i="1"/>
  <c r="M50" i="1"/>
  <c r="M51" i="1"/>
  <c r="M52" i="1"/>
  <c r="M305" i="1" s="1"/>
  <c r="O40" i="1"/>
  <c r="O41" i="1"/>
  <c r="O109" i="1" s="1"/>
  <c r="O42" i="1"/>
  <c r="O402" i="1" s="1"/>
  <c r="O48" i="1"/>
  <c r="O390" i="1" s="1"/>
  <c r="O49" i="1"/>
  <c r="O117" i="1" s="1"/>
  <c r="O50" i="1"/>
  <c r="O118" i="1" s="1"/>
  <c r="O154" i="1"/>
  <c r="O51" i="1"/>
  <c r="O52" i="1"/>
  <c r="O225" i="1" s="1"/>
  <c r="U27" i="1"/>
  <c r="U28" i="1"/>
  <c r="U29" i="1"/>
  <c r="U30" i="1"/>
  <c r="U31" i="1"/>
  <c r="U32" i="1"/>
  <c r="U33" i="1"/>
  <c r="U40" i="1"/>
  <c r="U41" i="1"/>
  <c r="U42" i="1"/>
  <c r="U203" i="1" s="1"/>
  <c r="U43" i="1"/>
  <c r="U44" i="1"/>
  <c r="U205" i="1" s="1"/>
  <c r="U45" i="1"/>
  <c r="U113" i="1" s="1"/>
  <c r="U46" i="1"/>
  <c r="U300" i="1" s="1"/>
  <c r="U47" i="1"/>
  <c r="U224" i="1" s="1"/>
  <c r="U48" i="1"/>
  <c r="U49" i="1"/>
  <c r="U226" i="1" s="1"/>
  <c r="U50" i="1"/>
  <c r="U207" i="1" s="1"/>
  <c r="U51" i="1"/>
  <c r="U52" i="1"/>
  <c r="U406" i="1" s="1"/>
  <c r="S27" i="1"/>
  <c r="S28" i="1"/>
  <c r="S29" i="1"/>
  <c r="S30" i="1"/>
  <c r="S31" i="1"/>
  <c r="S32" i="1"/>
  <c r="S33" i="1"/>
  <c r="S40" i="1"/>
  <c r="S41" i="1"/>
  <c r="S109" i="1" s="1"/>
  <c r="S42" i="1"/>
  <c r="S383" i="1" s="1"/>
  <c r="S43" i="1"/>
  <c r="S44" i="1"/>
  <c r="S45" i="1"/>
  <c r="S299" i="1" s="1"/>
  <c r="S46" i="1"/>
  <c r="S404" i="1" s="1"/>
  <c r="S47" i="1"/>
  <c r="S405" i="1" s="1"/>
  <c r="S48" i="1"/>
  <c r="S210" i="1" s="1"/>
  <c r="S49" i="1"/>
  <c r="S117" i="1" s="1"/>
  <c r="S50" i="1"/>
  <c r="S207" i="1" s="1"/>
  <c r="S51" i="1"/>
  <c r="S52" i="1"/>
  <c r="S225" i="1" s="1"/>
  <c r="R27" i="1"/>
  <c r="R28" i="1"/>
  <c r="R29" i="1"/>
  <c r="R30" i="1"/>
  <c r="R31" i="1"/>
  <c r="R32" i="1"/>
  <c r="R33" i="1"/>
  <c r="R40" i="1"/>
  <c r="R41" i="1"/>
  <c r="R42" i="1"/>
  <c r="R204" i="1" s="1"/>
  <c r="R43" i="1"/>
  <c r="R297" i="1" s="1"/>
  <c r="R44" i="1"/>
  <c r="R112" i="1" s="1"/>
  <c r="R45" i="1"/>
  <c r="R299" i="1" s="1"/>
  <c r="R46" i="1"/>
  <c r="R404" i="1" s="1"/>
  <c r="R47" i="1"/>
  <c r="R224" i="1" s="1"/>
  <c r="R48" i="1"/>
  <c r="R116" i="1" s="1"/>
  <c r="R49" i="1"/>
  <c r="R303" i="1" s="1"/>
  <c r="R50" i="1"/>
  <c r="R387" i="1" s="1"/>
  <c r="R51" i="1"/>
  <c r="R52" i="1"/>
  <c r="R305" i="1" s="1"/>
  <c r="M27" i="1"/>
  <c r="M28" i="1"/>
  <c r="M29" i="1"/>
  <c r="M30" i="1"/>
  <c r="M31" i="1"/>
  <c r="M32" i="1"/>
  <c r="M33" i="1"/>
  <c r="Y27" i="1"/>
  <c r="Y28" i="1"/>
  <c r="Y29" i="1"/>
  <c r="Y30" i="1"/>
  <c r="Y31" i="1"/>
  <c r="Y32" i="1"/>
  <c r="Y33" i="1"/>
  <c r="Y41" i="1"/>
  <c r="Y109" i="1" s="1"/>
  <c r="Y42" i="1"/>
  <c r="Y383" i="1" s="1"/>
  <c r="Y43" i="1"/>
  <c r="Y111" i="1" s="1"/>
  <c r="Y44" i="1"/>
  <c r="Y385" i="1" s="1"/>
  <c r="Y45" i="1"/>
  <c r="Y299" i="1" s="1"/>
  <c r="Y46" i="1"/>
  <c r="Y386" i="1" s="1"/>
  <c r="Y47" i="1"/>
  <c r="Y48" i="1"/>
  <c r="Y49" i="1"/>
  <c r="Y303" i="1" s="1"/>
  <c r="Y50" i="1"/>
  <c r="Y387" i="1" s="1"/>
  <c r="Y52" i="1"/>
  <c r="Y40" i="1"/>
  <c r="Y51" i="1"/>
  <c r="F75" i="1"/>
  <c r="AA27" i="1"/>
  <c r="AA28" i="1"/>
  <c r="AA29" i="1"/>
  <c r="AA30" i="1"/>
  <c r="AA31" i="1"/>
  <c r="AA32" i="1"/>
  <c r="AA33" i="1"/>
  <c r="AA40" i="1"/>
  <c r="AA41" i="1"/>
  <c r="AA42" i="1"/>
  <c r="AA204" i="1" s="1"/>
  <c r="AA43" i="1"/>
  <c r="AA111" i="1" s="1"/>
  <c r="AA44" i="1"/>
  <c r="AA298" i="1" s="1"/>
  <c r="AA45" i="1"/>
  <c r="AA299" i="1" s="1"/>
  <c r="AA46" i="1"/>
  <c r="AA206" i="1" s="1"/>
  <c r="AA47" i="1"/>
  <c r="AA224" i="1" s="1"/>
  <c r="AA48" i="1"/>
  <c r="AA390" i="1" s="1"/>
  <c r="AA157" i="1"/>
  <c r="AA49" i="1"/>
  <c r="AA407" i="1" s="1"/>
  <c r="AA50" i="1"/>
  <c r="AA154" i="1"/>
  <c r="AA51" i="1"/>
  <c r="AA52" i="1"/>
  <c r="AA305" i="1" s="1"/>
  <c r="P27" i="1"/>
  <c r="P28" i="1"/>
  <c r="P29" i="1"/>
  <c r="P30" i="1"/>
  <c r="P31" i="1"/>
  <c r="P32" i="1"/>
  <c r="P33" i="1"/>
  <c r="P40" i="1"/>
  <c r="P41" i="1"/>
  <c r="P109" i="1" s="1"/>
  <c r="P42" i="1"/>
  <c r="P221" i="1" s="1"/>
  <c r="P48" i="1"/>
  <c r="P302" i="1" s="1"/>
  <c r="P49" i="1"/>
  <c r="P303" i="1" s="1"/>
  <c r="P50" i="1"/>
  <c r="P118" i="1" s="1"/>
  <c r="P51" i="1"/>
  <c r="P52" i="1"/>
  <c r="P406" i="1" s="1"/>
  <c r="W27" i="1"/>
  <c r="W28" i="1"/>
  <c r="W29" i="1"/>
  <c r="W30" i="1"/>
  <c r="W31" i="1"/>
  <c r="W32" i="1"/>
  <c r="W33" i="1"/>
  <c r="W41" i="1"/>
  <c r="W42" i="1"/>
  <c r="W203" i="1" s="1"/>
  <c r="W43" i="1"/>
  <c r="W297" i="1" s="1"/>
  <c r="W44" i="1"/>
  <c r="W385" i="1" s="1"/>
  <c r="W45" i="1"/>
  <c r="W299" i="1" s="1"/>
  <c r="W46" i="1"/>
  <c r="W223" i="1" s="1"/>
  <c r="W47" i="1"/>
  <c r="W115" i="1" s="1"/>
  <c r="W48" i="1"/>
  <c r="W210" i="1" s="1"/>
  <c r="W49" i="1"/>
  <c r="W407" i="1" s="1"/>
  <c r="W50" i="1"/>
  <c r="W387" i="1" s="1"/>
  <c r="W52" i="1"/>
  <c r="W119" i="1" s="1"/>
  <c r="W40" i="1"/>
  <c r="W51" i="1"/>
  <c r="O27" i="1"/>
  <c r="O28" i="1"/>
  <c r="O29" i="1"/>
  <c r="O30" i="1"/>
  <c r="O31" i="1"/>
  <c r="O32" i="1"/>
  <c r="O33" i="1"/>
  <c r="F12" i="1"/>
  <c r="F91" i="1"/>
  <c r="F99" i="1" s="1"/>
  <c r="F124" i="1"/>
  <c r="Y389" i="1"/>
  <c r="Y364" i="1"/>
  <c r="Y365" i="1"/>
  <c r="Y419" i="1"/>
  <c r="Y420" i="1"/>
  <c r="Y421" i="1"/>
  <c r="Y422" i="1"/>
  <c r="Y423" i="1"/>
  <c r="Y428" i="1"/>
  <c r="Y429" i="1"/>
  <c r="Y430" i="1"/>
  <c r="Y431" i="1"/>
  <c r="Y432" i="1"/>
  <c r="Y433" i="1"/>
  <c r="Y435" i="1"/>
  <c r="Y436" i="1"/>
  <c r="Y437" i="1"/>
  <c r="Y438" i="1"/>
  <c r="Y209" i="1"/>
  <c r="Y212" i="1"/>
  <c r="Y240" i="1"/>
  <c r="Y242" i="1"/>
  <c r="Y243" i="1"/>
  <c r="Y249" i="1"/>
  <c r="Y250" i="1"/>
  <c r="Y251" i="1"/>
  <c r="Y252" i="1"/>
  <c r="Y253" i="1"/>
  <c r="Y254" i="1"/>
  <c r="Y256" i="1"/>
  <c r="Y257" i="1"/>
  <c r="Y259" i="1"/>
  <c r="Y260" i="1"/>
  <c r="F410" i="1"/>
  <c r="F379" i="1"/>
  <c r="F425" i="1"/>
  <c r="W209" i="1"/>
  <c r="W212" i="1"/>
  <c r="W178" i="1"/>
  <c r="W240" i="1"/>
  <c r="W241" i="1"/>
  <c r="W242" i="1"/>
  <c r="W243" i="1"/>
  <c r="W244" i="1"/>
  <c r="W249" i="1"/>
  <c r="W250" i="1"/>
  <c r="W251" i="1"/>
  <c r="W252" i="1"/>
  <c r="W253" i="1"/>
  <c r="W254" i="1"/>
  <c r="W256" i="1"/>
  <c r="W257" i="1"/>
  <c r="W259" i="1"/>
  <c r="W260" i="1"/>
  <c r="W389" i="1"/>
  <c r="W419" i="1"/>
  <c r="W420" i="1"/>
  <c r="W421" i="1"/>
  <c r="W422" i="1"/>
  <c r="W423" i="1"/>
  <c r="W428" i="1"/>
  <c r="W429" i="1"/>
  <c r="W430" i="1"/>
  <c r="W431" i="1"/>
  <c r="W432" i="1"/>
  <c r="W433" i="1"/>
  <c r="W435" i="1"/>
  <c r="W436" i="1"/>
  <c r="W437" i="1"/>
  <c r="W438" i="1"/>
  <c r="Y178" i="1"/>
  <c r="U209" i="1"/>
  <c r="U212" i="1"/>
  <c r="U178" i="1"/>
  <c r="U240" i="1"/>
  <c r="U241" i="1"/>
  <c r="U242" i="1"/>
  <c r="U243" i="1"/>
  <c r="U244" i="1"/>
  <c r="U249" i="1"/>
  <c r="U250" i="1"/>
  <c r="U251" i="1"/>
  <c r="U252" i="1"/>
  <c r="U253" i="1"/>
  <c r="U254" i="1"/>
  <c r="U256" i="1"/>
  <c r="U257" i="1"/>
  <c r="U259" i="1"/>
  <c r="U260" i="1"/>
  <c r="U389" i="1"/>
  <c r="U419" i="1"/>
  <c r="U420" i="1"/>
  <c r="U421" i="1"/>
  <c r="U422" i="1"/>
  <c r="U423" i="1"/>
  <c r="U428" i="1"/>
  <c r="U429" i="1"/>
  <c r="U430" i="1"/>
  <c r="U431" i="1"/>
  <c r="U432" i="1"/>
  <c r="U433" i="1"/>
  <c r="U435" i="1"/>
  <c r="U436" i="1"/>
  <c r="U437" i="1"/>
  <c r="U438" i="1"/>
  <c r="U364" i="1"/>
  <c r="U365" i="1"/>
  <c r="R389" i="1"/>
  <c r="R364" i="1"/>
  <c r="R365" i="1"/>
  <c r="R419" i="1"/>
  <c r="R420" i="1"/>
  <c r="R421" i="1"/>
  <c r="R422" i="1"/>
  <c r="R423" i="1"/>
  <c r="R428" i="1"/>
  <c r="R429" i="1"/>
  <c r="R430" i="1"/>
  <c r="R431" i="1"/>
  <c r="R432" i="1"/>
  <c r="R433" i="1"/>
  <c r="R435" i="1"/>
  <c r="R436" i="1"/>
  <c r="R437" i="1"/>
  <c r="R438" i="1"/>
  <c r="R209" i="1"/>
  <c r="R212" i="1"/>
  <c r="R240" i="1"/>
  <c r="R241" i="1"/>
  <c r="R242" i="1"/>
  <c r="R243" i="1"/>
  <c r="R244" i="1"/>
  <c r="R249" i="1"/>
  <c r="R250" i="1"/>
  <c r="R251" i="1"/>
  <c r="R252" i="1"/>
  <c r="R253" i="1"/>
  <c r="R254" i="1"/>
  <c r="R256" i="1"/>
  <c r="R257" i="1"/>
  <c r="R259" i="1"/>
  <c r="R260" i="1"/>
  <c r="R178" i="1"/>
  <c r="W364" i="1"/>
  <c r="W365" i="1"/>
  <c r="K202" i="1"/>
  <c r="K42" i="1"/>
  <c r="K402" i="1" s="1"/>
  <c r="K44" i="1"/>
  <c r="K222" i="1" s="1"/>
  <c r="K46" i="1"/>
  <c r="K223" i="1" s="1"/>
  <c r="K50" i="1"/>
  <c r="K304" i="1" s="1"/>
  <c r="K49" i="1"/>
  <c r="K209" i="1"/>
  <c r="K48" i="1"/>
  <c r="K302" i="1" s="1"/>
  <c r="K211" i="1"/>
  <c r="K212" i="1"/>
  <c r="K213" i="1"/>
  <c r="K220" i="1"/>
  <c r="K47" i="1"/>
  <c r="K405" i="1" s="1"/>
  <c r="K52" i="1"/>
  <c r="K406" i="1" s="1"/>
  <c r="K227" i="1"/>
  <c r="K240" i="1"/>
  <c r="K241" i="1"/>
  <c r="K242" i="1"/>
  <c r="K243" i="1"/>
  <c r="K244" i="1"/>
  <c r="K249" i="1"/>
  <c r="K250" i="1"/>
  <c r="K251" i="1"/>
  <c r="K252" i="1"/>
  <c r="K253" i="1"/>
  <c r="K254" i="1"/>
  <c r="K256" i="1"/>
  <c r="K257" i="1"/>
  <c r="K259" i="1"/>
  <c r="K260" i="1"/>
  <c r="K382" i="1"/>
  <c r="K389" i="1"/>
  <c r="K391" i="1"/>
  <c r="K392" i="1"/>
  <c r="K401" i="1"/>
  <c r="K408" i="1"/>
  <c r="K419" i="1"/>
  <c r="K420" i="1"/>
  <c r="K421" i="1"/>
  <c r="K422" i="1"/>
  <c r="K423" i="1"/>
  <c r="K428" i="1"/>
  <c r="K429" i="1"/>
  <c r="K430" i="1"/>
  <c r="K431" i="1"/>
  <c r="K432" i="1"/>
  <c r="K433" i="1"/>
  <c r="K435" i="1"/>
  <c r="K436" i="1"/>
  <c r="K437" i="1"/>
  <c r="K438" i="1"/>
  <c r="K78" i="1"/>
  <c r="K41" i="1"/>
  <c r="K43" i="1"/>
  <c r="K297" i="1" s="1"/>
  <c r="K45" i="1"/>
  <c r="K108" i="1"/>
  <c r="S389" i="1"/>
  <c r="S364" i="1"/>
  <c r="S365" i="1"/>
  <c r="S419" i="1"/>
  <c r="S420" i="1"/>
  <c r="S421" i="1"/>
  <c r="S422" i="1"/>
  <c r="S423" i="1"/>
  <c r="S428" i="1"/>
  <c r="S429" i="1"/>
  <c r="S430" i="1"/>
  <c r="S431" i="1"/>
  <c r="S432" i="1"/>
  <c r="S433" i="1"/>
  <c r="S435" i="1"/>
  <c r="S436" i="1"/>
  <c r="S437" i="1"/>
  <c r="S438" i="1"/>
  <c r="S209" i="1"/>
  <c r="S212" i="1"/>
  <c r="S240" i="1"/>
  <c r="S241" i="1"/>
  <c r="S242" i="1"/>
  <c r="S243" i="1"/>
  <c r="S244" i="1"/>
  <c r="S249" i="1"/>
  <c r="S250" i="1"/>
  <c r="S251" i="1"/>
  <c r="S252" i="1"/>
  <c r="S253" i="1"/>
  <c r="S254" i="1"/>
  <c r="S256" i="1"/>
  <c r="S257" i="1"/>
  <c r="S259" i="1"/>
  <c r="S260" i="1"/>
  <c r="AA209" i="1"/>
  <c r="AA212" i="1"/>
  <c r="AA178" i="1"/>
  <c r="AA240" i="1"/>
  <c r="AA241" i="1"/>
  <c r="AA242" i="1"/>
  <c r="AA243" i="1"/>
  <c r="AA244" i="1"/>
  <c r="AA249" i="1"/>
  <c r="AA250" i="1"/>
  <c r="AA251" i="1"/>
  <c r="AA252" i="1"/>
  <c r="AA253" i="1"/>
  <c r="AA254" i="1"/>
  <c r="AA256" i="1"/>
  <c r="AA257" i="1"/>
  <c r="AA259" i="1"/>
  <c r="AA260" i="1"/>
  <c r="AA389" i="1"/>
  <c r="AA419" i="1"/>
  <c r="AA420" i="1"/>
  <c r="AA421" i="1"/>
  <c r="AA422" i="1"/>
  <c r="AA423" i="1"/>
  <c r="AA428" i="1"/>
  <c r="AA429" i="1"/>
  <c r="AA430" i="1"/>
  <c r="AA431" i="1"/>
  <c r="AA432" i="1"/>
  <c r="AA433" i="1"/>
  <c r="AA435" i="1"/>
  <c r="AA436" i="1"/>
  <c r="AA437" i="1"/>
  <c r="AA438" i="1"/>
  <c r="P209" i="1"/>
  <c r="P212" i="1"/>
  <c r="P178" i="1"/>
  <c r="P240" i="1"/>
  <c r="P241" i="1"/>
  <c r="P242" i="1"/>
  <c r="P243" i="1"/>
  <c r="P244" i="1"/>
  <c r="P249" i="1"/>
  <c r="P250" i="1"/>
  <c r="P251" i="1"/>
  <c r="P252" i="1"/>
  <c r="P253" i="1"/>
  <c r="P254" i="1"/>
  <c r="P256" i="1"/>
  <c r="P257" i="1"/>
  <c r="P259" i="1"/>
  <c r="P260" i="1"/>
  <c r="P389" i="1"/>
  <c r="P419" i="1"/>
  <c r="P420" i="1"/>
  <c r="P421" i="1"/>
  <c r="P422" i="1"/>
  <c r="P423" i="1"/>
  <c r="P428" i="1"/>
  <c r="P429" i="1"/>
  <c r="P430" i="1"/>
  <c r="P431" i="1"/>
  <c r="P432" i="1"/>
  <c r="P433" i="1"/>
  <c r="P435" i="1"/>
  <c r="P436" i="1"/>
  <c r="P437" i="1"/>
  <c r="P438" i="1"/>
  <c r="I40" i="1"/>
  <c r="I41" i="1"/>
  <c r="I295" i="1" s="1"/>
  <c r="I42" i="1"/>
  <c r="I402" i="1" s="1"/>
  <c r="I43" i="1"/>
  <c r="I111" i="1" s="1"/>
  <c r="I44" i="1"/>
  <c r="I403" i="1" s="1"/>
  <c r="I45" i="1"/>
  <c r="I113" i="1" s="1"/>
  <c r="I46" i="1"/>
  <c r="I404" i="1" s="1"/>
  <c r="I47" i="1"/>
  <c r="I48" i="1"/>
  <c r="I302" i="1" s="1"/>
  <c r="I157" i="1"/>
  <c r="I49" i="1"/>
  <c r="I50" i="1"/>
  <c r="I118" i="1" s="1"/>
  <c r="I51" i="1"/>
  <c r="I52" i="1"/>
  <c r="I119" i="1" s="1"/>
  <c r="I209" i="1"/>
  <c r="I212" i="1"/>
  <c r="I27" i="1"/>
  <c r="I28" i="1"/>
  <c r="I29" i="1"/>
  <c r="I30" i="1"/>
  <c r="I31" i="1"/>
  <c r="I32" i="1"/>
  <c r="I33" i="1"/>
  <c r="I240" i="1"/>
  <c r="I241" i="1"/>
  <c r="I242" i="1"/>
  <c r="I243" i="1"/>
  <c r="I244" i="1"/>
  <c r="I249" i="1"/>
  <c r="I250" i="1"/>
  <c r="I251" i="1"/>
  <c r="I252" i="1"/>
  <c r="I253" i="1"/>
  <c r="I254" i="1"/>
  <c r="I256" i="1"/>
  <c r="I257" i="1"/>
  <c r="I259" i="1"/>
  <c r="I260" i="1"/>
  <c r="I389" i="1"/>
  <c r="I419" i="1"/>
  <c r="I420" i="1"/>
  <c r="I421" i="1"/>
  <c r="I422" i="1"/>
  <c r="I423" i="1"/>
  <c r="I428" i="1"/>
  <c r="I429" i="1"/>
  <c r="I430" i="1"/>
  <c r="I431" i="1"/>
  <c r="I432" i="1"/>
  <c r="I433" i="1"/>
  <c r="I435" i="1"/>
  <c r="I436" i="1"/>
  <c r="I437" i="1"/>
  <c r="I438" i="1"/>
  <c r="M209" i="1"/>
  <c r="M212" i="1"/>
  <c r="M178" i="1"/>
  <c r="M240" i="1"/>
  <c r="M241" i="1"/>
  <c r="M242" i="1"/>
  <c r="M243" i="1"/>
  <c r="M244" i="1"/>
  <c r="M249" i="1"/>
  <c r="M250" i="1"/>
  <c r="M251" i="1"/>
  <c r="M252" i="1"/>
  <c r="M253" i="1"/>
  <c r="M254" i="1"/>
  <c r="M256" i="1"/>
  <c r="M257" i="1"/>
  <c r="M259" i="1"/>
  <c r="M260" i="1"/>
  <c r="M389" i="1"/>
  <c r="M419" i="1"/>
  <c r="M420" i="1"/>
  <c r="M421" i="1"/>
  <c r="M422" i="1"/>
  <c r="M423" i="1"/>
  <c r="M428" i="1"/>
  <c r="M429" i="1"/>
  <c r="M430" i="1"/>
  <c r="M431" i="1"/>
  <c r="M432" i="1"/>
  <c r="M433" i="1"/>
  <c r="M435" i="1"/>
  <c r="M436" i="1"/>
  <c r="M437" i="1"/>
  <c r="M438" i="1"/>
  <c r="AA364" i="1"/>
  <c r="AA365" i="1"/>
  <c r="M364" i="1"/>
  <c r="M365" i="1"/>
  <c r="S178" i="1"/>
  <c r="P364" i="1"/>
  <c r="P365" i="1"/>
  <c r="O389" i="1"/>
  <c r="O364" i="1"/>
  <c r="O365" i="1"/>
  <c r="O419" i="1"/>
  <c r="O420" i="1"/>
  <c r="O421" i="1"/>
  <c r="O422" i="1"/>
  <c r="O423" i="1"/>
  <c r="O428" i="1"/>
  <c r="O429" i="1"/>
  <c r="O430" i="1"/>
  <c r="O431" i="1"/>
  <c r="O432" i="1"/>
  <c r="O433" i="1"/>
  <c r="O435" i="1"/>
  <c r="O436" i="1"/>
  <c r="O437" i="1"/>
  <c r="O438" i="1"/>
  <c r="O209" i="1"/>
  <c r="O212" i="1"/>
  <c r="O240" i="1"/>
  <c r="O241" i="1"/>
  <c r="O242" i="1"/>
  <c r="O243" i="1"/>
  <c r="O244" i="1"/>
  <c r="O249" i="1"/>
  <c r="O250" i="1"/>
  <c r="O251" i="1"/>
  <c r="O252" i="1"/>
  <c r="O253" i="1"/>
  <c r="O254" i="1"/>
  <c r="O256" i="1"/>
  <c r="O257" i="1"/>
  <c r="O259" i="1"/>
  <c r="O260" i="1"/>
  <c r="O178" i="1"/>
  <c r="K306" i="1"/>
  <c r="K310" i="1"/>
  <c r="H40" i="1"/>
  <c r="H41" i="1"/>
  <c r="H109" i="1" s="1"/>
  <c r="H42" i="1"/>
  <c r="H383" i="1" s="1"/>
  <c r="H43" i="1"/>
  <c r="H111" i="1" s="1"/>
  <c r="H44" i="1"/>
  <c r="H205" i="1" s="1"/>
  <c r="H45" i="1"/>
  <c r="H299" i="1" s="1"/>
  <c r="H46" i="1"/>
  <c r="H114" i="1" s="1"/>
  <c r="H47" i="1"/>
  <c r="H405" i="1" s="1"/>
  <c r="H48" i="1"/>
  <c r="H390" i="1" s="1"/>
  <c r="H49" i="1"/>
  <c r="H303" i="1" s="1"/>
  <c r="H50" i="1"/>
  <c r="H118" i="1" s="1"/>
  <c r="H51" i="1"/>
  <c r="H52" i="1"/>
  <c r="H225" i="1" s="1"/>
  <c r="H209" i="1"/>
  <c r="H212" i="1"/>
  <c r="H27" i="1"/>
  <c r="H28" i="1"/>
  <c r="H29" i="1"/>
  <c r="H30" i="1"/>
  <c r="H31" i="1"/>
  <c r="H32" i="1"/>
  <c r="H33" i="1"/>
  <c r="H240" i="1"/>
  <c r="H241" i="1"/>
  <c r="H242" i="1"/>
  <c r="H243" i="1"/>
  <c r="H244" i="1"/>
  <c r="H249" i="1"/>
  <c r="H251" i="1"/>
  <c r="H252" i="1"/>
  <c r="H253" i="1"/>
  <c r="H254" i="1"/>
  <c r="H256" i="1"/>
  <c r="H257" i="1"/>
  <c r="H259" i="1"/>
  <c r="H260" i="1"/>
  <c r="H389" i="1"/>
  <c r="H419" i="1"/>
  <c r="H420" i="1"/>
  <c r="H421" i="1"/>
  <c r="H422" i="1"/>
  <c r="H423" i="1"/>
  <c r="H428" i="1"/>
  <c r="H429" i="1"/>
  <c r="H430" i="1"/>
  <c r="H431" i="1"/>
  <c r="H432" i="1"/>
  <c r="H433" i="1"/>
  <c r="H435" i="1"/>
  <c r="H436" i="1"/>
  <c r="H437" i="1"/>
  <c r="H438" i="1"/>
  <c r="K40" i="1"/>
  <c r="K51" i="1"/>
  <c r="F367" i="1"/>
  <c r="F461" i="1"/>
  <c r="F312" i="1"/>
  <c r="T328" i="1"/>
  <c r="T330" i="1" s="1"/>
  <c r="V328" i="1"/>
  <c r="V330" i="1"/>
  <c r="X328" i="1"/>
  <c r="X330" i="1" s="1"/>
  <c r="Z328" i="1"/>
  <c r="Z330" i="1" s="1"/>
  <c r="AB469" i="1"/>
  <c r="AC469" i="1" s="1"/>
  <c r="AB474" i="1"/>
  <c r="AC474" i="1" s="1"/>
  <c r="AB475" i="1"/>
  <c r="AC475" i="1" s="1"/>
  <c r="AB476" i="1"/>
  <c r="AC476" i="1" s="1"/>
  <c r="AB477" i="1"/>
  <c r="AC477" i="1" s="1"/>
  <c r="AB478" i="1"/>
  <c r="AC478" i="1" s="1"/>
  <c r="AB479" i="1"/>
  <c r="AC479" i="1" s="1"/>
  <c r="AB480" i="1"/>
  <c r="AC480" i="1" s="1"/>
  <c r="AB485" i="1"/>
  <c r="AC485" i="1" s="1"/>
  <c r="AB486" i="1"/>
  <c r="AC486" i="1" s="1"/>
  <c r="AB487" i="1"/>
  <c r="AC487" i="1" s="1"/>
  <c r="AB488" i="1"/>
  <c r="AC488" i="1" s="1"/>
  <c r="AB476" i="2"/>
  <c r="AB483" i="2" s="1"/>
  <c r="AB448" i="2"/>
  <c r="AB455" i="2" s="1"/>
  <c r="F440" i="1"/>
  <c r="AA448" i="2"/>
  <c r="AA455" i="2" s="1"/>
  <c r="AC462" i="2"/>
  <c r="AC469" i="2" s="1"/>
  <c r="AD448" i="2"/>
  <c r="AD455" i="2" s="1"/>
  <c r="AD476" i="2"/>
  <c r="AD483" i="2" s="1"/>
  <c r="AE448" i="2"/>
  <c r="AE455" i="2" s="1"/>
  <c r="K365" i="1"/>
  <c r="K364" i="1"/>
  <c r="K178" i="1"/>
  <c r="AA502" i="2"/>
  <c r="AA495" i="2"/>
  <c r="Y502" i="2"/>
  <c r="Z502" i="2"/>
  <c r="X502" i="2"/>
  <c r="Z462" i="2"/>
  <c r="Z492" i="2" s="1"/>
  <c r="X476" i="2"/>
  <c r="X483" i="2" s="1"/>
  <c r="Z448" i="2"/>
  <c r="Z455" i="2" s="1"/>
  <c r="X462" i="2"/>
  <c r="X469" i="2" s="1"/>
  <c r="Y462" i="2"/>
  <c r="Z495" i="2"/>
  <c r="AH504" i="2"/>
  <c r="AI504" i="2" s="1"/>
  <c r="Y495" i="2"/>
  <c r="Y476" i="2"/>
  <c r="Y483" i="2" s="1"/>
  <c r="X495" i="2"/>
  <c r="Y448" i="2"/>
  <c r="Y455" i="2" s="1"/>
  <c r="Z476" i="2"/>
  <c r="Z483" i="2" s="1"/>
  <c r="X448" i="2"/>
  <c r="X455" i="2" s="1"/>
  <c r="G8" i="10"/>
  <c r="P7" i="10"/>
  <c r="P8" i="10"/>
  <c r="AG609" i="2"/>
  <c r="AG584" i="2"/>
  <c r="AG580" i="2"/>
  <c r="AF570" i="2"/>
  <c r="AA570" i="2"/>
  <c r="AB570" i="2"/>
  <c r="V570" i="2"/>
  <c r="Z570" i="2"/>
  <c r="AE570" i="2"/>
  <c r="U570" i="2"/>
  <c r="AC570" i="2"/>
  <c r="AD570" i="2"/>
  <c r="AG570" i="2"/>
  <c r="AG594" i="2"/>
  <c r="AG620" i="2" s="1"/>
  <c r="Y570" i="2"/>
  <c r="X570" i="2"/>
  <c r="E455" i="2"/>
  <c r="V579" i="2"/>
  <c r="V604" i="2"/>
  <c r="V630" i="2" s="1"/>
  <c r="X579" i="2"/>
  <c r="X604" i="2"/>
  <c r="X630" i="2" s="1"/>
  <c r="AC604" i="2"/>
  <c r="AC630" i="2" s="1"/>
  <c r="AC579" i="2"/>
  <c r="AE584" i="2"/>
  <c r="AE609" i="2"/>
  <c r="AE635" i="2" s="1"/>
  <c r="AB579" i="2"/>
  <c r="AB604" i="2"/>
  <c r="AB630" i="2" s="1"/>
  <c r="AD609" i="2"/>
  <c r="AD635" i="2" s="1"/>
  <c r="AD584" i="2"/>
  <c r="Z609" i="2"/>
  <c r="Z635" i="2" s="1"/>
  <c r="Z584" i="2"/>
  <c r="U609" i="2"/>
  <c r="U635" i="2" s="1"/>
  <c r="U584" i="2"/>
  <c r="Y584" i="2"/>
  <c r="Y609" i="2"/>
  <c r="Y635" i="2" s="1"/>
  <c r="AA584" i="2"/>
  <c r="AA609" i="2"/>
  <c r="AA635" i="2" s="1"/>
  <c r="AF579" i="2"/>
  <c r="AF604" i="2"/>
  <c r="AF630" i="2" s="1"/>
  <c r="AG585" i="2"/>
  <c r="AB584" i="2"/>
  <c r="AB609" i="2"/>
  <c r="AB635" i="2" s="1"/>
  <c r="Z579" i="2"/>
  <c r="Z604" i="2"/>
  <c r="Z630" i="2" s="1"/>
  <c r="Y604" i="2"/>
  <c r="Y630" i="2" s="1"/>
  <c r="Y579" i="2"/>
  <c r="AA604" i="2"/>
  <c r="AA630" i="2" s="1"/>
  <c r="AA579" i="2"/>
  <c r="AF609" i="2"/>
  <c r="AF635" i="2" s="1"/>
  <c r="AF637" i="2" s="1"/>
  <c r="AF584" i="2"/>
  <c r="AG604" i="2"/>
  <c r="AG579" i="2"/>
  <c r="AD604" i="2"/>
  <c r="AD630" i="2" s="1"/>
  <c r="AD579" i="2"/>
  <c r="V609" i="2"/>
  <c r="V635" i="2" s="1"/>
  <c r="V584" i="2"/>
  <c r="X584" i="2"/>
  <c r="X609" i="2"/>
  <c r="X635" i="2" s="1"/>
  <c r="AC609" i="2"/>
  <c r="AC635" i="2" s="1"/>
  <c r="AC584" i="2"/>
  <c r="AE579" i="2"/>
  <c r="AE604" i="2"/>
  <c r="AE630" i="2" s="1"/>
  <c r="U604" i="2"/>
  <c r="U630" i="2" s="1"/>
  <c r="U579" i="2"/>
  <c r="AE568" i="2"/>
  <c r="AD568" i="2"/>
  <c r="AG568" i="2"/>
  <c r="AG593" i="2"/>
  <c r="AG619" i="2" s="1"/>
  <c r="U568" i="2"/>
  <c r="V568" i="2"/>
  <c r="Y568" i="2"/>
  <c r="AF568" i="2"/>
  <c r="AB568" i="2"/>
  <c r="X568" i="2"/>
  <c r="Z568" i="2"/>
  <c r="AC568" i="2"/>
  <c r="AA568" i="2"/>
  <c r="R162" i="1"/>
  <c r="S162" i="1"/>
  <c r="H157" i="1"/>
  <c r="H152" i="1"/>
  <c r="H164" i="1"/>
  <c r="I166" i="1"/>
  <c r="K155" i="1"/>
  <c r="K151" i="1"/>
  <c r="K163" i="1"/>
  <c r="K150" i="1"/>
  <c r="W166" i="1"/>
  <c r="P154" i="1"/>
  <c r="P153" i="1"/>
  <c r="P165" i="1"/>
  <c r="P151" i="1"/>
  <c r="P163" i="1"/>
  <c r="P150" i="1"/>
  <c r="AA153" i="1"/>
  <c r="AA165" i="1"/>
  <c r="AA151" i="1"/>
  <c r="AA163" i="1"/>
  <c r="AA150" i="1"/>
  <c r="Y157" i="1"/>
  <c r="Y152" i="1"/>
  <c r="Y164" i="1"/>
  <c r="R154" i="1"/>
  <c r="R165" i="1"/>
  <c r="R153" i="1"/>
  <c r="R151" i="1"/>
  <c r="R163" i="1"/>
  <c r="R150" i="1"/>
  <c r="S154" i="1"/>
  <c r="S153" i="1"/>
  <c r="S165" i="1"/>
  <c r="S151" i="1"/>
  <c r="S163" i="1"/>
  <c r="S150" i="1"/>
  <c r="U154" i="1"/>
  <c r="U153" i="1"/>
  <c r="U165" i="1"/>
  <c r="U163" i="1"/>
  <c r="U150" i="1"/>
  <c r="U151" i="1"/>
  <c r="O153" i="1"/>
  <c r="O165" i="1"/>
  <c r="O163" i="1"/>
  <c r="O150" i="1"/>
  <c r="O151" i="1"/>
  <c r="H155" i="1"/>
  <c r="I164" i="1"/>
  <c r="I152" i="1"/>
  <c r="K152" i="1"/>
  <c r="K164" i="1"/>
  <c r="W157" i="1"/>
  <c r="W164" i="1"/>
  <c r="W152" i="1"/>
  <c r="P166" i="1"/>
  <c r="AA166" i="1"/>
  <c r="Y155" i="1"/>
  <c r="R166" i="1"/>
  <c r="S166" i="1"/>
  <c r="U166" i="1"/>
  <c r="O166" i="1"/>
  <c r="M157" i="1"/>
  <c r="M152" i="1"/>
  <c r="M164" i="1"/>
  <c r="H154" i="1"/>
  <c r="H153" i="1"/>
  <c r="H165" i="1"/>
  <c r="H163" i="1"/>
  <c r="H150" i="1"/>
  <c r="H151" i="1"/>
  <c r="I155" i="1"/>
  <c r="K157" i="1"/>
  <c r="K165" i="1"/>
  <c r="K153" i="1"/>
  <c r="W155" i="1"/>
  <c r="P157" i="1"/>
  <c r="P164" i="1"/>
  <c r="P152" i="1"/>
  <c r="AA152" i="1"/>
  <c r="AA164" i="1"/>
  <c r="Y154" i="1"/>
  <c r="Y165" i="1"/>
  <c r="Y153" i="1"/>
  <c r="Y151" i="1"/>
  <c r="Y163" i="1"/>
  <c r="Y150" i="1"/>
  <c r="R157" i="1"/>
  <c r="R152" i="1"/>
  <c r="R164" i="1"/>
  <c r="S157" i="1"/>
  <c r="S152" i="1"/>
  <c r="S164" i="1"/>
  <c r="U157" i="1"/>
  <c r="U152" i="1"/>
  <c r="U164" i="1"/>
  <c r="O157" i="1"/>
  <c r="O152" i="1"/>
  <c r="O164" i="1"/>
  <c r="M155" i="1"/>
  <c r="O162" i="1"/>
  <c r="H166" i="1"/>
  <c r="I154" i="1"/>
  <c r="I153" i="1"/>
  <c r="I165" i="1"/>
  <c r="I151" i="1"/>
  <c r="I163" i="1"/>
  <c r="I150" i="1"/>
  <c r="K166" i="1"/>
  <c r="K154" i="1"/>
  <c r="W154" i="1"/>
  <c r="W153" i="1"/>
  <c r="W165" i="1"/>
  <c r="W151" i="1"/>
  <c r="W163" i="1"/>
  <c r="W150" i="1"/>
  <c r="P155" i="1"/>
  <c r="AA155" i="1"/>
  <c r="Y166" i="1"/>
  <c r="R155" i="1"/>
  <c r="S155" i="1"/>
  <c r="U155" i="1"/>
  <c r="O155" i="1"/>
  <c r="M154" i="1"/>
  <c r="M153" i="1"/>
  <c r="M165" i="1"/>
  <c r="M151" i="1"/>
  <c r="M163" i="1"/>
  <c r="M150" i="1"/>
  <c r="I162" i="1"/>
  <c r="AA162" i="1"/>
  <c r="Y162" i="1"/>
  <c r="P162" i="1"/>
  <c r="W162" i="1"/>
  <c r="M162" i="1"/>
  <c r="H162" i="1"/>
  <c r="U162" i="1"/>
  <c r="K87" i="1"/>
  <c r="K136" i="1"/>
  <c r="H194" i="15"/>
  <c r="O79" i="15"/>
  <c r="D12" i="15" s="1"/>
  <c r="O12" i="15" s="1"/>
  <c r="I194" i="15"/>
  <c r="V416" i="2"/>
  <c r="L194" i="15"/>
  <c r="D194" i="15"/>
  <c r="J194" i="15"/>
  <c r="O192" i="15"/>
  <c r="Q192" i="15"/>
  <c r="H23" i="15" s="1"/>
  <c r="V443" i="2" s="1"/>
  <c r="O66" i="15"/>
  <c r="F10" i="15" s="1"/>
  <c r="P66" i="15"/>
  <c r="G10" i="15" s="1"/>
  <c r="P76" i="15"/>
  <c r="G11" i="15" s="1"/>
  <c r="O76" i="15"/>
  <c r="F11" i="15" s="1"/>
  <c r="I444" i="2" s="1"/>
  <c r="I462" i="2" s="1"/>
  <c r="O86" i="15"/>
  <c r="F12" i="15" s="1"/>
  <c r="J444" i="2" s="1"/>
  <c r="J462" i="2" s="1"/>
  <c r="P86" i="15"/>
  <c r="G12" i="15" s="1"/>
  <c r="T416" i="2"/>
  <c r="U416" i="2"/>
  <c r="Q422" i="2"/>
  <c r="R422" i="2"/>
  <c r="S422" i="2"/>
  <c r="K139" i="1"/>
  <c r="F229" i="1"/>
  <c r="F35" i="1"/>
  <c r="F199" i="1"/>
  <c r="F215" i="1"/>
  <c r="Y244" i="1"/>
  <c r="Q416" i="2"/>
  <c r="R416" i="2"/>
  <c r="S416" i="2"/>
  <c r="K89" i="1"/>
  <c r="K137" i="1"/>
  <c r="K138" i="1"/>
  <c r="K105" i="1"/>
  <c r="AA258" i="1"/>
  <c r="F170" i="1"/>
  <c r="F358" i="1"/>
  <c r="P56" i="15"/>
  <c r="G9" i="15" s="1"/>
  <c r="O56" i="15"/>
  <c r="F9" i="15" s="1"/>
  <c r="G444" i="2" s="1"/>
  <c r="G462" i="2" s="1"/>
  <c r="W492" i="2"/>
  <c r="AB434" i="2"/>
  <c r="AC434" i="2"/>
  <c r="AD434" i="2"/>
  <c r="AB469" i="2"/>
  <c r="D13" i="15"/>
  <c r="C198" i="15"/>
  <c r="G198" i="15"/>
  <c r="Y492" i="2"/>
  <c r="Y469" i="2"/>
  <c r="AH457" i="2" l="1"/>
  <c r="AI457" i="2" s="1"/>
  <c r="AA367" i="2"/>
  <c r="AA365" i="2"/>
  <c r="Z365" i="2"/>
  <c r="Z367" i="2"/>
  <c r="AC493" i="2"/>
  <c r="AB493" i="2"/>
  <c r="AA493" i="2"/>
  <c r="Z493" i="2"/>
  <c r="AG493" i="2"/>
  <c r="AF493" i="2"/>
  <c r="X493" i="2"/>
  <c r="AE493" i="2"/>
  <c r="AG365" i="2"/>
  <c r="AG367" i="2"/>
  <c r="Y367" i="2"/>
  <c r="Y365" i="2"/>
  <c r="AF367" i="2"/>
  <c r="AF365" i="2"/>
  <c r="AE367" i="2"/>
  <c r="AE365" i="2"/>
  <c r="AD365" i="2"/>
  <c r="AD367" i="2"/>
  <c r="AB365" i="2"/>
  <c r="AB367" i="2"/>
  <c r="AC367" i="2"/>
  <c r="AC365" i="2"/>
  <c r="Q443" i="2"/>
  <c r="O443" i="2"/>
  <c r="P443" i="2"/>
  <c r="R314" i="2"/>
  <c r="AG314" i="2"/>
  <c r="Y314" i="2"/>
  <c r="AF314" i="2"/>
  <c r="X314" i="2"/>
  <c r="V314" i="2"/>
  <c r="AE314" i="2"/>
  <c r="U314" i="2"/>
  <c r="AD314" i="2"/>
  <c r="AC314" i="2"/>
  <c r="AB314" i="2"/>
  <c r="AA314" i="2"/>
  <c r="T314" i="2"/>
  <c r="S314" i="2"/>
  <c r="W314" i="2"/>
  <c r="Z314" i="2"/>
  <c r="A32" i="16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61" i="16" s="1"/>
  <c r="A62" i="16" s="1"/>
  <c r="A63" i="16" s="1"/>
  <c r="A64" i="16" s="1"/>
  <c r="A65" i="16" s="1"/>
  <c r="A66" i="16" s="1"/>
  <c r="M434" i="2"/>
  <c r="M438" i="2" s="1"/>
  <c r="M435" i="2"/>
  <c r="E483" i="2"/>
  <c r="S8" i="10"/>
  <c r="T8" i="10" s="1"/>
  <c r="AC492" i="2"/>
  <c r="AD493" i="2" s="1"/>
  <c r="Z469" i="2"/>
  <c r="AE434" i="2"/>
  <c r="AG581" i="2"/>
  <c r="S7" i="10"/>
  <c r="T7" i="10" s="1"/>
  <c r="E428" i="2"/>
  <c r="Z341" i="2" s="1"/>
  <c r="E29" i="15"/>
  <c r="E30" i="15" s="1"/>
  <c r="D18" i="15"/>
  <c r="Q429" i="2" s="1"/>
  <c r="Q502" i="2" s="1"/>
  <c r="D42" i="15"/>
  <c r="D44" i="15" s="1"/>
  <c r="H444" i="2"/>
  <c r="S174" i="15"/>
  <c r="J21" i="15" s="1"/>
  <c r="T441" i="2" s="1"/>
  <c r="S351" i="2"/>
  <c r="F351" i="2"/>
  <c r="U351" i="2"/>
  <c r="Q352" i="2"/>
  <c r="P354" i="2"/>
  <c r="K354" i="2"/>
  <c r="AE352" i="2"/>
  <c r="AA352" i="2"/>
  <c r="W352" i="2"/>
  <c r="J352" i="2"/>
  <c r="F352" i="2"/>
  <c r="Z351" i="2"/>
  <c r="V351" i="2"/>
  <c r="R351" i="2"/>
  <c r="I351" i="2"/>
  <c r="AE354" i="2"/>
  <c r="AA354" i="2"/>
  <c r="J354" i="2"/>
  <c r="AD352" i="2"/>
  <c r="V352" i="2"/>
  <c r="AG351" i="2"/>
  <c r="Y351" i="2"/>
  <c r="Q351" i="2"/>
  <c r="Z354" i="2"/>
  <c r="R354" i="2"/>
  <c r="I354" i="2"/>
  <c r="U352" i="2"/>
  <c r="L352" i="2"/>
  <c r="AF351" i="2"/>
  <c r="P351" i="2"/>
  <c r="G351" i="2"/>
  <c r="R17" i="15"/>
  <c r="R15" i="15"/>
  <c r="R16" i="15"/>
  <c r="R18" i="15"/>
  <c r="D6" i="8"/>
  <c r="F6" i="8" s="1"/>
  <c r="N8" i="15"/>
  <c r="F432" i="2"/>
  <c r="F433" i="2" s="1"/>
  <c r="F435" i="2" s="1"/>
  <c r="AA356" i="1"/>
  <c r="S356" i="1"/>
  <c r="I356" i="1"/>
  <c r="A128" i="15"/>
  <c r="A118" i="15"/>
  <c r="A98" i="15"/>
  <c r="A108" i="15"/>
  <c r="C42" i="15"/>
  <c r="C44" i="15" s="1"/>
  <c r="M46" i="15"/>
  <c r="R9" i="15"/>
  <c r="E313" i="2"/>
  <c r="E316" i="2" s="1"/>
  <c r="E338" i="2" s="1"/>
  <c r="E358" i="2" s="1"/>
  <c r="J46" i="15"/>
  <c r="A78" i="15"/>
  <c r="A68" i="15"/>
  <c r="X492" i="2"/>
  <c r="Y493" i="2" s="1"/>
  <c r="AF469" i="2"/>
  <c r="AA469" i="2"/>
  <c r="AA435" i="2"/>
  <c r="AB420" i="2" s="1"/>
  <c r="AE469" i="2"/>
  <c r="AG434" i="2"/>
  <c r="T434" i="2"/>
  <c r="T438" i="2" s="1"/>
  <c r="AF435" i="2"/>
  <c r="AG420" i="2" s="1"/>
  <c r="AD469" i="2"/>
  <c r="AG586" i="2"/>
  <c r="AG469" i="2"/>
  <c r="R20" i="15"/>
  <c r="R22" i="15"/>
  <c r="O17" i="15"/>
  <c r="D11" i="15"/>
  <c r="O11" i="15" s="1"/>
  <c r="O174" i="15"/>
  <c r="R174" i="15" s="1"/>
  <c r="I21" i="15" s="1"/>
  <c r="T442" i="2" s="1"/>
  <c r="T448" i="2" s="1"/>
  <c r="F46" i="15"/>
  <c r="V434" i="2"/>
  <c r="L46" i="15"/>
  <c r="D15" i="15"/>
  <c r="V437" i="2"/>
  <c r="W424" i="2" s="1"/>
  <c r="N353" i="2"/>
  <c r="D9" i="15"/>
  <c r="O9" i="15" s="1"/>
  <c r="O40" i="15"/>
  <c r="O130" i="15"/>
  <c r="N42" i="15"/>
  <c r="N44" i="15" s="1"/>
  <c r="O164" i="15"/>
  <c r="R164" i="15" s="1"/>
  <c r="I20" i="15" s="1"/>
  <c r="S442" i="2" s="1"/>
  <c r="S495" i="2" s="1"/>
  <c r="S164" i="15"/>
  <c r="J20" i="15" s="1"/>
  <c r="S441" i="2" s="1"/>
  <c r="O60" i="15"/>
  <c r="O136" i="15"/>
  <c r="F17" i="15" s="1"/>
  <c r="P136" i="15"/>
  <c r="G17" i="15" s="1"/>
  <c r="O8" i="15"/>
  <c r="O80" i="15"/>
  <c r="G432" i="2"/>
  <c r="G433" i="2" s="1"/>
  <c r="G469" i="2"/>
  <c r="G492" i="2"/>
  <c r="G493" i="2" s="1"/>
  <c r="P146" i="15"/>
  <c r="G18" i="15" s="1"/>
  <c r="T353" i="2"/>
  <c r="O134" i="15"/>
  <c r="R134" i="15" s="1"/>
  <c r="I42" i="15"/>
  <c r="I44" i="15" s="1"/>
  <c r="N9" i="15"/>
  <c r="K46" i="15"/>
  <c r="D23" i="15"/>
  <c r="O23" i="15" s="1"/>
  <c r="D22" i="15"/>
  <c r="O166" i="15"/>
  <c r="F20" i="15" s="1"/>
  <c r="Q353" i="2"/>
  <c r="S433" i="2"/>
  <c r="S434" i="2" s="1"/>
  <c r="S438" i="2" s="1"/>
  <c r="S194" i="15"/>
  <c r="J23" i="15" s="1"/>
  <c r="V441" i="2" s="1"/>
  <c r="O154" i="15"/>
  <c r="R154" i="15" s="1"/>
  <c r="I19" i="15" s="1"/>
  <c r="R442" i="2" s="1"/>
  <c r="A38" i="15"/>
  <c r="D12" i="9"/>
  <c r="F12" i="9" s="1"/>
  <c r="D12" i="8"/>
  <c r="F12" i="8" s="1"/>
  <c r="K432" i="2"/>
  <c r="K433" i="2" s="1"/>
  <c r="K435" i="2" s="1"/>
  <c r="D8" i="8"/>
  <c r="F8" i="8" s="1"/>
  <c r="H432" i="2"/>
  <c r="N10" i="15"/>
  <c r="D7" i="8"/>
  <c r="F7" i="8" s="1"/>
  <c r="D14" i="15"/>
  <c r="O14" i="15" s="1"/>
  <c r="P96" i="15"/>
  <c r="G13" i="15" s="1"/>
  <c r="J429" i="2"/>
  <c r="J502" i="2" s="1"/>
  <c r="O10" i="15"/>
  <c r="H429" i="2"/>
  <c r="H502" i="2" s="1"/>
  <c r="S64" i="15"/>
  <c r="J10" i="15" s="1"/>
  <c r="H441" i="2" s="1"/>
  <c r="F502" i="2"/>
  <c r="F431" i="2"/>
  <c r="F409" i="2" s="1"/>
  <c r="E42" i="15"/>
  <c r="E44" i="15" s="1"/>
  <c r="G42" i="15"/>
  <c r="G44" i="15" s="1"/>
  <c r="H42" i="15"/>
  <c r="H44" i="15" s="1"/>
  <c r="F412" i="1"/>
  <c r="F414" i="1" s="1"/>
  <c r="F442" i="1" s="1"/>
  <c r="O356" i="1"/>
  <c r="O144" i="15"/>
  <c r="R144" i="15" s="1"/>
  <c r="S144" i="15"/>
  <c r="J18" i="15" s="1"/>
  <c r="O184" i="15"/>
  <c r="R184" i="15" s="1"/>
  <c r="I22" i="15" s="1"/>
  <c r="U442" i="2" s="1"/>
  <c r="U495" i="2" s="1"/>
  <c r="S154" i="15"/>
  <c r="J19" i="15" s="1"/>
  <c r="R441" i="2" s="1"/>
  <c r="P186" i="15"/>
  <c r="G22" i="15" s="1"/>
  <c r="D21" i="15"/>
  <c r="O21" i="15" s="1"/>
  <c r="O18" i="15"/>
  <c r="P166" i="15"/>
  <c r="G20" i="15" s="1"/>
  <c r="P106" i="15"/>
  <c r="G14" i="15" s="1"/>
  <c r="O106" i="15"/>
  <c r="F14" i="15" s="1"/>
  <c r="M462" i="2" s="1"/>
  <c r="O196" i="15"/>
  <c r="F23" i="15" s="1"/>
  <c r="O186" i="15"/>
  <c r="F22" i="15" s="1"/>
  <c r="U476" i="2"/>
  <c r="U448" i="2"/>
  <c r="O146" i="15"/>
  <c r="F18" i="15" s="1"/>
  <c r="O156" i="15"/>
  <c r="F19" i="15" s="1"/>
  <c r="D16" i="15"/>
  <c r="O120" i="15"/>
  <c r="O150" i="15"/>
  <c r="D19" i="15"/>
  <c r="D20" i="15"/>
  <c r="O160" i="15"/>
  <c r="L432" i="2"/>
  <c r="C25" i="15"/>
  <c r="C26" i="15" s="1"/>
  <c r="C29" i="15" s="1"/>
  <c r="C30" i="15" s="1"/>
  <c r="N14" i="15"/>
  <c r="P176" i="15"/>
  <c r="G21" i="15" s="1"/>
  <c r="O176" i="15"/>
  <c r="F21" i="15" s="1"/>
  <c r="S184" i="15"/>
  <c r="J22" i="15" s="1"/>
  <c r="U441" i="2" s="1"/>
  <c r="O198" i="15"/>
  <c r="P201" i="15" s="1"/>
  <c r="P156" i="15"/>
  <c r="G19" i="15" s="1"/>
  <c r="O194" i="15"/>
  <c r="R194" i="15" s="1"/>
  <c r="I23" i="15" s="1"/>
  <c r="V442" i="2" s="1"/>
  <c r="V495" i="2" s="1"/>
  <c r="P196" i="15"/>
  <c r="G23" i="15" s="1"/>
  <c r="S134" i="15"/>
  <c r="J17" i="15" s="1"/>
  <c r="G353" i="2"/>
  <c r="AH428" i="2"/>
  <c r="AI428" i="2" s="1"/>
  <c r="AC353" i="2"/>
  <c r="U353" i="2"/>
  <c r="J353" i="2"/>
  <c r="O353" i="2"/>
  <c r="AF353" i="2"/>
  <c r="AA353" i="2"/>
  <c r="R353" i="2"/>
  <c r="W353" i="2"/>
  <c r="AE353" i="2"/>
  <c r="V353" i="2"/>
  <c r="K353" i="2"/>
  <c r="X353" i="2"/>
  <c r="AG353" i="2"/>
  <c r="H353" i="2"/>
  <c r="F353" i="2"/>
  <c r="S353" i="2"/>
  <c r="Z353" i="2"/>
  <c r="Q435" i="2"/>
  <c r="R420" i="2" s="1"/>
  <c r="Y353" i="2"/>
  <c r="AD353" i="2"/>
  <c r="L353" i="2"/>
  <c r="I353" i="2"/>
  <c r="R10" i="15"/>
  <c r="R19" i="15"/>
  <c r="R11" i="15"/>
  <c r="R13" i="15"/>
  <c r="R25" i="15"/>
  <c r="R23" i="15"/>
  <c r="R8" i="15"/>
  <c r="Q25" i="15"/>
  <c r="R21" i="15"/>
  <c r="R12" i="15"/>
  <c r="R14" i="15"/>
  <c r="N433" i="2"/>
  <c r="T437" i="2"/>
  <c r="U424" i="2" s="1"/>
  <c r="P353" i="2"/>
  <c r="AB353" i="2"/>
  <c r="R433" i="2"/>
  <c r="A58" i="15"/>
  <c r="D84" i="18"/>
  <c r="H76" i="18" a="1"/>
  <c r="H77" i="18" s="1"/>
  <c r="M167" i="18"/>
  <c r="D177" i="18" s="1"/>
  <c r="F328" i="1"/>
  <c r="K356" i="1"/>
  <c r="Y356" i="1"/>
  <c r="M356" i="1"/>
  <c r="O24" i="1"/>
  <c r="O149" i="1" s="1"/>
  <c r="O159" i="1" s="1"/>
  <c r="P356" i="1"/>
  <c r="W356" i="1"/>
  <c r="F82" i="1"/>
  <c r="F56" i="1"/>
  <c r="F58" i="1" s="1"/>
  <c r="C51" i="16"/>
  <c r="D53" i="16"/>
  <c r="U24" i="1"/>
  <c r="U149" i="1" s="1"/>
  <c r="U159" i="1" s="1"/>
  <c r="L54" i="16"/>
  <c r="P304" i="1"/>
  <c r="M406" i="1"/>
  <c r="M302" i="1"/>
  <c r="M116" i="1"/>
  <c r="M109" i="1"/>
  <c r="M119" i="1"/>
  <c r="K221" i="1"/>
  <c r="P207" i="1"/>
  <c r="M210" i="1"/>
  <c r="W111" i="1"/>
  <c r="M225" i="1"/>
  <c r="K204" i="1"/>
  <c r="R301" i="1"/>
  <c r="M113" i="1"/>
  <c r="W301" i="1"/>
  <c r="P387" i="1"/>
  <c r="W405" i="1"/>
  <c r="Y113" i="1"/>
  <c r="O110" i="1"/>
  <c r="Y180" i="1"/>
  <c r="K115" i="1"/>
  <c r="R24" i="1"/>
  <c r="R106" i="1" s="1"/>
  <c r="Y24" i="1"/>
  <c r="Y80" i="1" s="1"/>
  <c r="H301" i="1"/>
  <c r="R402" i="1"/>
  <c r="H224" i="1"/>
  <c r="K300" i="1"/>
  <c r="S221" i="1"/>
  <c r="I305" i="1"/>
  <c r="M298" i="1"/>
  <c r="AA383" i="1"/>
  <c r="W206" i="1"/>
  <c r="AA367" i="1"/>
  <c r="H119" i="1"/>
  <c r="P208" i="1"/>
  <c r="R203" i="1"/>
  <c r="U204" i="1"/>
  <c r="AA221" i="1"/>
  <c r="K114" i="1"/>
  <c r="Y205" i="1"/>
  <c r="W114" i="1"/>
  <c r="O204" i="1"/>
  <c r="M205" i="1"/>
  <c r="W207" i="1"/>
  <c r="U383" i="1"/>
  <c r="AB16" i="1"/>
  <c r="AC16" i="1" s="1"/>
  <c r="AB20" i="1"/>
  <c r="AC20" i="1" s="1"/>
  <c r="M24" i="1"/>
  <c r="M149" i="1" s="1"/>
  <c r="M159" i="1" s="1"/>
  <c r="S24" i="1"/>
  <c r="S293" i="1" s="1"/>
  <c r="AA24" i="1"/>
  <c r="AA149" i="1" s="1"/>
  <c r="AA159" i="1" s="1"/>
  <c r="AB156" i="1"/>
  <c r="AC156" i="1" s="1"/>
  <c r="AB339" i="1"/>
  <c r="AC339" i="1" s="1"/>
  <c r="AB340" i="1"/>
  <c r="AC340" i="1" s="1"/>
  <c r="AB342" i="1"/>
  <c r="AC342" i="1" s="1"/>
  <c r="AB343" i="1"/>
  <c r="AC343" i="1" s="1"/>
  <c r="AB345" i="1"/>
  <c r="AC345" i="1" s="1"/>
  <c r="AB351" i="1"/>
  <c r="AC351" i="1" s="1"/>
  <c r="AB352" i="1"/>
  <c r="AC352" i="1" s="1"/>
  <c r="AB353" i="1"/>
  <c r="AC353" i="1" s="1"/>
  <c r="AB354" i="1"/>
  <c r="AC354" i="1" s="1"/>
  <c r="U223" i="1"/>
  <c r="AA203" i="1"/>
  <c r="K386" i="1"/>
  <c r="P117" i="1"/>
  <c r="W386" i="1"/>
  <c r="AA404" i="1"/>
  <c r="U386" i="1"/>
  <c r="O221" i="1"/>
  <c r="O383" i="1"/>
  <c r="M222" i="1"/>
  <c r="M112" i="1"/>
  <c r="S304" i="1"/>
  <c r="U296" i="1"/>
  <c r="U110" i="1"/>
  <c r="U168" i="1"/>
  <c r="O180" i="1"/>
  <c r="K296" i="1"/>
  <c r="W24" i="1"/>
  <c r="W85" i="1" s="1"/>
  <c r="P388" i="1"/>
  <c r="K206" i="1"/>
  <c r="U114" i="1"/>
  <c r="O203" i="1"/>
  <c r="M385" i="1"/>
  <c r="K404" i="1"/>
  <c r="Y168" i="1"/>
  <c r="AB240" i="1"/>
  <c r="AC240" i="1" s="1"/>
  <c r="S425" i="1"/>
  <c r="AB17" i="1"/>
  <c r="AC17" i="1" s="1"/>
  <c r="AB19" i="1"/>
  <c r="AC19" i="1" s="1"/>
  <c r="AB22" i="1"/>
  <c r="AC22" i="1" s="1"/>
  <c r="H115" i="1"/>
  <c r="U404" i="1"/>
  <c r="S118" i="1"/>
  <c r="S402" i="1"/>
  <c r="S204" i="1"/>
  <c r="AA386" i="1"/>
  <c r="O384" i="1"/>
  <c r="O296" i="1"/>
  <c r="U387" i="1"/>
  <c r="R383" i="1"/>
  <c r="W304" i="1"/>
  <c r="K24" i="1"/>
  <c r="S119" i="1"/>
  <c r="M383" i="1"/>
  <c r="P402" i="1"/>
  <c r="H117" i="1"/>
  <c r="I297" i="1"/>
  <c r="AA116" i="1"/>
  <c r="R385" i="1"/>
  <c r="O388" i="1"/>
  <c r="H35" i="1"/>
  <c r="H371" i="1" s="1"/>
  <c r="K205" i="1"/>
  <c r="AA403" i="1"/>
  <c r="H407" i="1"/>
  <c r="S302" i="1"/>
  <c r="U299" i="1"/>
  <c r="AA440" i="1"/>
  <c r="R225" i="1"/>
  <c r="W388" i="1"/>
  <c r="K112" i="1"/>
  <c r="AB251" i="1"/>
  <c r="AC251" i="1" s="1"/>
  <c r="M367" i="1"/>
  <c r="R406" i="1"/>
  <c r="U305" i="1"/>
  <c r="R302" i="1"/>
  <c r="H296" i="1"/>
  <c r="I206" i="1"/>
  <c r="U403" i="1"/>
  <c r="O305" i="1"/>
  <c r="U117" i="1"/>
  <c r="H300" i="1"/>
  <c r="O304" i="1"/>
  <c r="S113" i="1"/>
  <c r="W222" i="1"/>
  <c r="P204" i="1"/>
  <c r="U208" i="1"/>
  <c r="Y304" i="1"/>
  <c r="M296" i="1"/>
  <c r="W113" i="1"/>
  <c r="O303" i="1"/>
  <c r="Y296" i="1"/>
  <c r="AA113" i="1"/>
  <c r="S390" i="1"/>
  <c r="I204" i="1"/>
  <c r="R117" i="1"/>
  <c r="H404" i="1"/>
  <c r="K111" i="1"/>
  <c r="Y246" i="1"/>
  <c r="K403" i="1"/>
  <c r="I223" i="1"/>
  <c r="S115" i="1"/>
  <c r="O406" i="1"/>
  <c r="W117" i="1"/>
  <c r="W303" i="1"/>
  <c r="H168" i="1"/>
  <c r="K168" i="1"/>
  <c r="W54" i="1"/>
  <c r="W310" i="1" s="1"/>
  <c r="K385" i="1"/>
  <c r="R111" i="1"/>
  <c r="P110" i="1"/>
  <c r="AA110" i="1"/>
  <c r="AA402" i="1"/>
  <c r="S387" i="1"/>
  <c r="S296" i="1"/>
  <c r="H116" i="1"/>
  <c r="H295" i="1"/>
  <c r="S110" i="1"/>
  <c r="O208" i="1"/>
  <c r="U206" i="1"/>
  <c r="Y208" i="1"/>
  <c r="I384" i="1"/>
  <c r="U221" i="1"/>
  <c r="U402" i="1"/>
  <c r="R296" i="1"/>
  <c r="AA405" i="1"/>
  <c r="U384" i="1"/>
  <c r="H302" i="1"/>
  <c r="O207" i="1"/>
  <c r="U367" i="1"/>
  <c r="Y367" i="1"/>
  <c r="P35" i="1"/>
  <c r="P294" i="1" s="1"/>
  <c r="M35" i="1"/>
  <c r="M183" i="1" s="1"/>
  <c r="S35" i="1"/>
  <c r="S377" i="1" s="1"/>
  <c r="AA180" i="1"/>
  <c r="H208" i="1"/>
  <c r="I221" i="1"/>
  <c r="H262" i="1"/>
  <c r="Y425" i="1"/>
  <c r="K180" i="1"/>
  <c r="K298" i="1"/>
  <c r="P296" i="1"/>
  <c r="AA296" i="1"/>
  <c r="AA384" i="1"/>
  <c r="R221" i="1"/>
  <c r="H112" i="1"/>
  <c r="S384" i="1"/>
  <c r="S203" i="1"/>
  <c r="Y295" i="1"/>
  <c r="AA297" i="1"/>
  <c r="P384" i="1"/>
  <c r="O407" i="1"/>
  <c r="O226" i="1"/>
  <c r="O387" i="1"/>
  <c r="I299" i="1"/>
  <c r="AA223" i="1"/>
  <c r="P210" i="1"/>
  <c r="O119" i="1"/>
  <c r="I296" i="1"/>
  <c r="U304" i="1"/>
  <c r="U118" i="1"/>
  <c r="R384" i="1"/>
  <c r="H298" i="1"/>
  <c r="R110" i="1"/>
  <c r="H385" i="1"/>
  <c r="P383" i="1"/>
  <c r="AA246" i="1"/>
  <c r="U262" i="1"/>
  <c r="W262" i="1"/>
  <c r="W246" i="1"/>
  <c r="AB50" i="1"/>
  <c r="AC50" i="1" s="1"/>
  <c r="AB28" i="1"/>
  <c r="AC28" i="1" s="1"/>
  <c r="S440" i="1"/>
  <c r="P180" i="1"/>
  <c r="U388" i="1"/>
  <c r="H206" i="1"/>
  <c r="I390" i="1"/>
  <c r="I210" i="1"/>
  <c r="P116" i="1"/>
  <c r="AA302" i="1"/>
  <c r="W298" i="1"/>
  <c r="AB433" i="1"/>
  <c r="AC433" i="1" s="1"/>
  <c r="AB421" i="1"/>
  <c r="AC421" i="1" s="1"/>
  <c r="AB242" i="1"/>
  <c r="AC242" i="1" s="1"/>
  <c r="W440" i="1"/>
  <c r="AA35" i="1"/>
  <c r="AA195" i="1" s="1"/>
  <c r="R119" i="1"/>
  <c r="U225" i="1"/>
  <c r="U407" i="1"/>
  <c r="Y114" i="1"/>
  <c r="P295" i="1"/>
  <c r="W224" i="1"/>
  <c r="H113" i="1"/>
  <c r="M207" i="1"/>
  <c r="I116" i="1"/>
  <c r="H305" i="1"/>
  <c r="Y221" i="1"/>
  <c r="P390" i="1"/>
  <c r="AA210" i="1"/>
  <c r="K224" i="1"/>
  <c r="S295" i="1"/>
  <c r="I205" i="1"/>
  <c r="H304" i="1"/>
  <c r="W205" i="1"/>
  <c r="R226" i="1"/>
  <c r="I298" i="1"/>
  <c r="M168" i="1"/>
  <c r="AA168" i="1"/>
  <c r="AB155" i="1"/>
  <c r="AC155" i="1" s="1"/>
  <c r="W168" i="1"/>
  <c r="P168" i="1"/>
  <c r="P203" i="1"/>
  <c r="AB253" i="1"/>
  <c r="AC253" i="1" s="1"/>
  <c r="AB32" i="1"/>
  <c r="AC32" i="1" s="1"/>
  <c r="S262" i="1"/>
  <c r="S180" i="1"/>
  <c r="M180" i="1"/>
  <c r="P262" i="1"/>
  <c r="W112" i="1"/>
  <c r="U303" i="1"/>
  <c r="P119" i="1"/>
  <c r="I385" i="1"/>
  <c r="R388" i="1"/>
  <c r="AB428" i="1"/>
  <c r="AC428" i="1" s="1"/>
  <c r="AB438" i="1"/>
  <c r="AC438" i="1" s="1"/>
  <c r="U119" i="1"/>
  <c r="M425" i="1"/>
  <c r="H388" i="1"/>
  <c r="M387" i="1"/>
  <c r="P225" i="1"/>
  <c r="H406" i="1"/>
  <c r="H297" i="1"/>
  <c r="U222" i="1"/>
  <c r="K301" i="1"/>
  <c r="S116" i="1"/>
  <c r="P305" i="1"/>
  <c r="W403" i="1"/>
  <c r="H387" i="1"/>
  <c r="H207" i="1"/>
  <c r="K226" i="1"/>
  <c r="K388" i="1"/>
  <c r="K208" i="1"/>
  <c r="K303" i="1"/>
  <c r="K407" i="1"/>
  <c r="Y406" i="1"/>
  <c r="Y305" i="1"/>
  <c r="Y225" i="1"/>
  <c r="R295" i="1"/>
  <c r="R109" i="1"/>
  <c r="U295" i="1"/>
  <c r="U109" i="1"/>
  <c r="Y440" i="1"/>
  <c r="R54" i="1"/>
  <c r="R89" i="1" s="1"/>
  <c r="H384" i="1"/>
  <c r="H221" i="1"/>
  <c r="H203" i="1"/>
  <c r="I387" i="1"/>
  <c r="I304" i="1"/>
  <c r="I207" i="1"/>
  <c r="AB257" i="1"/>
  <c r="AC257" i="1" s="1"/>
  <c r="K387" i="1"/>
  <c r="K118" i="1"/>
  <c r="K207" i="1"/>
  <c r="K110" i="1"/>
  <c r="K383" i="1"/>
  <c r="K203" i="1"/>
  <c r="K384" i="1"/>
  <c r="R425" i="1"/>
  <c r="U246" i="1"/>
  <c r="W305" i="1"/>
  <c r="W225" i="1"/>
  <c r="AA304" i="1"/>
  <c r="AA387" i="1"/>
  <c r="AA118" i="1"/>
  <c r="AA205" i="1"/>
  <c r="AA112" i="1"/>
  <c r="AA222" i="1"/>
  <c r="AA54" i="1"/>
  <c r="AA401" i="1" s="1"/>
  <c r="Y207" i="1"/>
  <c r="Y118" i="1"/>
  <c r="Y404" i="1"/>
  <c r="Y206" i="1"/>
  <c r="Y300" i="1"/>
  <c r="Y223" i="1"/>
  <c r="R390" i="1"/>
  <c r="R210" i="1"/>
  <c r="S385" i="1"/>
  <c r="S112" i="1"/>
  <c r="S298" i="1"/>
  <c r="S205" i="1"/>
  <c r="S403" i="1"/>
  <c r="S222" i="1"/>
  <c r="U116" i="1"/>
  <c r="U302" i="1"/>
  <c r="U54" i="1"/>
  <c r="U310" i="1" s="1"/>
  <c r="M203" i="1"/>
  <c r="M204" i="1"/>
  <c r="M110" i="1"/>
  <c r="M384" i="1"/>
  <c r="M221" i="1"/>
  <c r="R180" i="1"/>
  <c r="U440" i="1"/>
  <c r="Y115" i="1"/>
  <c r="Y405" i="1"/>
  <c r="S388" i="1"/>
  <c r="S303" i="1"/>
  <c r="O302" i="1"/>
  <c r="O116" i="1"/>
  <c r="M405" i="1"/>
  <c r="M115" i="1"/>
  <c r="Y262" i="1"/>
  <c r="AB15" i="1"/>
  <c r="AC15" i="1" s="1"/>
  <c r="H24" i="1"/>
  <c r="H80" i="1" s="1"/>
  <c r="W302" i="1"/>
  <c r="S226" i="1"/>
  <c r="K117" i="1"/>
  <c r="Y119" i="1"/>
  <c r="AB212" i="1"/>
  <c r="AC212" i="1" s="1"/>
  <c r="R262" i="1"/>
  <c r="H54" i="1"/>
  <c r="H401" i="1" s="1"/>
  <c r="AB41" i="1"/>
  <c r="AC41" i="1" s="1"/>
  <c r="S407" i="1"/>
  <c r="Y54" i="1"/>
  <c r="Y137" i="1" s="1"/>
  <c r="AB249" i="1"/>
  <c r="AC249" i="1" s="1"/>
  <c r="AB42" i="1"/>
  <c r="AC42" i="1" s="1"/>
  <c r="H204" i="1"/>
  <c r="Y301" i="1"/>
  <c r="M224" i="1"/>
  <c r="O210" i="1"/>
  <c r="O295" i="1"/>
  <c r="S208" i="1"/>
  <c r="Y297" i="1"/>
  <c r="H110" i="1"/>
  <c r="H402" i="1"/>
  <c r="AB21" i="1"/>
  <c r="AC21" i="1" s="1"/>
  <c r="Y224" i="1"/>
  <c r="K35" i="1"/>
  <c r="K372" i="1" s="1"/>
  <c r="W406" i="1"/>
  <c r="R403" i="1"/>
  <c r="AA385" i="1"/>
  <c r="AA207" i="1"/>
  <c r="R113" i="1"/>
  <c r="AA262" i="1"/>
  <c r="AB420" i="1"/>
  <c r="AC420" i="1" s="1"/>
  <c r="H210" i="1"/>
  <c r="AB48" i="1"/>
  <c r="AC48" i="1" s="1"/>
  <c r="O262" i="1"/>
  <c r="AB241" i="1"/>
  <c r="AC241" i="1" s="1"/>
  <c r="AB389" i="1"/>
  <c r="AC389" i="1" s="1"/>
  <c r="AB256" i="1"/>
  <c r="AC256" i="1" s="1"/>
  <c r="AB33" i="1"/>
  <c r="AC33" i="1" s="1"/>
  <c r="I114" i="1"/>
  <c r="I386" i="1"/>
  <c r="I300" i="1"/>
  <c r="I110" i="1"/>
  <c r="I203" i="1"/>
  <c r="I383" i="1"/>
  <c r="S367" i="1"/>
  <c r="AB429" i="1"/>
  <c r="AC429" i="1" s="1"/>
  <c r="K390" i="1"/>
  <c r="K116" i="1"/>
  <c r="K210" i="1"/>
  <c r="W404" i="1"/>
  <c r="W300" i="1"/>
  <c r="W221" i="1"/>
  <c r="W296" i="1"/>
  <c r="W402" i="1"/>
  <c r="W110" i="1"/>
  <c r="W384" i="1"/>
  <c r="AA406" i="1"/>
  <c r="AA225" i="1"/>
  <c r="AA119" i="1"/>
  <c r="AA303" i="1"/>
  <c r="AA117" i="1"/>
  <c r="AA226" i="1"/>
  <c r="AA208" i="1"/>
  <c r="AA388" i="1"/>
  <c r="AA115" i="1"/>
  <c r="AA301" i="1"/>
  <c r="R115" i="1"/>
  <c r="R405" i="1"/>
  <c r="S301" i="1"/>
  <c r="S224" i="1"/>
  <c r="AB51" i="1"/>
  <c r="AC51" i="1" s="1"/>
  <c r="H425" i="1"/>
  <c r="H222" i="1"/>
  <c r="H403" i="1"/>
  <c r="W226" i="1"/>
  <c r="W208" i="1"/>
  <c r="W109" i="1"/>
  <c r="W295" i="1"/>
  <c r="P226" i="1"/>
  <c r="P407" i="1"/>
  <c r="Y403" i="1"/>
  <c r="Y222" i="1"/>
  <c r="Y112" i="1"/>
  <c r="Y298" i="1"/>
  <c r="R207" i="1"/>
  <c r="R304" i="1"/>
  <c r="R118" i="1"/>
  <c r="S300" i="1"/>
  <c r="S223" i="1"/>
  <c r="AB260" i="1"/>
  <c r="AC260" i="1" s="1"/>
  <c r="AB254" i="1"/>
  <c r="AC254" i="1" s="1"/>
  <c r="AB250" i="1"/>
  <c r="AC250" i="1" s="1"/>
  <c r="O246" i="1"/>
  <c r="O425" i="1"/>
  <c r="O367" i="1"/>
  <c r="P367" i="1"/>
  <c r="R35" i="1"/>
  <c r="R191" i="1" s="1"/>
  <c r="AB341" i="1"/>
  <c r="AC341" i="1" s="1"/>
  <c r="AB344" i="1"/>
  <c r="AC344" i="1" s="1"/>
  <c r="W367" i="1"/>
  <c r="R246" i="1"/>
  <c r="K141" i="1"/>
  <c r="I168" i="1"/>
  <c r="AB163" i="1"/>
  <c r="AC163" i="1" s="1"/>
  <c r="AB154" i="1"/>
  <c r="AC154" i="1" s="1"/>
  <c r="AB164" i="1"/>
  <c r="AC164" i="1" s="1"/>
  <c r="O168" i="1"/>
  <c r="AB151" i="1"/>
  <c r="AC151" i="1" s="1"/>
  <c r="AB157" i="1"/>
  <c r="AC157" i="1" s="1"/>
  <c r="AB166" i="1"/>
  <c r="AC166" i="1" s="1"/>
  <c r="R168" i="1"/>
  <c r="AB165" i="1"/>
  <c r="AC165" i="1" s="1"/>
  <c r="I115" i="1"/>
  <c r="I224" i="1"/>
  <c r="I405" i="1"/>
  <c r="I301" i="1"/>
  <c r="K299" i="1"/>
  <c r="K113" i="1"/>
  <c r="K262" i="1"/>
  <c r="K246" i="1"/>
  <c r="M297" i="1"/>
  <c r="M111" i="1"/>
  <c r="M54" i="1"/>
  <c r="AB255" i="1"/>
  <c r="AC255" i="1" s="1"/>
  <c r="M262" i="1"/>
  <c r="AB434" i="1"/>
  <c r="AC434" i="1" s="1"/>
  <c r="M440" i="1"/>
  <c r="AB258" i="1"/>
  <c r="AC258" i="1" s="1"/>
  <c r="AB430" i="1"/>
  <c r="AC430" i="1" s="1"/>
  <c r="I440" i="1"/>
  <c r="I425" i="1"/>
  <c r="AB422" i="1"/>
  <c r="AC422" i="1" s="1"/>
  <c r="I262" i="1"/>
  <c r="AB243" i="1"/>
  <c r="AC243" i="1" s="1"/>
  <c r="I246" i="1"/>
  <c r="AB29" i="1"/>
  <c r="AC29" i="1" s="1"/>
  <c r="I35" i="1"/>
  <c r="I184" i="1" s="1"/>
  <c r="I208" i="1"/>
  <c r="I117" i="1"/>
  <c r="I388" i="1"/>
  <c r="I226" i="1"/>
  <c r="AB49" i="1"/>
  <c r="AC49" i="1" s="1"/>
  <c r="I303" i="1"/>
  <c r="S111" i="1"/>
  <c r="S54" i="1"/>
  <c r="S227" i="1" s="1"/>
  <c r="S297" i="1"/>
  <c r="U301" i="1"/>
  <c r="U115" i="1"/>
  <c r="U405" i="1"/>
  <c r="U297" i="1"/>
  <c r="U111" i="1"/>
  <c r="U35" i="1"/>
  <c r="AB30" i="1"/>
  <c r="AC30" i="1" s="1"/>
  <c r="M117" i="1"/>
  <c r="M226" i="1"/>
  <c r="M303" i="1"/>
  <c r="M388" i="1"/>
  <c r="M407" i="1"/>
  <c r="M404" i="1"/>
  <c r="M386" i="1"/>
  <c r="M300" i="1"/>
  <c r="M114" i="1"/>
  <c r="M223" i="1"/>
  <c r="M206" i="1"/>
  <c r="M208" i="1"/>
  <c r="I407" i="1"/>
  <c r="Y388" i="1"/>
  <c r="Y407" i="1"/>
  <c r="Y226" i="1"/>
  <c r="Y117" i="1"/>
  <c r="Y402" i="1"/>
  <c r="Y204" i="1"/>
  <c r="Y110" i="1"/>
  <c r="Y384" i="1"/>
  <c r="Y203" i="1"/>
  <c r="Y35" i="1"/>
  <c r="Y191" i="1" s="1"/>
  <c r="R386" i="1"/>
  <c r="R223" i="1"/>
  <c r="R206" i="1"/>
  <c r="R300" i="1"/>
  <c r="R114" i="1"/>
  <c r="S305" i="1"/>
  <c r="S406" i="1"/>
  <c r="AB52" i="1"/>
  <c r="AC52" i="1" s="1"/>
  <c r="H386" i="1"/>
  <c r="H223" i="1"/>
  <c r="AB40" i="1"/>
  <c r="AC40" i="1" s="1"/>
  <c r="AB209" i="1"/>
  <c r="AC209" i="1" s="1"/>
  <c r="AB435" i="1"/>
  <c r="AC435" i="1" s="1"/>
  <c r="M246" i="1"/>
  <c r="I225" i="1"/>
  <c r="I406" i="1"/>
  <c r="K440" i="1"/>
  <c r="AA109" i="1"/>
  <c r="AA295" i="1"/>
  <c r="Y116" i="1"/>
  <c r="Y210" i="1"/>
  <c r="Y302" i="1"/>
  <c r="Y390" i="1"/>
  <c r="R407" i="1"/>
  <c r="R208" i="1"/>
  <c r="AB152" i="1"/>
  <c r="AC152" i="1" s="1"/>
  <c r="K367" i="1"/>
  <c r="AB437" i="1"/>
  <c r="AC437" i="1" s="1"/>
  <c r="AB432" i="1"/>
  <c r="AC432" i="1" s="1"/>
  <c r="AB259" i="1"/>
  <c r="AC259" i="1" s="1"/>
  <c r="AB31" i="1"/>
  <c r="AC31" i="1" s="1"/>
  <c r="AB436" i="1"/>
  <c r="AC436" i="1" s="1"/>
  <c r="AB244" i="1"/>
  <c r="AC244" i="1" s="1"/>
  <c r="K225" i="1"/>
  <c r="K119" i="1"/>
  <c r="K305" i="1"/>
  <c r="R367" i="1"/>
  <c r="W118" i="1"/>
  <c r="AB18" i="1"/>
  <c r="AC18" i="1" s="1"/>
  <c r="AB338" i="1"/>
  <c r="AC338" i="1" s="1"/>
  <c r="AB350" i="1"/>
  <c r="AC350" i="1" s="1"/>
  <c r="AB423" i="1"/>
  <c r="AC423" i="1" s="1"/>
  <c r="H246" i="1"/>
  <c r="W383" i="1"/>
  <c r="W204" i="1"/>
  <c r="AA300" i="1"/>
  <c r="AA114" i="1"/>
  <c r="R205" i="1"/>
  <c r="R222" i="1"/>
  <c r="R298" i="1"/>
  <c r="S114" i="1"/>
  <c r="S206" i="1"/>
  <c r="U210" i="1"/>
  <c r="U390" i="1"/>
  <c r="U385" i="1"/>
  <c r="U298" i="1"/>
  <c r="U112" i="1"/>
  <c r="M118" i="1"/>
  <c r="M304" i="1"/>
  <c r="N53" i="16"/>
  <c r="AB162" i="1"/>
  <c r="AC162" i="1" s="1"/>
  <c r="S168" i="1"/>
  <c r="AA425" i="1"/>
  <c r="I24" i="1"/>
  <c r="H356" i="1"/>
  <c r="U356" i="1"/>
  <c r="M53" i="16"/>
  <c r="P24" i="1"/>
  <c r="R356" i="1"/>
  <c r="F44" i="15"/>
  <c r="O440" i="1"/>
  <c r="I54" i="1"/>
  <c r="I109" i="1"/>
  <c r="AB431" i="1"/>
  <c r="AC431" i="1" s="1"/>
  <c r="P440" i="1"/>
  <c r="P425" i="1"/>
  <c r="AB419" i="1"/>
  <c r="AC419" i="1" s="1"/>
  <c r="R440" i="1"/>
  <c r="O35" i="1"/>
  <c r="AB27" i="1"/>
  <c r="AC27" i="1" s="1"/>
  <c r="W116" i="1"/>
  <c r="W390" i="1"/>
  <c r="U435" i="2"/>
  <c r="V420" i="2" s="1"/>
  <c r="U434" i="2"/>
  <c r="K429" i="2"/>
  <c r="K502" i="2" s="1"/>
  <c r="O13" i="15"/>
  <c r="J469" i="2"/>
  <c r="J492" i="2"/>
  <c r="J493" i="2" s="1"/>
  <c r="H54" i="16"/>
  <c r="H53" i="16"/>
  <c r="K53" i="16"/>
  <c r="K54" i="16"/>
  <c r="I469" i="2"/>
  <c r="I492" i="2"/>
  <c r="I493" i="2" s="1"/>
  <c r="D54" i="16"/>
  <c r="O96" i="15"/>
  <c r="F13" i="15" s="1"/>
  <c r="K444" i="2" s="1"/>
  <c r="K462" i="2" s="1"/>
  <c r="F231" i="1"/>
  <c r="V476" i="2"/>
  <c r="V448" i="2"/>
  <c r="AB252" i="1"/>
  <c r="AC252" i="1" s="1"/>
  <c r="I112" i="1"/>
  <c r="I222" i="1"/>
  <c r="W35" i="1"/>
  <c r="AB153" i="1"/>
  <c r="AC153" i="1" s="1"/>
  <c r="W425" i="1"/>
  <c r="D9" i="9"/>
  <c r="F9" i="9" s="1"/>
  <c r="N11" i="15"/>
  <c r="I432" i="2"/>
  <c r="D9" i="8"/>
  <c r="F9" i="8" s="1"/>
  <c r="AB150" i="1"/>
  <c r="AC150" i="1" s="1"/>
  <c r="H440" i="1"/>
  <c r="P246" i="1"/>
  <c r="S246" i="1"/>
  <c r="K295" i="1"/>
  <c r="K109" i="1"/>
  <c r="K425" i="1"/>
  <c r="U425" i="1"/>
  <c r="U180" i="1"/>
  <c r="D10" i="9"/>
  <c r="F10" i="9" s="1"/>
  <c r="D10" i="8"/>
  <c r="F10" i="8" s="1"/>
  <c r="J432" i="2"/>
  <c r="H43" i="18" a="1"/>
  <c r="D51" i="18"/>
  <c r="W180" i="1"/>
  <c r="A48" i="15"/>
  <c r="S386" i="1"/>
  <c r="D11" i="9"/>
  <c r="F11" i="9" s="1"/>
  <c r="D11" i="8"/>
  <c r="F11" i="8" s="1"/>
  <c r="A88" i="15"/>
  <c r="D179" i="18"/>
  <c r="H171" i="18" a="1"/>
  <c r="Y341" i="2" l="1"/>
  <c r="T354" i="2"/>
  <c r="Z344" i="2"/>
  <c r="N354" i="2"/>
  <c r="K352" i="2"/>
  <c r="AA344" i="2"/>
  <c r="AF344" i="2"/>
  <c r="AF341" i="2"/>
  <c r="U344" i="2"/>
  <c r="F354" i="2"/>
  <c r="W344" i="2"/>
  <c r="AB344" i="2"/>
  <c r="AE344" i="2"/>
  <c r="Y344" i="2"/>
  <c r="AD341" i="2"/>
  <c r="K437" i="2"/>
  <c r="K424" i="2" s="1"/>
  <c r="K420" i="2"/>
  <c r="F437" i="2"/>
  <c r="F424" i="2" s="1"/>
  <c r="F420" i="2"/>
  <c r="AC354" i="2"/>
  <c r="L342" i="2"/>
  <c r="M342" i="2"/>
  <c r="N342" i="2"/>
  <c r="H345" i="2"/>
  <c r="P345" i="2"/>
  <c r="X345" i="2"/>
  <c r="AF345" i="2"/>
  <c r="L346" i="2"/>
  <c r="T346" i="2"/>
  <c r="AB346" i="2"/>
  <c r="H347" i="2"/>
  <c r="P347" i="2"/>
  <c r="X347" i="2"/>
  <c r="AF347" i="2"/>
  <c r="L348" i="2"/>
  <c r="T348" i="2"/>
  <c r="AB348" i="2"/>
  <c r="H349" i="2"/>
  <c r="P349" i="2"/>
  <c r="X349" i="2"/>
  <c r="AF349" i="2"/>
  <c r="AG342" i="2"/>
  <c r="Y342" i="2"/>
  <c r="Q342" i="2"/>
  <c r="F342" i="2"/>
  <c r="Z313" i="2"/>
  <c r="R313" i="2"/>
  <c r="J313" i="2"/>
  <c r="G345" i="2"/>
  <c r="AA346" i="2"/>
  <c r="G349" i="2"/>
  <c r="R342" i="2"/>
  <c r="I345" i="2"/>
  <c r="Q345" i="2"/>
  <c r="Y345" i="2"/>
  <c r="AG345" i="2"/>
  <c r="M346" i="2"/>
  <c r="U346" i="2"/>
  <c r="AC346" i="2"/>
  <c r="I347" i="2"/>
  <c r="Q347" i="2"/>
  <c r="Y347" i="2"/>
  <c r="AG347" i="2"/>
  <c r="M348" i="2"/>
  <c r="U348" i="2"/>
  <c r="AC348" i="2"/>
  <c r="I349" i="2"/>
  <c r="Q349" i="2"/>
  <c r="Y349" i="2"/>
  <c r="AG349" i="2"/>
  <c r="AF342" i="2"/>
  <c r="X342" i="2"/>
  <c r="P342" i="2"/>
  <c r="AG313" i="2"/>
  <c r="Y313" i="2"/>
  <c r="Q313" i="2"/>
  <c r="I313" i="2"/>
  <c r="I417" i="2" s="1"/>
  <c r="AE345" i="2"/>
  <c r="W347" i="2"/>
  <c r="O349" i="2"/>
  <c r="K313" i="2"/>
  <c r="K417" i="2" s="1"/>
  <c r="J345" i="2"/>
  <c r="R345" i="2"/>
  <c r="Z345" i="2"/>
  <c r="F346" i="2"/>
  <c r="N346" i="2"/>
  <c r="V346" i="2"/>
  <c r="AD346" i="2"/>
  <c r="J347" i="2"/>
  <c r="R347" i="2"/>
  <c r="Z347" i="2"/>
  <c r="F348" i="2"/>
  <c r="N348" i="2"/>
  <c r="V348" i="2"/>
  <c r="AD348" i="2"/>
  <c r="J349" i="2"/>
  <c r="R349" i="2"/>
  <c r="Z349" i="2"/>
  <c r="AE342" i="2"/>
  <c r="W342" i="2"/>
  <c r="O342" i="2"/>
  <c r="AF313" i="2"/>
  <c r="X313" i="2"/>
  <c r="P313" i="2"/>
  <c r="H313" i="2"/>
  <c r="H417" i="2" s="1"/>
  <c r="O345" i="2"/>
  <c r="O347" i="2"/>
  <c r="AA348" i="2"/>
  <c r="AA313" i="2"/>
  <c r="K345" i="2"/>
  <c r="S345" i="2"/>
  <c r="AA345" i="2"/>
  <c r="G346" i="2"/>
  <c r="O346" i="2"/>
  <c r="W346" i="2"/>
  <c r="AE346" i="2"/>
  <c r="K347" i="2"/>
  <c r="S347" i="2"/>
  <c r="AA347" i="2"/>
  <c r="G348" i="2"/>
  <c r="O348" i="2"/>
  <c r="W348" i="2"/>
  <c r="AE348" i="2"/>
  <c r="K349" i="2"/>
  <c r="S349" i="2"/>
  <c r="AA349" i="2"/>
  <c r="AD342" i="2"/>
  <c r="V342" i="2"/>
  <c r="K342" i="2"/>
  <c r="AE313" i="2"/>
  <c r="W313" i="2"/>
  <c r="O313" i="2"/>
  <c r="G313" i="2"/>
  <c r="G417" i="2" s="1"/>
  <c r="J341" i="2"/>
  <c r="S346" i="2"/>
  <c r="K348" i="2"/>
  <c r="AE349" i="2"/>
  <c r="S313" i="2"/>
  <c r="L345" i="2"/>
  <c r="T345" i="2"/>
  <c r="AB345" i="2"/>
  <c r="H346" i="2"/>
  <c r="P346" i="2"/>
  <c r="X346" i="2"/>
  <c r="AF346" i="2"/>
  <c r="L347" i="2"/>
  <c r="T347" i="2"/>
  <c r="AB347" i="2"/>
  <c r="H348" i="2"/>
  <c r="P348" i="2"/>
  <c r="X348" i="2"/>
  <c r="AF348" i="2"/>
  <c r="L349" i="2"/>
  <c r="T349" i="2"/>
  <c r="AB349" i="2"/>
  <c r="AC342" i="2"/>
  <c r="U342" i="2"/>
  <c r="J342" i="2"/>
  <c r="AD313" i="2"/>
  <c r="V313" i="2"/>
  <c r="N313" i="2"/>
  <c r="F313" i="2"/>
  <c r="M345" i="2"/>
  <c r="U345" i="2"/>
  <c r="AC345" i="2"/>
  <c r="I346" i="2"/>
  <c r="Q346" i="2"/>
  <c r="Y346" i="2"/>
  <c r="AG346" i="2"/>
  <c r="M347" i="2"/>
  <c r="U347" i="2"/>
  <c r="AC347" i="2"/>
  <c r="I348" i="2"/>
  <c r="Q348" i="2"/>
  <c r="Y348" i="2"/>
  <c r="AG348" i="2"/>
  <c r="M349" i="2"/>
  <c r="U349" i="2"/>
  <c r="AC349" i="2"/>
  <c r="AB342" i="2"/>
  <c r="T342" i="2"/>
  <c r="I342" i="2"/>
  <c r="AC313" i="2"/>
  <c r="U313" i="2"/>
  <c r="M313" i="2"/>
  <c r="S341" i="2"/>
  <c r="K346" i="2"/>
  <c r="AE347" i="2"/>
  <c r="W349" i="2"/>
  <c r="Z342" i="2"/>
  <c r="F345" i="2"/>
  <c r="N345" i="2"/>
  <c r="V345" i="2"/>
  <c r="AD345" i="2"/>
  <c r="J346" i="2"/>
  <c r="R346" i="2"/>
  <c r="Z346" i="2"/>
  <c r="F347" i="2"/>
  <c r="N347" i="2"/>
  <c r="V347" i="2"/>
  <c r="AD347" i="2"/>
  <c r="J348" i="2"/>
  <c r="R348" i="2"/>
  <c r="Z348" i="2"/>
  <c r="F349" i="2"/>
  <c r="N349" i="2"/>
  <c r="V349" i="2"/>
  <c r="AD349" i="2"/>
  <c r="AA342" i="2"/>
  <c r="S342" i="2"/>
  <c r="H342" i="2"/>
  <c r="AB313" i="2"/>
  <c r="T313" i="2"/>
  <c r="L313" i="2"/>
  <c r="W345" i="2"/>
  <c r="G347" i="2"/>
  <c r="S348" i="2"/>
  <c r="G342" i="2"/>
  <c r="O341" i="2"/>
  <c r="P341" i="2"/>
  <c r="Q344" i="2"/>
  <c r="P344" i="2"/>
  <c r="O344" i="2"/>
  <c r="R341" i="2"/>
  <c r="Q341" i="2"/>
  <c r="M341" i="2"/>
  <c r="M437" i="2"/>
  <c r="M424" i="2" s="1"/>
  <c r="M420" i="2"/>
  <c r="S344" i="2"/>
  <c r="AC344" i="2"/>
  <c r="V344" i="2"/>
  <c r="AG344" i="2"/>
  <c r="AC341" i="2"/>
  <c r="AE341" i="2"/>
  <c r="AB354" i="2"/>
  <c r="T344" i="2"/>
  <c r="AD344" i="2"/>
  <c r="X344" i="2"/>
  <c r="R344" i="2"/>
  <c r="AG341" i="2"/>
  <c r="AA341" i="2"/>
  <c r="F341" i="2"/>
  <c r="F367" i="2"/>
  <c r="F365" i="2"/>
  <c r="AB341" i="2"/>
  <c r="U455" i="2"/>
  <c r="U483" i="2"/>
  <c r="Q441" i="2"/>
  <c r="P441" i="2"/>
  <c r="O441" i="2"/>
  <c r="O444" i="2"/>
  <c r="P444" i="2"/>
  <c r="P462" i="2" s="1"/>
  <c r="C53" i="16"/>
  <c r="O51" i="16"/>
  <c r="M492" i="2"/>
  <c r="M493" i="2" s="1"/>
  <c r="M469" i="2"/>
  <c r="I429" i="2"/>
  <c r="I431" i="2" s="1"/>
  <c r="I409" i="2" s="1"/>
  <c r="O352" i="2"/>
  <c r="K351" i="2"/>
  <c r="AF352" i="2"/>
  <c r="AG352" i="2"/>
  <c r="X352" i="2"/>
  <c r="V354" i="2"/>
  <c r="Y354" i="2"/>
  <c r="M354" i="2"/>
  <c r="M353" i="2"/>
  <c r="AH353" i="2" s="1"/>
  <c r="AI353" i="2" s="1"/>
  <c r="M352" i="2"/>
  <c r="M351" i="2"/>
  <c r="W354" i="2"/>
  <c r="P352" i="2"/>
  <c r="AG354" i="2"/>
  <c r="AF354" i="2"/>
  <c r="L351" i="2"/>
  <c r="J351" i="2"/>
  <c r="AB352" i="2"/>
  <c r="AB351" i="2"/>
  <c r="AC351" i="2"/>
  <c r="W351" i="2"/>
  <c r="L354" i="2"/>
  <c r="H352" i="2"/>
  <c r="R352" i="2"/>
  <c r="AA351" i="2"/>
  <c r="Q354" i="2"/>
  <c r="Z352" i="2"/>
  <c r="G352" i="2"/>
  <c r="U354" i="2"/>
  <c r="T174" i="15"/>
  <c r="K21" i="15" s="1"/>
  <c r="T440" i="2" s="1"/>
  <c r="X351" i="2"/>
  <c r="AC352" i="2"/>
  <c r="H351" i="2"/>
  <c r="N352" i="2"/>
  <c r="S354" i="2"/>
  <c r="N351" i="2"/>
  <c r="AD351" i="2"/>
  <c r="S352" i="2"/>
  <c r="G354" i="2"/>
  <c r="X354" i="2"/>
  <c r="T351" i="2"/>
  <c r="Y352" i="2"/>
  <c r="AD354" i="2"/>
  <c r="I352" i="2"/>
  <c r="O354" i="2"/>
  <c r="O351" i="2"/>
  <c r="AE351" i="2"/>
  <c r="T352" i="2"/>
  <c r="H354" i="2"/>
  <c r="N434" i="2"/>
  <c r="N435" i="2"/>
  <c r="G434" i="2"/>
  <c r="G435" i="2"/>
  <c r="O66" i="16"/>
  <c r="H462" i="2"/>
  <c r="H469" i="2" s="1"/>
  <c r="T444" i="2"/>
  <c r="T462" i="2" s="1"/>
  <c r="Q444" i="2"/>
  <c r="Q462" i="2" s="1"/>
  <c r="V444" i="2"/>
  <c r="V462" i="2" s="1"/>
  <c r="S444" i="2"/>
  <c r="S462" i="2" s="1"/>
  <c r="R444" i="2"/>
  <c r="R462" i="2" s="1"/>
  <c r="U444" i="2"/>
  <c r="U462" i="2" s="1"/>
  <c r="S124" i="15"/>
  <c r="J16" i="15" s="1"/>
  <c r="F417" i="2"/>
  <c r="S104" i="15"/>
  <c r="J14" i="15" s="1"/>
  <c r="O126" i="15"/>
  <c r="F16" i="15" s="1"/>
  <c r="O116" i="15"/>
  <c r="F15" i="15" s="1"/>
  <c r="S94" i="15"/>
  <c r="J13" i="15" s="1"/>
  <c r="K441" i="2" s="1"/>
  <c r="P46" i="15"/>
  <c r="G8" i="15" s="1"/>
  <c r="F434" i="2"/>
  <c r="F438" i="2" s="1"/>
  <c r="I77" i="18"/>
  <c r="P126" i="15"/>
  <c r="G16" i="15" s="1"/>
  <c r="P116" i="15"/>
  <c r="G15" i="15" s="1"/>
  <c r="S114" i="15"/>
  <c r="J15" i="15" s="1"/>
  <c r="O46" i="15"/>
  <c r="F8" i="15" s="1"/>
  <c r="F444" i="2" s="1"/>
  <c r="F462" i="2" s="1"/>
  <c r="N25" i="15"/>
  <c r="N26" i="15"/>
  <c r="O124" i="15"/>
  <c r="R124" i="15" s="1"/>
  <c r="I16" i="15" s="1"/>
  <c r="O122" i="15"/>
  <c r="Q122" i="15"/>
  <c r="H16" i="15" s="1"/>
  <c r="O114" i="15"/>
  <c r="R114" i="15" s="1"/>
  <c r="I15" i="15" s="1"/>
  <c r="N495" i="2" s="1"/>
  <c r="Q112" i="15"/>
  <c r="H15" i="15" s="1"/>
  <c r="O112" i="15"/>
  <c r="O104" i="15"/>
  <c r="R104" i="15" s="1"/>
  <c r="I14" i="15" s="1"/>
  <c r="Q102" i="15"/>
  <c r="H14" i="15" s="1"/>
  <c r="O102" i="15"/>
  <c r="Q82" i="15"/>
  <c r="H12" i="15" s="1"/>
  <c r="J443" i="2" s="1"/>
  <c r="O82" i="15"/>
  <c r="G429" i="2"/>
  <c r="L444" i="2"/>
  <c r="L462" i="2" s="1"/>
  <c r="C54" i="16"/>
  <c r="S448" i="2"/>
  <c r="C52" i="16"/>
  <c r="O52" i="16" s="1"/>
  <c r="O15" i="15"/>
  <c r="O54" i="15"/>
  <c r="R54" i="15" s="1"/>
  <c r="I9" i="15" s="1"/>
  <c r="G442" i="2" s="1"/>
  <c r="Q52" i="15"/>
  <c r="H9" i="15" s="1"/>
  <c r="G443" i="2" s="1"/>
  <c r="S435" i="2"/>
  <c r="T420" i="2" s="1"/>
  <c r="V429" i="2"/>
  <c r="V502" i="2" s="1"/>
  <c r="S54" i="15"/>
  <c r="J9" i="15" s="1"/>
  <c r="G441" i="2" s="1"/>
  <c r="R448" i="2"/>
  <c r="R495" i="2"/>
  <c r="L429" i="2"/>
  <c r="T164" i="15"/>
  <c r="K20" i="15" s="1"/>
  <c r="S440" i="2" s="1"/>
  <c r="T134" i="15"/>
  <c r="K17" i="15" s="1"/>
  <c r="Q92" i="15"/>
  <c r="H13" i="15" s="1"/>
  <c r="K443" i="2" s="1"/>
  <c r="I17" i="15"/>
  <c r="T429" i="2"/>
  <c r="U429" i="2"/>
  <c r="O22" i="15"/>
  <c r="T194" i="15"/>
  <c r="K23" i="15" s="1"/>
  <c r="V440" i="2" s="1"/>
  <c r="T154" i="15"/>
  <c r="K19" i="15" s="1"/>
  <c r="R440" i="2" s="1"/>
  <c r="T184" i="15"/>
  <c r="K22" i="15" s="1"/>
  <c r="U440" i="2" s="1"/>
  <c r="S44" i="15"/>
  <c r="J8" i="15" s="1"/>
  <c r="F441" i="2" s="1"/>
  <c r="O52" i="15"/>
  <c r="K434" i="2"/>
  <c r="H433" i="2"/>
  <c r="H435" i="2" s="1"/>
  <c r="E433" i="2"/>
  <c r="J431" i="2"/>
  <c r="J409" i="2" s="1"/>
  <c r="H431" i="2"/>
  <c r="H409" i="2" s="1"/>
  <c r="O42" i="15"/>
  <c r="Q42" i="15"/>
  <c r="H8" i="15" s="1"/>
  <c r="F443" i="2" s="1"/>
  <c r="F416" i="1"/>
  <c r="F463" i="1" s="1"/>
  <c r="F465" i="1" s="1"/>
  <c r="T144" i="15"/>
  <c r="K18" i="15" s="1"/>
  <c r="I18" i="15"/>
  <c r="T495" i="2"/>
  <c r="S429" i="2"/>
  <c r="O20" i="15"/>
  <c r="O16" i="15"/>
  <c r="R429" i="2"/>
  <c r="O19" i="15"/>
  <c r="Q431" i="2"/>
  <c r="R409" i="2" s="1"/>
  <c r="E432" i="2"/>
  <c r="L433" i="2"/>
  <c r="L435" i="2" s="1"/>
  <c r="L420" i="2" s="1"/>
  <c r="D25" i="15"/>
  <c r="R435" i="2"/>
  <c r="S420" i="2" s="1"/>
  <c r="R434" i="2"/>
  <c r="R438" i="2" s="1"/>
  <c r="Q437" i="2"/>
  <c r="R424" i="2" s="1"/>
  <c r="H78" i="18"/>
  <c r="D78" i="18" s="1"/>
  <c r="I76" i="18"/>
  <c r="D77" i="18" s="1"/>
  <c r="D83" i="18" s="1"/>
  <c r="D86" i="18" s="1"/>
  <c r="D88" i="18" s="1"/>
  <c r="D89" i="18" s="1"/>
  <c r="D90" i="18" s="1"/>
  <c r="D192" i="18" s="1"/>
  <c r="O472" i="1" s="1"/>
  <c r="H76" i="18"/>
  <c r="D76" i="18" s="1"/>
  <c r="I78" i="18"/>
  <c r="F98" i="1"/>
  <c r="F101" i="1" s="1"/>
  <c r="F126" i="1" s="1"/>
  <c r="H197" i="1"/>
  <c r="O337" i="1"/>
  <c r="O347" i="1" s="1"/>
  <c r="O358" i="1" s="1"/>
  <c r="O85" i="1"/>
  <c r="O80" i="1"/>
  <c r="O293" i="1"/>
  <c r="O106" i="1"/>
  <c r="F93" i="1"/>
  <c r="U293" i="1"/>
  <c r="U106" i="1"/>
  <c r="U85" i="1"/>
  <c r="U337" i="1"/>
  <c r="U347" i="1" s="1"/>
  <c r="U358" i="1" s="1"/>
  <c r="U80" i="1"/>
  <c r="R337" i="1"/>
  <c r="R347" i="1" s="1"/>
  <c r="R358" i="1" s="1"/>
  <c r="W80" i="1"/>
  <c r="J54" i="16"/>
  <c r="I53" i="16"/>
  <c r="AA85" i="1"/>
  <c r="R80" i="1"/>
  <c r="W149" i="1"/>
  <c r="W159" i="1" s="1"/>
  <c r="R85" i="1"/>
  <c r="AA293" i="1"/>
  <c r="R293" i="1"/>
  <c r="AA337" i="1"/>
  <c r="AA347" i="1" s="1"/>
  <c r="AA358" i="1" s="1"/>
  <c r="R149" i="1"/>
  <c r="R159" i="1" s="1"/>
  <c r="R170" i="1" s="1"/>
  <c r="Y337" i="1"/>
  <c r="Y347" i="1" s="1"/>
  <c r="Y358" i="1" s="1"/>
  <c r="I54" i="16"/>
  <c r="Y149" i="1"/>
  <c r="Y159" i="1" s="1"/>
  <c r="Y170" i="1" s="1"/>
  <c r="Y85" i="1"/>
  <c r="Y106" i="1"/>
  <c r="Y293" i="1"/>
  <c r="E54" i="16"/>
  <c r="S149" i="1"/>
  <c r="S159" i="1" s="1"/>
  <c r="S170" i="1" s="1"/>
  <c r="M293" i="1"/>
  <c r="S187" i="1"/>
  <c r="W106" i="1"/>
  <c r="AA80" i="1"/>
  <c r="W337" i="1"/>
  <c r="W347" i="1" s="1"/>
  <c r="AA106" i="1"/>
  <c r="U170" i="1"/>
  <c r="W293" i="1"/>
  <c r="M80" i="1"/>
  <c r="S106" i="1"/>
  <c r="S337" i="1"/>
  <c r="S347" i="1" s="1"/>
  <c r="S358" i="1" s="1"/>
  <c r="M85" i="1"/>
  <c r="S80" i="1"/>
  <c r="M106" i="1"/>
  <c r="M337" i="1"/>
  <c r="M347" i="1" s="1"/>
  <c r="M358" i="1" s="1"/>
  <c r="S85" i="1"/>
  <c r="S192" i="1"/>
  <c r="H188" i="1"/>
  <c r="K85" i="1"/>
  <c r="K149" i="1"/>
  <c r="K159" i="1" s="1"/>
  <c r="K170" i="1" s="1"/>
  <c r="K337" i="1"/>
  <c r="K347" i="1" s="1"/>
  <c r="K358" i="1" s="1"/>
  <c r="K106" i="1"/>
  <c r="K80" i="1"/>
  <c r="K293" i="1"/>
  <c r="S370" i="1"/>
  <c r="K410" i="1"/>
  <c r="L53" i="16"/>
  <c r="S372" i="1"/>
  <c r="H194" i="1"/>
  <c r="S184" i="1"/>
  <c r="H196" i="1"/>
  <c r="H85" i="1"/>
  <c r="R382" i="1"/>
  <c r="R220" i="1"/>
  <c r="Y392" i="1"/>
  <c r="M193" i="1"/>
  <c r="M188" i="1"/>
  <c r="M191" i="1"/>
  <c r="R137" i="1"/>
  <c r="S185" i="1"/>
  <c r="S190" i="1"/>
  <c r="S188" i="1"/>
  <c r="S376" i="1"/>
  <c r="H190" i="1"/>
  <c r="H189" i="1"/>
  <c r="H372" i="1"/>
  <c r="I371" i="1"/>
  <c r="S306" i="1"/>
  <c r="M196" i="1"/>
  <c r="S186" i="1"/>
  <c r="S194" i="1"/>
  <c r="K188" i="1"/>
  <c r="S193" i="1"/>
  <c r="S374" i="1"/>
  <c r="S189" i="1"/>
  <c r="S373" i="1"/>
  <c r="H185" i="1"/>
  <c r="H376" i="1"/>
  <c r="H375" i="1"/>
  <c r="H377" i="1"/>
  <c r="H195" i="1"/>
  <c r="H186" i="1"/>
  <c r="H191" i="1"/>
  <c r="H193" i="1"/>
  <c r="S294" i="1"/>
  <c r="S56" i="1"/>
  <c r="S9" i="1" s="1"/>
  <c r="S371" i="1"/>
  <c r="S375" i="1"/>
  <c r="S86" i="1"/>
  <c r="H187" i="1"/>
  <c r="H183" i="1"/>
  <c r="H184" i="1"/>
  <c r="H373" i="1"/>
  <c r="S195" i="1"/>
  <c r="S105" i="1"/>
  <c r="M192" i="1"/>
  <c r="Y227" i="1"/>
  <c r="S107" i="1"/>
  <c r="S197" i="1"/>
  <c r="S183" i="1"/>
  <c r="S196" i="1"/>
  <c r="U105" i="1"/>
  <c r="H370" i="1"/>
  <c r="H294" i="1"/>
  <c r="H107" i="1"/>
  <c r="H192" i="1"/>
  <c r="M187" i="1"/>
  <c r="H86" i="1"/>
  <c r="S191" i="1"/>
  <c r="H374" i="1"/>
  <c r="U227" i="1"/>
  <c r="AA375" i="1"/>
  <c r="H220" i="1"/>
  <c r="R370" i="1"/>
  <c r="AA108" i="1"/>
  <c r="AB168" i="1"/>
  <c r="AC168" i="1" s="1"/>
  <c r="U211" i="1"/>
  <c r="W202" i="1"/>
  <c r="W408" i="1"/>
  <c r="W227" i="1"/>
  <c r="P86" i="1"/>
  <c r="R374" i="1"/>
  <c r="S408" i="1"/>
  <c r="M170" i="1"/>
  <c r="U408" i="1"/>
  <c r="P371" i="1"/>
  <c r="R375" i="1"/>
  <c r="R188" i="1"/>
  <c r="P191" i="1"/>
  <c r="AA107" i="1"/>
  <c r="R376" i="1"/>
  <c r="S220" i="1"/>
  <c r="S229" i="1" s="1"/>
  <c r="AA183" i="1"/>
  <c r="U220" i="1"/>
  <c r="W391" i="1"/>
  <c r="W105" i="1"/>
  <c r="W392" i="1"/>
  <c r="K229" i="1"/>
  <c r="P187" i="1"/>
  <c r="K373" i="1"/>
  <c r="W382" i="1"/>
  <c r="P190" i="1"/>
  <c r="P185" i="1"/>
  <c r="R373" i="1"/>
  <c r="R377" i="1"/>
  <c r="R190" i="1"/>
  <c r="P107" i="1"/>
  <c r="U138" i="1"/>
  <c r="U137" i="1"/>
  <c r="U136" i="1"/>
  <c r="W108" i="1"/>
  <c r="O170" i="1"/>
  <c r="K215" i="1"/>
  <c r="AB304" i="1"/>
  <c r="AC304" i="1" s="1"/>
  <c r="P183" i="1"/>
  <c r="W211" i="1"/>
  <c r="P186" i="1"/>
  <c r="P373" i="1"/>
  <c r="W401" i="1"/>
  <c r="P195" i="1"/>
  <c r="R197" i="1"/>
  <c r="R187" i="1"/>
  <c r="R194" i="1"/>
  <c r="P196" i="1"/>
  <c r="AA190" i="1"/>
  <c r="U382" i="1"/>
  <c r="U391" i="1"/>
  <c r="P376" i="1"/>
  <c r="P375" i="1"/>
  <c r="AA306" i="1"/>
  <c r="R211" i="1"/>
  <c r="R56" i="1"/>
  <c r="R71" i="1" s="1"/>
  <c r="Y56" i="1"/>
  <c r="Y71" i="1" s="1"/>
  <c r="P188" i="1"/>
  <c r="P184" i="1"/>
  <c r="R392" i="1"/>
  <c r="M375" i="1"/>
  <c r="M86" i="1"/>
  <c r="H227" i="1"/>
  <c r="H408" i="1"/>
  <c r="H410" i="1" s="1"/>
  <c r="AA192" i="1"/>
  <c r="AA377" i="1"/>
  <c r="H149" i="1"/>
  <c r="H159" i="1" s="1"/>
  <c r="H170" i="1" s="1"/>
  <c r="AB262" i="1"/>
  <c r="AC262" i="1" s="1"/>
  <c r="Y310" i="1"/>
  <c r="P194" i="1"/>
  <c r="W137" i="1"/>
  <c r="M371" i="1"/>
  <c r="W87" i="1"/>
  <c r="W306" i="1"/>
  <c r="W213" i="1"/>
  <c r="M373" i="1"/>
  <c r="M195" i="1"/>
  <c r="P197" i="1"/>
  <c r="M197" i="1"/>
  <c r="M370" i="1"/>
  <c r="M294" i="1"/>
  <c r="H56" i="1"/>
  <c r="H58" i="1" s="1"/>
  <c r="AB296" i="1"/>
  <c r="AC296" i="1" s="1"/>
  <c r="M186" i="1"/>
  <c r="M374" i="1"/>
  <c r="M190" i="1"/>
  <c r="AB387" i="1"/>
  <c r="AC387" i="1" s="1"/>
  <c r="AB225" i="1"/>
  <c r="AC225" i="1" s="1"/>
  <c r="AA170" i="1"/>
  <c r="W220" i="1"/>
  <c r="W139" i="1"/>
  <c r="AA371" i="1"/>
  <c r="E53" i="16"/>
  <c r="W89" i="1"/>
  <c r="W78" i="1"/>
  <c r="P192" i="1"/>
  <c r="P372" i="1"/>
  <c r="R78" i="1"/>
  <c r="AA310" i="1"/>
  <c r="AB110" i="1"/>
  <c r="AC110" i="1" s="1"/>
  <c r="P370" i="1"/>
  <c r="P374" i="1"/>
  <c r="R408" i="1"/>
  <c r="M377" i="1"/>
  <c r="M189" i="1"/>
  <c r="M185" i="1"/>
  <c r="AA86" i="1"/>
  <c r="M56" i="1"/>
  <c r="M71" i="1" s="1"/>
  <c r="M376" i="1"/>
  <c r="P377" i="1"/>
  <c r="W136" i="1"/>
  <c r="M372" i="1"/>
  <c r="M107" i="1"/>
  <c r="W138" i="1"/>
  <c r="M194" i="1"/>
  <c r="M184" i="1"/>
  <c r="P189" i="1"/>
  <c r="P193" i="1"/>
  <c r="AB425" i="1"/>
  <c r="AC425" i="1" s="1"/>
  <c r="I190" i="1"/>
  <c r="AA392" i="1"/>
  <c r="AA139" i="1"/>
  <c r="S139" i="1"/>
  <c r="S78" i="1"/>
  <c r="S213" i="1"/>
  <c r="AB383" i="1"/>
  <c r="AC383" i="1" s="1"/>
  <c r="AB305" i="1"/>
  <c r="AC305" i="1" s="1"/>
  <c r="AB406" i="1"/>
  <c r="AC406" i="1" s="1"/>
  <c r="K294" i="1"/>
  <c r="K370" i="1"/>
  <c r="AA196" i="1"/>
  <c r="AA197" i="1"/>
  <c r="AA376" i="1"/>
  <c r="AA370" i="1"/>
  <c r="AA372" i="1"/>
  <c r="AA189" i="1"/>
  <c r="AA294" i="1"/>
  <c r="K107" i="1"/>
  <c r="AA193" i="1"/>
  <c r="E449" i="2"/>
  <c r="E456" i="2" s="1"/>
  <c r="R136" i="1"/>
  <c r="R202" i="1"/>
  <c r="AA211" i="1"/>
  <c r="AA105" i="1"/>
  <c r="R186" i="1"/>
  <c r="R294" i="1"/>
  <c r="R189" i="1"/>
  <c r="R184" i="1"/>
  <c r="R183" i="1"/>
  <c r="R107" i="1"/>
  <c r="Y184" i="1"/>
  <c r="S138" i="1"/>
  <c r="S211" i="1"/>
  <c r="S310" i="1"/>
  <c r="S108" i="1"/>
  <c r="AB119" i="1"/>
  <c r="AC119" i="1" s="1"/>
  <c r="R105" i="1"/>
  <c r="AA185" i="1"/>
  <c r="AA191" i="1"/>
  <c r="AA187" i="1"/>
  <c r="AA186" i="1"/>
  <c r="AB303" i="1"/>
  <c r="AC303" i="1" s="1"/>
  <c r="AB117" i="1"/>
  <c r="AC117" i="1" s="1"/>
  <c r="K195" i="1"/>
  <c r="K185" i="1"/>
  <c r="U108" i="1"/>
  <c r="U202" i="1"/>
  <c r="U306" i="1"/>
  <c r="U139" i="1"/>
  <c r="U89" i="1"/>
  <c r="U213" i="1"/>
  <c r="AA188" i="1"/>
  <c r="K197" i="1"/>
  <c r="AA382" i="1"/>
  <c r="S202" i="1"/>
  <c r="S391" i="1"/>
  <c r="K374" i="1"/>
  <c r="K193" i="1"/>
  <c r="K187" i="1"/>
  <c r="R306" i="1"/>
  <c r="AA136" i="1"/>
  <c r="AA220" i="1"/>
  <c r="R372" i="1"/>
  <c r="R86" i="1"/>
  <c r="R371" i="1"/>
  <c r="R193" i="1"/>
  <c r="R195" i="1"/>
  <c r="Y377" i="1"/>
  <c r="S392" i="1"/>
  <c r="S89" i="1"/>
  <c r="S382" i="1"/>
  <c r="R139" i="1"/>
  <c r="AA194" i="1"/>
  <c r="AA374" i="1"/>
  <c r="AA56" i="1"/>
  <c r="AA71" i="1" s="1"/>
  <c r="AA184" i="1"/>
  <c r="K376" i="1"/>
  <c r="U87" i="1"/>
  <c r="U392" i="1"/>
  <c r="U78" i="1"/>
  <c r="U401" i="1"/>
  <c r="AA373" i="1"/>
  <c r="AB384" i="1"/>
  <c r="AC384" i="1" s="1"/>
  <c r="AB221" i="1"/>
  <c r="AC221" i="1" s="1"/>
  <c r="Y78" i="1"/>
  <c r="Y211" i="1"/>
  <c r="Y139" i="1"/>
  <c r="AB207" i="1"/>
  <c r="AC207" i="1" s="1"/>
  <c r="H293" i="1"/>
  <c r="Y202" i="1"/>
  <c r="Y87" i="1"/>
  <c r="K192" i="1"/>
  <c r="K196" i="1"/>
  <c r="K86" i="1"/>
  <c r="K191" i="1"/>
  <c r="K371" i="1"/>
  <c r="AA137" i="1"/>
  <c r="AA78" i="1"/>
  <c r="AA138" i="1"/>
  <c r="AA202" i="1"/>
  <c r="AA213" i="1"/>
  <c r="Y194" i="1"/>
  <c r="AB118" i="1"/>
  <c r="AC118" i="1" s="1"/>
  <c r="AB302" i="1"/>
  <c r="AC302" i="1" s="1"/>
  <c r="AB203" i="1"/>
  <c r="AC203" i="1" s="1"/>
  <c r="AB402" i="1"/>
  <c r="AC402" i="1" s="1"/>
  <c r="Y89" i="1"/>
  <c r="H337" i="1"/>
  <c r="H347" i="1" s="1"/>
  <c r="H358" i="1" s="1"/>
  <c r="Y105" i="1"/>
  <c r="K184" i="1"/>
  <c r="K186" i="1"/>
  <c r="K194" i="1"/>
  <c r="Y401" i="1"/>
  <c r="Y213" i="1"/>
  <c r="Y136" i="1"/>
  <c r="Y408" i="1"/>
  <c r="R192" i="1"/>
  <c r="R196" i="1"/>
  <c r="R185" i="1"/>
  <c r="K394" i="1"/>
  <c r="R87" i="1"/>
  <c r="R401" i="1"/>
  <c r="R138" i="1"/>
  <c r="R108" i="1"/>
  <c r="R213" i="1"/>
  <c r="R391" i="1"/>
  <c r="R227" i="1"/>
  <c r="R310" i="1"/>
  <c r="AB24" i="1"/>
  <c r="AC24" i="1" s="1"/>
  <c r="Y306" i="1"/>
  <c r="K190" i="1"/>
  <c r="K189" i="1"/>
  <c r="AA89" i="1"/>
  <c r="AA227" i="1"/>
  <c r="AA87" i="1"/>
  <c r="AA391" i="1"/>
  <c r="AA408" i="1"/>
  <c r="AA410" i="1" s="1"/>
  <c r="AB210" i="1"/>
  <c r="AC210" i="1" s="1"/>
  <c r="AB204" i="1"/>
  <c r="AC204" i="1" s="1"/>
  <c r="AB208" i="1"/>
  <c r="AC208" i="1" s="1"/>
  <c r="Y108" i="1"/>
  <c r="H106" i="1"/>
  <c r="Y220" i="1"/>
  <c r="AB388" i="1"/>
  <c r="AC388" i="1" s="1"/>
  <c r="K377" i="1"/>
  <c r="K56" i="1"/>
  <c r="K73" i="1" s="1"/>
  <c r="K375" i="1"/>
  <c r="K183" i="1"/>
  <c r="Y138" i="1"/>
  <c r="Y391" i="1"/>
  <c r="Y382" i="1"/>
  <c r="H306" i="1"/>
  <c r="H391" i="1"/>
  <c r="H136" i="1"/>
  <c r="H211" i="1"/>
  <c r="H310" i="1"/>
  <c r="H139" i="1"/>
  <c r="H392" i="1"/>
  <c r="H382" i="1"/>
  <c r="H137" i="1"/>
  <c r="H105" i="1"/>
  <c r="H89" i="1"/>
  <c r="H213" i="1"/>
  <c r="H78" i="1"/>
  <c r="H108" i="1"/>
  <c r="H202" i="1"/>
  <c r="H138" i="1"/>
  <c r="H87" i="1"/>
  <c r="G53" i="16"/>
  <c r="Y197" i="1"/>
  <c r="Y189" i="1"/>
  <c r="Y107" i="1"/>
  <c r="Y188" i="1"/>
  <c r="Y190" i="1"/>
  <c r="Y374" i="1"/>
  <c r="Y187" i="1"/>
  <c r="Y193" i="1"/>
  <c r="Y375" i="1"/>
  <c r="Y192" i="1"/>
  <c r="Y372" i="1"/>
  <c r="Y185" i="1"/>
  <c r="AB390" i="1"/>
  <c r="AC390" i="1" s="1"/>
  <c r="Y294" i="1"/>
  <c r="Y186" i="1"/>
  <c r="Y371" i="1"/>
  <c r="Y183" i="1"/>
  <c r="Y376" i="1"/>
  <c r="P85" i="1"/>
  <c r="P337" i="1"/>
  <c r="P347" i="1" s="1"/>
  <c r="P358" i="1" s="1"/>
  <c r="P293" i="1"/>
  <c r="P80" i="1"/>
  <c r="P149" i="1"/>
  <c r="P159" i="1" s="1"/>
  <c r="P170" i="1" s="1"/>
  <c r="P106" i="1"/>
  <c r="AB356" i="1"/>
  <c r="AC356" i="1" s="1"/>
  <c r="AB407" i="1"/>
  <c r="AC407" i="1" s="1"/>
  <c r="M213" i="1"/>
  <c r="M408" i="1"/>
  <c r="M310" i="1"/>
  <c r="M391" i="1"/>
  <c r="M137" i="1"/>
  <c r="M401" i="1"/>
  <c r="M108" i="1"/>
  <c r="M306" i="1"/>
  <c r="M139" i="1"/>
  <c r="M211" i="1"/>
  <c r="M227" i="1"/>
  <c r="M382" i="1"/>
  <c r="M220" i="1"/>
  <c r="M392" i="1"/>
  <c r="M202" i="1"/>
  <c r="M78" i="1"/>
  <c r="M87" i="1"/>
  <c r="M89" i="1"/>
  <c r="M136" i="1"/>
  <c r="M105" i="1"/>
  <c r="M138" i="1"/>
  <c r="M54" i="16"/>
  <c r="F53" i="16"/>
  <c r="U374" i="1"/>
  <c r="U187" i="1"/>
  <c r="U370" i="1"/>
  <c r="U376" i="1"/>
  <c r="U197" i="1"/>
  <c r="U191" i="1"/>
  <c r="U193" i="1"/>
  <c r="U194" i="1"/>
  <c r="U375" i="1"/>
  <c r="U196" i="1"/>
  <c r="U188" i="1"/>
  <c r="U56" i="1"/>
  <c r="U86" i="1"/>
  <c r="U377" i="1"/>
  <c r="U183" i="1"/>
  <c r="U190" i="1"/>
  <c r="U195" i="1"/>
  <c r="U184" i="1"/>
  <c r="U373" i="1"/>
  <c r="U189" i="1"/>
  <c r="U371" i="1"/>
  <c r="U192" i="1"/>
  <c r="U107" i="1"/>
  <c r="U372" i="1"/>
  <c r="U186" i="1"/>
  <c r="U294" i="1"/>
  <c r="U185" i="1"/>
  <c r="N54" i="16"/>
  <c r="AB116" i="1"/>
  <c r="AC116" i="1" s="1"/>
  <c r="Y195" i="1"/>
  <c r="Y196" i="1"/>
  <c r="Y370" i="1"/>
  <c r="Y86" i="1"/>
  <c r="Y373" i="1"/>
  <c r="I293" i="1"/>
  <c r="I337" i="1"/>
  <c r="I347" i="1" s="1"/>
  <c r="I358" i="1" s="1"/>
  <c r="I106" i="1"/>
  <c r="I85" i="1"/>
  <c r="I149" i="1"/>
  <c r="I159" i="1" s="1"/>
  <c r="I170" i="1" s="1"/>
  <c r="I80" i="1"/>
  <c r="F54" i="16"/>
  <c r="G54" i="16"/>
  <c r="S136" i="1"/>
  <c r="S87" i="1"/>
  <c r="S401" i="1"/>
  <c r="S137" i="1"/>
  <c r="AB226" i="1"/>
  <c r="AC226" i="1" s="1"/>
  <c r="I187" i="1"/>
  <c r="I370" i="1"/>
  <c r="I188" i="1"/>
  <c r="I186" i="1"/>
  <c r="I191" i="1"/>
  <c r="I377" i="1"/>
  <c r="I194" i="1"/>
  <c r="I86" i="1"/>
  <c r="I183" i="1"/>
  <c r="I197" i="1"/>
  <c r="I189" i="1"/>
  <c r="I374" i="1"/>
  <c r="I196" i="1"/>
  <c r="I192" i="1"/>
  <c r="I195" i="1"/>
  <c r="I376" i="1"/>
  <c r="I294" i="1"/>
  <c r="I107" i="1"/>
  <c r="I185" i="1"/>
  <c r="I373" i="1"/>
  <c r="I372" i="1"/>
  <c r="I193" i="1"/>
  <c r="I375" i="1"/>
  <c r="H172" i="18"/>
  <c r="I173" i="18"/>
  <c r="H173" i="18"/>
  <c r="D173" i="18" s="1"/>
  <c r="I172" i="18"/>
  <c r="H171" i="18"/>
  <c r="D171" i="18" s="1"/>
  <c r="I171" i="18"/>
  <c r="D172" i="18" s="1"/>
  <c r="D178" i="18" s="1"/>
  <c r="D181" i="18" s="1"/>
  <c r="D183" i="18" s="1"/>
  <c r="D184" i="18" s="1"/>
  <c r="I433" i="2"/>
  <c r="I435" i="2" s="1"/>
  <c r="AH432" i="2"/>
  <c r="F233" i="1"/>
  <c r="F264" i="1" s="1"/>
  <c r="F237" i="1"/>
  <c r="F285" i="1" s="1"/>
  <c r="T455" i="2"/>
  <c r="AB109" i="1"/>
  <c r="AC109" i="1" s="1"/>
  <c r="D33" i="9"/>
  <c r="O44" i="15"/>
  <c r="R44" i="15" s="1"/>
  <c r="H43" i="18"/>
  <c r="D43" i="18" s="1"/>
  <c r="I45" i="18"/>
  <c r="I44" i="18"/>
  <c r="H45" i="18"/>
  <c r="D45" i="18" s="1"/>
  <c r="H44" i="18"/>
  <c r="I43" i="18"/>
  <c r="D44" i="18" s="1"/>
  <c r="D50" i="18" s="1"/>
  <c r="D53" i="18" s="1"/>
  <c r="D55" i="18" s="1"/>
  <c r="D56" i="18" s="1"/>
  <c r="O62" i="15"/>
  <c r="Q62" i="15"/>
  <c r="H10" i="15" s="1"/>
  <c r="H443" i="2" s="1"/>
  <c r="R94" i="15"/>
  <c r="C203" i="15"/>
  <c r="K431" i="2"/>
  <c r="K409" i="2" s="1"/>
  <c r="I105" i="1"/>
  <c r="I213" i="1"/>
  <c r="I220" i="1"/>
  <c r="I306" i="1"/>
  <c r="I108" i="1"/>
  <c r="I139" i="1"/>
  <c r="I392" i="1"/>
  <c r="I138" i="1"/>
  <c r="I78" i="1"/>
  <c r="I89" i="1"/>
  <c r="I211" i="1"/>
  <c r="I401" i="1"/>
  <c r="I202" i="1"/>
  <c r="I87" i="1"/>
  <c r="I227" i="1"/>
  <c r="I137" i="1"/>
  <c r="I408" i="1"/>
  <c r="I56" i="1"/>
  <c r="I136" i="1"/>
  <c r="I391" i="1"/>
  <c r="I382" i="1"/>
  <c r="I310" i="1"/>
  <c r="S74" i="15"/>
  <c r="J11" i="15" s="1"/>
  <c r="AB440" i="1"/>
  <c r="AC440" i="1" s="1"/>
  <c r="F33" i="9"/>
  <c r="G9" i="9" s="1"/>
  <c r="W371" i="1"/>
  <c r="W192" i="1"/>
  <c r="W194" i="1"/>
  <c r="W372" i="1"/>
  <c r="W189" i="1"/>
  <c r="W376" i="1"/>
  <c r="W183" i="1"/>
  <c r="W188" i="1"/>
  <c r="W185" i="1"/>
  <c r="W193" i="1"/>
  <c r="W184" i="1"/>
  <c r="W191" i="1"/>
  <c r="W294" i="1"/>
  <c r="W86" i="1"/>
  <c r="W107" i="1"/>
  <c r="W186" i="1"/>
  <c r="W196" i="1"/>
  <c r="W190" i="1"/>
  <c r="W187" i="1"/>
  <c r="W370" i="1"/>
  <c r="W375" i="1"/>
  <c r="W377" i="1"/>
  <c r="W56" i="1"/>
  <c r="W374" i="1"/>
  <c r="W373" i="1"/>
  <c r="W197" i="1"/>
  <c r="W195" i="1"/>
  <c r="F235" i="1"/>
  <c r="V455" i="2"/>
  <c r="U437" i="2"/>
  <c r="V424" i="2" s="1"/>
  <c r="O192" i="1"/>
  <c r="O372" i="1"/>
  <c r="O374" i="1"/>
  <c r="O186" i="1"/>
  <c r="O107" i="1"/>
  <c r="O184" i="1"/>
  <c r="O371" i="1"/>
  <c r="O187" i="1"/>
  <c r="O193" i="1"/>
  <c r="O197" i="1"/>
  <c r="O194" i="1"/>
  <c r="O195" i="1"/>
  <c r="O191" i="1"/>
  <c r="O185" i="1"/>
  <c r="O373" i="1"/>
  <c r="O370" i="1"/>
  <c r="O188" i="1"/>
  <c r="O375" i="1"/>
  <c r="O377" i="1"/>
  <c r="O183" i="1"/>
  <c r="O196" i="1"/>
  <c r="O376" i="1"/>
  <c r="AB35" i="1"/>
  <c r="AC35" i="1" s="1"/>
  <c r="O86" i="1"/>
  <c r="O189" i="1"/>
  <c r="O190" i="1"/>
  <c r="O294" i="1"/>
  <c r="J433" i="2"/>
  <c r="J435" i="2" s="1"/>
  <c r="O72" i="15"/>
  <c r="Q72" i="15"/>
  <c r="H11" i="15" s="1"/>
  <c r="I443" i="2" s="1"/>
  <c r="AB246" i="1"/>
  <c r="AC246" i="1" s="1"/>
  <c r="AB295" i="1"/>
  <c r="AC295" i="1" s="1"/>
  <c r="D32" i="8"/>
  <c r="V483" i="2"/>
  <c r="I502" i="2" l="1"/>
  <c r="K341" i="2"/>
  <c r="K367" i="2"/>
  <c r="K365" i="2"/>
  <c r="H341" i="2"/>
  <c r="H365" i="2"/>
  <c r="H367" i="2"/>
  <c r="AH345" i="2"/>
  <c r="AI345" i="2" s="1"/>
  <c r="AH347" i="2"/>
  <c r="AI347" i="2" s="1"/>
  <c r="G437" i="2"/>
  <c r="G424" i="2" s="1"/>
  <c r="G420" i="2"/>
  <c r="N437" i="2"/>
  <c r="N424" i="2" s="1"/>
  <c r="N420" i="2"/>
  <c r="AH349" i="2"/>
  <c r="AI349" i="2" s="1"/>
  <c r="AH346" i="2"/>
  <c r="AI346" i="2" s="1"/>
  <c r="AH342" i="2"/>
  <c r="I437" i="2"/>
  <c r="I424" i="2" s="1"/>
  <c r="I420" i="2"/>
  <c r="I341" i="2"/>
  <c r="I367" i="2"/>
  <c r="I365" i="2"/>
  <c r="H437" i="2"/>
  <c r="H424" i="2" s="1"/>
  <c r="H420" i="2"/>
  <c r="AH348" i="2"/>
  <c r="AI348" i="2" s="1"/>
  <c r="J365" i="2"/>
  <c r="J367" i="2"/>
  <c r="J437" i="2"/>
  <c r="J424" i="2" s="1"/>
  <c r="J420" i="2"/>
  <c r="AH313" i="2"/>
  <c r="AI313" i="2" s="1"/>
  <c r="S367" i="2"/>
  <c r="S365" i="2"/>
  <c r="Q442" i="2"/>
  <c r="Q495" i="2" s="1"/>
  <c r="O442" i="2"/>
  <c r="O495" i="2" s="1"/>
  <c r="P442" i="2"/>
  <c r="P495" i="2" s="1"/>
  <c r="R455" i="2"/>
  <c r="S455" i="2"/>
  <c r="P492" i="2"/>
  <c r="P469" i="2"/>
  <c r="Q440" i="2"/>
  <c r="P440" i="2"/>
  <c r="O440" i="2"/>
  <c r="I415" i="2"/>
  <c r="I416" i="2" s="1"/>
  <c r="O462" i="2"/>
  <c r="N444" i="2"/>
  <c r="N462" i="2" s="1"/>
  <c r="N492" i="2" s="1"/>
  <c r="D29" i="15"/>
  <c r="D30" i="15" s="1"/>
  <c r="L443" i="2"/>
  <c r="AH443" i="2" s="1"/>
  <c r="L442" i="2"/>
  <c r="L495" i="2" s="1"/>
  <c r="L441" i="2"/>
  <c r="L437" i="2"/>
  <c r="L424" i="2" s="1"/>
  <c r="AH354" i="2"/>
  <c r="AI354" i="2" s="1"/>
  <c r="AH352" i="2"/>
  <c r="AI352" i="2" s="1"/>
  <c r="AH351" i="2"/>
  <c r="AI351" i="2" s="1"/>
  <c r="N502" i="2"/>
  <c r="N436" i="2"/>
  <c r="N423" i="2" s="1"/>
  <c r="AH423" i="2" s="1"/>
  <c r="N438" i="2"/>
  <c r="L431" i="2"/>
  <c r="L409" i="2" s="1"/>
  <c r="L502" i="2"/>
  <c r="K438" i="2"/>
  <c r="G431" i="2"/>
  <c r="G409" i="2" s="1"/>
  <c r="G502" i="2"/>
  <c r="G438" i="2"/>
  <c r="H492" i="2"/>
  <c r="H493" i="2" s="1"/>
  <c r="G448" i="2"/>
  <c r="G495" i="2"/>
  <c r="AH417" i="2"/>
  <c r="AF316" i="2"/>
  <c r="AF338" i="2" s="1"/>
  <c r="S492" i="2"/>
  <c r="T493" i="2" s="1"/>
  <c r="S469" i="2"/>
  <c r="U469" i="2"/>
  <c r="U492" i="2"/>
  <c r="V493" i="2" s="1"/>
  <c r="Q492" i="2"/>
  <c r="R493" i="2" s="1"/>
  <c r="Q469" i="2"/>
  <c r="V492" i="2"/>
  <c r="W493" i="2" s="1"/>
  <c r="V469" i="2"/>
  <c r="R469" i="2"/>
  <c r="R492" i="2"/>
  <c r="T492" i="2"/>
  <c r="T469" i="2"/>
  <c r="T124" i="15"/>
  <c r="K16" i="15" s="1"/>
  <c r="T114" i="15"/>
  <c r="K15" i="15" s="1"/>
  <c r="G25" i="15"/>
  <c r="T104" i="15"/>
  <c r="K14" i="15" s="1"/>
  <c r="F25" i="15"/>
  <c r="E444" i="2" s="1"/>
  <c r="E192" i="18"/>
  <c r="P472" i="1" s="1"/>
  <c r="P46" i="1" s="1"/>
  <c r="P15" i="15"/>
  <c r="E42" i="4" s="1"/>
  <c r="P16" i="15"/>
  <c r="P17" i="15"/>
  <c r="E45" i="4" s="1"/>
  <c r="AI432" i="2"/>
  <c r="N448" i="2"/>
  <c r="N455" i="2" s="1"/>
  <c r="N476" i="2" s="1"/>
  <c r="F469" i="2"/>
  <c r="F492" i="2"/>
  <c r="F493" i="2" s="1"/>
  <c r="AA9" i="1"/>
  <c r="S215" i="1"/>
  <c r="S231" i="1" s="1"/>
  <c r="O45" i="1"/>
  <c r="O46" i="1"/>
  <c r="T54" i="15"/>
  <c r="K9" i="15" s="1"/>
  <c r="G440" i="2" s="1"/>
  <c r="N431" i="2"/>
  <c r="N409" i="2" s="1"/>
  <c r="V431" i="2"/>
  <c r="W409" i="2" s="1"/>
  <c r="AH429" i="2"/>
  <c r="U502" i="2"/>
  <c r="U431" i="2"/>
  <c r="V409" i="2" s="1"/>
  <c r="T502" i="2"/>
  <c r="T431" i="2"/>
  <c r="U409" i="2" s="1"/>
  <c r="E434" i="2"/>
  <c r="H434" i="2"/>
  <c r="H25" i="15"/>
  <c r="E443" i="2" s="1"/>
  <c r="Y316" i="2"/>
  <c r="Y338" i="2" s="1"/>
  <c r="G11" i="9"/>
  <c r="G12" i="9"/>
  <c r="G14" i="9"/>
  <c r="N415" i="2" s="1"/>
  <c r="G16" i="9"/>
  <c r="G13" i="9"/>
  <c r="M415" i="2" s="1"/>
  <c r="G15" i="9"/>
  <c r="Q316" i="2" s="1"/>
  <c r="Q338" i="2" s="1"/>
  <c r="Z316" i="2"/>
  <c r="Z338" i="2" s="1"/>
  <c r="U316" i="2"/>
  <c r="U338" i="2" s="1"/>
  <c r="T316" i="2"/>
  <c r="T338" i="2" s="1"/>
  <c r="X316" i="2"/>
  <c r="X338" i="2" s="1"/>
  <c r="AE316" i="2"/>
  <c r="AE338" i="2" s="1"/>
  <c r="AG316" i="2"/>
  <c r="AG338" i="2" s="1"/>
  <c r="AD316" i="2"/>
  <c r="AD338" i="2" s="1"/>
  <c r="AC316" i="2"/>
  <c r="AC338" i="2" s="1"/>
  <c r="W316" i="2"/>
  <c r="W338" i="2" s="1"/>
  <c r="AA316" i="2"/>
  <c r="AA338" i="2" s="1"/>
  <c r="V316" i="2"/>
  <c r="V338" i="2" s="1"/>
  <c r="S316" i="2"/>
  <c r="S338" i="2" s="1"/>
  <c r="R316" i="2"/>
  <c r="R338" i="2" s="1"/>
  <c r="AB316" i="2"/>
  <c r="AB338" i="2" s="1"/>
  <c r="L434" i="2"/>
  <c r="R502" i="2"/>
  <c r="R431" i="2"/>
  <c r="S409" i="2" s="1"/>
  <c r="S502" i="2"/>
  <c r="S431" i="2"/>
  <c r="T409" i="2" s="1"/>
  <c r="E429" i="2"/>
  <c r="P10" i="15"/>
  <c r="E37" i="4" s="1"/>
  <c r="P8" i="15"/>
  <c r="E35" i="4" s="1"/>
  <c r="P11" i="15"/>
  <c r="E38" i="4" s="1"/>
  <c r="P18" i="15"/>
  <c r="P25" i="15"/>
  <c r="P9" i="15"/>
  <c r="E36" i="4" s="1"/>
  <c r="O25" i="15"/>
  <c r="P22" i="15"/>
  <c r="P21" i="15"/>
  <c r="P14" i="15"/>
  <c r="E41" i="4" s="1"/>
  <c r="P23" i="15"/>
  <c r="P13" i="15"/>
  <c r="E40" i="4" s="1"/>
  <c r="P12" i="15"/>
  <c r="E39" i="4" s="1"/>
  <c r="P20" i="15"/>
  <c r="P19" i="15"/>
  <c r="G10" i="9"/>
  <c r="O53" i="16"/>
  <c r="O54" i="16"/>
  <c r="I483" i="1" s="1"/>
  <c r="I364" i="1" s="1"/>
  <c r="J53" i="16"/>
  <c r="U229" i="1"/>
  <c r="Y73" i="1"/>
  <c r="R229" i="1"/>
  <c r="M410" i="1"/>
  <c r="Y67" i="1"/>
  <c r="R410" i="1"/>
  <c r="Y410" i="1"/>
  <c r="S68" i="1"/>
  <c r="S69" i="1"/>
  <c r="K412" i="1"/>
  <c r="H229" i="1"/>
  <c r="S72" i="1"/>
  <c r="Y70" i="1"/>
  <c r="S379" i="1"/>
  <c r="S73" i="1"/>
  <c r="Y8" i="1"/>
  <c r="S410" i="1"/>
  <c r="AB106" i="1"/>
  <c r="AC106" i="1" s="1"/>
  <c r="AH449" i="2"/>
  <c r="AI449" i="2" s="1"/>
  <c r="H309" i="1"/>
  <c r="H379" i="1"/>
  <c r="H199" i="1"/>
  <c r="AA394" i="1"/>
  <c r="AA412" i="1" s="1"/>
  <c r="H8" i="1"/>
  <c r="R70" i="1"/>
  <c r="H77" i="1"/>
  <c r="H64" i="1"/>
  <c r="H73" i="1"/>
  <c r="H71" i="1"/>
  <c r="S199" i="1"/>
  <c r="S67" i="1"/>
  <c r="S77" i="1"/>
  <c r="W215" i="1"/>
  <c r="S58" i="1"/>
  <c r="S8" i="1"/>
  <c r="S71" i="1"/>
  <c r="S309" i="1"/>
  <c r="S10" i="1"/>
  <c r="S65" i="1"/>
  <c r="S66" i="1"/>
  <c r="Y58" i="1"/>
  <c r="Y65" i="1"/>
  <c r="M69" i="1"/>
  <c r="Y229" i="1"/>
  <c r="W229" i="1"/>
  <c r="S64" i="1"/>
  <c r="S70" i="1"/>
  <c r="S63" i="1"/>
  <c r="Y10" i="1"/>
  <c r="Y63" i="1"/>
  <c r="H66" i="1"/>
  <c r="H72" i="1"/>
  <c r="W410" i="1"/>
  <c r="U410" i="1"/>
  <c r="Y72" i="1"/>
  <c r="Y9" i="1"/>
  <c r="Y66" i="1"/>
  <c r="Y309" i="1"/>
  <c r="H67" i="1"/>
  <c r="H69" i="1"/>
  <c r="H68" i="1"/>
  <c r="H63" i="1"/>
  <c r="H70" i="1"/>
  <c r="K231" i="1"/>
  <c r="W394" i="1"/>
  <c r="Y68" i="1"/>
  <c r="Y64" i="1"/>
  <c r="Y69" i="1"/>
  <c r="Y77" i="1"/>
  <c r="H9" i="1"/>
  <c r="H65" i="1"/>
  <c r="H10" i="1"/>
  <c r="Y215" i="1"/>
  <c r="K58" i="1"/>
  <c r="AB293" i="1"/>
  <c r="AC293" i="1" s="1"/>
  <c r="U141" i="1"/>
  <c r="W141" i="1"/>
  <c r="P199" i="1"/>
  <c r="R10" i="1"/>
  <c r="M68" i="1"/>
  <c r="R394" i="1"/>
  <c r="R141" i="1"/>
  <c r="P379" i="1"/>
  <c r="M199" i="1"/>
  <c r="M379" i="1"/>
  <c r="R77" i="1"/>
  <c r="R9" i="1"/>
  <c r="M10" i="1"/>
  <c r="M66" i="1"/>
  <c r="R215" i="1"/>
  <c r="U394" i="1"/>
  <c r="AB195" i="1"/>
  <c r="AC195" i="1" s="1"/>
  <c r="AB187" i="1"/>
  <c r="AC187" i="1" s="1"/>
  <c r="AB186" i="1"/>
  <c r="AC186" i="1" s="1"/>
  <c r="R67" i="1"/>
  <c r="M77" i="1"/>
  <c r="R69" i="1"/>
  <c r="R66" i="1"/>
  <c r="M67" i="1"/>
  <c r="M72" i="1"/>
  <c r="K199" i="1"/>
  <c r="AA141" i="1"/>
  <c r="AA379" i="1"/>
  <c r="R8" i="1"/>
  <c r="R58" i="1"/>
  <c r="R72" i="1"/>
  <c r="R73" i="1"/>
  <c r="E477" i="2"/>
  <c r="E479" i="2" s="1"/>
  <c r="M65" i="1"/>
  <c r="M309" i="1"/>
  <c r="M9" i="1"/>
  <c r="S394" i="1"/>
  <c r="R379" i="1"/>
  <c r="U215" i="1"/>
  <c r="AA199" i="1"/>
  <c r="R199" i="1"/>
  <c r="R68" i="1"/>
  <c r="R63" i="1"/>
  <c r="AB80" i="1"/>
  <c r="AC80" i="1" s="1"/>
  <c r="M73" i="1"/>
  <c r="M64" i="1"/>
  <c r="K9" i="1"/>
  <c r="AA215" i="1"/>
  <c r="AB149" i="1"/>
  <c r="AC149" i="1" s="1"/>
  <c r="R309" i="1"/>
  <c r="R64" i="1"/>
  <c r="R65" i="1"/>
  <c r="M8" i="1"/>
  <c r="M63" i="1"/>
  <c r="M58" i="1"/>
  <c r="M70" i="1"/>
  <c r="H215" i="1"/>
  <c r="AA63" i="1"/>
  <c r="AA73" i="1"/>
  <c r="AA68" i="1"/>
  <c r="AA67" i="1"/>
  <c r="AA66" i="1"/>
  <c r="AA65" i="1"/>
  <c r="K66" i="1"/>
  <c r="AA64" i="1"/>
  <c r="AB371" i="1"/>
  <c r="AC371" i="1" s="1"/>
  <c r="E451" i="2"/>
  <c r="S451" i="2" s="1"/>
  <c r="I199" i="1"/>
  <c r="AB189" i="1"/>
  <c r="AC189" i="1" s="1"/>
  <c r="AA77" i="1"/>
  <c r="K63" i="1"/>
  <c r="K71" i="1"/>
  <c r="AA58" i="1"/>
  <c r="AA229" i="1"/>
  <c r="AA8" i="1"/>
  <c r="AA69" i="1"/>
  <c r="AA72" i="1"/>
  <c r="K10" i="1"/>
  <c r="AA309" i="1"/>
  <c r="K379" i="1"/>
  <c r="AA10" i="1"/>
  <c r="K72" i="1"/>
  <c r="K77" i="1"/>
  <c r="H394" i="1"/>
  <c r="H412" i="1" s="1"/>
  <c r="H141" i="1"/>
  <c r="Y394" i="1"/>
  <c r="Y141" i="1"/>
  <c r="AA70" i="1"/>
  <c r="AB337" i="1"/>
  <c r="AC337" i="1" s="1"/>
  <c r="AB85" i="1"/>
  <c r="AC85" i="1" s="1"/>
  <c r="M229" i="1"/>
  <c r="Y199" i="1"/>
  <c r="Y379" i="1"/>
  <c r="K67" i="1"/>
  <c r="K68" i="1"/>
  <c r="K69" i="1"/>
  <c r="K70" i="1"/>
  <c r="K65" i="1"/>
  <c r="I379" i="1"/>
  <c r="S141" i="1"/>
  <c r="M394" i="1"/>
  <c r="K64" i="1"/>
  <c r="K309" i="1"/>
  <c r="K8" i="1"/>
  <c r="AB376" i="1"/>
  <c r="AC376" i="1" s="1"/>
  <c r="AB375" i="1"/>
  <c r="AC375" i="1" s="1"/>
  <c r="AB185" i="1"/>
  <c r="AC185" i="1" s="1"/>
  <c r="AB197" i="1"/>
  <c r="AC197" i="1" s="1"/>
  <c r="AB184" i="1"/>
  <c r="AC184" i="1" s="1"/>
  <c r="AB372" i="1"/>
  <c r="AC372" i="1" s="1"/>
  <c r="M141" i="1"/>
  <c r="M215" i="1"/>
  <c r="U199" i="1"/>
  <c r="U379" i="1"/>
  <c r="AB190" i="1"/>
  <c r="AC190" i="1" s="1"/>
  <c r="AB377" i="1"/>
  <c r="AC377" i="1" s="1"/>
  <c r="AB373" i="1"/>
  <c r="AC373" i="1" s="1"/>
  <c r="AB194" i="1"/>
  <c r="AC194" i="1" s="1"/>
  <c r="AB374" i="1"/>
  <c r="AC374" i="1" s="1"/>
  <c r="AB86" i="1"/>
  <c r="AC86" i="1" s="1"/>
  <c r="AB196" i="1"/>
  <c r="AC196" i="1" s="1"/>
  <c r="AB188" i="1"/>
  <c r="AC188" i="1" s="1"/>
  <c r="AB191" i="1"/>
  <c r="AC191" i="1" s="1"/>
  <c r="AB193" i="1"/>
  <c r="AC193" i="1" s="1"/>
  <c r="AB107" i="1"/>
  <c r="AC107" i="1" s="1"/>
  <c r="AB192" i="1"/>
  <c r="AC192" i="1" s="1"/>
  <c r="U68" i="1"/>
  <c r="U70" i="1"/>
  <c r="U69" i="1"/>
  <c r="U10" i="1"/>
  <c r="U67" i="1"/>
  <c r="U9" i="1"/>
  <c r="U58" i="1"/>
  <c r="U65" i="1"/>
  <c r="U8" i="1"/>
  <c r="U309" i="1"/>
  <c r="U66" i="1"/>
  <c r="U63" i="1"/>
  <c r="U71" i="1"/>
  <c r="U64" i="1"/>
  <c r="U72" i="1"/>
  <c r="U77" i="1"/>
  <c r="U73" i="1"/>
  <c r="F32" i="8"/>
  <c r="E203" i="15"/>
  <c r="E205" i="15" s="1"/>
  <c r="O74" i="15"/>
  <c r="R74" i="15" s="1"/>
  <c r="I410" i="1"/>
  <c r="T94" i="15"/>
  <c r="K13" i="15" s="1"/>
  <c r="K440" i="2" s="1"/>
  <c r="I13" i="15"/>
  <c r="K442" i="2" s="1"/>
  <c r="K495" i="2" s="1"/>
  <c r="F203" i="15"/>
  <c r="F205" i="15" s="1"/>
  <c r="G203" i="15"/>
  <c r="G205" i="15" s="1"/>
  <c r="R476" i="2"/>
  <c r="G8" i="9"/>
  <c r="G7" i="9"/>
  <c r="G6" i="9"/>
  <c r="F415" i="2" s="1"/>
  <c r="E33" i="9"/>
  <c r="I441" i="2"/>
  <c r="I141" i="1"/>
  <c r="D57" i="18"/>
  <c r="D191" i="18" s="1"/>
  <c r="O471" i="1" s="1"/>
  <c r="O470" i="1" s="1"/>
  <c r="E191" i="18"/>
  <c r="P471" i="1" s="1"/>
  <c r="J434" i="2"/>
  <c r="E458" i="2"/>
  <c r="U458" i="2" s="1"/>
  <c r="AH456" i="2"/>
  <c r="AI456" i="2" s="1"/>
  <c r="W379" i="1"/>
  <c r="I73" i="1"/>
  <c r="I9" i="1"/>
  <c r="I65" i="1"/>
  <c r="I72" i="1"/>
  <c r="I58" i="1"/>
  <c r="I309" i="1"/>
  <c r="I66" i="1"/>
  <c r="I68" i="1"/>
  <c r="I63" i="1"/>
  <c r="I71" i="1"/>
  <c r="I67" i="1"/>
  <c r="I69" i="1"/>
  <c r="I8" i="1"/>
  <c r="I77" i="1"/>
  <c r="I64" i="1"/>
  <c r="I70" i="1"/>
  <c r="I10" i="1"/>
  <c r="I229" i="1"/>
  <c r="W358" i="1"/>
  <c r="AB347" i="1"/>
  <c r="AC347" i="1" s="1"/>
  <c r="F330" i="1"/>
  <c r="F287" i="1"/>
  <c r="F129" i="1"/>
  <c r="F133" i="1" s="1"/>
  <c r="F144" i="1" s="1"/>
  <c r="D185" i="18"/>
  <c r="D193" i="18" s="1"/>
  <c r="O473" i="1" s="1"/>
  <c r="E193" i="18"/>
  <c r="P473" i="1" s="1"/>
  <c r="P47" i="1" s="1"/>
  <c r="AB294" i="1"/>
  <c r="AC294" i="1" s="1"/>
  <c r="O199" i="1"/>
  <c r="AB183" i="1"/>
  <c r="AC183" i="1" s="1"/>
  <c r="O379" i="1"/>
  <c r="AB370" i="1"/>
  <c r="AC370" i="1" s="1"/>
  <c r="W170" i="1"/>
  <c r="AB159" i="1"/>
  <c r="AC159" i="1" s="1"/>
  <c r="W67" i="1"/>
  <c r="W70" i="1"/>
  <c r="W73" i="1"/>
  <c r="W77" i="1"/>
  <c r="W10" i="1"/>
  <c r="W63" i="1"/>
  <c r="W58" i="1"/>
  <c r="W65" i="1"/>
  <c r="W309" i="1"/>
  <c r="W68" i="1"/>
  <c r="W9" i="1"/>
  <c r="W69" i="1"/>
  <c r="W64" i="1"/>
  <c r="W66" i="1"/>
  <c r="W71" i="1"/>
  <c r="W72" i="1"/>
  <c r="W8" i="1"/>
  <c r="W199" i="1"/>
  <c r="I394" i="1"/>
  <c r="I215" i="1"/>
  <c r="C205" i="15"/>
  <c r="O64" i="15"/>
  <c r="R64" i="15" s="1"/>
  <c r="D203" i="15"/>
  <c r="D205" i="15" s="1"/>
  <c r="I8" i="15"/>
  <c r="T44" i="15"/>
  <c r="K8" i="15" s="1"/>
  <c r="T476" i="2"/>
  <c r="I434" i="2"/>
  <c r="AH433" i="2"/>
  <c r="AI433" i="2" s="1"/>
  <c r="Q448" i="2" l="1"/>
  <c r="AH444" i="2"/>
  <c r="L448" i="2"/>
  <c r="L455" i="2" s="1"/>
  <c r="O448" i="2"/>
  <c r="O455" i="2" s="1"/>
  <c r="O476" i="2" s="1"/>
  <c r="O483" i="2" s="1"/>
  <c r="AH420" i="2"/>
  <c r="AH424" i="2"/>
  <c r="N341" i="2"/>
  <c r="N367" i="2"/>
  <c r="N365" i="2"/>
  <c r="P448" i="2"/>
  <c r="P455" i="2" s="1"/>
  <c r="G341" i="2"/>
  <c r="G365" i="2"/>
  <c r="G367" i="2"/>
  <c r="L341" i="2"/>
  <c r="L365" i="2"/>
  <c r="L367" i="2"/>
  <c r="S479" i="2"/>
  <c r="S480" i="2" s="1"/>
  <c r="U479" i="2"/>
  <c r="U480" i="2" s="1"/>
  <c r="T451" i="2"/>
  <c r="T452" i="2" s="1"/>
  <c r="S458" i="2"/>
  <c r="S459" i="2" s="1"/>
  <c r="AG451" i="2"/>
  <c r="Y451" i="2"/>
  <c r="AF451" i="2"/>
  <c r="X451" i="2"/>
  <c r="Z451" i="2"/>
  <c r="AE451" i="2"/>
  <c r="N451" i="2"/>
  <c r="N452" i="2" s="1"/>
  <c r="AD451" i="2"/>
  <c r="AC451" i="2"/>
  <c r="L451" i="2"/>
  <c r="AB451" i="2"/>
  <c r="AA451" i="2"/>
  <c r="U451" i="2"/>
  <c r="U452" i="2" s="1"/>
  <c r="V451" i="2"/>
  <c r="V452" i="2" s="1"/>
  <c r="W451" i="2"/>
  <c r="AA458" i="2"/>
  <c r="L458" i="2"/>
  <c r="L459" i="2" s="1"/>
  <c r="AB458" i="2"/>
  <c r="AF458" i="2"/>
  <c r="AC458" i="2"/>
  <c r="X458" i="2"/>
  <c r="Z458" i="2"/>
  <c r="AE458" i="2"/>
  <c r="AG458" i="2"/>
  <c r="N458" i="2"/>
  <c r="N459" i="2" s="1"/>
  <c r="Y458" i="2"/>
  <c r="AD458" i="2"/>
  <c r="V458" i="2"/>
  <c r="V459" i="2" s="1"/>
  <c r="AB479" i="2"/>
  <c r="AB480" i="2" s="1"/>
  <c r="AC479" i="2"/>
  <c r="AC480" i="2" s="1"/>
  <c r="AA479" i="2"/>
  <c r="AA480" i="2" s="1"/>
  <c r="AD479" i="2"/>
  <c r="AD480" i="2" s="1"/>
  <c r="Z479" i="2"/>
  <c r="AG479" i="2"/>
  <c r="Y479" i="2"/>
  <c r="Y480" i="2" s="1"/>
  <c r="AF479" i="2"/>
  <c r="AF480" i="2" s="1"/>
  <c r="X479" i="2"/>
  <c r="X480" i="2" s="1"/>
  <c r="AE479" i="2"/>
  <c r="AE480" i="2" s="1"/>
  <c r="N479" i="2"/>
  <c r="N480" i="2" s="1"/>
  <c r="V479" i="2"/>
  <c r="V480" i="2" s="1"/>
  <c r="W479" i="2"/>
  <c r="W458" i="2"/>
  <c r="G455" i="2"/>
  <c r="G451" i="2"/>
  <c r="G452" i="2" s="1"/>
  <c r="N493" i="2"/>
  <c r="I344" i="2"/>
  <c r="I314" i="2"/>
  <c r="I316" i="2" s="1"/>
  <c r="I338" i="2" s="1"/>
  <c r="Q455" i="2"/>
  <c r="R451" i="2"/>
  <c r="R452" i="2" s="1"/>
  <c r="AA414" i="2"/>
  <c r="S414" i="2"/>
  <c r="K414" i="2"/>
  <c r="AC413" i="2"/>
  <c r="U413" i="2"/>
  <c r="M413" i="2"/>
  <c r="Z414" i="2"/>
  <c r="R414" i="2"/>
  <c r="J414" i="2"/>
  <c r="AB413" i="2"/>
  <c r="T413" i="2"/>
  <c r="L413" i="2"/>
  <c r="AG414" i="2"/>
  <c r="Y414" i="2"/>
  <c r="Q414" i="2"/>
  <c r="I414" i="2"/>
  <c r="AA413" i="2"/>
  <c r="S413" i="2"/>
  <c r="K413" i="2"/>
  <c r="AF414" i="2"/>
  <c r="X414" i="2"/>
  <c r="P414" i="2"/>
  <c r="H414" i="2"/>
  <c r="Z413" i="2"/>
  <c r="R413" i="2"/>
  <c r="J413" i="2"/>
  <c r="AE414" i="2"/>
  <c r="W414" i="2"/>
  <c r="O414" i="2"/>
  <c r="G414" i="2"/>
  <c r="AG413" i="2"/>
  <c r="Y413" i="2"/>
  <c r="Q413" i="2"/>
  <c r="I413" i="2"/>
  <c r="AC414" i="2"/>
  <c r="U414" i="2"/>
  <c r="M414" i="2"/>
  <c r="AE413" i="2"/>
  <c r="W413" i="2"/>
  <c r="O413" i="2"/>
  <c r="G413" i="2"/>
  <c r="N414" i="2"/>
  <c r="P413" i="2"/>
  <c r="L414" i="2"/>
  <c r="N413" i="2"/>
  <c r="F414" i="2"/>
  <c r="H413" i="2"/>
  <c r="F413" i="2"/>
  <c r="AD414" i="2"/>
  <c r="AF413" i="2"/>
  <c r="AD413" i="2"/>
  <c r="V414" i="2"/>
  <c r="AB414" i="2"/>
  <c r="X413" i="2"/>
  <c r="V413" i="2"/>
  <c r="T414" i="2"/>
  <c r="T341" i="2"/>
  <c r="T367" i="2"/>
  <c r="T365" i="2"/>
  <c r="X341" i="2"/>
  <c r="X365" i="2"/>
  <c r="X367" i="2"/>
  <c r="N469" i="2"/>
  <c r="AE421" i="2"/>
  <c r="W421" i="2"/>
  <c r="O421" i="2"/>
  <c r="G421" i="2"/>
  <c r="AD421" i="2"/>
  <c r="V421" i="2"/>
  <c r="N421" i="2"/>
  <c r="F421" i="2"/>
  <c r="AC421" i="2"/>
  <c r="U421" i="2"/>
  <c r="M421" i="2"/>
  <c r="AB421" i="2"/>
  <c r="T421" i="2"/>
  <c r="L421" i="2"/>
  <c r="AA421" i="2"/>
  <c r="S421" i="2"/>
  <c r="K421" i="2"/>
  <c r="AG421" i="2"/>
  <c r="Y421" i="2"/>
  <c r="Q421" i="2"/>
  <c r="I421" i="2"/>
  <c r="X421" i="2"/>
  <c r="R421" i="2"/>
  <c r="P421" i="2"/>
  <c r="J421" i="2"/>
  <c r="H421" i="2"/>
  <c r="AF421" i="2"/>
  <c r="Z421" i="2"/>
  <c r="E438" i="2"/>
  <c r="G415" i="2"/>
  <c r="J415" i="2"/>
  <c r="J416" i="2" s="1"/>
  <c r="L415" i="2"/>
  <c r="L416" i="2" s="1"/>
  <c r="O492" i="2"/>
  <c r="O469" i="2"/>
  <c r="O493" i="2"/>
  <c r="Q493" i="2"/>
  <c r="P493" i="2"/>
  <c r="V341" i="2"/>
  <c r="V365" i="2"/>
  <c r="V367" i="2"/>
  <c r="P451" i="2"/>
  <c r="P452" i="2" s="1"/>
  <c r="U341" i="2"/>
  <c r="U365" i="2"/>
  <c r="U367" i="2"/>
  <c r="K415" i="2"/>
  <c r="K416" i="2" s="1"/>
  <c r="K344" i="2" s="1"/>
  <c r="U493" i="2"/>
  <c r="H415" i="2"/>
  <c r="H416" i="2" s="1"/>
  <c r="W341" i="2"/>
  <c r="W367" i="2"/>
  <c r="W365" i="2"/>
  <c r="S493" i="2"/>
  <c r="S476" i="2"/>
  <c r="T458" i="2"/>
  <c r="T459" i="2" s="1"/>
  <c r="AH409" i="2"/>
  <c r="P44" i="1"/>
  <c r="P112" i="1" s="1"/>
  <c r="P470" i="1"/>
  <c r="P43" i="1" s="1"/>
  <c r="P297" i="1" s="1"/>
  <c r="M416" i="2"/>
  <c r="N416" i="2"/>
  <c r="L440" i="2"/>
  <c r="M448" i="2"/>
  <c r="M455" i="2" s="1"/>
  <c r="M476" i="2" s="1"/>
  <c r="M483" i="2" s="1"/>
  <c r="E44" i="4"/>
  <c r="E43" i="4"/>
  <c r="AH436" i="2"/>
  <c r="AI436" i="2" s="1"/>
  <c r="L438" i="2"/>
  <c r="J438" i="2"/>
  <c r="I438" i="2"/>
  <c r="H438" i="2"/>
  <c r="AB472" i="1"/>
  <c r="AC472" i="1" s="1"/>
  <c r="AI417" i="2"/>
  <c r="AI444" i="2"/>
  <c r="C35" i="15"/>
  <c r="C34" i="15"/>
  <c r="E35" i="15"/>
  <c r="E34" i="15"/>
  <c r="G35" i="15"/>
  <c r="G34" i="15"/>
  <c r="D35" i="15"/>
  <c r="D34" i="15"/>
  <c r="F35" i="15"/>
  <c r="F34" i="15"/>
  <c r="P45" i="1"/>
  <c r="P113" i="1" s="1"/>
  <c r="O43" i="1"/>
  <c r="AB470" i="1"/>
  <c r="AC470" i="1" s="1"/>
  <c r="P316" i="2"/>
  <c r="P338" i="2" s="1"/>
  <c r="L492" i="2"/>
  <c r="L493" i="2" s="1"/>
  <c r="L469" i="2"/>
  <c r="O44" i="1"/>
  <c r="AB471" i="1"/>
  <c r="AC471" i="1" s="1"/>
  <c r="P386" i="1"/>
  <c r="P114" i="1"/>
  <c r="P404" i="1"/>
  <c r="P206" i="1"/>
  <c r="P300" i="1"/>
  <c r="P223" i="1"/>
  <c r="O206" i="1"/>
  <c r="O386" i="1"/>
  <c r="AB46" i="1"/>
  <c r="AC46" i="1" s="1"/>
  <c r="O114" i="1"/>
  <c r="O223" i="1"/>
  <c r="O300" i="1"/>
  <c r="O404" i="1"/>
  <c r="O113" i="1"/>
  <c r="O299" i="1"/>
  <c r="P405" i="1"/>
  <c r="P301" i="1"/>
  <c r="P224" i="1"/>
  <c r="P115" i="1"/>
  <c r="O47" i="1"/>
  <c r="AB473" i="1"/>
  <c r="AC473" i="1" s="1"/>
  <c r="AI443" i="2"/>
  <c r="AH502" i="2"/>
  <c r="AI502" i="2" s="1"/>
  <c r="K414" i="1"/>
  <c r="K416" i="1" s="1"/>
  <c r="G9" i="8"/>
  <c r="I422" i="2" s="1"/>
  <c r="G14" i="8"/>
  <c r="N422" i="2" s="1"/>
  <c r="G15" i="8"/>
  <c r="G16" i="8"/>
  <c r="G12" i="8"/>
  <c r="G13" i="8"/>
  <c r="M422" i="2" s="1"/>
  <c r="AH431" i="2"/>
  <c r="AI431" i="2" s="1"/>
  <c r="AI429" i="2"/>
  <c r="H483" i="1"/>
  <c r="H177" i="1" s="1"/>
  <c r="I365" i="1"/>
  <c r="I367" i="1" s="1"/>
  <c r="I178" i="1"/>
  <c r="I177" i="1"/>
  <c r="I175" i="1"/>
  <c r="I176" i="1"/>
  <c r="U231" i="1"/>
  <c r="U235" i="1" s="1"/>
  <c r="R231" i="1"/>
  <c r="R237" i="1" s="1"/>
  <c r="R412" i="1"/>
  <c r="R414" i="1" s="1"/>
  <c r="R442" i="1" s="1"/>
  <c r="M412" i="1"/>
  <c r="M414" i="1" s="1"/>
  <c r="M416" i="1" s="1"/>
  <c r="Y412" i="1"/>
  <c r="Y414" i="1" s="1"/>
  <c r="Y442" i="1" s="1"/>
  <c r="Y452" i="1" s="1"/>
  <c r="S12" i="1"/>
  <c r="U412" i="1"/>
  <c r="U414" i="1" s="1"/>
  <c r="U416" i="1" s="1"/>
  <c r="Y231" i="1"/>
  <c r="Y233" i="1" s="1"/>
  <c r="Y264" i="1" s="1"/>
  <c r="Y454" i="1" s="1"/>
  <c r="H231" i="1"/>
  <c r="H233" i="1" s="1"/>
  <c r="H264" i="1" s="1"/>
  <c r="H277" i="1" s="1"/>
  <c r="S412" i="1"/>
  <c r="S414" i="1" s="1"/>
  <c r="S416" i="1" s="1"/>
  <c r="H414" i="1"/>
  <c r="H442" i="1" s="1"/>
  <c r="H449" i="1" s="1"/>
  <c r="H12" i="1"/>
  <c r="Y12" i="1"/>
  <c r="Y75" i="1"/>
  <c r="Y121" i="1" s="1"/>
  <c r="S75" i="1"/>
  <c r="S122" i="1" s="1"/>
  <c r="W231" i="1"/>
  <c r="W235" i="1" s="1"/>
  <c r="S233" i="1"/>
  <c r="S264" i="1" s="1"/>
  <c r="S456" i="1" s="1"/>
  <c r="H75" i="1"/>
  <c r="H308" i="1" s="1"/>
  <c r="R12" i="1"/>
  <c r="K237" i="1"/>
  <c r="W412" i="1"/>
  <c r="W414" i="1" s="1"/>
  <c r="W416" i="1" s="1"/>
  <c r="K233" i="1"/>
  <c r="K264" i="1" s="1"/>
  <c r="K275" i="1" s="1"/>
  <c r="S452" i="2"/>
  <c r="K235" i="1"/>
  <c r="K12" i="1"/>
  <c r="AH477" i="2"/>
  <c r="AI477" i="2" s="1"/>
  <c r="M12" i="1"/>
  <c r="E484" i="2"/>
  <c r="AH484" i="2" s="1"/>
  <c r="AI484" i="2" s="1"/>
  <c r="R75" i="1"/>
  <c r="R279" i="1" s="1"/>
  <c r="M75" i="1"/>
  <c r="M120" i="1" s="1"/>
  <c r="L452" i="2"/>
  <c r="AA414" i="1"/>
  <c r="AA12" i="1"/>
  <c r="E452" i="2"/>
  <c r="S235" i="1"/>
  <c r="AA231" i="1"/>
  <c r="AA235" i="1" s="1"/>
  <c r="S237" i="1"/>
  <c r="K75" i="1"/>
  <c r="K308" i="1" s="1"/>
  <c r="AA75" i="1"/>
  <c r="U12" i="1"/>
  <c r="AB379" i="1"/>
  <c r="AC379" i="1" s="1"/>
  <c r="M231" i="1"/>
  <c r="M235" i="1" s="1"/>
  <c r="AG480" i="2"/>
  <c r="W480" i="2"/>
  <c r="Z480" i="2"/>
  <c r="E480" i="2"/>
  <c r="U75" i="1"/>
  <c r="AH434" i="2"/>
  <c r="AI434" i="2" s="1"/>
  <c r="AH435" i="2"/>
  <c r="AI435" i="2" s="1"/>
  <c r="T483" i="2"/>
  <c r="I412" i="1"/>
  <c r="W75" i="1"/>
  <c r="I12" i="1"/>
  <c r="I75" i="1"/>
  <c r="E459" i="2"/>
  <c r="U459" i="2"/>
  <c r="L476" i="2"/>
  <c r="L479" i="2" s="1"/>
  <c r="T64" i="15"/>
  <c r="K10" i="15" s="1"/>
  <c r="H440" i="2" s="1"/>
  <c r="I10" i="15"/>
  <c r="H442" i="2" s="1"/>
  <c r="H495" i="2" s="1"/>
  <c r="I231" i="1"/>
  <c r="W12" i="1"/>
  <c r="AB170" i="1"/>
  <c r="AC170" i="1" s="1"/>
  <c r="G33" i="9"/>
  <c r="E415" i="2" s="1"/>
  <c r="K448" i="2"/>
  <c r="K451" i="2" s="1"/>
  <c r="G8" i="8"/>
  <c r="H422" i="2" s="1"/>
  <c r="E32" i="8"/>
  <c r="G6" i="8"/>
  <c r="G7" i="8"/>
  <c r="G422" i="2" s="1"/>
  <c r="G10" i="8"/>
  <c r="J422" i="2" s="1"/>
  <c r="G11" i="8"/>
  <c r="K422" i="2" s="1"/>
  <c r="N483" i="2"/>
  <c r="F440" i="2"/>
  <c r="AB358" i="1"/>
  <c r="AC358" i="1" s="1"/>
  <c r="I11" i="15"/>
  <c r="I442" i="2" s="1"/>
  <c r="T74" i="15"/>
  <c r="K11" i="15" s="1"/>
  <c r="I440" i="2" s="1"/>
  <c r="F442" i="2"/>
  <c r="K469" i="2"/>
  <c r="K492" i="2"/>
  <c r="K493" i="2" s="1"/>
  <c r="AH462" i="2"/>
  <c r="AI462" i="2" s="1"/>
  <c r="R483" i="2"/>
  <c r="AB199" i="1"/>
  <c r="AC199" i="1" s="1"/>
  <c r="Q451" i="2" l="1"/>
  <c r="Q452" i="2" s="1"/>
  <c r="O451" i="2"/>
  <c r="M458" i="2"/>
  <c r="M459" i="2" s="1"/>
  <c r="M479" i="2"/>
  <c r="M480" i="2" s="1"/>
  <c r="M481" i="2" s="1"/>
  <c r="M451" i="2"/>
  <c r="M452" i="2" s="1"/>
  <c r="W481" i="2"/>
  <c r="AE481" i="2"/>
  <c r="X481" i="2"/>
  <c r="V481" i="2"/>
  <c r="T481" i="2"/>
  <c r="P111" i="1"/>
  <c r="AC453" i="2"/>
  <c r="U453" i="2"/>
  <c r="M453" i="2"/>
  <c r="AB204" i="2"/>
  <c r="T204" i="2"/>
  <c r="L204" i="2"/>
  <c r="AF90" i="2"/>
  <c r="X90" i="2"/>
  <c r="P90" i="2"/>
  <c r="P531" i="2" s="1"/>
  <c r="H90" i="2"/>
  <c r="H531" i="2" s="1"/>
  <c r="AB52" i="2"/>
  <c r="T52" i="2"/>
  <c r="L52" i="2"/>
  <c r="AF13" i="2"/>
  <c r="X13" i="2"/>
  <c r="P13" i="2"/>
  <c r="H13" i="2"/>
  <c r="J90" i="2"/>
  <c r="J531" i="2" s="1"/>
  <c r="J560" i="2" s="1"/>
  <c r="J13" i="2"/>
  <c r="M204" i="2"/>
  <c r="AG90" i="2"/>
  <c r="AG13" i="2"/>
  <c r="AB453" i="2"/>
  <c r="T453" i="2"/>
  <c r="L453" i="2"/>
  <c r="AA204" i="2"/>
  <c r="S204" i="2"/>
  <c r="K204" i="2"/>
  <c r="AE90" i="2"/>
  <c r="W90" i="2"/>
  <c r="O90" i="2"/>
  <c r="O531" i="2" s="1"/>
  <c r="G90" i="2"/>
  <c r="G531" i="2" s="1"/>
  <c r="AA52" i="2"/>
  <c r="S52" i="2"/>
  <c r="K52" i="2"/>
  <c r="AE13" i="2"/>
  <c r="W13" i="2"/>
  <c r="O13" i="2"/>
  <c r="G13" i="2"/>
  <c r="V90" i="2"/>
  <c r="F90" i="2"/>
  <c r="F531" i="2" s="1"/>
  <c r="R52" i="2"/>
  <c r="AD13" i="2"/>
  <c r="N13" i="2"/>
  <c r="R90" i="2"/>
  <c r="R531" i="2" s="1"/>
  <c r="R560" i="2" s="1"/>
  <c r="R13" i="2"/>
  <c r="AD453" i="2"/>
  <c r="Y90" i="2"/>
  <c r="Y13" i="2"/>
  <c r="AA453" i="2"/>
  <c r="S453" i="2"/>
  <c r="K453" i="2"/>
  <c r="Z204" i="2"/>
  <c r="R204" i="2"/>
  <c r="J204" i="2"/>
  <c r="AD90" i="2"/>
  <c r="N90" i="2"/>
  <c r="N531" i="2" s="1"/>
  <c r="Z52" i="2"/>
  <c r="J52" i="2"/>
  <c r="V13" i="2"/>
  <c r="F13" i="2"/>
  <c r="G453" i="2"/>
  <c r="V204" i="2"/>
  <c r="V52" i="2"/>
  <c r="Q90" i="2"/>
  <c r="Q531" i="2" s="1"/>
  <c r="I13" i="2"/>
  <c r="Z453" i="2"/>
  <c r="R453" i="2"/>
  <c r="J453" i="2"/>
  <c r="AG204" i="2"/>
  <c r="Y204" i="2"/>
  <c r="Q204" i="2"/>
  <c r="I204" i="2"/>
  <c r="AC90" i="2"/>
  <c r="U90" i="2"/>
  <c r="M90" i="2"/>
  <c r="M531" i="2" s="1"/>
  <c r="AG52" i="2"/>
  <c r="Y52" i="2"/>
  <c r="Q52" i="2"/>
  <c r="I52" i="2"/>
  <c r="AC13" i="2"/>
  <c r="U13" i="2"/>
  <c r="M13" i="2"/>
  <c r="W453" i="2"/>
  <c r="N204" i="2"/>
  <c r="N52" i="2"/>
  <c r="I90" i="2"/>
  <c r="I531" i="2" s="1"/>
  <c r="Q13" i="2"/>
  <c r="AG453" i="2"/>
  <c r="Y453" i="2"/>
  <c r="Q453" i="2"/>
  <c r="I453" i="2"/>
  <c r="AF204" i="2"/>
  <c r="X204" i="2"/>
  <c r="P204" i="2"/>
  <c r="H204" i="2"/>
  <c r="AB90" i="2"/>
  <c r="T90" i="2"/>
  <c r="L90" i="2"/>
  <c r="L531" i="2" s="1"/>
  <c r="L560" i="2" s="1"/>
  <c r="AF52" i="2"/>
  <c r="X52" i="2"/>
  <c r="P52" i="2"/>
  <c r="H52" i="2"/>
  <c r="AB13" i="2"/>
  <c r="T13" i="2"/>
  <c r="L13" i="2"/>
  <c r="O453" i="2"/>
  <c r="AD204" i="2"/>
  <c r="AD52" i="2"/>
  <c r="N453" i="2"/>
  <c r="AC204" i="2"/>
  <c r="U52" i="2"/>
  <c r="AF453" i="2"/>
  <c r="X453" i="2"/>
  <c r="P453" i="2"/>
  <c r="H453" i="2"/>
  <c r="AE204" i="2"/>
  <c r="W204" i="2"/>
  <c r="O204" i="2"/>
  <c r="G204" i="2"/>
  <c r="AA90" i="2"/>
  <c r="S90" i="2"/>
  <c r="K90" i="2"/>
  <c r="K531" i="2" s="1"/>
  <c r="AE52" i="2"/>
  <c r="W52" i="2"/>
  <c r="O52" i="2"/>
  <c r="G52" i="2"/>
  <c r="AA13" i="2"/>
  <c r="S13" i="2"/>
  <c r="K13" i="2"/>
  <c r="Z90" i="2"/>
  <c r="Z13" i="2"/>
  <c r="F453" i="2"/>
  <c r="M52" i="2"/>
  <c r="AE453" i="2"/>
  <c r="F204" i="2"/>
  <c r="F52" i="2"/>
  <c r="V453" i="2"/>
  <c r="U204" i="2"/>
  <c r="AC52" i="2"/>
  <c r="N481" i="2"/>
  <c r="AD481" i="2"/>
  <c r="AC481" i="2"/>
  <c r="AF481" i="2"/>
  <c r="AG460" i="2"/>
  <c r="Y460" i="2"/>
  <c r="Q460" i="2"/>
  <c r="I460" i="2"/>
  <c r="AB280" i="2"/>
  <c r="T280" i="2"/>
  <c r="L280" i="2"/>
  <c r="AF242" i="2"/>
  <c r="X242" i="2"/>
  <c r="P242" i="2"/>
  <c r="H242" i="2"/>
  <c r="AF166" i="2"/>
  <c r="X166" i="2"/>
  <c r="P166" i="2"/>
  <c r="H166" i="2"/>
  <c r="AB128" i="2"/>
  <c r="T128" i="2"/>
  <c r="L128" i="2"/>
  <c r="N280" i="2"/>
  <c r="J242" i="2"/>
  <c r="J166" i="2"/>
  <c r="M280" i="2"/>
  <c r="I242" i="2"/>
  <c r="AF460" i="2"/>
  <c r="X460" i="2"/>
  <c r="P460" i="2"/>
  <c r="H460" i="2"/>
  <c r="AA280" i="2"/>
  <c r="S280" i="2"/>
  <c r="K280" i="2"/>
  <c r="AE242" i="2"/>
  <c r="W242" i="2"/>
  <c r="O242" i="2"/>
  <c r="G242" i="2"/>
  <c r="AE166" i="2"/>
  <c r="W166" i="2"/>
  <c r="O166" i="2"/>
  <c r="G166" i="2"/>
  <c r="AA128" i="2"/>
  <c r="S128" i="2"/>
  <c r="K128" i="2"/>
  <c r="N166" i="2"/>
  <c r="Z128" i="2"/>
  <c r="J128" i="2"/>
  <c r="R166" i="2"/>
  <c r="R460" i="2"/>
  <c r="Y166" i="2"/>
  <c r="AE460" i="2"/>
  <c r="W460" i="2"/>
  <c r="O460" i="2"/>
  <c r="G460" i="2"/>
  <c r="Z280" i="2"/>
  <c r="R280" i="2"/>
  <c r="J280" i="2"/>
  <c r="AD242" i="2"/>
  <c r="V242" i="2"/>
  <c r="N242" i="2"/>
  <c r="F242" i="2"/>
  <c r="AD166" i="2"/>
  <c r="V166" i="2"/>
  <c r="F166" i="2"/>
  <c r="R128" i="2"/>
  <c r="AA460" i="2"/>
  <c r="K460" i="2"/>
  <c r="V280" i="2"/>
  <c r="Z242" i="2"/>
  <c r="V128" i="2"/>
  <c r="Q166" i="2"/>
  <c r="AD460" i="2"/>
  <c r="V460" i="2"/>
  <c r="N460" i="2"/>
  <c r="F460" i="2"/>
  <c r="AG280" i="2"/>
  <c r="Y280" i="2"/>
  <c r="Q280" i="2"/>
  <c r="I280" i="2"/>
  <c r="AC242" i="2"/>
  <c r="U242" i="2"/>
  <c r="M242" i="2"/>
  <c r="AC166" i="2"/>
  <c r="U166" i="2"/>
  <c r="M166" i="2"/>
  <c r="AG128" i="2"/>
  <c r="Y128" i="2"/>
  <c r="Q128" i="2"/>
  <c r="I128" i="2"/>
  <c r="S460" i="2"/>
  <c r="N128" i="2"/>
  <c r="I166" i="2"/>
  <c r="AC460" i="2"/>
  <c r="U460" i="2"/>
  <c r="M460" i="2"/>
  <c r="AF280" i="2"/>
  <c r="X280" i="2"/>
  <c r="P280" i="2"/>
  <c r="H280" i="2"/>
  <c r="AB242" i="2"/>
  <c r="T242" i="2"/>
  <c r="L242" i="2"/>
  <c r="AB166" i="2"/>
  <c r="T166" i="2"/>
  <c r="L166" i="2"/>
  <c r="AF128" i="2"/>
  <c r="X128" i="2"/>
  <c r="P128" i="2"/>
  <c r="H128" i="2"/>
  <c r="AD280" i="2"/>
  <c r="F280" i="2"/>
  <c r="AD128" i="2"/>
  <c r="AC280" i="2"/>
  <c r="AG242" i="2"/>
  <c r="AC128" i="2"/>
  <c r="AB460" i="2"/>
  <c r="T460" i="2"/>
  <c r="L460" i="2"/>
  <c r="AE280" i="2"/>
  <c r="W280" i="2"/>
  <c r="O280" i="2"/>
  <c r="G280" i="2"/>
  <c r="AA242" i="2"/>
  <c r="S242" i="2"/>
  <c r="K242" i="2"/>
  <c r="AA166" i="2"/>
  <c r="S166" i="2"/>
  <c r="K166" i="2"/>
  <c r="AE128" i="2"/>
  <c r="W128" i="2"/>
  <c r="O128" i="2"/>
  <c r="G128" i="2"/>
  <c r="Z166" i="2"/>
  <c r="Z460" i="2"/>
  <c r="J460" i="2"/>
  <c r="U280" i="2"/>
  <c r="Q242" i="2"/>
  <c r="AG166" i="2"/>
  <c r="M128" i="2"/>
  <c r="R242" i="2"/>
  <c r="F128" i="2"/>
  <c r="Y242" i="2"/>
  <c r="U128" i="2"/>
  <c r="AG481" i="2"/>
  <c r="AA481" i="2"/>
  <c r="Z481" i="2"/>
  <c r="Y481" i="2"/>
  <c r="AB481" i="2"/>
  <c r="AH365" i="2"/>
  <c r="AH367" i="2"/>
  <c r="G476" i="2"/>
  <c r="G458" i="2"/>
  <c r="G459" i="2" s="1"/>
  <c r="L344" i="2"/>
  <c r="L314" i="2"/>
  <c r="L316" i="2" s="1"/>
  <c r="L338" i="2" s="1"/>
  <c r="AH415" i="2"/>
  <c r="G416" i="2"/>
  <c r="G344" i="2" s="1"/>
  <c r="H344" i="2"/>
  <c r="H314" i="2"/>
  <c r="H316" i="2" s="1"/>
  <c r="J344" i="2"/>
  <c r="J314" i="2"/>
  <c r="J316" i="2" s="1"/>
  <c r="J338" i="2" s="1"/>
  <c r="AH413" i="2"/>
  <c r="AI413" i="2" s="1"/>
  <c r="AH414" i="2"/>
  <c r="AI414" i="2" s="1"/>
  <c r="Q476" i="2"/>
  <c r="R458" i="2"/>
  <c r="R459" i="2" s="1"/>
  <c r="S483" i="2"/>
  <c r="T479" i="2"/>
  <c r="T480" i="2" s="1"/>
  <c r="U481" i="2" s="1"/>
  <c r="K314" i="2"/>
  <c r="K316" i="2" s="1"/>
  <c r="K338" i="2" s="1"/>
  <c r="AH421" i="2"/>
  <c r="AI421" i="2" s="1"/>
  <c r="O458" i="2"/>
  <c r="Q458" i="2"/>
  <c r="Q459" i="2" s="1"/>
  <c r="P458" i="2"/>
  <c r="P459" i="2" s="1"/>
  <c r="P476" i="2"/>
  <c r="O452" i="2"/>
  <c r="AH493" i="2"/>
  <c r="AA425" i="2"/>
  <c r="S425" i="2"/>
  <c r="K425" i="2"/>
  <c r="Z425" i="2"/>
  <c r="R425" i="2"/>
  <c r="J425" i="2"/>
  <c r="AG425" i="2"/>
  <c r="Y425" i="2"/>
  <c r="Q425" i="2"/>
  <c r="I425" i="2"/>
  <c r="AF425" i="2"/>
  <c r="X425" i="2"/>
  <c r="P425" i="2"/>
  <c r="H425" i="2"/>
  <c r="AE425" i="2"/>
  <c r="W425" i="2"/>
  <c r="O425" i="2"/>
  <c r="G425" i="2"/>
  <c r="AC425" i="2"/>
  <c r="U425" i="2"/>
  <c r="M425" i="2"/>
  <c r="AB425" i="2"/>
  <c r="V425" i="2"/>
  <c r="T425" i="2"/>
  <c r="N425" i="2"/>
  <c r="L425" i="2"/>
  <c r="F425" i="2"/>
  <c r="AD425" i="2"/>
  <c r="AH341" i="2"/>
  <c r="N344" i="2"/>
  <c r="N314" i="2"/>
  <c r="N316" i="2" s="1"/>
  <c r="N338" i="2" s="1"/>
  <c r="M344" i="2"/>
  <c r="M314" i="2"/>
  <c r="M316" i="2" s="1"/>
  <c r="M338" i="2" s="1"/>
  <c r="P385" i="1"/>
  <c r="P205" i="1"/>
  <c r="P222" i="1"/>
  <c r="P298" i="1"/>
  <c r="P403" i="1"/>
  <c r="O316" i="2"/>
  <c r="O338" i="2" s="1"/>
  <c r="AI423" i="2"/>
  <c r="L422" i="2"/>
  <c r="P299" i="1"/>
  <c r="AB299" i="1" s="1"/>
  <c r="AC299" i="1" s="1"/>
  <c r="I448" i="2"/>
  <c r="I451" i="2" s="1"/>
  <c r="I495" i="2"/>
  <c r="AH437" i="2"/>
  <c r="AI437" i="2" s="1"/>
  <c r="AB45" i="1"/>
  <c r="AC45" i="1" s="1"/>
  <c r="P54" i="1"/>
  <c r="P105" i="1" s="1"/>
  <c r="O111" i="1"/>
  <c r="AB43" i="1"/>
  <c r="AC43" i="1" s="1"/>
  <c r="O297" i="1"/>
  <c r="AB297" i="1" s="1"/>
  <c r="AC297" i="1" s="1"/>
  <c r="AB114" i="1"/>
  <c r="AC114" i="1" s="1"/>
  <c r="AB113" i="1"/>
  <c r="AC113" i="1" s="1"/>
  <c r="AB223" i="1"/>
  <c r="AC223" i="1" s="1"/>
  <c r="O222" i="1"/>
  <c r="O205" i="1"/>
  <c r="O112" i="1"/>
  <c r="AB112" i="1" s="1"/>
  <c r="AC112" i="1" s="1"/>
  <c r="O385" i="1"/>
  <c r="O403" i="1"/>
  <c r="O298" i="1"/>
  <c r="AB44" i="1"/>
  <c r="AC44" i="1" s="1"/>
  <c r="AB404" i="1"/>
  <c r="AC404" i="1" s="1"/>
  <c r="AB386" i="1"/>
  <c r="AC386" i="1" s="1"/>
  <c r="AB206" i="1"/>
  <c r="AC206" i="1" s="1"/>
  <c r="AB300" i="1"/>
  <c r="AC300" i="1" s="1"/>
  <c r="AB47" i="1"/>
  <c r="AC47" i="1" s="1"/>
  <c r="O301" i="1"/>
  <c r="AB301" i="1" s="1"/>
  <c r="AC301" i="1" s="1"/>
  <c r="O54" i="1"/>
  <c r="O224" i="1"/>
  <c r="AB224" i="1" s="1"/>
  <c r="AC224" i="1" s="1"/>
  <c r="O115" i="1"/>
  <c r="AB115" i="1" s="1"/>
  <c r="AC115" i="1" s="1"/>
  <c r="O405" i="1"/>
  <c r="AB405" i="1" s="1"/>
  <c r="AC405" i="1" s="1"/>
  <c r="AI409" i="2"/>
  <c r="K442" i="1"/>
  <c r="K274" i="1" s="1"/>
  <c r="AB177" i="1"/>
  <c r="AC177" i="1" s="1"/>
  <c r="H175" i="1"/>
  <c r="AB175" i="1" s="1"/>
  <c r="AC175" i="1" s="1"/>
  <c r="AB483" i="1"/>
  <c r="AC483" i="1" s="1"/>
  <c r="H178" i="1"/>
  <c r="AB178" i="1" s="1"/>
  <c r="AC178" i="1" s="1"/>
  <c r="H364" i="1"/>
  <c r="AB364" i="1" s="1"/>
  <c r="AC364" i="1" s="1"/>
  <c r="H176" i="1"/>
  <c r="AB176" i="1" s="1"/>
  <c r="AC176" i="1" s="1"/>
  <c r="H365" i="1"/>
  <c r="AB365" i="1" s="1"/>
  <c r="AC365" i="1" s="1"/>
  <c r="U237" i="1"/>
  <c r="U233" i="1"/>
  <c r="U264" i="1" s="1"/>
  <c r="U276" i="1" s="1"/>
  <c r="I180" i="1"/>
  <c r="R235" i="1"/>
  <c r="Y235" i="1"/>
  <c r="H235" i="1"/>
  <c r="R233" i="1"/>
  <c r="R264" i="1" s="1"/>
  <c r="R454" i="1" s="1"/>
  <c r="Y308" i="1"/>
  <c r="Y237" i="1"/>
  <c r="H280" i="1"/>
  <c r="W233" i="1"/>
  <c r="W264" i="1" s="1"/>
  <c r="W456" i="1" s="1"/>
  <c r="Y458" i="1"/>
  <c r="S271" i="1"/>
  <c r="Y280" i="1"/>
  <c r="S275" i="1"/>
  <c r="Y122" i="1"/>
  <c r="S448" i="1"/>
  <c r="R459" i="1"/>
  <c r="Y279" i="1"/>
  <c r="Y120" i="1"/>
  <c r="S455" i="1"/>
  <c r="S454" i="1"/>
  <c r="S442" i="1"/>
  <c r="S270" i="1" s="1"/>
  <c r="S82" i="1"/>
  <c r="S142" i="1" s="1"/>
  <c r="Y459" i="1"/>
  <c r="Y88" i="1"/>
  <c r="Y91" i="1" s="1"/>
  <c r="Y99" i="1" s="1"/>
  <c r="S279" i="1"/>
  <c r="K448" i="1"/>
  <c r="S277" i="1"/>
  <c r="S269" i="1"/>
  <c r="S121" i="1"/>
  <c r="R307" i="1"/>
  <c r="Y307" i="1"/>
  <c r="S450" i="1"/>
  <c r="S276" i="1"/>
  <c r="W237" i="1"/>
  <c r="S307" i="1"/>
  <c r="K455" i="1"/>
  <c r="H448" i="1"/>
  <c r="H452" i="1"/>
  <c r="H270" i="1"/>
  <c r="S459" i="1"/>
  <c r="H458" i="1"/>
  <c r="Y82" i="1"/>
  <c r="Y130" i="1" s="1"/>
  <c r="K277" i="1"/>
  <c r="H120" i="1"/>
  <c r="H88" i="1"/>
  <c r="H91" i="1" s="1"/>
  <c r="H99" i="1" s="1"/>
  <c r="H453" i="1"/>
  <c r="R122" i="1"/>
  <c r="S120" i="1"/>
  <c r="K276" i="1"/>
  <c r="K450" i="1"/>
  <c r="H122" i="1"/>
  <c r="Y273" i="1"/>
  <c r="R120" i="1"/>
  <c r="S280" i="1"/>
  <c r="S308" i="1"/>
  <c r="S88" i="1"/>
  <c r="S91" i="1" s="1"/>
  <c r="S99" i="1" s="1"/>
  <c r="K269" i="1"/>
  <c r="K271" i="1"/>
  <c r="H82" i="1"/>
  <c r="E8" i="2" s="1"/>
  <c r="H459" i="1"/>
  <c r="H307" i="1"/>
  <c r="H312" i="1" s="1"/>
  <c r="E199" i="2" s="1"/>
  <c r="H276" i="1"/>
  <c r="S458" i="1"/>
  <c r="K456" i="1"/>
  <c r="K454" i="1"/>
  <c r="H121" i="1"/>
  <c r="K458" i="1"/>
  <c r="H274" i="1"/>
  <c r="H273" i="1"/>
  <c r="M459" i="1"/>
  <c r="R82" i="1"/>
  <c r="R130" i="1" s="1"/>
  <c r="U442" i="1"/>
  <c r="U452" i="1" s="1"/>
  <c r="M308" i="1"/>
  <c r="R458" i="1"/>
  <c r="R121" i="1"/>
  <c r="M458" i="1"/>
  <c r="K82" i="1"/>
  <c r="K131" i="1" s="1"/>
  <c r="M82" i="1"/>
  <c r="M142" i="1" s="1"/>
  <c r="M307" i="1"/>
  <c r="R88" i="1"/>
  <c r="R91" i="1" s="1"/>
  <c r="R99" i="1" s="1"/>
  <c r="R308" i="1"/>
  <c r="R280" i="1"/>
  <c r="M122" i="1"/>
  <c r="E486" i="2"/>
  <c r="S486" i="2" s="1"/>
  <c r="H455" i="1"/>
  <c r="Y453" i="1"/>
  <c r="K280" i="1"/>
  <c r="H454" i="1"/>
  <c r="K459" i="1"/>
  <c r="H275" i="1"/>
  <c r="R274" i="1"/>
  <c r="R273" i="1"/>
  <c r="R270" i="1"/>
  <c r="R452" i="1"/>
  <c r="Y271" i="1"/>
  <c r="Y449" i="1"/>
  <c r="K88" i="1"/>
  <c r="K91" i="1" s="1"/>
  <c r="K99" i="1" s="1"/>
  <c r="R416" i="1"/>
  <c r="W442" i="1"/>
  <c r="W452" i="1" s="1"/>
  <c r="K122" i="1"/>
  <c r="M442" i="1"/>
  <c r="M452" i="1" s="1"/>
  <c r="R453" i="1"/>
  <c r="M280" i="1"/>
  <c r="M88" i="1"/>
  <c r="M91" i="1" s="1"/>
  <c r="M99" i="1" s="1"/>
  <c r="M121" i="1"/>
  <c r="H269" i="1"/>
  <c r="H456" i="1"/>
  <c r="H450" i="1"/>
  <c r="AA237" i="1"/>
  <c r="R449" i="1"/>
  <c r="M279" i="1"/>
  <c r="H271" i="1"/>
  <c r="M237" i="1"/>
  <c r="AA442" i="1"/>
  <c r="AA416" i="1"/>
  <c r="M233" i="1"/>
  <c r="M264" i="1" s="1"/>
  <c r="M277" i="1" s="1"/>
  <c r="Y455" i="1"/>
  <c r="AA233" i="1"/>
  <c r="AA264" i="1" s="1"/>
  <c r="AA276" i="1" s="1"/>
  <c r="S531" i="2"/>
  <c r="S560" i="2" s="1"/>
  <c r="Y450" i="1"/>
  <c r="AA121" i="1"/>
  <c r="AA308" i="1"/>
  <c r="AA307" i="1"/>
  <c r="AA458" i="1"/>
  <c r="AA88" i="1"/>
  <c r="AA91" i="1" s="1"/>
  <c r="AA99" i="1" s="1"/>
  <c r="AA280" i="1"/>
  <c r="AA459" i="1"/>
  <c r="AA279" i="1"/>
  <c r="AA120" i="1"/>
  <c r="AA122" i="1"/>
  <c r="Y274" i="1"/>
  <c r="W82" i="1"/>
  <c r="W130" i="1" s="1"/>
  <c r="K120" i="1"/>
  <c r="K121" i="1"/>
  <c r="Y270" i="1"/>
  <c r="K279" i="1"/>
  <c r="K307" i="1"/>
  <c r="K312" i="1" s="1"/>
  <c r="E204" i="2" s="1"/>
  <c r="Y416" i="1"/>
  <c r="AA82" i="1"/>
  <c r="Y276" i="1"/>
  <c r="Y275" i="1"/>
  <c r="Y277" i="1"/>
  <c r="Y456" i="1"/>
  <c r="Y448" i="1"/>
  <c r="Y269" i="1"/>
  <c r="U120" i="1"/>
  <c r="U279" i="1"/>
  <c r="U459" i="1"/>
  <c r="U307" i="1"/>
  <c r="U280" i="1"/>
  <c r="U308" i="1"/>
  <c r="U458" i="1"/>
  <c r="U88" i="1"/>
  <c r="U91" i="1" s="1"/>
  <c r="U99" i="1" s="1"/>
  <c r="U122" i="1"/>
  <c r="U121" i="1"/>
  <c r="U82" i="1"/>
  <c r="I203" i="15"/>
  <c r="I205" i="15" s="1"/>
  <c r="L483" i="2"/>
  <c r="L480" i="2"/>
  <c r="L481" i="2" s="1"/>
  <c r="AH438" i="2"/>
  <c r="AI438" i="2" s="1"/>
  <c r="AH492" i="2"/>
  <c r="AI492" i="2" s="1"/>
  <c r="F495" i="2"/>
  <c r="F448" i="2"/>
  <c r="F451" i="2" s="1"/>
  <c r="H448" i="2"/>
  <c r="H451" i="2" s="1"/>
  <c r="I82" i="1"/>
  <c r="W308" i="1"/>
  <c r="W121" i="1"/>
  <c r="W458" i="1"/>
  <c r="W279" i="1"/>
  <c r="W88" i="1"/>
  <c r="W91" i="1" s="1"/>
  <c r="W99" i="1" s="1"/>
  <c r="W120" i="1"/>
  <c r="W459" i="1"/>
  <c r="W280" i="1"/>
  <c r="W307" i="1"/>
  <c r="W122" i="1"/>
  <c r="I414" i="1"/>
  <c r="AI424" i="2"/>
  <c r="AH469" i="2"/>
  <c r="AI469" i="2" s="1"/>
  <c r="G32" i="8"/>
  <c r="E422" i="2" s="1"/>
  <c r="F422" i="2"/>
  <c r="AI415" i="2"/>
  <c r="F416" i="2"/>
  <c r="I233" i="1"/>
  <c r="I235" i="1"/>
  <c r="AI420" i="2"/>
  <c r="K455" i="2"/>
  <c r="K452" i="2"/>
  <c r="H203" i="15"/>
  <c r="I459" i="1"/>
  <c r="I280" i="1"/>
  <c r="I279" i="1"/>
  <c r="I122" i="1"/>
  <c r="I88" i="1"/>
  <c r="I120" i="1"/>
  <c r="I458" i="1"/>
  <c r="I307" i="1"/>
  <c r="I121" i="1"/>
  <c r="I308" i="1"/>
  <c r="G314" i="2" l="1"/>
  <c r="G316" i="2" s="1"/>
  <c r="K476" i="2"/>
  <c r="K479" i="2" s="1"/>
  <c r="K458" i="2"/>
  <c r="AB385" i="1"/>
  <c r="AC385" i="1" s="1"/>
  <c r="AB111" i="1"/>
  <c r="AC111" i="1" s="1"/>
  <c r="AB298" i="1"/>
  <c r="AC298" i="1" s="1"/>
  <c r="AB205" i="1"/>
  <c r="AC205" i="1" s="1"/>
  <c r="AB403" i="1"/>
  <c r="AC403" i="1" s="1"/>
  <c r="AH204" i="2"/>
  <c r="AI204" i="2" s="1"/>
  <c r="AH128" i="2"/>
  <c r="AH242" i="2"/>
  <c r="U486" i="2"/>
  <c r="U487" i="2" s="1"/>
  <c r="T486" i="2"/>
  <c r="T487" i="2" s="1"/>
  <c r="AH460" i="2"/>
  <c r="AI460" i="2" s="1"/>
  <c r="AH453" i="2"/>
  <c r="AI453" i="2" s="1"/>
  <c r="AH13" i="2"/>
  <c r="AB486" i="2"/>
  <c r="AB487" i="2" s="1"/>
  <c r="M486" i="2"/>
  <c r="M487" i="2" s="1"/>
  <c r="Z486" i="2"/>
  <c r="Z487" i="2" s="1"/>
  <c r="AC486" i="2"/>
  <c r="AC487" i="2" s="1"/>
  <c r="AF486" i="2"/>
  <c r="AF487" i="2" s="1"/>
  <c r="L486" i="2"/>
  <c r="L487" i="2" s="1"/>
  <c r="X486" i="2"/>
  <c r="X487" i="2" s="1"/>
  <c r="AA486" i="2"/>
  <c r="AA487" i="2" s="1"/>
  <c r="AD486" i="2"/>
  <c r="AD487" i="2" s="1"/>
  <c r="AG486" i="2"/>
  <c r="AG487" i="2" s="1"/>
  <c r="AE486" i="2"/>
  <c r="AE487" i="2" s="1"/>
  <c r="Y486" i="2"/>
  <c r="Y487" i="2" s="1"/>
  <c r="N486" i="2"/>
  <c r="N487" i="2" s="1"/>
  <c r="W486" i="2"/>
  <c r="W487" i="2" s="1"/>
  <c r="V486" i="2"/>
  <c r="V487" i="2" s="1"/>
  <c r="AH166" i="2"/>
  <c r="AH280" i="2"/>
  <c r="AH52" i="2"/>
  <c r="AH90" i="2"/>
  <c r="G483" i="2"/>
  <c r="G486" i="2" s="1"/>
  <c r="G487" i="2" s="1"/>
  <c r="G479" i="2"/>
  <c r="G480" i="2" s="1"/>
  <c r="G481" i="2" s="1"/>
  <c r="AH425" i="2"/>
  <c r="AI425" i="2" s="1"/>
  <c r="O479" i="2"/>
  <c r="Q479" i="2"/>
  <c r="Q480" i="2" s="1"/>
  <c r="R481" i="2" s="1"/>
  <c r="P479" i="2"/>
  <c r="P480" i="2" s="1"/>
  <c r="P483" i="2"/>
  <c r="Q483" i="2"/>
  <c r="R486" i="2" s="1"/>
  <c r="R487" i="2" s="1"/>
  <c r="R479" i="2"/>
  <c r="R480" i="2" s="1"/>
  <c r="S481" i="2" s="1"/>
  <c r="O459" i="2"/>
  <c r="F344" i="2"/>
  <c r="AH344" i="2" s="1"/>
  <c r="AI344" i="2" s="1"/>
  <c r="F314" i="2"/>
  <c r="AH314" i="2" s="1"/>
  <c r="AI314" i="2" s="1"/>
  <c r="AB222" i="1"/>
  <c r="AC222" i="1" s="1"/>
  <c r="AH422" i="2"/>
  <c r="AI422" i="2" s="1"/>
  <c r="AI341" i="2"/>
  <c r="AI365" i="2"/>
  <c r="M513" i="2"/>
  <c r="M522" i="2" s="1"/>
  <c r="M540" i="2" s="1"/>
  <c r="AI367" i="2"/>
  <c r="M560" i="2"/>
  <c r="M626" i="2"/>
  <c r="AK128" i="2"/>
  <c r="H560" i="2"/>
  <c r="G560" i="2"/>
  <c r="I560" i="2"/>
  <c r="I35" i="15"/>
  <c r="I34" i="15"/>
  <c r="P108" i="1"/>
  <c r="P202" i="1"/>
  <c r="P391" i="1"/>
  <c r="P89" i="1"/>
  <c r="P306" i="1"/>
  <c r="P139" i="1"/>
  <c r="P408" i="1"/>
  <c r="P401" i="1"/>
  <c r="P78" i="1"/>
  <c r="P136" i="1"/>
  <c r="P56" i="1"/>
  <c r="P73" i="1" s="1"/>
  <c r="P392" i="1"/>
  <c r="P211" i="1"/>
  <c r="P227" i="1"/>
  <c r="P137" i="1"/>
  <c r="P138" i="1"/>
  <c r="P382" i="1"/>
  <c r="P220" i="1"/>
  <c r="P213" i="1"/>
  <c r="P87" i="1"/>
  <c r="P310" i="1"/>
  <c r="O87" i="1"/>
  <c r="O408" i="1"/>
  <c r="O89" i="1"/>
  <c r="O139" i="1"/>
  <c r="O220" i="1"/>
  <c r="E463" i="2"/>
  <c r="AB54" i="1"/>
  <c r="AC54" i="1" s="1"/>
  <c r="O392" i="1"/>
  <c r="O391" i="1"/>
  <c r="O136" i="1"/>
  <c r="O78" i="1"/>
  <c r="O211" i="1"/>
  <c r="O213" i="1"/>
  <c r="O382" i="1"/>
  <c r="O108" i="1"/>
  <c r="O137" i="1"/>
  <c r="O138" i="1"/>
  <c r="O401" i="1"/>
  <c r="O56" i="1"/>
  <c r="O227" i="1"/>
  <c r="O202" i="1"/>
  <c r="O306" i="1"/>
  <c r="O105" i="1"/>
  <c r="AB105" i="1" s="1"/>
  <c r="AC105" i="1" s="1"/>
  <c r="O310" i="1"/>
  <c r="O560" i="2"/>
  <c r="K270" i="1"/>
  <c r="K453" i="1"/>
  <c r="K449" i="1"/>
  <c r="K273" i="1"/>
  <c r="K452" i="1"/>
  <c r="H180" i="1"/>
  <c r="H237" i="1" s="1"/>
  <c r="H367" i="1"/>
  <c r="H416" i="1" s="1"/>
  <c r="U275" i="1"/>
  <c r="U277" i="1"/>
  <c r="I237" i="1"/>
  <c r="U448" i="1"/>
  <c r="U456" i="1"/>
  <c r="U455" i="1"/>
  <c r="U454" i="1"/>
  <c r="U269" i="1"/>
  <c r="U450" i="1"/>
  <c r="U271" i="1"/>
  <c r="Y312" i="1"/>
  <c r="E226" i="2" s="1"/>
  <c r="W312" i="1"/>
  <c r="E223" i="2" s="1"/>
  <c r="R275" i="1"/>
  <c r="R271" i="1"/>
  <c r="R269" i="1"/>
  <c r="R277" i="1"/>
  <c r="R276" i="1"/>
  <c r="R455" i="1"/>
  <c r="R448" i="1"/>
  <c r="R456" i="1"/>
  <c r="R450" i="1"/>
  <c r="W454" i="1"/>
  <c r="W269" i="1"/>
  <c r="W448" i="1"/>
  <c r="S453" i="1"/>
  <c r="S274" i="1"/>
  <c r="S452" i="1"/>
  <c r="E13" i="2"/>
  <c r="H130" i="1"/>
  <c r="W276" i="1"/>
  <c r="W275" i="1"/>
  <c r="W455" i="1"/>
  <c r="W277" i="1"/>
  <c r="W450" i="1"/>
  <c r="W271" i="1"/>
  <c r="K142" i="1"/>
  <c r="K130" i="1"/>
  <c r="S130" i="1"/>
  <c r="S273" i="1"/>
  <c r="S449" i="1"/>
  <c r="R312" i="1"/>
  <c r="E215" i="2" s="1"/>
  <c r="S312" i="1"/>
  <c r="E216" i="2" s="1"/>
  <c r="S98" i="1"/>
  <c r="S101" i="1" s="1"/>
  <c r="S104" i="1" s="1"/>
  <c r="S124" i="1" s="1"/>
  <c r="S126" i="1" s="1"/>
  <c r="S131" i="1"/>
  <c r="E25" i="2"/>
  <c r="Y142" i="1"/>
  <c r="U453" i="1"/>
  <c r="E35" i="2"/>
  <c r="Y93" i="1"/>
  <c r="E24" i="2"/>
  <c r="M24" i="2" s="1"/>
  <c r="U274" i="1"/>
  <c r="H142" i="1"/>
  <c r="H98" i="1"/>
  <c r="H101" i="1" s="1"/>
  <c r="H104" i="1" s="1"/>
  <c r="H124" i="1" s="1"/>
  <c r="H126" i="1" s="1"/>
  <c r="Y131" i="1"/>
  <c r="Y98" i="1"/>
  <c r="Y101" i="1" s="1"/>
  <c r="Y104" i="1" s="1"/>
  <c r="Y124" i="1" s="1"/>
  <c r="Y126" i="1" s="1"/>
  <c r="H131" i="1"/>
  <c r="H93" i="1"/>
  <c r="K98" i="1"/>
  <c r="K101" i="1" s="1"/>
  <c r="K104" i="1" s="1"/>
  <c r="K124" i="1" s="1"/>
  <c r="K126" i="1" s="1"/>
  <c r="K451" i="1" s="1"/>
  <c r="R98" i="1"/>
  <c r="R101" i="1" s="1"/>
  <c r="R104" i="1" s="1"/>
  <c r="R124" i="1" s="1"/>
  <c r="R126" i="1" s="1"/>
  <c r="R131" i="1"/>
  <c r="R142" i="1"/>
  <c r="R93" i="1"/>
  <c r="M274" i="1"/>
  <c r="W98" i="1"/>
  <c r="W101" i="1" s="1"/>
  <c r="M450" i="1"/>
  <c r="W449" i="1"/>
  <c r="S93" i="1"/>
  <c r="M449" i="1"/>
  <c r="M312" i="1"/>
  <c r="E207" i="2" s="1"/>
  <c r="V207" i="2" s="1"/>
  <c r="U270" i="1"/>
  <c r="W142" i="1"/>
  <c r="U449" i="1"/>
  <c r="M131" i="1"/>
  <c r="M273" i="1"/>
  <c r="M130" i="1"/>
  <c r="E32" i="2"/>
  <c r="U273" i="1"/>
  <c r="M454" i="1"/>
  <c r="AA456" i="1"/>
  <c r="Q560" i="2"/>
  <c r="S487" i="2"/>
  <c r="M98" i="1"/>
  <c r="M101" i="1" s="1"/>
  <c r="M104" i="1" s="1"/>
  <c r="M124" i="1" s="1"/>
  <c r="M126" i="1" s="1"/>
  <c r="E487" i="2"/>
  <c r="E16" i="2"/>
  <c r="V16" i="2" s="1"/>
  <c r="W274" i="1"/>
  <c r="W453" i="1"/>
  <c r="W273" i="1"/>
  <c r="W270" i="1"/>
  <c r="AA448" i="1"/>
  <c r="M275" i="1"/>
  <c r="M271" i="1"/>
  <c r="M270" i="1"/>
  <c r="AA277" i="1"/>
  <c r="AA271" i="1"/>
  <c r="AA275" i="1"/>
  <c r="M276" i="1"/>
  <c r="K93" i="1"/>
  <c r="M453" i="1"/>
  <c r="M269" i="1"/>
  <c r="M456" i="1"/>
  <c r="M93" i="1"/>
  <c r="M448" i="1"/>
  <c r="M455" i="1"/>
  <c r="W131" i="1"/>
  <c r="AA450" i="1"/>
  <c r="AA454" i="1"/>
  <c r="AA269" i="1"/>
  <c r="AA455" i="1"/>
  <c r="AA274" i="1"/>
  <c r="AA452" i="1"/>
  <c r="AA453" i="1"/>
  <c r="AA273" i="1"/>
  <c r="AA270" i="1"/>
  <c r="AA449" i="1"/>
  <c r="AA312" i="1"/>
  <c r="E229" i="2" s="1"/>
  <c r="AA229" i="2" s="1"/>
  <c r="AA130" i="1"/>
  <c r="AA142" i="1"/>
  <c r="E38" i="2"/>
  <c r="M38" i="2" s="1"/>
  <c r="AA93" i="1"/>
  <c r="AA131" i="1"/>
  <c r="AA98" i="1"/>
  <c r="AA101" i="1" s="1"/>
  <c r="AA104" i="1" s="1"/>
  <c r="AA124" i="1" s="1"/>
  <c r="AA126" i="1" s="1"/>
  <c r="I513" i="2"/>
  <c r="J513" i="2"/>
  <c r="J522" i="2" s="1"/>
  <c r="K513" i="2"/>
  <c r="K522" i="2" s="1"/>
  <c r="G513" i="2"/>
  <c r="N513" i="2"/>
  <c r="U312" i="1"/>
  <c r="E220" i="2" s="1"/>
  <c r="L220" i="2" s="1"/>
  <c r="L513" i="2"/>
  <c r="U131" i="1"/>
  <c r="U142" i="1"/>
  <c r="U98" i="1"/>
  <c r="U101" i="1" s="1"/>
  <c r="U104" i="1" s="1"/>
  <c r="U124" i="1" s="1"/>
  <c r="U126" i="1" s="1"/>
  <c r="U272" i="1" s="1"/>
  <c r="E29" i="2"/>
  <c r="U29" i="2" s="1"/>
  <c r="U93" i="1"/>
  <c r="U130" i="1"/>
  <c r="P513" i="2"/>
  <c r="P522" i="2" s="1"/>
  <c r="I312" i="1"/>
  <c r="I142" i="1"/>
  <c r="E9" i="2"/>
  <c r="I98" i="1"/>
  <c r="I131" i="1"/>
  <c r="I130" i="1"/>
  <c r="Q513" i="2"/>
  <c r="Q522" i="2" s="1"/>
  <c r="F513" i="2"/>
  <c r="F522" i="2" s="1"/>
  <c r="H513" i="2"/>
  <c r="S513" i="2"/>
  <c r="S522" i="2" s="1"/>
  <c r="AH531" i="2"/>
  <c r="F560" i="2"/>
  <c r="I442" i="1"/>
  <c r="I416" i="1"/>
  <c r="H205" i="15"/>
  <c r="K459" i="2"/>
  <c r="I452" i="2"/>
  <c r="I455" i="2"/>
  <c r="I458" i="2" s="1"/>
  <c r="R513" i="2"/>
  <c r="R522" i="2" s="1"/>
  <c r="F455" i="2"/>
  <c r="F458" i="2" s="1"/>
  <c r="AI493" i="2"/>
  <c r="W93" i="1"/>
  <c r="I264" i="1"/>
  <c r="AH416" i="2"/>
  <c r="AI416" i="2" s="1"/>
  <c r="I91" i="1"/>
  <c r="I93" i="1" s="1"/>
  <c r="H338" i="2"/>
  <c r="H455" i="2"/>
  <c r="H458" i="2" s="1"/>
  <c r="H452" i="2"/>
  <c r="G338" i="2"/>
  <c r="AH343" i="2" s="1"/>
  <c r="AI343" i="2" s="1"/>
  <c r="X488" i="2" l="1"/>
  <c r="U488" i="2"/>
  <c r="AD488" i="2"/>
  <c r="AG488" i="2"/>
  <c r="AG29" i="2"/>
  <c r="F220" i="2"/>
  <c r="AF29" i="2"/>
  <c r="K24" i="2"/>
  <c r="N29" i="2"/>
  <c r="AB38" i="2"/>
  <c r="T29" i="2"/>
  <c r="R38" i="2"/>
  <c r="L207" i="2"/>
  <c r="AC29" i="2"/>
  <c r="N38" i="2"/>
  <c r="F229" i="2"/>
  <c r="AE29" i="2"/>
  <c r="Q220" i="2"/>
  <c r="AA488" i="2"/>
  <c r="W488" i="2"/>
  <c r="AF229" i="2"/>
  <c r="T220" i="2"/>
  <c r="K223" i="2"/>
  <c r="N223" i="2"/>
  <c r="Q223" i="2"/>
  <c r="M223" i="2"/>
  <c r="O223" i="2"/>
  <c r="P223" i="2"/>
  <c r="AA223" i="2"/>
  <c r="F223" i="2"/>
  <c r="S223" i="2"/>
  <c r="G223" i="2"/>
  <c r="H223" i="2"/>
  <c r="I223" i="2"/>
  <c r="V223" i="2"/>
  <c r="J223" i="2"/>
  <c r="L223" i="2"/>
  <c r="T223" i="2"/>
  <c r="X223" i="2"/>
  <c r="AC223" i="2"/>
  <c r="W223" i="2"/>
  <c r="AB223" i="2"/>
  <c r="AG223" i="2"/>
  <c r="AD223" i="2"/>
  <c r="AF223" i="2"/>
  <c r="Y223" i="2"/>
  <c r="U223" i="2"/>
  <c r="Z223" i="2"/>
  <c r="AE223" i="2"/>
  <c r="R223" i="2"/>
  <c r="O226" i="2"/>
  <c r="Q226" i="2"/>
  <c r="P226" i="2"/>
  <c r="Y226" i="2"/>
  <c r="Z226" i="2"/>
  <c r="AF226" i="2"/>
  <c r="AA226" i="2"/>
  <c r="AE226" i="2"/>
  <c r="U226" i="2"/>
  <c r="AD226" i="2"/>
  <c r="AC226" i="2"/>
  <c r="AG226" i="2"/>
  <c r="X226" i="2"/>
  <c r="V226" i="2"/>
  <c r="R226" i="2"/>
  <c r="AB226" i="2"/>
  <c r="N226" i="2"/>
  <c r="W226" i="2"/>
  <c r="S226" i="2"/>
  <c r="F226" i="2"/>
  <c r="M226" i="2"/>
  <c r="K226" i="2"/>
  <c r="G226" i="2"/>
  <c r="T226" i="2"/>
  <c r="H226" i="2"/>
  <c r="J226" i="2"/>
  <c r="L226" i="2"/>
  <c r="I226" i="2"/>
  <c r="L16" i="2"/>
  <c r="F29" i="2"/>
  <c r="K29" i="2"/>
  <c r="G29" i="2"/>
  <c r="Y220" i="2"/>
  <c r="AB220" i="2"/>
  <c r="M220" i="2"/>
  <c r="N220" i="2"/>
  <c r="R229" i="2"/>
  <c r="L229" i="2"/>
  <c r="V229" i="2"/>
  <c r="P229" i="2"/>
  <c r="J38" i="2"/>
  <c r="H38" i="2"/>
  <c r="AC38" i="2"/>
  <c r="AB488" i="2"/>
  <c r="L488" i="2"/>
  <c r="N488" i="2"/>
  <c r="H29" i="2"/>
  <c r="AA29" i="2"/>
  <c r="Y29" i="2"/>
  <c r="O29" i="2"/>
  <c r="R220" i="2"/>
  <c r="X220" i="2"/>
  <c r="AG220" i="2"/>
  <c r="U220" i="2"/>
  <c r="V220" i="2"/>
  <c r="X229" i="2"/>
  <c r="N229" i="2"/>
  <c r="AD229" i="2"/>
  <c r="AE229" i="2"/>
  <c r="P38" i="2"/>
  <c r="O229" i="2"/>
  <c r="Y488" i="2"/>
  <c r="AE25" i="2"/>
  <c r="Z25" i="2"/>
  <c r="P25" i="2"/>
  <c r="Q25" i="2"/>
  <c r="K25" i="2"/>
  <c r="Y25" i="2"/>
  <c r="I25" i="2"/>
  <c r="H25" i="2"/>
  <c r="O25" i="2"/>
  <c r="T25" i="2"/>
  <c r="W25" i="2"/>
  <c r="AA25" i="2"/>
  <c r="N25" i="2"/>
  <c r="AC25" i="2"/>
  <c r="X25" i="2"/>
  <c r="AF25" i="2"/>
  <c r="S25" i="2"/>
  <c r="G25" i="2"/>
  <c r="V25" i="2"/>
  <c r="AG25" i="2"/>
  <c r="AD25" i="2"/>
  <c r="U25" i="2"/>
  <c r="F25" i="2"/>
  <c r="J25" i="2"/>
  <c r="R25" i="2"/>
  <c r="AB25" i="2"/>
  <c r="M25" i="2"/>
  <c r="L25" i="2"/>
  <c r="AF488" i="2"/>
  <c r="W229" i="2"/>
  <c r="S29" i="2"/>
  <c r="AF220" i="2"/>
  <c r="I29" i="2"/>
  <c r="W29" i="2"/>
  <c r="AC220" i="2"/>
  <c r="AD220" i="2"/>
  <c r="G220" i="2"/>
  <c r="Z229" i="2"/>
  <c r="U229" i="2"/>
  <c r="K38" i="2"/>
  <c r="AG38" i="2"/>
  <c r="AD38" i="2"/>
  <c r="S229" i="2"/>
  <c r="H229" i="2"/>
  <c r="AC229" i="2"/>
  <c r="G488" i="2"/>
  <c r="O220" i="2"/>
  <c r="T229" i="2"/>
  <c r="I229" i="2"/>
  <c r="F38" i="2"/>
  <c r="Y229" i="2"/>
  <c r="Q229" i="2"/>
  <c r="J229" i="2"/>
  <c r="O35" i="2"/>
  <c r="P35" i="2"/>
  <c r="Q35" i="2"/>
  <c r="AA35" i="2"/>
  <c r="Y35" i="2"/>
  <c r="Z35" i="2"/>
  <c r="AF35" i="2"/>
  <c r="AC35" i="2"/>
  <c r="U35" i="2"/>
  <c r="AE35" i="2"/>
  <c r="AD35" i="2"/>
  <c r="V35" i="2"/>
  <c r="X35" i="2"/>
  <c r="AB35" i="2"/>
  <c r="R35" i="2"/>
  <c r="AG35" i="2"/>
  <c r="F35" i="2"/>
  <c r="T35" i="2"/>
  <c r="G35" i="2"/>
  <c r="W35" i="2"/>
  <c r="N35" i="2"/>
  <c r="K35" i="2"/>
  <c r="M35" i="2"/>
  <c r="S35" i="2"/>
  <c r="H35" i="2"/>
  <c r="L35" i="2"/>
  <c r="J35" i="2"/>
  <c r="I35" i="2"/>
  <c r="T488" i="2"/>
  <c r="V488" i="2"/>
  <c r="AF38" i="2"/>
  <c r="W38" i="2"/>
  <c r="V29" i="2"/>
  <c r="Z29" i="2"/>
  <c r="H220" i="2"/>
  <c r="AB29" i="2"/>
  <c r="J220" i="2"/>
  <c r="K220" i="2"/>
  <c r="W220" i="2"/>
  <c r="AG229" i="2"/>
  <c r="M229" i="2"/>
  <c r="U16" i="2"/>
  <c r="Y16" i="2"/>
  <c r="AF16" i="2"/>
  <c r="AG16" i="2"/>
  <c r="AC16" i="2"/>
  <c r="Z16" i="2"/>
  <c r="AA16" i="2"/>
  <c r="M16" i="2"/>
  <c r="AB16" i="2"/>
  <c r="N16" i="2"/>
  <c r="X16" i="2"/>
  <c r="AD16" i="2"/>
  <c r="W16" i="2"/>
  <c r="AE16" i="2"/>
  <c r="Z488" i="2"/>
  <c r="AA207" i="2"/>
  <c r="AC207" i="2"/>
  <c r="X207" i="2"/>
  <c r="U207" i="2"/>
  <c r="W207" i="2"/>
  <c r="AG207" i="2"/>
  <c r="Z207" i="2"/>
  <c r="Y207" i="2"/>
  <c r="AE207" i="2"/>
  <c r="M207" i="2"/>
  <c r="AF207" i="2"/>
  <c r="AB207" i="2"/>
  <c r="AD207" i="2"/>
  <c r="N207" i="2"/>
  <c r="AE488" i="2"/>
  <c r="AD24" i="2"/>
  <c r="AC24" i="2"/>
  <c r="AG24" i="2"/>
  <c r="Y24" i="2"/>
  <c r="J24" i="2"/>
  <c r="AF24" i="2"/>
  <c r="AA24" i="2"/>
  <c r="AE24" i="2"/>
  <c r="Z24" i="2"/>
  <c r="G24" i="2"/>
  <c r="AB24" i="2"/>
  <c r="I24" i="2"/>
  <c r="U24" i="2"/>
  <c r="F24" i="2"/>
  <c r="S24" i="2"/>
  <c r="N24" i="2"/>
  <c r="H24" i="2"/>
  <c r="T24" i="2"/>
  <c r="P24" i="2"/>
  <c r="R24" i="2"/>
  <c r="X24" i="2"/>
  <c r="Q24" i="2"/>
  <c r="O24" i="2"/>
  <c r="V24" i="2"/>
  <c r="W24" i="2"/>
  <c r="AA216" i="2"/>
  <c r="O216" i="2"/>
  <c r="T216" i="2"/>
  <c r="AD216" i="2"/>
  <c r="P216" i="2"/>
  <c r="V216" i="2"/>
  <c r="U216" i="2"/>
  <c r="S216" i="2"/>
  <c r="F216" i="2"/>
  <c r="Z216" i="2"/>
  <c r="J216" i="2"/>
  <c r="I216" i="2"/>
  <c r="AC216" i="2"/>
  <c r="AE216" i="2"/>
  <c r="Q216" i="2"/>
  <c r="X216" i="2"/>
  <c r="Y216" i="2"/>
  <c r="AF216" i="2"/>
  <c r="G216" i="2"/>
  <c r="N216" i="2"/>
  <c r="L216" i="2"/>
  <c r="K216" i="2"/>
  <c r="AB216" i="2"/>
  <c r="M216" i="2"/>
  <c r="R216" i="2"/>
  <c r="AG216" i="2"/>
  <c r="H216" i="2"/>
  <c r="W216" i="2"/>
  <c r="M488" i="2"/>
  <c r="Q29" i="2"/>
  <c r="J29" i="2"/>
  <c r="M29" i="2"/>
  <c r="P220" i="2"/>
  <c r="S220" i="2"/>
  <c r="AE220" i="2"/>
  <c r="Z38" i="2"/>
  <c r="X38" i="2"/>
  <c r="U38" i="2"/>
  <c r="G229" i="2"/>
  <c r="AA38" i="2"/>
  <c r="Y38" i="2"/>
  <c r="V38" i="2"/>
  <c r="AE38" i="2"/>
  <c r="O38" i="2"/>
  <c r="Z220" i="2"/>
  <c r="AC488" i="2"/>
  <c r="K32" i="2"/>
  <c r="N32" i="2"/>
  <c r="M32" i="2"/>
  <c r="Q32" i="2"/>
  <c r="O32" i="2"/>
  <c r="P32" i="2"/>
  <c r="T32" i="2"/>
  <c r="AG32" i="2"/>
  <c r="AA32" i="2"/>
  <c r="W32" i="2"/>
  <c r="Y32" i="2"/>
  <c r="U32" i="2"/>
  <c r="AE32" i="2"/>
  <c r="I32" i="2"/>
  <c r="AD32" i="2"/>
  <c r="H32" i="2"/>
  <c r="Z32" i="2"/>
  <c r="AB32" i="2"/>
  <c r="AF32" i="2"/>
  <c r="AC32" i="2"/>
  <c r="G32" i="2"/>
  <c r="J32" i="2"/>
  <c r="F32" i="2"/>
  <c r="L32" i="2"/>
  <c r="S32" i="2"/>
  <c r="X32" i="2"/>
  <c r="V32" i="2"/>
  <c r="R32" i="2"/>
  <c r="X215" i="2"/>
  <c r="S215" i="2"/>
  <c r="N215" i="2"/>
  <c r="AB215" i="2"/>
  <c r="AF215" i="2"/>
  <c r="Y215" i="2"/>
  <c r="K215" i="2"/>
  <c r="AD215" i="2"/>
  <c r="U215" i="2"/>
  <c r="I215" i="2"/>
  <c r="V215" i="2"/>
  <c r="T215" i="2"/>
  <c r="AG215" i="2"/>
  <c r="AA215" i="2"/>
  <c r="Z215" i="2"/>
  <c r="J215" i="2"/>
  <c r="Q215" i="2"/>
  <c r="P215" i="2"/>
  <c r="O215" i="2"/>
  <c r="AC215" i="2"/>
  <c r="W215" i="2"/>
  <c r="L215" i="2"/>
  <c r="AE215" i="2"/>
  <c r="G215" i="2"/>
  <c r="F215" i="2"/>
  <c r="H215" i="2"/>
  <c r="R215" i="2"/>
  <c r="M215" i="2"/>
  <c r="L24" i="2"/>
  <c r="AD29" i="2"/>
  <c r="X29" i="2"/>
  <c r="R29" i="2"/>
  <c r="P29" i="2"/>
  <c r="L29" i="2"/>
  <c r="I220" i="2"/>
  <c r="AA220" i="2"/>
  <c r="AB229" i="2"/>
  <c r="S488" i="2"/>
  <c r="T38" i="2"/>
  <c r="I38" i="2"/>
  <c r="G38" i="2"/>
  <c r="L38" i="2"/>
  <c r="K229" i="2"/>
  <c r="S38" i="2"/>
  <c r="Q38" i="2"/>
  <c r="G207" i="2"/>
  <c r="G16" i="2"/>
  <c r="O480" i="2"/>
  <c r="T16" i="2"/>
  <c r="T207" i="2"/>
  <c r="S16" i="2"/>
  <c r="S207" i="2"/>
  <c r="Q486" i="2"/>
  <c r="Q487" i="2" s="1"/>
  <c r="R488" i="2" s="1"/>
  <c r="P486" i="2"/>
  <c r="P487" i="2" s="1"/>
  <c r="O488" i="2" s="1"/>
  <c r="O486" i="2"/>
  <c r="P481" i="2"/>
  <c r="Q481" i="2"/>
  <c r="O481" i="2"/>
  <c r="M551" i="2"/>
  <c r="M574" i="2" s="1"/>
  <c r="M599" i="2" s="1"/>
  <c r="H522" i="2"/>
  <c r="H551" i="2" s="1"/>
  <c r="H574" i="2" s="1"/>
  <c r="N522" i="2"/>
  <c r="I522" i="2"/>
  <c r="I551" i="2" s="1"/>
  <c r="I574" i="2" s="1"/>
  <c r="O551" i="2"/>
  <c r="O574" i="2" s="1"/>
  <c r="G522" i="2"/>
  <c r="G551" i="2" s="1"/>
  <c r="G574" i="2" s="1"/>
  <c r="L522" i="2"/>
  <c r="L551" i="2" s="1"/>
  <c r="L574" i="2" s="1"/>
  <c r="J551" i="2"/>
  <c r="J574" i="2" s="1"/>
  <c r="J625" i="2" s="1"/>
  <c r="P229" i="1"/>
  <c r="H35" i="15"/>
  <c r="H34" i="15"/>
  <c r="AB108" i="1"/>
  <c r="AC108" i="1" s="1"/>
  <c r="AB139" i="1"/>
  <c r="AC139" i="1" s="1"/>
  <c r="P68" i="1"/>
  <c r="AB391" i="1"/>
  <c r="AC391" i="1" s="1"/>
  <c r="P70" i="1"/>
  <c r="AB408" i="1"/>
  <c r="AC408" i="1" s="1"/>
  <c r="P77" i="1"/>
  <c r="AB89" i="1"/>
  <c r="AC89" i="1" s="1"/>
  <c r="AB306" i="1"/>
  <c r="AC306" i="1" s="1"/>
  <c r="P67" i="1"/>
  <c r="P8" i="1"/>
  <c r="P66" i="1"/>
  <c r="P69" i="1"/>
  <c r="P63" i="1"/>
  <c r="P64" i="1"/>
  <c r="P410" i="1"/>
  <c r="P58" i="1"/>
  <c r="P65" i="1"/>
  <c r="P10" i="1"/>
  <c r="P309" i="1"/>
  <c r="P72" i="1"/>
  <c r="P71" i="1"/>
  <c r="P9" i="1"/>
  <c r="AB392" i="1"/>
  <c r="AC392" i="1" s="1"/>
  <c r="P141" i="1"/>
  <c r="AB78" i="1"/>
  <c r="AC78" i="1" s="1"/>
  <c r="P215" i="1"/>
  <c r="AB310" i="1"/>
  <c r="AC310" i="1" s="1"/>
  <c r="AB211" i="1"/>
  <c r="AC211" i="1" s="1"/>
  <c r="AB213" i="1"/>
  <c r="AC213" i="1" s="1"/>
  <c r="AB227" i="1"/>
  <c r="AC227" i="1" s="1"/>
  <c r="AB137" i="1"/>
  <c r="AC137" i="1" s="1"/>
  <c r="P394" i="1"/>
  <c r="AB138" i="1"/>
  <c r="AC138" i="1" s="1"/>
  <c r="AB87" i="1"/>
  <c r="AC87" i="1" s="1"/>
  <c r="O65" i="1"/>
  <c r="O77" i="1"/>
  <c r="O63" i="1"/>
  <c r="O8" i="1"/>
  <c r="O309" i="1"/>
  <c r="O10" i="1"/>
  <c r="O69" i="1"/>
  <c r="O72" i="1"/>
  <c r="O68" i="1"/>
  <c r="O64" i="1"/>
  <c r="O9" i="1"/>
  <c r="O71" i="1"/>
  <c r="O67" i="1"/>
  <c r="AB56" i="1"/>
  <c r="AC56" i="1" s="1"/>
  <c r="O70" i="1"/>
  <c r="O58" i="1"/>
  <c r="O66" i="1"/>
  <c r="AB66" i="1" s="1"/>
  <c r="AC66" i="1" s="1"/>
  <c r="O73" i="1"/>
  <c r="AB73" i="1" s="1"/>
  <c r="AC73" i="1" s="1"/>
  <c r="AB401" i="1"/>
  <c r="AC401" i="1" s="1"/>
  <c r="O410" i="1"/>
  <c r="O394" i="1"/>
  <c r="AB382" i="1"/>
  <c r="AC382" i="1" s="1"/>
  <c r="O141" i="1"/>
  <c r="AB136" i="1"/>
  <c r="AC136" i="1" s="1"/>
  <c r="E465" i="2"/>
  <c r="E470" i="2"/>
  <c r="AH463" i="2"/>
  <c r="AI463" i="2" s="1"/>
  <c r="AB202" i="1"/>
  <c r="AC202" i="1" s="1"/>
  <c r="O215" i="1"/>
  <c r="O229" i="1"/>
  <c r="AB220" i="1"/>
  <c r="AC220" i="1" s="1"/>
  <c r="AB367" i="1"/>
  <c r="AC367" i="1" s="1"/>
  <c r="AB180" i="1"/>
  <c r="AC180" i="1" s="1"/>
  <c r="AI13" i="2"/>
  <c r="E26" i="2"/>
  <c r="R316" i="1"/>
  <c r="E291" i="2" s="1"/>
  <c r="E63" i="2"/>
  <c r="R278" i="1"/>
  <c r="R318" i="1"/>
  <c r="K326" i="1"/>
  <c r="R314" i="1"/>
  <c r="E253" i="2" s="1"/>
  <c r="R451" i="1"/>
  <c r="R457" i="1"/>
  <c r="R326" i="1"/>
  <c r="R272" i="1"/>
  <c r="R322" i="1"/>
  <c r="R281" i="1"/>
  <c r="R324" i="1"/>
  <c r="R320" i="1"/>
  <c r="K320" i="1"/>
  <c r="U457" i="1"/>
  <c r="K281" i="1"/>
  <c r="K322" i="1"/>
  <c r="K272" i="1"/>
  <c r="K314" i="1"/>
  <c r="E242" i="2" s="1"/>
  <c r="AI242" i="2" s="1"/>
  <c r="K316" i="1"/>
  <c r="E280" i="2" s="1"/>
  <c r="AI280" i="2" s="1"/>
  <c r="K318" i="1"/>
  <c r="K324" i="1"/>
  <c r="K278" i="1"/>
  <c r="E52" i="2"/>
  <c r="AI52" i="2" s="1"/>
  <c r="K457" i="1"/>
  <c r="K461" i="1" s="1"/>
  <c r="K463" i="1" s="1"/>
  <c r="K465" i="1" s="1"/>
  <c r="E166" i="2" s="1"/>
  <c r="AI166" i="2" s="1"/>
  <c r="U326" i="1"/>
  <c r="U316" i="1"/>
  <c r="E296" i="2" s="1"/>
  <c r="U322" i="1"/>
  <c r="E68" i="2"/>
  <c r="U451" i="1"/>
  <c r="AA451" i="1"/>
  <c r="AA281" i="1"/>
  <c r="AA272" i="1"/>
  <c r="AA457" i="1"/>
  <c r="AA324" i="1"/>
  <c r="AA314" i="1"/>
  <c r="AA278" i="1"/>
  <c r="AA318" i="1"/>
  <c r="AA322" i="1"/>
  <c r="E77" i="2"/>
  <c r="AA320" i="1"/>
  <c r="AA326" i="1"/>
  <c r="AA316" i="1"/>
  <c r="E305" i="2" s="1"/>
  <c r="U281" i="1"/>
  <c r="U320" i="1"/>
  <c r="U318" i="1"/>
  <c r="U278" i="1"/>
  <c r="U324" i="1"/>
  <c r="U314" i="1"/>
  <c r="E258" i="2" s="1"/>
  <c r="H281" i="1"/>
  <c r="H451" i="1"/>
  <c r="H457" i="1"/>
  <c r="H322" i="1"/>
  <c r="E47" i="2"/>
  <c r="H318" i="1"/>
  <c r="H278" i="1"/>
  <c r="H320" i="1"/>
  <c r="H316" i="1"/>
  <c r="E275" i="2" s="1"/>
  <c r="H314" i="1"/>
  <c r="H324" i="1"/>
  <c r="H326" i="1"/>
  <c r="H272" i="1"/>
  <c r="M316" i="1"/>
  <c r="E283" i="2" s="1"/>
  <c r="M324" i="1"/>
  <c r="M278" i="1"/>
  <c r="M326" i="1"/>
  <c r="M451" i="1"/>
  <c r="E55" i="2"/>
  <c r="S55" i="2" s="1"/>
  <c r="M272" i="1"/>
  <c r="M318" i="1"/>
  <c r="M281" i="1"/>
  <c r="M320" i="1"/>
  <c r="M457" i="1"/>
  <c r="M314" i="1"/>
  <c r="M322" i="1"/>
  <c r="Y457" i="1"/>
  <c r="E74" i="2"/>
  <c r="Y326" i="1"/>
  <c r="Y314" i="1"/>
  <c r="Y451" i="1"/>
  <c r="Y316" i="1"/>
  <c r="E302" i="2" s="1"/>
  <c r="Y324" i="1"/>
  <c r="Y322" i="1"/>
  <c r="Y281" i="1"/>
  <c r="Y278" i="1"/>
  <c r="Y272" i="1"/>
  <c r="Y318" i="1"/>
  <c r="Y320" i="1"/>
  <c r="S320" i="1"/>
  <c r="S451" i="1"/>
  <c r="E64" i="2"/>
  <c r="S324" i="1"/>
  <c r="S272" i="1"/>
  <c r="S281" i="1"/>
  <c r="S314" i="1"/>
  <c r="S322" i="1"/>
  <c r="S278" i="1"/>
  <c r="S316" i="1"/>
  <c r="E292" i="2" s="1"/>
  <c r="S326" i="1"/>
  <c r="S318" i="1"/>
  <c r="S457" i="1"/>
  <c r="K203" i="15"/>
  <c r="K205" i="15" s="1"/>
  <c r="F316" i="2"/>
  <c r="F476" i="2"/>
  <c r="F479" i="2" s="1"/>
  <c r="E10" i="2"/>
  <c r="W104" i="1"/>
  <c r="W124" i="1" s="1"/>
  <c r="W126" i="1" s="1"/>
  <c r="I476" i="2"/>
  <c r="I479" i="2" s="1"/>
  <c r="I459" i="2"/>
  <c r="E217" i="2"/>
  <c r="F452" i="2"/>
  <c r="I452" i="1"/>
  <c r="I274" i="1"/>
  <c r="I273" i="1"/>
  <c r="I453" i="1"/>
  <c r="I270" i="1"/>
  <c r="I449" i="1"/>
  <c r="J203" i="15"/>
  <c r="S84" i="15"/>
  <c r="J12" i="15" s="1"/>
  <c r="H476" i="2"/>
  <c r="H479" i="2" s="1"/>
  <c r="H459" i="2"/>
  <c r="I99" i="1"/>
  <c r="I454" i="1"/>
  <c r="I275" i="1"/>
  <c r="I269" i="1"/>
  <c r="I450" i="1"/>
  <c r="I277" i="1"/>
  <c r="I456" i="1"/>
  <c r="I455" i="1"/>
  <c r="I271" i="1"/>
  <c r="I448" i="1"/>
  <c r="I276" i="1"/>
  <c r="K483" i="2"/>
  <c r="K480" i="2"/>
  <c r="K481" i="2" s="1"/>
  <c r="AH513" i="2"/>
  <c r="AH522" i="2" s="1"/>
  <c r="E200" i="2"/>
  <c r="K486" i="2" l="1"/>
  <c r="K487" i="2" s="1"/>
  <c r="K488" i="2" s="1"/>
  <c r="K283" i="2" s="1"/>
  <c r="AA283" i="2"/>
  <c r="M217" i="2"/>
  <c r="S26" i="2"/>
  <c r="AH229" i="2"/>
  <c r="AH24" i="2"/>
  <c r="AI24" i="2" s="1"/>
  <c r="AH29" i="2"/>
  <c r="AI29" i="2" s="1"/>
  <c r="AH38" i="2"/>
  <c r="AI38" i="2" s="1"/>
  <c r="AH220" i="2"/>
  <c r="AI220" i="2" s="1"/>
  <c r="G283" i="2"/>
  <c r="V283" i="2"/>
  <c r="Y283" i="2"/>
  <c r="AD283" i="2"/>
  <c r="X283" i="2"/>
  <c r="AD68" i="2"/>
  <c r="R68" i="2"/>
  <c r="X68" i="2"/>
  <c r="Z68" i="2"/>
  <c r="W68" i="2"/>
  <c r="T68" i="2"/>
  <c r="AG68" i="2"/>
  <c r="U68" i="2"/>
  <c r="H68" i="2"/>
  <c r="K68" i="2"/>
  <c r="AF68" i="2"/>
  <c r="M68" i="2"/>
  <c r="AE68" i="2"/>
  <c r="N68" i="2"/>
  <c r="Y68" i="2"/>
  <c r="L68" i="2"/>
  <c r="O68" i="2"/>
  <c r="P68" i="2"/>
  <c r="F68" i="2"/>
  <c r="Q68" i="2"/>
  <c r="I68" i="2"/>
  <c r="AB68" i="2"/>
  <c r="G68" i="2"/>
  <c r="S68" i="2"/>
  <c r="J68" i="2"/>
  <c r="V68" i="2"/>
  <c r="AC68" i="2"/>
  <c r="AA68" i="2"/>
  <c r="Q253" i="2"/>
  <c r="P253" i="2"/>
  <c r="AD253" i="2"/>
  <c r="K253" i="2"/>
  <c r="G253" i="2"/>
  <c r="F253" i="2"/>
  <c r="X253" i="2"/>
  <c r="H253" i="2"/>
  <c r="U253" i="2"/>
  <c r="M253" i="2"/>
  <c r="N253" i="2"/>
  <c r="S253" i="2"/>
  <c r="Z253" i="2"/>
  <c r="I253" i="2"/>
  <c r="AG253" i="2"/>
  <c r="Y253" i="2"/>
  <c r="O253" i="2"/>
  <c r="J253" i="2"/>
  <c r="AB253" i="2"/>
  <c r="V253" i="2"/>
  <c r="W253" i="2"/>
  <c r="AF253" i="2"/>
  <c r="AE253" i="2"/>
  <c r="AC253" i="2"/>
  <c r="AA253" i="2"/>
  <c r="L253" i="2"/>
  <c r="R253" i="2"/>
  <c r="T253" i="2"/>
  <c r="Q74" i="2"/>
  <c r="P74" i="2"/>
  <c r="O74" i="2"/>
  <c r="AA74" i="2"/>
  <c r="Y74" i="2"/>
  <c r="Z74" i="2"/>
  <c r="AF74" i="2"/>
  <c r="AD74" i="2"/>
  <c r="AC74" i="2"/>
  <c r="U74" i="2"/>
  <c r="AE74" i="2"/>
  <c r="X74" i="2"/>
  <c r="V74" i="2"/>
  <c r="AB74" i="2"/>
  <c r="R74" i="2"/>
  <c r="AG74" i="2"/>
  <c r="F74" i="2"/>
  <c r="T74" i="2"/>
  <c r="G74" i="2"/>
  <c r="W74" i="2"/>
  <c r="N74" i="2"/>
  <c r="K74" i="2"/>
  <c r="M74" i="2"/>
  <c r="S74" i="2"/>
  <c r="H74" i="2"/>
  <c r="L74" i="2"/>
  <c r="J74" i="2"/>
  <c r="I74" i="2"/>
  <c r="N283" i="2"/>
  <c r="AC283" i="2"/>
  <c r="U283" i="2"/>
  <c r="T283" i="2"/>
  <c r="AB283" i="2"/>
  <c r="AH35" i="2"/>
  <c r="AI35" i="2" s="1"/>
  <c r="AH226" i="2"/>
  <c r="AI226" i="2" s="1"/>
  <c r="U55" i="2"/>
  <c r="Y55" i="2"/>
  <c r="AF55" i="2"/>
  <c r="AG55" i="2"/>
  <c r="AC55" i="2"/>
  <c r="Z55" i="2"/>
  <c r="AA55" i="2"/>
  <c r="M55" i="2"/>
  <c r="AB55" i="2"/>
  <c r="N55" i="2"/>
  <c r="X55" i="2"/>
  <c r="AD55" i="2"/>
  <c r="W55" i="2"/>
  <c r="AE55" i="2"/>
  <c r="V55" i="2"/>
  <c r="L55" i="2"/>
  <c r="AE465" i="2"/>
  <c r="AE466" i="2" s="1"/>
  <c r="M465" i="2"/>
  <c r="M466" i="2" s="1"/>
  <c r="F465" i="2"/>
  <c r="AD465" i="2"/>
  <c r="AD466" i="2" s="1"/>
  <c r="L465" i="2"/>
  <c r="L466" i="2" s="1"/>
  <c r="G465" i="2"/>
  <c r="G466" i="2" s="1"/>
  <c r="AC465" i="2"/>
  <c r="AC466" i="2" s="1"/>
  <c r="K465" i="2"/>
  <c r="K466" i="2" s="1"/>
  <c r="AF465" i="2"/>
  <c r="AF466" i="2" s="1"/>
  <c r="AB465" i="2"/>
  <c r="AB466" i="2" s="1"/>
  <c r="J465" i="2"/>
  <c r="J466" i="2" s="1"/>
  <c r="X465" i="2"/>
  <c r="X466" i="2" s="1"/>
  <c r="AA465" i="2"/>
  <c r="AA466" i="2" s="1"/>
  <c r="I465" i="2"/>
  <c r="I466" i="2" s="1"/>
  <c r="AG465" i="2"/>
  <c r="AG466" i="2" s="1"/>
  <c r="Z465" i="2"/>
  <c r="Z466" i="2" s="1"/>
  <c r="H465" i="2"/>
  <c r="H466" i="2" s="1"/>
  <c r="Y465" i="2"/>
  <c r="Y466" i="2" s="1"/>
  <c r="R465" i="2"/>
  <c r="R466" i="2" s="1"/>
  <c r="O465" i="2"/>
  <c r="O466" i="2" s="1"/>
  <c r="W465" i="2"/>
  <c r="W466" i="2" s="1"/>
  <c r="Q465" i="2"/>
  <c r="Q466" i="2" s="1"/>
  <c r="P465" i="2"/>
  <c r="P466" i="2" s="1"/>
  <c r="U465" i="2"/>
  <c r="U466" i="2" s="1"/>
  <c r="V465" i="2"/>
  <c r="V466" i="2" s="1"/>
  <c r="T465" i="2"/>
  <c r="T466" i="2" s="1"/>
  <c r="S465" i="2"/>
  <c r="S466" i="2" s="1"/>
  <c r="N465" i="2"/>
  <c r="N466" i="2" s="1"/>
  <c r="Q64" i="2"/>
  <c r="I64" i="2"/>
  <c r="AG64" i="2"/>
  <c r="G64" i="2"/>
  <c r="V64" i="2"/>
  <c r="AD64" i="2"/>
  <c r="X64" i="2"/>
  <c r="R64" i="2"/>
  <c r="H64" i="2"/>
  <c r="K64" i="2"/>
  <c r="O64" i="2"/>
  <c r="P64" i="2"/>
  <c r="U64" i="2"/>
  <c r="F64" i="2"/>
  <c r="L64" i="2"/>
  <c r="Y64" i="2"/>
  <c r="M64" i="2"/>
  <c r="W64" i="2"/>
  <c r="Z64" i="2"/>
  <c r="AF64" i="2"/>
  <c r="AC64" i="2"/>
  <c r="AA64" i="2"/>
  <c r="N64" i="2"/>
  <c r="S64" i="2"/>
  <c r="J64" i="2"/>
  <c r="AB64" i="2"/>
  <c r="AE64" i="2"/>
  <c r="T64" i="2"/>
  <c r="N305" i="2"/>
  <c r="U305" i="2"/>
  <c r="W305" i="2"/>
  <c r="AC305" i="2"/>
  <c r="R305" i="2"/>
  <c r="P305" i="2"/>
  <c r="O305" i="2"/>
  <c r="AE305" i="2"/>
  <c r="AA305" i="2"/>
  <c r="AD305" i="2"/>
  <c r="L305" i="2"/>
  <c r="AF305" i="2"/>
  <c r="V305" i="2"/>
  <c r="K305" i="2"/>
  <c r="X305" i="2"/>
  <c r="F305" i="2"/>
  <c r="T305" i="2"/>
  <c r="AB305" i="2"/>
  <c r="J305" i="2"/>
  <c r="Q305" i="2"/>
  <c r="AG305" i="2"/>
  <c r="G305" i="2"/>
  <c r="Z305" i="2"/>
  <c r="M305" i="2"/>
  <c r="Y305" i="2"/>
  <c r="I305" i="2"/>
  <c r="H305" i="2"/>
  <c r="S305" i="2"/>
  <c r="R296" i="2"/>
  <c r="O296" i="2"/>
  <c r="N296" i="2"/>
  <c r="Q296" i="2"/>
  <c r="K296" i="2"/>
  <c r="J296" i="2"/>
  <c r="AG296" i="2"/>
  <c r="G296" i="2"/>
  <c r="AD296" i="2"/>
  <c r="H296" i="2"/>
  <c r="F296" i="2"/>
  <c r="AC296" i="2"/>
  <c r="Y296" i="2"/>
  <c r="Z296" i="2"/>
  <c r="U296" i="2"/>
  <c r="M296" i="2"/>
  <c r="I296" i="2"/>
  <c r="X296" i="2"/>
  <c r="V296" i="2"/>
  <c r="AF296" i="2"/>
  <c r="L296" i="2"/>
  <c r="AB296" i="2"/>
  <c r="AA296" i="2"/>
  <c r="T296" i="2"/>
  <c r="S296" i="2"/>
  <c r="AE296" i="2"/>
  <c r="W296" i="2"/>
  <c r="P296" i="2"/>
  <c r="AH223" i="2"/>
  <c r="AI223" i="2" s="1"/>
  <c r="AF292" i="2"/>
  <c r="AA292" i="2"/>
  <c r="I292" i="2"/>
  <c r="AD292" i="2"/>
  <c r="AB292" i="2"/>
  <c r="P292" i="2"/>
  <c r="O292" i="2"/>
  <c r="V292" i="2"/>
  <c r="X292" i="2"/>
  <c r="Y292" i="2"/>
  <c r="H292" i="2"/>
  <c r="K292" i="2"/>
  <c r="U292" i="2"/>
  <c r="J292" i="2"/>
  <c r="R292" i="2"/>
  <c r="T292" i="2"/>
  <c r="Z292" i="2"/>
  <c r="G292" i="2"/>
  <c r="AG292" i="2"/>
  <c r="N292" i="2"/>
  <c r="S292" i="2"/>
  <c r="AE292" i="2"/>
  <c r="Q292" i="2"/>
  <c r="L292" i="2"/>
  <c r="AC292" i="2"/>
  <c r="W292" i="2"/>
  <c r="F292" i="2"/>
  <c r="M292" i="2"/>
  <c r="M283" i="2"/>
  <c r="Z283" i="2"/>
  <c r="AE283" i="2"/>
  <c r="W283" i="2"/>
  <c r="AG283" i="2"/>
  <c r="T55" i="2"/>
  <c r="AH216" i="2"/>
  <c r="AI216" i="2" s="1"/>
  <c r="Q302" i="2"/>
  <c r="P302" i="2"/>
  <c r="O302" i="2"/>
  <c r="Y302" i="2"/>
  <c r="Z302" i="2"/>
  <c r="AF302" i="2"/>
  <c r="AA302" i="2"/>
  <c r="U302" i="2"/>
  <c r="AD302" i="2"/>
  <c r="AC302" i="2"/>
  <c r="AE302" i="2"/>
  <c r="V302" i="2"/>
  <c r="R302" i="2"/>
  <c r="AB302" i="2"/>
  <c r="AG302" i="2"/>
  <c r="X302" i="2"/>
  <c r="K302" i="2"/>
  <c r="N302" i="2"/>
  <c r="T302" i="2"/>
  <c r="M302" i="2"/>
  <c r="W302" i="2"/>
  <c r="F302" i="2"/>
  <c r="S302" i="2"/>
  <c r="G302" i="2"/>
  <c r="J302" i="2"/>
  <c r="L302" i="2"/>
  <c r="I302" i="2"/>
  <c r="H302" i="2"/>
  <c r="I258" i="2"/>
  <c r="AF258" i="2"/>
  <c r="AE258" i="2"/>
  <c r="AB258" i="2"/>
  <c r="X258" i="2"/>
  <c r="W258" i="2"/>
  <c r="Z258" i="2"/>
  <c r="L258" i="2"/>
  <c r="P258" i="2"/>
  <c r="O258" i="2"/>
  <c r="AD258" i="2"/>
  <c r="AA258" i="2"/>
  <c r="J258" i="2"/>
  <c r="T258" i="2"/>
  <c r="V258" i="2"/>
  <c r="S258" i="2"/>
  <c r="H258" i="2"/>
  <c r="G258" i="2"/>
  <c r="N258" i="2"/>
  <c r="K258" i="2"/>
  <c r="R258" i="2"/>
  <c r="M258" i="2"/>
  <c r="AG258" i="2"/>
  <c r="F258" i="2"/>
  <c r="AC258" i="2"/>
  <c r="Q258" i="2"/>
  <c r="Y258" i="2"/>
  <c r="U258" i="2"/>
  <c r="AA63" i="2"/>
  <c r="AE63" i="2"/>
  <c r="AB63" i="2"/>
  <c r="AD63" i="2"/>
  <c r="AC63" i="2"/>
  <c r="AG63" i="2"/>
  <c r="Y63" i="2"/>
  <c r="J63" i="2"/>
  <c r="AF63" i="2"/>
  <c r="Z63" i="2"/>
  <c r="G63" i="2"/>
  <c r="I63" i="2"/>
  <c r="U63" i="2"/>
  <c r="F63" i="2"/>
  <c r="S63" i="2"/>
  <c r="N63" i="2"/>
  <c r="H63" i="2"/>
  <c r="P63" i="2"/>
  <c r="T63" i="2"/>
  <c r="O63" i="2"/>
  <c r="R63" i="2"/>
  <c r="X63" i="2"/>
  <c r="Q63" i="2"/>
  <c r="V63" i="2"/>
  <c r="W63" i="2"/>
  <c r="L63" i="2"/>
  <c r="K63" i="2"/>
  <c r="M63" i="2"/>
  <c r="G55" i="2"/>
  <c r="AH215" i="2"/>
  <c r="AI215" i="2" s="1"/>
  <c r="Q77" i="2"/>
  <c r="V77" i="2"/>
  <c r="AG77" i="2"/>
  <c r="X77" i="2"/>
  <c r="Z77" i="2"/>
  <c r="F77" i="2"/>
  <c r="J77" i="2"/>
  <c r="S77" i="2"/>
  <c r="I77" i="2"/>
  <c r="N77" i="2"/>
  <c r="AB77" i="2"/>
  <c r="T77" i="2"/>
  <c r="H77" i="2"/>
  <c r="G77" i="2"/>
  <c r="M77" i="2"/>
  <c r="P77" i="2"/>
  <c r="L77" i="2"/>
  <c r="R77" i="2"/>
  <c r="Y77" i="2"/>
  <c r="AE77" i="2"/>
  <c r="AA77" i="2"/>
  <c r="AD77" i="2"/>
  <c r="K77" i="2"/>
  <c r="U77" i="2"/>
  <c r="W77" i="2"/>
  <c r="AF77" i="2"/>
  <c r="AC77" i="2"/>
  <c r="O77" i="2"/>
  <c r="G291" i="2"/>
  <c r="K291" i="2"/>
  <c r="L291" i="2"/>
  <c r="Z291" i="2"/>
  <c r="AF291" i="2"/>
  <c r="AD291" i="2"/>
  <c r="P291" i="2"/>
  <c r="T291" i="2"/>
  <c r="M291" i="2"/>
  <c r="U291" i="2"/>
  <c r="S291" i="2"/>
  <c r="W291" i="2"/>
  <c r="V291" i="2"/>
  <c r="I291" i="2"/>
  <c r="H291" i="2"/>
  <c r="AA291" i="2"/>
  <c r="Y291" i="2"/>
  <c r="Q291" i="2"/>
  <c r="X291" i="2"/>
  <c r="O291" i="2"/>
  <c r="J291" i="2"/>
  <c r="AC291" i="2"/>
  <c r="F291" i="2"/>
  <c r="N291" i="2"/>
  <c r="AG291" i="2"/>
  <c r="AE291" i="2"/>
  <c r="AB291" i="2"/>
  <c r="R291" i="2"/>
  <c r="L283" i="2"/>
  <c r="AF283" i="2"/>
  <c r="AH32" i="2"/>
  <c r="AI32" i="2" s="1"/>
  <c r="AH25" i="2"/>
  <c r="AI25" i="2" s="1"/>
  <c r="S283" i="2"/>
  <c r="R16" i="2"/>
  <c r="R55" i="2"/>
  <c r="R207" i="2"/>
  <c r="O487" i="2"/>
  <c r="Q16" i="2"/>
  <c r="P16" i="2"/>
  <c r="Q207" i="2"/>
  <c r="O16" i="2"/>
  <c r="P207" i="2"/>
  <c r="Q55" i="2"/>
  <c r="O207" i="2"/>
  <c r="P55" i="2"/>
  <c r="O55" i="2"/>
  <c r="Q488" i="2"/>
  <c r="P488" i="2"/>
  <c r="K207" i="2"/>
  <c r="K16" i="2"/>
  <c r="K55" i="2"/>
  <c r="M26" i="2"/>
  <c r="M625" i="2"/>
  <c r="M627" i="2" s="1"/>
  <c r="F26" i="2"/>
  <c r="U217" i="2"/>
  <c r="AB309" i="1"/>
  <c r="AC309" i="1" s="1"/>
  <c r="I599" i="2"/>
  <c r="I625" i="2"/>
  <c r="G599" i="2"/>
  <c r="G625" i="2"/>
  <c r="H599" i="2"/>
  <c r="H625" i="2"/>
  <c r="J599" i="2"/>
  <c r="P231" i="1"/>
  <c r="P235" i="1" s="1"/>
  <c r="AB229" i="1"/>
  <c r="AC229" i="1" s="1"/>
  <c r="K35" i="15"/>
  <c r="K34" i="15"/>
  <c r="P12" i="1"/>
  <c r="AB68" i="1"/>
  <c r="AC68" i="1" s="1"/>
  <c r="AB70" i="1"/>
  <c r="AC70" i="1" s="1"/>
  <c r="P412" i="1"/>
  <c r="P414" i="1" s="1"/>
  <c r="P416" i="1" s="1"/>
  <c r="AB77" i="1"/>
  <c r="AC77" i="1" s="1"/>
  <c r="AB9" i="1"/>
  <c r="AC9" i="1" s="1"/>
  <c r="AB64" i="1"/>
  <c r="AC64" i="1" s="1"/>
  <c r="AB10" i="1"/>
  <c r="AC10" i="1" s="1"/>
  <c r="AB67" i="1"/>
  <c r="AC67" i="1" s="1"/>
  <c r="AB65" i="1"/>
  <c r="AC65" i="1" s="1"/>
  <c r="AB410" i="1"/>
  <c r="AC410" i="1" s="1"/>
  <c r="AB58" i="1"/>
  <c r="AC58" i="1" s="1"/>
  <c r="AB141" i="1"/>
  <c r="AC141" i="1" s="1"/>
  <c r="AB69" i="1"/>
  <c r="AC69" i="1" s="1"/>
  <c r="P75" i="1"/>
  <c r="P307" i="1" s="1"/>
  <c r="AB71" i="1"/>
  <c r="AC71" i="1" s="1"/>
  <c r="AB72" i="1"/>
  <c r="AC72" i="1" s="1"/>
  <c r="Y461" i="1"/>
  <c r="Y463" i="1" s="1"/>
  <c r="Y465" i="1" s="1"/>
  <c r="E188" i="2" s="1"/>
  <c r="AB63" i="1"/>
  <c r="AC63" i="1" s="1"/>
  <c r="O75" i="1"/>
  <c r="E472" i="2"/>
  <c r="AH470" i="2"/>
  <c r="AI470" i="2" s="1"/>
  <c r="E466" i="2"/>
  <c r="O412" i="1"/>
  <c r="AB394" i="1"/>
  <c r="AC394" i="1" s="1"/>
  <c r="O231" i="1"/>
  <c r="AB215" i="1"/>
  <c r="AC215" i="1" s="1"/>
  <c r="AB8" i="1"/>
  <c r="AC8" i="1" s="1"/>
  <c r="O12" i="1"/>
  <c r="O599" i="2"/>
  <c r="O625" i="2"/>
  <c r="L625" i="2"/>
  <c r="L599" i="2"/>
  <c r="AG217" i="2"/>
  <c r="AA26" i="2"/>
  <c r="E293" i="2"/>
  <c r="AD26" i="2"/>
  <c r="AB217" i="2"/>
  <c r="U26" i="2"/>
  <c r="AF26" i="2"/>
  <c r="T26" i="2"/>
  <c r="Y26" i="2"/>
  <c r="AG26" i="2"/>
  <c r="Q217" i="2"/>
  <c r="AC26" i="2"/>
  <c r="L217" i="2"/>
  <c r="K217" i="2"/>
  <c r="N26" i="2"/>
  <c r="AB26" i="2"/>
  <c r="K26" i="2"/>
  <c r="G217" i="2"/>
  <c r="E65" i="2"/>
  <c r="P217" i="2"/>
  <c r="X217" i="2"/>
  <c r="H26" i="2"/>
  <c r="J26" i="2"/>
  <c r="AF217" i="2"/>
  <c r="R217" i="2"/>
  <c r="AA217" i="2"/>
  <c r="AE26" i="2"/>
  <c r="O217" i="2"/>
  <c r="R26" i="2"/>
  <c r="W26" i="2"/>
  <c r="J217" i="2"/>
  <c r="H217" i="2"/>
  <c r="O26" i="2"/>
  <c r="V217" i="2"/>
  <c r="P26" i="2"/>
  <c r="AE217" i="2"/>
  <c r="Y217" i="2"/>
  <c r="AC217" i="2"/>
  <c r="AD217" i="2"/>
  <c r="I217" i="2"/>
  <c r="Z26" i="2"/>
  <c r="K283" i="1"/>
  <c r="K285" i="1" s="1"/>
  <c r="K129" i="1" s="1"/>
  <c r="K133" i="1" s="1"/>
  <c r="K144" i="1" s="1"/>
  <c r="E90" i="2" s="1"/>
  <c r="E531" i="2" s="1"/>
  <c r="AI531" i="2" s="1"/>
  <c r="I26" i="2"/>
  <c r="N217" i="2"/>
  <c r="L26" i="2"/>
  <c r="Q26" i="2"/>
  <c r="S217" i="2"/>
  <c r="X26" i="2"/>
  <c r="W217" i="2"/>
  <c r="T217" i="2"/>
  <c r="Z217" i="2"/>
  <c r="G26" i="2"/>
  <c r="V26" i="2"/>
  <c r="R461" i="1"/>
  <c r="R463" i="1" s="1"/>
  <c r="R465" i="1" s="1"/>
  <c r="E177" i="2" s="1"/>
  <c r="R283" i="1"/>
  <c r="R285" i="1" s="1"/>
  <c r="R129" i="1" s="1"/>
  <c r="R133" i="1" s="1"/>
  <c r="R144" i="1" s="1"/>
  <c r="E101" i="2" s="1"/>
  <c r="R328" i="1"/>
  <c r="U461" i="1"/>
  <c r="U463" i="1" s="1"/>
  <c r="U465" i="1" s="1"/>
  <c r="E182" i="2" s="1"/>
  <c r="K328" i="1"/>
  <c r="U328" i="1"/>
  <c r="AI229" i="2"/>
  <c r="AA461" i="1"/>
  <c r="AA463" i="1" s="1"/>
  <c r="AA465" i="1" s="1"/>
  <c r="E191" i="2" s="1"/>
  <c r="M461" i="1"/>
  <c r="M463" i="1" s="1"/>
  <c r="M465" i="1" s="1"/>
  <c r="E169" i="2" s="1"/>
  <c r="H283" i="1"/>
  <c r="H285" i="1" s="1"/>
  <c r="E123" i="2" s="1"/>
  <c r="E267" i="2"/>
  <c r="AA328" i="1"/>
  <c r="U283" i="1"/>
  <c r="U285" i="1" s="1"/>
  <c r="E144" i="2" s="1"/>
  <c r="AA283" i="1"/>
  <c r="AA285" i="1" s="1"/>
  <c r="I101" i="1"/>
  <c r="I104" i="1" s="1"/>
  <c r="M283" i="1"/>
  <c r="M285" i="1" s="1"/>
  <c r="Y283" i="1"/>
  <c r="Y285" i="1" s="1"/>
  <c r="Y287" i="1" s="1"/>
  <c r="E237" i="2"/>
  <c r="H328" i="1"/>
  <c r="H461" i="1"/>
  <c r="H463" i="1" s="1"/>
  <c r="H465" i="1" s="1"/>
  <c r="E161" i="2" s="1"/>
  <c r="E245" i="2"/>
  <c r="AC245" i="2" s="1"/>
  <c r="M328" i="1"/>
  <c r="W278" i="1"/>
  <c r="W451" i="1"/>
  <c r="W314" i="1"/>
  <c r="W457" i="1"/>
  <c r="W281" i="1"/>
  <c r="W272" i="1"/>
  <c r="W320" i="1"/>
  <c r="W318" i="1"/>
  <c r="W324" i="1"/>
  <c r="W322" i="1"/>
  <c r="E71" i="2"/>
  <c r="W326" i="1"/>
  <c r="W316" i="1"/>
  <c r="E299" i="2" s="1"/>
  <c r="F338" i="2"/>
  <c r="AH316" i="2"/>
  <c r="AI316" i="2" s="1"/>
  <c r="E264" i="2"/>
  <c r="Y328" i="1"/>
  <c r="F217" i="2"/>
  <c r="E254" i="2"/>
  <c r="S328" i="1"/>
  <c r="H483" i="2"/>
  <c r="H480" i="2"/>
  <c r="H481" i="2" s="1"/>
  <c r="E201" i="2"/>
  <c r="J441" i="2"/>
  <c r="AH441" i="2" s="1"/>
  <c r="J25" i="15"/>
  <c r="E441" i="2" s="1"/>
  <c r="I483" i="2"/>
  <c r="I480" i="2"/>
  <c r="I481" i="2" s="1"/>
  <c r="F459" i="2"/>
  <c r="S461" i="1"/>
  <c r="S463" i="1" s="1"/>
  <c r="S465" i="1" s="1"/>
  <c r="E178" i="2" s="1"/>
  <c r="F483" i="2"/>
  <c r="F486" i="2" s="1"/>
  <c r="L203" i="15"/>
  <c r="L205" i="15" s="1"/>
  <c r="F551" i="2"/>
  <c r="F574" i="2" s="1"/>
  <c r="J205" i="15"/>
  <c r="S283" i="1"/>
  <c r="S285" i="1" s="1"/>
  <c r="H486" i="2" l="1"/>
  <c r="I486" i="2"/>
  <c r="I487" i="2" s="1"/>
  <c r="I488" i="2" s="1"/>
  <c r="K169" i="2"/>
  <c r="M65" i="2"/>
  <c r="K467" i="2"/>
  <c r="AE467" i="2"/>
  <c r="T467" i="2"/>
  <c r="Y467" i="2"/>
  <c r="K245" i="2"/>
  <c r="AB467" i="2"/>
  <c r="R467" i="2"/>
  <c r="I467" i="2"/>
  <c r="G467" i="2"/>
  <c r="R245" i="2"/>
  <c r="AH291" i="2"/>
  <c r="AI291" i="2" s="1"/>
  <c r="M293" i="2"/>
  <c r="N299" i="2"/>
  <c r="K299" i="2"/>
  <c r="O299" i="2"/>
  <c r="P299" i="2"/>
  <c r="Q299" i="2"/>
  <c r="M299" i="2"/>
  <c r="AF299" i="2"/>
  <c r="AB299" i="2"/>
  <c r="S299" i="2"/>
  <c r="G299" i="2"/>
  <c r="W299" i="2"/>
  <c r="I299" i="2"/>
  <c r="AC299" i="2"/>
  <c r="U299" i="2"/>
  <c r="L299" i="2"/>
  <c r="T299" i="2"/>
  <c r="X299" i="2"/>
  <c r="H299" i="2"/>
  <c r="V299" i="2"/>
  <c r="F299" i="2"/>
  <c r="AA299" i="2"/>
  <c r="AG299" i="2"/>
  <c r="AD299" i="2"/>
  <c r="AE299" i="2"/>
  <c r="Y299" i="2"/>
  <c r="Z299" i="2"/>
  <c r="J299" i="2"/>
  <c r="R299" i="2"/>
  <c r="AG144" i="2"/>
  <c r="K144" i="2"/>
  <c r="I144" i="2"/>
  <c r="X144" i="2"/>
  <c r="AF144" i="2"/>
  <c r="H144" i="2"/>
  <c r="F144" i="2"/>
  <c r="R144" i="2"/>
  <c r="U144" i="2"/>
  <c r="O144" i="2"/>
  <c r="W144" i="2"/>
  <c r="N144" i="2"/>
  <c r="P144" i="2"/>
  <c r="AB144" i="2"/>
  <c r="T144" i="2"/>
  <c r="AE144" i="2"/>
  <c r="AC144" i="2"/>
  <c r="L144" i="2"/>
  <c r="V144" i="2"/>
  <c r="J144" i="2"/>
  <c r="S144" i="2"/>
  <c r="G144" i="2"/>
  <c r="AA144" i="2"/>
  <c r="Z144" i="2"/>
  <c r="M144" i="2"/>
  <c r="AD144" i="2"/>
  <c r="Q144" i="2"/>
  <c r="Y144" i="2"/>
  <c r="AH74" i="2"/>
  <c r="AI74" i="2" s="1"/>
  <c r="W467" i="2"/>
  <c r="U467" i="2"/>
  <c r="AH292" i="2"/>
  <c r="AI292" i="2" s="1"/>
  <c r="S245" i="2"/>
  <c r="I254" i="2"/>
  <c r="I255" i="2" s="1"/>
  <c r="O254" i="2"/>
  <c r="O255" i="2" s="1"/>
  <c r="Z254" i="2"/>
  <c r="Z255" i="2" s="1"/>
  <c r="U254" i="2"/>
  <c r="U255" i="2" s="1"/>
  <c r="S254" i="2"/>
  <c r="S255" i="2" s="1"/>
  <c r="F254" i="2"/>
  <c r="AB254" i="2"/>
  <c r="AB255" i="2" s="1"/>
  <c r="J254" i="2"/>
  <c r="AE254" i="2"/>
  <c r="AE255" i="2" s="1"/>
  <c r="AF254" i="2"/>
  <c r="AF255" i="2" s="1"/>
  <c r="AD254" i="2"/>
  <c r="AD255" i="2" s="1"/>
  <c r="Q254" i="2"/>
  <c r="Q255" i="2" s="1"/>
  <c r="N254" i="2"/>
  <c r="N255" i="2" s="1"/>
  <c r="T254" i="2"/>
  <c r="T255" i="2" s="1"/>
  <c r="X254" i="2"/>
  <c r="X255" i="2" s="1"/>
  <c r="W254" i="2"/>
  <c r="W255" i="2" s="1"/>
  <c r="H254" i="2"/>
  <c r="H255" i="2" s="1"/>
  <c r="P254" i="2"/>
  <c r="P255" i="2" s="1"/>
  <c r="V254" i="2"/>
  <c r="V255" i="2" s="1"/>
  <c r="Y254" i="2"/>
  <c r="Y255" i="2" s="1"/>
  <c r="AG254" i="2"/>
  <c r="AG255" i="2" s="1"/>
  <c r="AC254" i="2"/>
  <c r="AC255" i="2" s="1"/>
  <c r="L254" i="2"/>
  <c r="L255" i="2" s="1"/>
  <c r="K254" i="2"/>
  <c r="K255" i="2" s="1"/>
  <c r="R254" i="2"/>
  <c r="R255" i="2" s="1"/>
  <c r="AA254" i="2"/>
  <c r="AA255" i="2" s="1"/>
  <c r="G254" i="2"/>
  <c r="G255" i="2" s="1"/>
  <c r="M254" i="2"/>
  <c r="M255" i="2" s="1"/>
  <c r="AC182" i="2"/>
  <c r="L182" i="2"/>
  <c r="AD182" i="2"/>
  <c r="N182" i="2"/>
  <c r="U182" i="2"/>
  <c r="Z182" i="2"/>
  <c r="K182" i="2"/>
  <c r="H182" i="2"/>
  <c r="M182" i="2"/>
  <c r="AF182" i="2"/>
  <c r="Q182" i="2"/>
  <c r="O182" i="2"/>
  <c r="AE182" i="2"/>
  <c r="W182" i="2"/>
  <c r="R182" i="2"/>
  <c r="T182" i="2"/>
  <c r="S182" i="2"/>
  <c r="V182" i="2"/>
  <c r="F182" i="2"/>
  <c r="J182" i="2"/>
  <c r="I182" i="2"/>
  <c r="AB182" i="2"/>
  <c r="P182" i="2"/>
  <c r="Y182" i="2"/>
  <c r="X182" i="2"/>
  <c r="AG182" i="2"/>
  <c r="G182" i="2"/>
  <c r="AA182" i="2"/>
  <c r="G169" i="2"/>
  <c r="AH465" i="2"/>
  <c r="AI465" i="2" s="1"/>
  <c r="N467" i="2"/>
  <c r="AD467" i="2"/>
  <c r="AH63" i="2"/>
  <c r="AI63" i="2" s="1"/>
  <c r="AH302" i="2"/>
  <c r="AI302" i="2" s="1"/>
  <c r="Z101" i="2"/>
  <c r="AG101" i="2"/>
  <c r="AF101" i="2"/>
  <c r="Y101" i="2"/>
  <c r="AA101" i="2"/>
  <c r="AC101" i="2"/>
  <c r="AE101" i="2"/>
  <c r="AD101" i="2"/>
  <c r="AB101" i="2"/>
  <c r="G101" i="2"/>
  <c r="J101" i="2"/>
  <c r="I101" i="2"/>
  <c r="F101" i="2"/>
  <c r="H101" i="2"/>
  <c r="U101" i="2"/>
  <c r="S101" i="2"/>
  <c r="W101" i="2"/>
  <c r="X101" i="2"/>
  <c r="V101" i="2"/>
  <c r="R101" i="2"/>
  <c r="P101" i="2"/>
  <c r="K101" i="2"/>
  <c r="O101" i="2"/>
  <c r="L101" i="2"/>
  <c r="M101" i="2"/>
  <c r="N101" i="2"/>
  <c r="T101" i="2"/>
  <c r="Q101" i="2"/>
  <c r="H467" i="2"/>
  <c r="AC472" i="2"/>
  <c r="AC473" i="2" s="1"/>
  <c r="K472" i="2"/>
  <c r="K473" i="2" s="1"/>
  <c r="AB472" i="2"/>
  <c r="AB473" i="2" s="1"/>
  <c r="J472" i="2"/>
  <c r="J473" i="2" s="1"/>
  <c r="AA472" i="2"/>
  <c r="AA473" i="2" s="1"/>
  <c r="I472" i="2"/>
  <c r="I473" i="2" s="1"/>
  <c r="Z472" i="2"/>
  <c r="Z473" i="2" s="1"/>
  <c r="H472" i="2"/>
  <c r="H473" i="2" s="1"/>
  <c r="AE472" i="2"/>
  <c r="AG472" i="2"/>
  <c r="AG473" i="2" s="1"/>
  <c r="Y472" i="2"/>
  <c r="Y473" i="2" s="1"/>
  <c r="G472" i="2"/>
  <c r="G473" i="2" s="1"/>
  <c r="L472" i="2"/>
  <c r="L473" i="2" s="1"/>
  <c r="AF472" i="2"/>
  <c r="AF473" i="2" s="1"/>
  <c r="X472" i="2"/>
  <c r="X473" i="2" s="1"/>
  <c r="F472" i="2"/>
  <c r="M472" i="2"/>
  <c r="AD472" i="2"/>
  <c r="AD473" i="2" s="1"/>
  <c r="Q472" i="2"/>
  <c r="Q473" i="2" s="1"/>
  <c r="W472" i="2"/>
  <c r="W473" i="2" s="1"/>
  <c r="P472" i="2"/>
  <c r="P473" i="2" s="1"/>
  <c r="O472" i="2"/>
  <c r="O473" i="2" s="1"/>
  <c r="S472" i="2"/>
  <c r="S473" i="2" s="1"/>
  <c r="U472" i="2"/>
  <c r="U473" i="2" s="1"/>
  <c r="V472" i="2"/>
  <c r="V473" i="2" s="1"/>
  <c r="T472" i="2"/>
  <c r="T473" i="2" s="1"/>
  <c r="R472" i="2"/>
  <c r="R473" i="2" s="1"/>
  <c r="N472" i="2"/>
  <c r="N473" i="2" s="1"/>
  <c r="AH64" i="2"/>
  <c r="AI64" i="2" s="1"/>
  <c r="AC267" i="2"/>
  <c r="AE267" i="2"/>
  <c r="AD267" i="2"/>
  <c r="AF267" i="2"/>
  <c r="X267" i="2"/>
  <c r="O267" i="2"/>
  <c r="S267" i="2"/>
  <c r="I267" i="2"/>
  <c r="N267" i="2"/>
  <c r="W267" i="2"/>
  <c r="H267" i="2"/>
  <c r="U267" i="2"/>
  <c r="P267" i="2"/>
  <c r="L267" i="2"/>
  <c r="J267" i="2"/>
  <c r="Q267" i="2"/>
  <c r="V267" i="2"/>
  <c r="Y267" i="2"/>
  <c r="AA267" i="2"/>
  <c r="F267" i="2"/>
  <c r="K267" i="2"/>
  <c r="T267" i="2"/>
  <c r="R267" i="2"/>
  <c r="AB267" i="2"/>
  <c r="M267" i="2"/>
  <c r="AG267" i="2"/>
  <c r="G267" i="2"/>
  <c r="Z267" i="2"/>
  <c r="X467" i="2"/>
  <c r="O264" i="2"/>
  <c r="P264" i="2"/>
  <c r="Q264" i="2"/>
  <c r="Y264" i="2"/>
  <c r="Z264" i="2"/>
  <c r="AA264" i="2"/>
  <c r="AF264" i="2"/>
  <c r="AD264" i="2"/>
  <c r="AC264" i="2"/>
  <c r="AE264" i="2"/>
  <c r="U264" i="2"/>
  <c r="AB264" i="2"/>
  <c r="AG264" i="2"/>
  <c r="V264" i="2"/>
  <c r="R264" i="2"/>
  <c r="X264" i="2"/>
  <c r="K264" i="2"/>
  <c r="N264" i="2"/>
  <c r="T264" i="2"/>
  <c r="M264" i="2"/>
  <c r="W264" i="2"/>
  <c r="F264" i="2"/>
  <c r="S264" i="2"/>
  <c r="G264" i="2"/>
  <c r="J264" i="2"/>
  <c r="L264" i="2"/>
  <c r="I264" i="2"/>
  <c r="H264" i="2"/>
  <c r="AF169" i="2"/>
  <c r="S169" i="2"/>
  <c r="U169" i="2"/>
  <c r="AA169" i="2"/>
  <c r="AE169" i="2"/>
  <c r="X169" i="2"/>
  <c r="L169" i="2"/>
  <c r="N169" i="2"/>
  <c r="T169" i="2"/>
  <c r="W169" i="2"/>
  <c r="M169" i="2"/>
  <c r="Z169" i="2"/>
  <c r="AB169" i="2"/>
  <c r="AD169" i="2"/>
  <c r="V169" i="2"/>
  <c r="Y169" i="2"/>
  <c r="AG169" i="2"/>
  <c r="S177" i="2"/>
  <c r="U177" i="2"/>
  <c r="Y177" i="2"/>
  <c r="W177" i="2"/>
  <c r="I177" i="2"/>
  <c r="X177" i="2"/>
  <c r="G177" i="2"/>
  <c r="R177" i="2"/>
  <c r="P177" i="2"/>
  <c r="N177" i="2"/>
  <c r="J177" i="2"/>
  <c r="F177" i="2"/>
  <c r="K177" i="2"/>
  <c r="AC177" i="2"/>
  <c r="AA177" i="2"/>
  <c r="Z177" i="2"/>
  <c r="AD177" i="2"/>
  <c r="L177" i="2"/>
  <c r="AE177" i="2"/>
  <c r="V177" i="2"/>
  <c r="T177" i="2"/>
  <c r="M177" i="2"/>
  <c r="M179" i="2" s="1"/>
  <c r="AF177" i="2"/>
  <c r="H177" i="2"/>
  <c r="Q177" i="2"/>
  <c r="O177" i="2"/>
  <c r="AG177" i="2"/>
  <c r="AB177" i="2"/>
  <c r="V467" i="2"/>
  <c r="AA467" i="2"/>
  <c r="S467" i="2"/>
  <c r="AH77" i="2"/>
  <c r="AI77" i="2" s="1"/>
  <c r="AH258" i="2"/>
  <c r="AI258" i="2" s="1"/>
  <c r="Z467" i="2"/>
  <c r="H178" i="2"/>
  <c r="L178" i="2"/>
  <c r="I178" i="2"/>
  <c r="G178" i="2"/>
  <c r="Q178" i="2"/>
  <c r="N178" i="2"/>
  <c r="S178" i="2"/>
  <c r="Y178" i="2"/>
  <c r="AE178" i="2"/>
  <c r="F178" i="2"/>
  <c r="AB178" i="2"/>
  <c r="M178" i="2"/>
  <c r="X178" i="2"/>
  <c r="AC178" i="2"/>
  <c r="K178" i="2"/>
  <c r="AD178" i="2"/>
  <c r="T178" i="2"/>
  <c r="Z178" i="2"/>
  <c r="J178" i="2"/>
  <c r="AF178" i="2"/>
  <c r="O178" i="2"/>
  <c r="P178" i="2"/>
  <c r="AG178" i="2"/>
  <c r="R178" i="2"/>
  <c r="AA178" i="2"/>
  <c r="W178" i="2"/>
  <c r="U178" i="2"/>
  <c r="V178" i="2"/>
  <c r="G245" i="2"/>
  <c r="AG245" i="2"/>
  <c r="W245" i="2"/>
  <c r="AE245" i="2"/>
  <c r="Z245" i="2"/>
  <c r="M245" i="2"/>
  <c r="AF245" i="2"/>
  <c r="AB245" i="2"/>
  <c r="U245" i="2"/>
  <c r="N245" i="2"/>
  <c r="AA245" i="2"/>
  <c r="X245" i="2"/>
  <c r="AD245" i="2"/>
  <c r="Y245" i="2"/>
  <c r="V245" i="2"/>
  <c r="L245" i="2"/>
  <c r="W191" i="2"/>
  <c r="I191" i="2"/>
  <c r="H191" i="2"/>
  <c r="J191" i="2"/>
  <c r="M191" i="2"/>
  <c r="O191" i="2"/>
  <c r="AG191" i="2"/>
  <c r="AF191" i="2"/>
  <c r="G191" i="2"/>
  <c r="AC191" i="2"/>
  <c r="Q191" i="2"/>
  <c r="Y191" i="2"/>
  <c r="K191" i="2"/>
  <c r="Z191" i="2"/>
  <c r="S191" i="2"/>
  <c r="AD191" i="2"/>
  <c r="R191" i="2"/>
  <c r="U191" i="2"/>
  <c r="AE191" i="2"/>
  <c r="N191" i="2"/>
  <c r="V191" i="2"/>
  <c r="AA191" i="2"/>
  <c r="L191" i="2"/>
  <c r="P191" i="2"/>
  <c r="F191" i="2"/>
  <c r="T191" i="2"/>
  <c r="AB191" i="2"/>
  <c r="X191" i="2"/>
  <c r="J467" i="2"/>
  <c r="L467" i="2"/>
  <c r="AF467" i="2"/>
  <c r="M467" i="2"/>
  <c r="AH305" i="2"/>
  <c r="AI305" i="2" s="1"/>
  <c r="AH68" i="2"/>
  <c r="AI68" i="2" s="1"/>
  <c r="AC169" i="2"/>
  <c r="N71" i="2"/>
  <c r="K71" i="2"/>
  <c r="Q71" i="2"/>
  <c r="O71" i="2"/>
  <c r="P71" i="2"/>
  <c r="M71" i="2"/>
  <c r="T71" i="2"/>
  <c r="AG71" i="2"/>
  <c r="AA71" i="2"/>
  <c r="W71" i="2"/>
  <c r="Y71" i="2"/>
  <c r="S71" i="2"/>
  <c r="V71" i="2"/>
  <c r="U71" i="2"/>
  <c r="AE71" i="2"/>
  <c r="I71" i="2"/>
  <c r="AD71" i="2"/>
  <c r="H71" i="2"/>
  <c r="Z71" i="2"/>
  <c r="L71" i="2"/>
  <c r="X71" i="2"/>
  <c r="AB71" i="2"/>
  <c r="AF71" i="2"/>
  <c r="AC71" i="2"/>
  <c r="G71" i="2"/>
  <c r="J71" i="2"/>
  <c r="F71" i="2"/>
  <c r="R71" i="2"/>
  <c r="AG467" i="2"/>
  <c r="AC467" i="2"/>
  <c r="O188" i="2"/>
  <c r="P188" i="2"/>
  <c r="Q188" i="2"/>
  <c r="Y188" i="2"/>
  <c r="Z188" i="2"/>
  <c r="AF188" i="2"/>
  <c r="AA188" i="2"/>
  <c r="U188" i="2"/>
  <c r="AD188" i="2"/>
  <c r="AC188" i="2"/>
  <c r="AE188" i="2"/>
  <c r="X188" i="2"/>
  <c r="V188" i="2"/>
  <c r="R188" i="2"/>
  <c r="AB188" i="2"/>
  <c r="AG188" i="2"/>
  <c r="N188" i="2"/>
  <c r="W188" i="2"/>
  <c r="S188" i="2"/>
  <c r="F188" i="2"/>
  <c r="M188" i="2"/>
  <c r="K188" i="2"/>
  <c r="G188" i="2"/>
  <c r="T188" i="2"/>
  <c r="H188" i="2"/>
  <c r="J188" i="2"/>
  <c r="L188" i="2"/>
  <c r="I188" i="2"/>
  <c r="AH296" i="2"/>
  <c r="AI296" i="2" s="1"/>
  <c r="AH253" i="2"/>
  <c r="AI253" i="2" s="1"/>
  <c r="T245" i="2"/>
  <c r="R169" i="2"/>
  <c r="Q245" i="2"/>
  <c r="P169" i="2"/>
  <c r="R283" i="2"/>
  <c r="O283" i="2"/>
  <c r="O245" i="2"/>
  <c r="P283" i="2"/>
  <c r="O169" i="2"/>
  <c r="P245" i="2"/>
  <c r="Q283" i="2"/>
  <c r="Q169" i="2"/>
  <c r="Q467" i="2"/>
  <c r="P467" i="2"/>
  <c r="O467" i="2"/>
  <c r="I207" i="2"/>
  <c r="H207" i="2"/>
  <c r="H16" i="2"/>
  <c r="H55" i="2"/>
  <c r="I16" i="2"/>
  <c r="I55" i="2"/>
  <c r="K65" i="2"/>
  <c r="M473" i="2"/>
  <c r="L293" i="2"/>
  <c r="P233" i="1"/>
  <c r="P264" i="1" s="1"/>
  <c r="P275" i="1" s="1"/>
  <c r="P237" i="1"/>
  <c r="E511" i="2"/>
  <c r="E520" i="2" s="1"/>
  <c r="J35" i="15"/>
  <c r="J34" i="15"/>
  <c r="L35" i="15"/>
  <c r="L34" i="15"/>
  <c r="P442" i="1"/>
  <c r="P273" i="1" s="1"/>
  <c r="P120" i="1"/>
  <c r="P121" i="1"/>
  <c r="P308" i="1"/>
  <c r="P312" i="1" s="1"/>
  <c r="E211" i="2" s="1"/>
  <c r="P280" i="1"/>
  <c r="P122" i="1"/>
  <c r="P82" i="1"/>
  <c r="P98" i="1" s="1"/>
  <c r="P279" i="1"/>
  <c r="P458" i="1"/>
  <c r="P459" i="1"/>
  <c r="P88" i="1"/>
  <c r="P91" i="1" s="1"/>
  <c r="P99" i="1" s="1"/>
  <c r="E473" i="2"/>
  <c r="AE473" i="2"/>
  <c r="AB12" i="1"/>
  <c r="AC12" i="1" s="1"/>
  <c r="O82" i="1"/>
  <c r="O235" i="1"/>
  <c r="AB235" i="1" s="1"/>
  <c r="AC235" i="1" s="1"/>
  <c r="AB231" i="1"/>
  <c r="AC231" i="1" s="1"/>
  <c r="O237" i="1"/>
  <c r="O233" i="1"/>
  <c r="F466" i="2"/>
  <c r="F467" i="2" s="1"/>
  <c r="O414" i="1"/>
  <c r="AB412" i="1"/>
  <c r="AC412" i="1" s="1"/>
  <c r="O121" i="1"/>
  <c r="O280" i="1"/>
  <c r="O458" i="1"/>
  <c r="AB75" i="1"/>
  <c r="AC75" i="1" s="1"/>
  <c r="O279" i="1"/>
  <c r="O307" i="1"/>
  <c r="O122" i="1"/>
  <c r="O88" i="1"/>
  <c r="O459" i="1"/>
  <c r="O308" i="1"/>
  <c r="O120" i="1"/>
  <c r="N293" i="2"/>
  <c r="AE293" i="2"/>
  <c r="S293" i="2"/>
  <c r="H293" i="2"/>
  <c r="T293" i="2"/>
  <c r="AI441" i="2"/>
  <c r="AC293" i="2"/>
  <c r="I293" i="2"/>
  <c r="V293" i="2"/>
  <c r="AB293" i="2"/>
  <c r="W293" i="2"/>
  <c r="F293" i="2"/>
  <c r="J293" i="2"/>
  <c r="AA293" i="2"/>
  <c r="Y293" i="2"/>
  <c r="K330" i="1"/>
  <c r="G65" i="2"/>
  <c r="X65" i="2"/>
  <c r="AA65" i="2"/>
  <c r="K287" i="1"/>
  <c r="E128" i="2"/>
  <c r="E513" i="2" s="1"/>
  <c r="E522" i="2" s="1"/>
  <c r="E139" i="2"/>
  <c r="AE65" i="2"/>
  <c r="AC65" i="2"/>
  <c r="AG65" i="2"/>
  <c r="AG293" i="2"/>
  <c r="AI90" i="2"/>
  <c r="Z293" i="2"/>
  <c r="K293" i="2"/>
  <c r="O293" i="2"/>
  <c r="I65" i="2"/>
  <c r="N65" i="2"/>
  <c r="P293" i="2"/>
  <c r="Q293" i="2"/>
  <c r="X293" i="2"/>
  <c r="G293" i="2"/>
  <c r="V65" i="2"/>
  <c r="AF65" i="2"/>
  <c r="W65" i="2"/>
  <c r="U65" i="2"/>
  <c r="Q65" i="2"/>
  <c r="AH217" i="2"/>
  <c r="AI217" i="2" s="1"/>
  <c r="R293" i="2"/>
  <c r="AB65" i="2"/>
  <c r="AH26" i="2"/>
  <c r="AI26" i="2" s="1"/>
  <c r="AF293" i="2"/>
  <c r="AD293" i="2"/>
  <c r="U293" i="2"/>
  <c r="J65" i="2"/>
  <c r="Y65" i="2"/>
  <c r="Z65" i="2"/>
  <c r="AD65" i="2"/>
  <c r="P65" i="2"/>
  <c r="O65" i="2"/>
  <c r="T65" i="2"/>
  <c r="H65" i="2"/>
  <c r="R65" i="2"/>
  <c r="L65" i="2"/>
  <c r="S65" i="2"/>
  <c r="R330" i="1"/>
  <c r="R287" i="1"/>
  <c r="H330" i="1"/>
  <c r="U287" i="1"/>
  <c r="W461" i="1"/>
  <c r="W463" i="1" s="1"/>
  <c r="W465" i="1" s="1"/>
  <c r="E185" i="2" s="1"/>
  <c r="H287" i="1"/>
  <c r="U330" i="1"/>
  <c r="H129" i="1"/>
  <c r="H133" i="1" s="1"/>
  <c r="H144" i="1" s="1"/>
  <c r="E85" i="2" s="1"/>
  <c r="E529" i="2" s="1"/>
  <c r="AA287" i="1"/>
  <c r="E153" i="2"/>
  <c r="AA129" i="1"/>
  <c r="AA133" i="1" s="1"/>
  <c r="AA144" i="1" s="1"/>
  <c r="E115" i="2" s="1"/>
  <c r="U129" i="1"/>
  <c r="U133" i="1" s="1"/>
  <c r="U144" i="1" s="1"/>
  <c r="E106" i="2" s="1"/>
  <c r="AA330" i="1"/>
  <c r="E150" i="2"/>
  <c r="Y330" i="1"/>
  <c r="Y129" i="1"/>
  <c r="Y133" i="1" s="1"/>
  <c r="Y144" i="1" s="1"/>
  <c r="E112" i="2" s="1"/>
  <c r="E496" i="2"/>
  <c r="E498" i="2" s="1"/>
  <c r="E131" i="2"/>
  <c r="Q131" i="2" s="1"/>
  <c r="M129" i="1"/>
  <c r="M133" i="1" s="1"/>
  <c r="M144" i="1" s="1"/>
  <c r="E93" i="2" s="1"/>
  <c r="H93" i="2" s="1"/>
  <c r="M287" i="1"/>
  <c r="M330" i="1"/>
  <c r="F480" i="2"/>
  <c r="F481" i="2" s="1"/>
  <c r="J255" i="2"/>
  <c r="E255" i="2"/>
  <c r="I124" i="1"/>
  <c r="W283" i="1"/>
  <c r="W285" i="1" s="1"/>
  <c r="E261" i="2"/>
  <c r="W328" i="1"/>
  <c r="AH338" i="2"/>
  <c r="S129" i="1"/>
  <c r="S133" i="1" s="1"/>
  <c r="S144" i="1" s="1"/>
  <c r="E102" i="2" s="1"/>
  <c r="E140" i="2"/>
  <c r="S287" i="1"/>
  <c r="S330" i="1"/>
  <c r="F599" i="2"/>
  <c r="F625" i="2"/>
  <c r="M203" i="15"/>
  <c r="E179" i="2"/>
  <c r="F65" i="2"/>
  <c r="I245" i="2" l="1"/>
  <c r="I283" i="2"/>
  <c r="I169" i="2"/>
  <c r="H487" i="2"/>
  <c r="H488" i="2" s="1"/>
  <c r="G474" i="2"/>
  <c r="U474" i="2"/>
  <c r="J474" i="2"/>
  <c r="W474" i="2"/>
  <c r="AB474" i="2"/>
  <c r="N474" i="2"/>
  <c r="Y474" i="2"/>
  <c r="T474" i="2"/>
  <c r="AE474" i="2"/>
  <c r="S474" i="2"/>
  <c r="AH191" i="2"/>
  <c r="AI191" i="2" s="1"/>
  <c r="AG474" i="2"/>
  <c r="I474" i="2"/>
  <c r="AC474" i="2"/>
  <c r="R474" i="2"/>
  <c r="V474" i="2"/>
  <c r="AD474" i="2"/>
  <c r="H474" i="2"/>
  <c r="L474" i="2"/>
  <c r="K474" i="2"/>
  <c r="Z474" i="2"/>
  <c r="H131" i="2"/>
  <c r="R131" i="2"/>
  <c r="K261" i="2"/>
  <c r="N261" i="2"/>
  <c r="Q261" i="2"/>
  <c r="P261" i="2"/>
  <c r="O261" i="2"/>
  <c r="M261" i="2"/>
  <c r="AF261" i="2"/>
  <c r="AB261" i="2"/>
  <c r="S261" i="2"/>
  <c r="G261" i="2"/>
  <c r="W261" i="2"/>
  <c r="U261" i="2"/>
  <c r="L261" i="2"/>
  <c r="T261" i="2"/>
  <c r="X261" i="2"/>
  <c r="H261" i="2"/>
  <c r="F261" i="2"/>
  <c r="AA261" i="2"/>
  <c r="AG261" i="2"/>
  <c r="AD261" i="2"/>
  <c r="AE261" i="2"/>
  <c r="Y261" i="2"/>
  <c r="Z261" i="2"/>
  <c r="J261" i="2"/>
  <c r="I261" i="2"/>
  <c r="AC261" i="2"/>
  <c r="V261" i="2"/>
  <c r="R261" i="2"/>
  <c r="Q150" i="2"/>
  <c r="O150" i="2"/>
  <c r="P150" i="2"/>
  <c r="Y150" i="2"/>
  <c r="Z150" i="2"/>
  <c r="AA150" i="2"/>
  <c r="AF150" i="2"/>
  <c r="AC150" i="2"/>
  <c r="AE150" i="2"/>
  <c r="U150" i="2"/>
  <c r="AD150" i="2"/>
  <c r="V150" i="2"/>
  <c r="R150" i="2"/>
  <c r="AB150" i="2"/>
  <c r="AG150" i="2"/>
  <c r="X150" i="2"/>
  <c r="T150" i="2"/>
  <c r="S150" i="2"/>
  <c r="W150" i="2"/>
  <c r="G150" i="2"/>
  <c r="K150" i="2"/>
  <c r="N150" i="2"/>
  <c r="M150" i="2"/>
  <c r="F150" i="2"/>
  <c r="I150" i="2"/>
  <c r="H150" i="2"/>
  <c r="J150" i="2"/>
  <c r="L150" i="2"/>
  <c r="I93" i="2"/>
  <c r="AH71" i="2"/>
  <c r="AH472" i="2"/>
  <c r="AI472" i="2" s="1"/>
  <c r="AH178" i="2"/>
  <c r="AI178" i="2" s="1"/>
  <c r="AH177" i="2"/>
  <c r="AI177" i="2" s="1"/>
  <c r="AH182" i="2"/>
  <c r="L139" i="2"/>
  <c r="AC139" i="2"/>
  <c r="AA139" i="2"/>
  <c r="K139" i="2"/>
  <c r="Y139" i="2"/>
  <c r="AG139" i="2"/>
  <c r="AF139" i="2"/>
  <c r="F139" i="2"/>
  <c r="U139" i="2"/>
  <c r="S139" i="2"/>
  <c r="P139" i="2"/>
  <c r="W139" i="2"/>
  <c r="AB139" i="2"/>
  <c r="I139" i="2"/>
  <c r="H139" i="2"/>
  <c r="Q139" i="2"/>
  <c r="M139" i="2"/>
  <c r="V139" i="2"/>
  <c r="AE139" i="2"/>
  <c r="N139" i="2"/>
  <c r="T139" i="2"/>
  <c r="X139" i="2"/>
  <c r="J139" i="2"/>
  <c r="R139" i="2"/>
  <c r="Z139" i="2"/>
  <c r="O139" i="2"/>
  <c r="G139" i="2"/>
  <c r="AD139" i="2"/>
  <c r="AA474" i="2"/>
  <c r="X474" i="2"/>
  <c r="AF474" i="2"/>
  <c r="O131" i="2"/>
  <c r="AH188" i="2"/>
  <c r="AI188" i="2" s="1"/>
  <c r="AH254" i="2"/>
  <c r="AI254" i="2" s="1"/>
  <c r="P131" i="2"/>
  <c r="AH299" i="2"/>
  <c r="P112" i="2"/>
  <c r="O112" i="2"/>
  <c r="Q112" i="2"/>
  <c r="Y112" i="2"/>
  <c r="Z112" i="2"/>
  <c r="AA112" i="2"/>
  <c r="AF112" i="2"/>
  <c r="AE112" i="2"/>
  <c r="U112" i="2"/>
  <c r="AC112" i="2"/>
  <c r="AD112" i="2"/>
  <c r="AB112" i="2"/>
  <c r="R112" i="2"/>
  <c r="AG112" i="2"/>
  <c r="X112" i="2"/>
  <c r="V112" i="2"/>
  <c r="T112" i="2"/>
  <c r="S112" i="2"/>
  <c r="W112" i="2"/>
  <c r="G112" i="2"/>
  <c r="K112" i="2"/>
  <c r="N112" i="2"/>
  <c r="M112" i="2"/>
  <c r="F112" i="2"/>
  <c r="I112" i="2"/>
  <c r="H112" i="2"/>
  <c r="J112" i="2"/>
  <c r="L112" i="2"/>
  <c r="AF140" i="2"/>
  <c r="X140" i="2"/>
  <c r="AE140" i="2"/>
  <c r="P140" i="2"/>
  <c r="AA140" i="2"/>
  <c r="S140" i="2"/>
  <c r="O140" i="2"/>
  <c r="W140" i="2"/>
  <c r="Y140" i="2"/>
  <c r="AC140" i="2"/>
  <c r="R140" i="2"/>
  <c r="Z140" i="2"/>
  <c r="L140" i="2"/>
  <c r="T140" i="2"/>
  <c r="Q140" i="2"/>
  <c r="F140" i="2"/>
  <c r="N140" i="2"/>
  <c r="J140" i="2"/>
  <c r="I140" i="2"/>
  <c r="H140" i="2"/>
  <c r="G140" i="2"/>
  <c r="AD140" i="2"/>
  <c r="M140" i="2"/>
  <c r="AG140" i="2"/>
  <c r="K140" i="2"/>
  <c r="V140" i="2"/>
  <c r="U140" i="2"/>
  <c r="AB140" i="2"/>
  <c r="AH267" i="2"/>
  <c r="AI267" i="2" s="1"/>
  <c r="AH144" i="2"/>
  <c r="AI144" i="2" s="1"/>
  <c r="H153" i="2"/>
  <c r="J153" i="2"/>
  <c r="Q153" i="2"/>
  <c r="F153" i="2"/>
  <c r="R153" i="2"/>
  <c r="AD153" i="2"/>
  <c r="T153" i="2"/>
  <c r="AB153" i="2"/>
  <c r="G153" i="2"/>
  <c r="AC153" i="2"/>
  <c r="M153" i="2"/>
  <c r="AE153" i="2"/>
  <c r="AA153" i="2"/>
  <c r="AG153" i="2"/>
  <c r="N153" i="2"/>
  <c r="Z153" i="2"/>
  <c r="P153" i="2"/>
  <c r="I153" i="2"/>
  <c r="X153" i="2"/>
  <c r="V153" i="2"/>
  <c r="K153" i="2"/>
  <c r="S153" i="2"/>
  <c r="U153" i="2"/>
  <c r="W153" i="2"/>
  <c r="AF153" i="2"/>
  <c r="O153" i="2"/>
  <c r="Y153" i="2"/>
  <c r="L153" i="2"/>
  <c r="AA93" i="2"/>
  <c r="AC93" i="2"/>
  <c r="X93" i="2"/>
  <c r="U93" i="2"/>
  <c r="W93" i="2"/>
  <c r="AG93" i="2"/>
  <c r="Z93" i="2"/>
  <c r="Y93" i="2"/>
  <c r="AE93" i="2"/>
  <c r="M93" i="2"/>
  <c r="AF93" i="2"/>
  <c r="AB93" i="2"/>
  <c r="AD93" i="2"/>
  <c r="N93" i="2"/>
  <c r="V93" i="2"/>
  <c r="L93" i="2"/>
  <c r="T93" i="2"/>
  <c r="G93" i="2"/>
  <c r="S93" i="2"/>
  <c r="K93" i="2"/>
  <c r="O93" i="2"/>
  <c r="Q93" i="2"/>
  <c r="P93" i="2"/>
  <c r="R93" i="2"/>
  <c r="I131" i="2"/>
  <c r="AH264" i="2"/>
  <c r="AI264" i="2" s="1"/>
  <c r="AH101" i="2"/>
  <c r="AI101" i="2" s="1"/>
  <c r="N185" i="2"/>
  <c r="K185" i="2"/>
  <c r="M185" i="2"/>
  <c r="Q185" i="2"/>
  <c r="P185" i="2"/>
  <c r="O185" i="2"/>
  <c r="AA185" i="2"/>
  <c r="F185" i="2"/>
  <c r="S185" i="2"/>
  <c r="G185" i="2"/>
  <c r="H185" i="2"/>
  <c r="J185" i="2"/>
  <c r="L185" i="2"/>
  <c r="T185" i="2"/>
  <c r="X185" i="2"/>
  <c r="AB185" i="2"/>
  <c r="AG185" i="2"/>
  <c r="AD185" i="2"/>
  <c r="AF185" i="2"/>
  <c r="Y185" i="2"/>
  <c r="U185" i="2"/>
  <c r="AE185" i="2"/>
  <c r="I185" i="2"/>
  <c r="AC185" i="2"/>
  <c r="V185" i="2"/>
  <c r="W185" i="2"/>
  <c r="Z185" i="2"/>
  <c r="R185" i="2"/>
  <c r="AF102" i="2"/>
  <c r="AF103" i="2" s="1"/>
  <c r="AA102" i="2"/>
  <c r="H102" i="2"/>
  <c r="Y102" i="2"/>
  <c r="S102" i="2"/>
  <c r="S103" i="2" s="1"/>
  <c r="P102" i="2"/>
  <c r="P103" i="2" s="1"/>
  <c r="U102" i="2"/>
  <c r="T102" i="2"/>
  <c r="I102" i="2"/>
  <c r="AC102" i="2"/>
  <c r="AC103" i="2" s="1"/>
  <c r="Q102" i="2"/>
  <c r="F102" i="2"/>
  <c r="F103" i="2" s="1"/>
  <c r="J102" i="2"/>
  <c r="J103" i="2" s="1"/>
  <c r="M102" i="2"/>
  <c r="M103" i="2" s="1"/>
  <c r="Z102" i="2"/>
  <c r="Z103" i="2" s="1"/>
  <c r="W102" i="2"/>
  <c r="AG102" i="2"/>
  <c r="AG103" i="2" s="1"/>
  <c r="AE102" i="2"/>
  <c r="R102" i="2"/>
  <c r="R103" i="2" s="1"/>
  <c r="O102" i="2"/>
  <c r="N102" i="2"/>
  <c r="N103" i="2" s="1"/>
  <c r="L102" i="2"/>
  <c r="G102" i="2"/>
  <c r="G103" i="2" s="1"/>
  <c r="V102" i="2"/>
  <c r="V103" i="2" s="1"/>
  <c r="K102" i="2"/>
  <c r="AB102" i="2"/>
  <c r="AB103" i="2" s="1"/>
  <c r="X102" i="2"/>
  <c r="X103" i="2" s="1"/>
  <c r="AD102" i="2"/>
  <c r="AD103" i="2" s="1"/>
  <c r="U131" i="2"/>
  <c r="AA131" i="2"/>
  <c r="AE131" i="2"/>
  <c r="L131" i="2"/>
  <c r="N131" i="2"/>
  <c r="T131" i="2"/>
  <c r="W131" i="2"/>
  <c r="M131" i="2"/>
  <c r="AD131" i="2"/>
  <c r="AC131" i="2"/>
  <c r="Z131" i="2"/>
  <c r="AB131" i="2"/>
  <c r="G131" i="2"/>
  <c r="V131" i="2"/>
  <c r="Y131" i="2"/>
  <c r="AG131" i="2"/>
  <c r="X131" i="2"/>
  <c r="AF131" i="2"/>
  <c r="S131" i="2"/>
  <c r="K131" i="2"/>
  <c r="M106" i="2"/>
  <c r="W106" i="2"/>
  <c r="G106" i="2"/>
  <c r="L106" i="2"/>
  <c r="AE106" i="2"/>
  <c r="Z106" i="2"/>
  <c r="H106" i="2"/>
  <c r="U106" i="2"/>
  <c r="V106" i="2"/>
  <c r="J106" i="2"/>
  <c r="P106" i="2"/>
  <c r="R106" i="2"/>
  <c r="K106" i="2"/>
  <c r="AG106" i="2"/>
  <c r="Y106" i="2"/>
  <c r="AB106" i="2"/>
  <c r="AF106" i="2"/>
  <c r="N106" i="2"/>
  <c r="X106" i="2"/>
  <c r="I106" i="2"/>
  <c r="Q106" i="2"/>
  <c r="F106" i="2"/>
  <c r="AC106" i="2"/>
  <c r="O106" i="2"/>
  <c r="AD106" i="2"/>
  <c r="T106" i="2"/>
  <c r="AA106" i="2"/>
  <c r="S106" i="2"/>
  <c r="Y115" i="2"/>
  <c r="W115" i="2"/>
  <c r="K115" i="2"/>
  <c r="L115" i="2"/>
  <c r="U115" i="2"/>
  <c r="V115" i="2"/>
  <c r="F115" i="2"/>
  <c r="T115" i="2"/>
  <c r="R115" i="2"/>
  <c r="X115" i="2"/>
  <c r="Z115" i="2"/>
  <c r="O115" i="2"/>
  <c r="AB115" i="2"/>
  <c r="G115" i="2"/>
  <c r="AF115" i="2"/>
  <c r="P115" i="2"/>
  <c r="AC115" i="2"/>
  <c r="H115" i="2"/>
  <c r="J115" i="2"/>
  <c r="M115" i="2"/>
  <c r="I115" i="2"/>
  <c r="AE115" i="2"/>
  <c r="AA115" i="2"/>
  <c r="Q115" i="2"/>
  <c r="S115" i="2"/>
  <c r="AG115" i="2"/>
  <c r="N115" i="2"/>
  <c r="AD115" i="2"/>
  <c r="O211" i="2"/>
  <c r="Q211" i="2"/>
  <c r="P211" i="2"/>
  <c r="AB211" i="2"/>
  <c r="U211" i="2"/>
  <c r="N211" i="2"/>
  <c r="K211" i="2"/>
  <c r="AE211" i="2"/>
  <c r="V211" i="2"/>
  <c r="G211" i="2"/>
  <c r="AF211" i="2"/>
  <c r="W211" i="2"/>
  <c r="S211" i="2"/>
  <c r="AC211" i="2"/>
  <c r="F211" i="2"/>
  <c r="AG211" i="2"/>
  <c r="AA211" i="2"/>
  <c r="AD211" i="2"/>
  <c r="Y211" i="2"/>
  <c r="T211" i="2"/>
  <c r="R211" i="2"/>
  <c r="X211" i="2"/>
  <c r="M211" i="2"/>
  <c r="Z211" i="2"/>
  <c r="H211" i="2"/>
  <c r="L211" i="2"/>
  <c r="J211" i="2"/>
  <c r="I211" i="2"/>
  <c r="M474" i="2"/>
  <c r="AH467" i="2"/>
  <c r="AD498" i="2"/>
  <c r="V498" i="2"/>
  <c r="N498" i="2"/>
  <c r="F498" i="2"/>
  <c r="AC498" i="2"/>
  <c r="U498" i="2"/>
  <c r="M498" i="2"/>
  <c r="M499" i="2" s="1"/>
  <c r="AB498" i="2"/>
  <c r="T498" i="2"/>
  <c r="L498" i="2"/>
  <c r="AA498" i="2"/>
  <c r="S498" i="2"/>
  <c r="K498" i="2"/>
  <c r="Z498" i="2"/>
  <c r="R498" i="2"/>
  <c r="AE498" i="2"/>
  <c r="W498" i="2"/>
  <c r="G498" i="2"/>
  <c r="AG498" i="2"/>
  <c r="Y498" i="2"/>
  <c r="Q498" i="2"/>
  <c r="I498" i="2"/>
  <c r="O498" i="2"/>
  <c r="O499" i="2" s="1"/>
  <c r="AF498" i="2"/>
  <c r="X498" i="2"/>
  <c r="P498" i="2"/>
  <c r="P499" i="2" s="1"/>
  <c r="H498" i="2"/>
  <c r="Q474" i="2"/>
  <c r="O474" i="2"/>
  <c r="P474" i="2"/>
  <c r="F93" i="2"/>
  <c r="F207" i="2"/>
  <c r="F16" i="2"/>
  <c r="F55" i="2"/>
  <c r="AF179" i="2"/>
  <c r="X179" i="2"/>
  <c r="E103" i="2"/>
  <c r="P269" i="1"/>
  <c r="P276" i="1"/>
  <c r="P277" i="1"/>
  <c r="AK144" i="2"/>
  <c r="AB237" i="1"/>
  <c r="AC237" i="1" s="1"/>
  <c r="P454" i="1"/>
  <c r="P271" i="1"/>
  <c r="P448" i="1"/>
  <c r="P450" i="1"/>
  <c r="P456" i="1"/>
  <c r="P455" i="1"/>
  <c r="AB120" i="1"/>
  <c r="AC120" i="1" s="1"/>
  <c r="P142" i="1"/>
  <c r="P274" i="1"/>
  <c r="AB121" i="1"/>
  <c r="AC121" i="1" s="1"/>
  <c r="P270" i="1"/>
  <c r="P453" i="1"/>
  <c r="P449" i="1"/>
  <c r="P452" i="1"/>
  <c r="AB308" i="1"/>
  <c r="AC308" i="1" s="1"/>
  <c r="AB279" i="1"/>
  <c r="AC279" i="1" s="1"/>
  <c r="AB458" i="1"/>
  <c r="AC458" i="1" s="1"/>
  <c r="P101" i="1"/>
  <c r="P104" i="1" s="1"/>
  <c r="P124" i="1" s="1"/>
  <c r="P126" i="1" s="1"/>
  <c r="P322" i="1" s="1"/>
  <c r="AB280" i="1"/>
  <c r="AC280" i="1" s="1"/>
  <c r="P131" i="1"/>
  <c r="P130" i="1"/>
  <c r="AB122" i="1"/>
  <c r="AC122" i="1" s="1"/>
  <c r="P93" i="1"/>
  <c r="E20" i="2"/>
  <c r="AB459" i="1"/>
  <c r="AC459" i="1" s="1"/>
  <c r="AI513" i="2"/>
  <c r="F473" i="2"/>
  <c r="F474" i="2" s="1"/>
  <c r="O91" i="1"/>
  <c r="AB88" i="1"/>
  <c r="AC88" i="1" s="1"/>
  <c r="O416" i="1"/>
  <c r="AB416" i="1" s="1"/>
  <c r="AC416" i="1" s="1"/>
  <c r="O442" i="1"/>
  <c r="AB414" i="1"/>
  <c r="AC414" i="1" s="1"/>
  <c r="AB307" i="1"/>
  <c r="AC307" i="1" s="1"/>
  <c r="O312" i="1"/>
  <c r="O264" i="1"/>
  <c r="AB233" i="1"/>
  <c r="AC233" i="1" s="1"/>
  <c r="O130" i="1"/>
  <c r="O131" i="1"/>
  <c r="O142" i="1"/>
  <c r="E19" i="2"/>
  <c r="V19" i="2" s="1"/>
  <c r="O98" i="1"/>
  <c r="AB82" i="1"/>
  <c r="AC82" i="1" s="1"/>
  <c r="AH466" i="2"/>
  <c r="AI466" i="2" s="1"/>
  <c r="H179" i="2"/>
  <c r="S179" i="2"/>
  <c r="E141" i="2"/>
  <c r="P179" i="2"/>
  <c r="AI128" i="2"/>
  <c r="I179" i="2"/>
  <c r="AC179" i="2"/>
  <c r="N179" i="2"/>
  <c r="Q179" i="2"/>
  <c r="AD179" i="2"/>
  <c r="G179" i="2"/>
  <c r="AH293" i="2"/>
  <c r="AI293" i="2" s="1"/>
  <c r="AA179" i="2"/>
  <c r="T179" i="2"/>
  <c r="K179" i="2"/>
  <c r="O179" i="2"/>
  <c r="V179" i="2"/>
  <c r="Z179" i="2"/>
  <c r="Y179" i="2"/>
  <c r="J179" i="2"/>
  <c r="W179" i="2"/>
  <c r="AE179" i="2"/>
  <c r="AG179" i="2"/>
  <c r="L179" i="2"/>
  <c r="AH65" i="2"/>
  <c r="AI65" i="2" s="1"/>
  <c r="U179" i="2"/>
  <c r="AB179" i="2"/>
  <c r="R179" i="2"/>
  <c r="AI182" i="2"/>
  <c r="E499" i="2"/>
  <c r="AH496" i="2"/>
  <c r="AI496" i="2" s="1"/>
  <c r="M205" i="15"/>
  <c r="H103" i="2"/>
  <c r="U103" i="2"/>
  <c r="I126" i="1"/>
  <c r="N203" i="15"/>
  <c r="N205" i="15" s="1"/>
  <c r="O84" i="15"/>
  <c r="R84" i="15" s="1"/>
  <c r="F487" i="2"/>
  <c r="F488" i="2" s="1"/>
  <c r="AI338" i="2"/>
  <c r="AI71" i="2"/>
  <c r="AI299" i="2"/>
  <c r="F179" i="2"/>
  <c r="W287" i="1"/>
  <c r="W129" i="1"/>
  <c r="W133" i="1" s="1"/>
  <c r="W144" i="1" s="1"/>
  <c r="E109" i="2" s="1"/>
  <c r="W330" i="1"/>
  <c r="E147" i="2"/>
  <c r="F255" i="2"/>
  <c r="AH255" i="2" s="1"/>
  <c r="AI255" i="2" s="1"/>
  <c r="H169" i="2" l="1"/>
  <c r="H283" i="2"/>
  <c r="H245" i="2"/>
  <c r="M141" i="2"/>
  <c r="P19" i="2"/>
  <c r="W19" i="2"/>
  <c r="Y19" i="2"/>
  <c r="AH185" i="2"/>
  <c r="AI185" i="2" s="1"/>
  <c r="R19" i="2"/>
  <c r="S19" i="2"/>
  <c r="AH211" i="2"/>
  <c r="AI211" i="2" s="1"/>
  <c r="AH140" i="2"/>
  <c r="AI140" i="2" s="1"/>
  <c r="AH139" i="2"/>
  <c r="AI139" i="2" s="1"/>
  <c r="N147" i="2"/>
  <c r="K147" i="2"/>
  <c r="O147" i="2"/>
  <c r="P147" i="2"/>
  <c r="M147" i="2"/>
  <c r="Q147" i="2"/>
  <c r="G147" i="2"/>
  <c r="AB147" i="2"/>
  <c r="T147" i="2"/>
  <c r="AC147" i="2"/>
  <c r="X147" i="2"/>
  <c r="S147" i="2"/>
  <c r="Z147" i="2"/>
  <c r="I147" i="2"/>
  <c r="AD147" i="2"/>
  <c r="F147" i="2"/>
  <c r="L147" i="2"/>
  <c r="U147" i="2"/>
  <c r="W147" i="2"/>
  <c r="Y147" i="2"/>
  <c r="AE147" i="2"/>
  <c r="AG147" i="2"/>
  <c r="AA147" i="2"/>
  <c r="V147" i="2"/>
  <c r="AF147" i="2"/>
  <c r="H147" i="2"/>
  <c r="J147" i="2"/>
  <c r="R147" i="2"/>
  <c r="O20" i="2"/>
  <c r="P20" i="2"/>
  <c r="Q20" i="2"/>
  <c r="AB20" i="2"/>
  <c r="AE20" i="2"/>
  <c r="S20" i="2"/>
  <c r="U20" i="2"/>
  <c r="F20" i="2"/>
  <c r="X20" i="2"/>
  <c r="M20" i="2"/>
  <c r="AA20" i="2"/>
  <c r="Z20" i="2"/>
  <c r="AD20" i="2"/>
  <c r="G20" i="2"/>
  <c r="N20" i="2"/>
  <c r="K20" i="2"/>
  <c r="AG20" i="2"/>
  <c r="AC20" i="2"/>
  <c r="V20" i="2"/>
  <c r="R20" i="2"/>
  <c r="AF20" i="2"/>
  <c r="W20" i="2"/>
  <c r="Y20" i="2"/>
  <c r="T20" i="2"/>
  <c r="H20" i="2"/>
  <c r="J20" i="2"/>
  <c r="L20" i="2"/>
  <c r="I20" i="2"/>
  <c r="K109" i="2"/>
  <c r="N109" i="2"/>
  <c r="M109" i="2"/>
  <c r="Q109" i="2"/>
  <c r="P109" i="2"/>
  <c r="O109" i="2"/>
  <c r="AB109" i="2"/>
  <c r="T109" i="2"/>
  <c r="AC109" i="2"/>
  <c r="X109" i="2"/>
  <c r="S109" i="2"/>
  <c r="Z109" i="2"/>
  <c r="F109" i="2"/>
  <c r="L109" i="2"/>
  <c r="U109" i="2"/>
  <c r="W109" i="2"/>
  <c r="AE109" i="2"/>
  <c r="AG109" i="2"/>
  <c r="AA109" i="2"/>
  <c r="V109" i="2"/>
  <c r="AF109" i="2"/>
  <c r="H109" i="2"/>
  <c r="J109" i="2"/>
  <c r="I109" i="2"/>
  <c r="G109" i="2"/>
  <c r="AD109" i="2"/>
  <c r="Y109" i="2"/>
  <c r="R109" i="2"/>
  <c r="Z19" i="2"/>
  <c r="AC19" i="2"/>
  <c r="X19" i="2"/>
  <c r="AH106" i="2"/>
  <c r="AI106" i="2" s="1"/>
  <c r="O19" i="2"/>
  <c r="AD19" i="2"/>
  <c r="M500" i="2"/>
  <c r="M161" i="2" s="1"/>
  <c r="AH150" i="2"/>
  <c r="AI150" i="2" s="1"/>
  <c r="AH261" i="2"/>
  <c r="AI261" i="2" s="1"/>
  <c r="F19" i="2"/>
  <c r="AA19" i="2"/>
  <c r="T19" i="2"/>
  <c r="AF19" i="2"/>
  <c r="AH102" i="2"/>
  <c r="AI102" i="2" s="1"/>
  <c r="Q19" i="2"/>
  <c r="AG19" i="2"/>
  <c r="AH115" i="2"/>
  <c r="AI115" i="2" s="1"/>
  <c r="AH112" i="2"/>
  <c r="AI112" i="2" s="1"/>
  <c r="U19" i="2"/>
  <c r="AB19" i="2"/>
  <c r="L19" i="2"/>
  <c r="N19" i="2"/>
  <c r="G19" i="2"/>
  <c r="I19" i="2"/>
  <c r="H19" i="2"/>
  <c r="K19" i="2"/>
  <c r="J19" i="2"/>
  <c r="M19" i="2"/>
  <c r="AE19" i="2"/>
  <c r="AH153" i="2"/>
  <c r="AI153" i="2" s="1"/>
  <c r="AH474" i="2"/>
  <c r="Q500" i="2"/>
  <c r="P500" i="2"/>
  <c r="O500" i="2"/>
  <c r="F245" i="2"/>
  <c r="F283" i="2"/>
  <c r="F131" i="2"/>
  <c r="F169" i="2"/>
  <c r="AH473" i="2"/>
  <c r="AI473" i="2" s="1"/>
  <c r="AB130" i="1"/>
  <c r="AC130" i="1" s="1"/>
  <c r="AK131" i="2"/>
  <c r="T141" i="2"/>
  <c r="AK140" i="2"/>
  <c r="AK139" i="2"/>
  <c r="AK150" i="2"/>
  <c r="AK153" i="2"/>
  <c r="N35" i="15"/>
  <c r="N34" i="15"/>
  <c r="M35" i="15"/>
  <c r="M34" i="15"/>
  <c r="AB142" i="1"/>
  <c r="AC142" i="1" s="1"/>
  <c r="P316" i="1"/>
  <c r="E287" i="2" s="1"/>
  <c r="P451" i="1"/>
  <c r="P318" i="1"/>
  <c r="P281" i="1"/>
  <c r="E59" i="2"/>
  <c r="P314" i="1"/>
  <c r="E249" i="2" s="1"/>
  <c r="P457" i="1"/>
  <c r="P320" i="1"/>
  <c r="P272" i="1"/>
  <c r="P324" i="1"/>
  <c r="P278" i="1"/>
  <c r="P326" i="1"/>
  <c r="AB131" i="1"/>
  <c r="AC131" i="1" s="1"/>
  <c r="P21" i="2"/>
  <c r="O99" i="1"/>
  <c r="AB99" i="1" s="1"/>
  <c r="AC99" i="1" s="1"/>
  <c r="AB91" i="1"/>
  <c r="AC91" i="1" s="1"/>
  <c r="O455" i="1"/>
  <c r="AB455" i="1" s="1"/>
  <c r="AC455" i="1" s="1"/>
  <c r="O450" i="1"/>
  <c r="AB450" i="1" s="1"/>
  <c r="AC450" i="1" s="1"/>
  <c r="O456" i="1"/>
  <c r="AB456" i="1" s="1"/>
  <c r="AC456" i="1" s="1"/>
  <c r="O277" i="1"/>
  <c r="AB277" i="1" s="1"/>
  <c r="AC277" i="1" s="1"/>
  <c r="O276" i="1"/>
  <c r="AB276" i="1" s="1"/>
  <c r="AC276" i="1" s="1"/>
  <c r="O269" i="1"/>
  <c r="O271" i="1"/>
  <c r="AB271" i="1" s="1"/>
  <c r="AC271" i="1" s="1"/>
  <c r="O275" i="1"/>
  <c r="AB275" i="1" s="1"/>
  <c r="AC275" i="1" s="1"/>
  <c r="O448" i="1"/>
  <c r="O454" i="1"/>
  <c r="AB454" i="1" s="1"/>
  <c r="AC454" i="1" s="1"/>
  <c r="AB264" i="1"/>
  <c r="AC264" i="1" s="1"/>
  <c r="O273" i="1"/>
  <c r="AB273" i="1" s="1"/>
  <c r="AC273" i="1" s="1"/>
  <c r="O449" i="1"/>
  <c r="AB449" i="1" s="1"/>
  <c r="AC449" i="1" s="1"/>
  <c r="O453" i="1"/>
  <c r="AB453" i="1" s="1"/>
  <c r="AC453" i="1" s="1"/>
  <c r="O274" i="1"/>
  <c r="AB274" i="1" s="1"/>
  <c r="AC274" i="1" s="1"/>
  <c r="O452" i="1"/>
  <c r="AB452" i="1" s="1"/>
  <c r="AC452" i="1" s="1"/>
  <c r="O270" i="1"/>
  <c r="AB270" i="1" s="1"/>
  <c r="AC270" i="1" s="1"/>
  <c r="AB442" i="1"/>
  <c r="AC442" i="1" s="1"/>
  <c r="E21" i="2"/>
  <c r="E40" i="2" s="1"/>
  <c r="O93" i="1"/>
  <c r="AB93" i="1" s="1"/>
  <c r="AC93" i="1" s="1"/>
  <c r="E210" i="2"/>
  <c r="AB312" i="1"/>
  <c r="AC312" i="1" s="1"/>
  <c r="AI467" i="2"/>
  <c r="AB98" i="1"/>
  <c r="AC98" i="1" s="1"/>
  <c r="V141" i="2"/>
  <c r="G141" i="2"/>
  <c r="R141" i="2"/>
  <c r="N141" i="2"/>
  <c r="S141" i="2"/>
  <c r="AF141" i="2"/>
  <c r="X141" i="2"/>
  <c r="F141" i="2"/>
  <c r="P141" i="2"/>
  <c r="O141" i="2"/>
  <c r="J141" i="2"/>
  <c r="H141" i="2"/>
  <c r="W141" i="2"/>
  <c r="AA141" i="2"/>
  <c r="AH179" i="2"/>
  <c r="AI179" i="2" s="1"/>
  <c r="I12" i="15"/>
  <c r="T84" i="15"/>
  <c r="K12" i="15" s="1"/>
  <c r="AE103" i="2"/>
  <c r="Q141" i="2"/>
  <c r="Y141" i="2"/>
  <c r="AD141" i="2"/>
  <c r="O203" i="15"/>
  <c r="Q103" i="2"/>
  <c r="K103" i="2"/>
  <c r="I141" i="2"/>
  <c r="I278" i="1"/>
  <c r="I451" i="1"/>
  <c r="I314" i="1"/>
  <c r="I272" i="1"/>
  <c r="I316" i="1"/>
  <c r="I326" i="1"/>
  <c r="I281" i="1"/>
  <c r="I322" i="1"/>
  <c r="I320" i="1"/>
  <c r="I457" i="1"/>
  <c r="E48" i="2"/>
  <c r="I318" i="1"/>
  <c r="I324" i="1"/>
  <c r="AB141" i="2"/>
  <c r="L103" i="2"/>
  <c r="O103" i="2"/>
  <c r="K141" i="2"/>
  <c r="AE141" i="2"/>
  <c r="T103" i="2"/>
  <c r="U141" i="2"/>
  <c r="AA103" i="2"/>
  <c r="AC141" i="2"/>
  <c r="L141" i="2"/>
  <c r="W103" i="2"/>
  <c r="Z141" i="2"/>
  <c r="AG141" i="2"/>
  <c r="Y103" i="2"/>
  <c r="I103" i="2"/>
  <c r="AH109" i="2" l="1"/>
  <c r="AH147" i="2"/>
  <c r="AI147" i="2" s="1"/>
  <c r="AH19" i="2"/>
  <c r="Q59" i="2"/>
  <c r="P59" i="2"/>
  <c r="O59" i="2"/>
  <c r="AB59" i="2"/>
  <c r="Y59" i="2"/>
  <c r="T59" i="2"/>
  <c r="AE59" i="2"/>
  <c r="AG59" i="2"/>
  <c r="AA59" i="2"/>
  <c r="S59" i="2"/>
  <c r="U59" i="2"/>
  <c r="F59" i="2"/>
  <c r="X59" i="2"/>
  <c r="M59" i="2"/>
  <c r="Z59" i="2"/>
  <c r="AD59" i="2"/>
  <c r="G59" i="2"/>
  <c r="N59" i="2"/>
  <c r="K59" i="2"/>
  <c r="AC59" i="2"/>
  <c r="V59" i="2"/>
  <c r="R59" i="2"/>
  <c r="AF59" i="2"/>
  <c r="W59" i="2"/>
  <c r="H59" i="2"/>
  <c r="J59" i="2"/>
  <c r="L59" i="2"/>
  <c r="I59" i="2"/>
  <c r="M123" i="2"/>
  <c r="M85" i="2"/>
  <c r="J210" i="2"/>
  <c r="J212" i="2" s="1"/>
  <c r="M210" i="2"/>
  <c r="M212" i="2" s="1"/>
  <c r="I210" i="2"/>
  <c r="N210" i="2"/>
  <c r="H210" i="2"/>
  <c r="H212" i="2" s="1"/>
  <c r="L210" i="2"/>
  <c r="L212" i="2" s="1"/>
  <c r="K210" i="2"/>
  <c r="K212" i="2" s="1"/>
  <c r="G210" i="2"/>
  <c r="AD210" i="2"/>
  <c r="AD212" i="2" s="1"/>
  <c r="X210" i="2"/>
  <c r="X212" i="2" s="1"/>
  <c r="W210" i="2"/>
  <c r="AA210" i="2"/>
  <c r="AA212" i="2" s="1"/>
  <c r="Y210" i="2"/>
  <c r="Y212" i="2" s="1"/>
  <c r="Z210" i="2"/>
  <c r="Z212" i="2" s="1"/>
  <c r="S210" i="2"/>
  <c r="S212" i="2" s="1"/>
  <c r="U210" i="2"/>
  <c r="T210" i="2"/>
  <c r="T212" i="2" s="1"/>
  <c r="AB210" i="2"/>
  <c r="AB212" i="2" s="1"/>
  <c r="Q210" i="2"/>
  <c r="AE210" i="2"/>
  <c r="AE212" i="2" s="1"/>
  <c r="F210" i="2"/>
  <c r="R210" i="2"/>
  <c r="R212" i="2" s="1"/>
  <c r="AC210" i="2"/>
  <c r="AC212" i="2" s="1"/>
  <c r="O210" i="2"/>
  <c r="AG210" i="2"/>
  <c r="AG212" i="2" s="1"/>
  <c r="AF210" i="2"/>
  <c r="AF212" i="2" s="1"/>
  <c r="V210" i="2"/>
  <c r="P210" i="2"/>
  <c r="P212" i="2" s="1"/>
  <c r="Q249" i="2"/>
  <c r="P249" i="2"/>
  <c r="O249" i="2"/>
  <c r="AB249" i="2"/>
  <c r="AA249" i="2"/>
  <c r="AD249" i="2"/>
  <c r="Y249" i="2"/>
  <c r="G249" i="2"/>
  <c r="N249" i="2"/>
  <c r="M249" i="2"/>
  <c r="Z249" i="2"/>
  <c r="X249" i="2"/>
  <c r="R249" i="2"/>
  <c r="AF249" i="2"/>
  <c r="S249" i="2"/>
  <c r="AG249" i="2"/>
  <c r="V249" i="2"/>
  <c r="T249" i="2"/>
  <c r="AE249" i="2"/>
  <c r="W249" i="2"/>
  <c r="K249" i="2"/>
  <c r="AC249" i="2"/>
  <c r="U249" i="2"/>
  <c r="F249" i="2"/>
  <c r="J249" i="2"/>
  <c r="I249" i="2"/>
  <c r="H249" i="2"/>
  <c r="L249" i="2"/>
  <c r="AH20" i="2"/>
  <c r="AI20" i="2" s="1"/>
  <c r="M275" i="2"/>
  <c r="Q287" i="2"/>
  <c r="P287" i="2"/>
  <c r="O287" i="2"/>
  <c r="AB287" i="2"/>
  <c r="AA287" i="2"/>
  <c r="AD287" i="2"/>
  <c r="Y287" i="2"/>
  <c r="G287" i="2"/>
  <c r="N287" i="2"/>
  <c r="M287" i="2"/>
  <c r="Z287" i="2"/>
  <c r="X287" i="2"/>
  <c r="R287" i="2"/>
  <c r="AF287" i="2"/>
  <c r="S287" i="2"/>
  <c r="AG287" i="2"/>
  <c r="V287" i="2"/>
  <c r="T287" i="2"/>
  <c r="AE287" i="2"/>
  <c r="W287" i="2"/>
  <c r="K287" i="2"/>
  <c r="AC287" i="2"/>
  <c r="U287" i="2"/>
  <c r="F287" i="2"/>
  <c r="J287" i="2"/>
  <c r="I287" i="2"/>
  <c r="H287" i="2"/>
  <c r="L287" i="2"/>
  <c r="M47" i="2"/>
  <c r="M237" i="2"/>
  <c r="M8" i="2"/>
  <c r="M199" i="2"/>
  <c r="O275" i="2"/>
  <c r="P275" i="2"/>
  <c r="Q275" i="2"/>
  <c r="R237" i="2"/>
  <c r="R275" i="2"/>
  <c r="O237" i="2"/>
  <c r="Q237" i="2"/>
  <c r="P237" i="2"/>
  <c r="R161" i="2"/>
  <c r="R199" i="2"/>
  <c r="O199" i="2"/>
  <c r="Q199" i="2"/>
  <c r="P199" i="2"/>
  <c r="Q161" i="2"/>
  <c r="P161" i="2"/>
  <c r="O161" i="2"/>
  <c r="AI474" i="2"/>
  <c r="Q123" i="2"/>
  <c r="P123" i="2"/>
  <c r="O123" i="2"/>
  <c r="R85" i="2"/>
  <c r="R123" i="2"/>
  <c r="Q85" i="2"/>
  <c r="P85" i="2"/>
  <c r="O85" i="2"/>
  <c r="Q47" i="2"/>
  <c r="P47" i="2"/>
  <c r="O47" i="2"/>
  <c r="R8" i="2"/>
  <c r="R47" i="2"/>
  <c r="O8" i="2"/>
  <c r="Q8" i="2"/>
  <c r="P8" i="2"/>
  <c r="K21" i="2"/>
  <c r="F212" i="2"/>
  <c r="M21" i="2"/>
  <c r="AE21" i="2"/>
  <c r="AK141" i="2"/>
  <c r="AK147" i="2"/>
  <c r="N21" i="2"/>
  <c r="H21" i="2"/>
  <c r="I21" i="2"/>
  <c r="G21" i="2"/>
  <c r="P283" i="1"/>
  <c r="P285" i="1" s="1"/>
  <c r="P129" i="1" s="1"/>
  <c r="P133" i="1" s="1"/>
  <c r="P144" i="1" s="1"/>
  <c r="E97" i="2" s="1"/>
  <c r="Q21" i="2"/>
  <c r="P461" i="1"/>
  <c r="P463" i="1" s="1"/>
  <c r="P465" i="1" s="1"/>
  <c r="E173" i="2" s="1"/>
  <c r="P328" i="1"/>
  <c r="AG21" i="2"/>
  <c r="J21" i="2"/>
  <c r="AA21" i="2"/>
  <c r="T21" i="2"/>
  <c r="AF21" i="2"/>
  <c r="Z21" i="2"/>
  <c r="L21" i="2"/>
  <c r="W21" i="2"/>
  <c r="AC21" i="2"/>
  <c r="U21" i="2"/>
  <c r="Y21" i="2"/>
  <c r="O21" i="2"/>
  <c r="AD21" i="2"/>
  <c r="X21" i="2"/>
  <c r="R21" i="2"/>
  <c r="S21" i="2"/>
  <c r="V21" i="2"/>
  <c r="AB21" i="2"/>
  <c r="O101" i="1"/>
  <c r="AB101" i="1" s="1"/>
  <c r="AC101" i="1" s="1"/>
  <c r="AB448" i="1"/>
  <c r="AC448" i="1" s="1"/>
  <c r="E212" i="2"/>
  <c r="E231" i="2" s="1"/>
  <c r="V212" i="2"/>
  <c r="U212" i="2"/>
  <c r="W212" i="2"/>
  <c r="I212" i="2"/>
  <c r="Q212" i="2"/>
  <c r="O212" i="2"/>
  <c r="N212" i="2"/>
  <c r="G212" i="2"/>
  <c r="F21" i="2"/>
  <c r="AI19" i="2"/>
  <c r="AB269" i="1"/>
  <c r="AC269" i="1" s="1"/>
  <c r="AH103" i="2"/>
  <c r="AI103" i="2" s="1"/>
  <c r="AH141" i="2"/>
  <c r="AI141" i="2" s="1"/>
  <c r="E49" i="2"/>
  <c r="E238" i="2"/>
  <c r="I328" i="1"/>
  <c r="AI109" i="2"/>
  <c r="E276" i="2"/>
  <c r="P203" i="15"/>
  <c r="O205" i="15"/>
  <c r="J440" i="2"/>
  <c r="AH440" i="2" s="1"/>
  <c r="K25" i="15"/>
  <c r="E440" i="2" s="1"/>
  <c r="I461" i="1"/>
  <c r="I283" i="1"/>
  <c r="J442" i="2"/>
  <c r="J495" i="2" s="1"/>
  <c r="J498" i="2" s="1"/>
  <c r="AH498" i="2" s="1"/>
  <c r="I25" i="15"/>
  <c r="E442" i="2" s="1"/>
  <c r="AH287" i="2" l="1"/>
  <c r="AH59" i="2"/>
  <c r="Q173" i="2"/>
  <c r="P173" i="2"/>
  <c r="O173" i="2"/>
  <c r="AB173" i="2"/>
  <c r="U173" i="2"/>
  <c r="N173" i="2"/>
  <c r="K173" i="2"/>
  <c r="AE173" i="2"/>
  <c r="V173" i="2"/>
  <c r="G173" i="2"/>
  <c r="AF173" i="2"/>
  <c r="W173" i="2"/>
  <c r="S173" i="2"/>
  <c r="AC173" i="2"/>
  <c r="F173" i="2"/>
  <c r="AG173" i="2"/>
  <c r="AA173" i="2"/>
  <c r="AD173" i="2"/>
  <c r="Y173" i="2"/>
  <c r="T173" i="2"/>
  <c r="R173" i="2"/>
  <c r="X173" i="2"/>
  <c r="M173" i="2"/>
  <c r="Z173" i="2"/>
  <c r="H173" i="2"/>
  <c r="L173" i="2"/>
  <c r="J173" i="2"/>
  <c r="I173" i="2"/>
  <c r="AH210" i="2"/>
  <c r="AI210" i="2" s="1"/>
  <c r="AH249" i="2"/>
  <c r="AI249" i="2" s="1"/>
  <c r="P97" i="2"/>
  <c r="Q97" i="2"/>
  <c r="O97" i="2"/>
  <c r="AB97" i="2"/>
  <c r="AG97" i="2"/>
  <c r="AG533" i="2" s="1"/>
  <c r="AG636" i="2" s="1"/>
  <c r="AG637" i="2" s="1"/>
  <c r="W97" i="2"/>
  <c r="W533" i="2" s="1"/>
  <c r="Z97" i="2"/>
  <c r="Z533" i="2" s="1"/>
  <c r="T97" i="2"/>
  <c r="T533" i="2" s="1"/>
  <c r="T562" i="2" s="1"/>
  <c r="AE97" i="2"/>
  <c r="X97" i="2"/>
  <c r="AA97" i="2"/>
  <c r="V97" i="2"/>
  <c r="V533" i="2" s="1"/>
  <c r="R97" i="2"/>
  <c r="R533" i="2" s="1"/>
  <c r="R562" i="2" s="1"/>
  <c r="F97" i="2"/>
  <c r="S97" i="2"/>
  <c r="S533" i="2" s="1"/>
  <c r="S562" i="2" s="1"/>
  <c r="M97" i="2"/>
  <c r="M533" i="2" s="1"/>
  <c r="AC97" i="2"/>
  <c r="U97" i="2"/>
  <c r="N97" i="2"/>
  <c r="K97" i="2"/>
  <c r="AD97" i="2"/>
  <c r="AD533" i="2" s="1"/>
  <c r="Y97" i="2"/>
  <c r="Y533" i="2" s="1"/>
  <c r="G97" i="2"/>
  <c r="G533" i="2" s="1"/>
  <c r="AF97" i="2"/>
  <c r="H97" i="2"/>
  <c r="J97" i="2"/>
  <c r="L97" i="2"/>
  <c r="I97" i="2"/>
  <c r="I533" i="2" s="1"/>
  <c r="AG412" i="2"/>
  <c r="Y412" i="2"/>
  <c r="Q412" i="2"/>
  <c r="I412" i="2"/>
  <c r="AG366" i="2"/>
  <c r="Y366" i="2"/>
  <c r="Q366" i="2"/>
  <c r="I366" i="2"/>
  <c r="AF412" i="2"/>
  <c r="X412" i="2"/>
  <c r="P412" i="2"/>
  <c r="H412" i="2"/>
  <c r="AF366" i="2"/>
  <c r="X366" i="2"/>
  <c r="P366" i="2"/>
  <c r="H366" i="2"/>
  <c r="AE412" i="2"/>
  <c r="W412" i="2"/>
  <c r="O412" i="2"/>
  <c r="G412" i="2"/>
  <c r="AE366" i="2"/>
  <c r="W366" i="2"/>
  <c r="O366" i="2"/>
  <c r="G366" i="2"/>
  <c r="AD412" i="2"/>
  <c r="V412" i="2"/>
  <c r="N412" i="2"/>
  <c r="F412" i="2"/>
  <c r="AD366" i="2"/>
  <c r="V366" i="2"/>
  <c r="N366" i="2"/>
  <c r="F366" i="2"/>
  <c r="AC412" i="2"/>
  <c r="U412" i="2"/>
  <c r="M412" i="2"/>
  <c r="AC366" i="2"/>
  <c r="U366" i="2"/>
  <c r="M366" i="2"/>
  <c r="AA412" i="2"/>
  <c r="S412" i="2"/>
  <c r="K412" i="2"/>
  <c r="AA366" i="2"/>
  <c r="S366" i="2"/>
  <c r="K366" i="2"/>
  <c r="L412" i="2"/>
  <c r="J412" i="2"/>
  <c r="AB366" i="2"/>
  <c r="Z366" i="2"/>
  <c r="T366" i="2"/>
  <c r="AB412" i="2"/>
  <c r="R366" i="2"/>
  <c r="T412" i="2"/>
  <c r="J366" i="2"/>
  <c r="Z412" i="2"/>
  <c r="L366" i="2"/>
  <c r="R412" i="2"/>
  <c r="E320" i="2"/>
  <c r="M356" i="2"/>
  <c r="M358" i="2" s="1"/>
  <c r="D18" i="4" s="1"/>
  <c r="AI287" i="2"/>
  <c r="AI59" i="2"/>
  <c r="P330" i="1"/>
  <c r="P287" i="1"/>
  <c r="E135" i="2"/>
  <c r="AH21" i="2"/>
  <c r="AI21" i="2" s="1"/>
  <c r="O104" i="1"/>
  <c r="AB104" i="1" s="1"/>
  <c r="AC104" i="1" s="1"/>
  <c r="J533" i="2"/>
  <c r="J562" i="2" s="1"/>
  <c r="K533" i="2"/>
  <c r="AB533" i="2"/>
  <c r="P533" i="2"/>
  <c r="O562" i="2"/>
  <c r="N533" i="2"/>
  <c r="U533" i="2"/>
  <c r="H533" i="2"/>
  <c r="X533" i="2"/>
  <c r="AA533" i="2"/>
  <c r="L533" i="2"/>
  <c r="L562" i="2" s="1"/>
  <c r="Q533" i="2"/>
  <c r="Q562" i="2" s="1"/>
  <c r="AC533" i="2"/>
  <c r="AE533" i="2"/>
  <c r="E533" i="2"/>
  <c r="AH212" i="2"/>
  <c r="AI212" i="2" s="1"/>
  <c r="O356" i="2"/>
  <c r="O358" i="2" s="1"/>
  <c r="D20" i="4" s="1"/>
  <c r="S356" i="2"/>
  <c r="S358" i="2" s="1"/>
  <c r="D24" i="4" s="1"/>
  <c r="W356" i="2"/>
  <c r="W358" i="2" s="1"/>
  <c r="AA356" i="2"/>
  <c r="AA358" i="2" s="1"/>
  <c r="AE356" i="2"/>
  <c r="AE358" i="2" s="1"/>
  <c r="L356" i="2"/>
  <c r="L358" i="2" s="1"/>
  <c r="D17" i="4" s="1"/>
  <c r="U356" i="2"/>
  <c r="U358" i="2" s="1"/>
  <c r="AC356" i="2"/>
  <c r="AC358" i="2" s="1"/>
  <c r="I356" i="2"/>
  <c r="I358" i="2" s="1"/>
  <c r="D14" i="4" s="1"/>
  <c r="R356" i="2"/>
  <c r="R358" i="2" s="1"/>
  <c r="D23" i="4" s="1"/>
  <c r="Z356" i="2"/>
  <c r="Z358" i="2" s="1"/>
  <c r="G356" i="2"/>
  <c r="G358" i="2" s="1"/>
  <c r="D12" i="4" s="1"/>
  <c r="K356" i="2"/>
  <c r="K358" i="2" s="1"/>
  <c r="D16" i="4" s="1"/>
  <c r="P356" i="2"/>
  <c r="P358" i="2" s="1"/>
  <c r="D21" i="4" s="1"/>
  <c r="T356" i="2"/>
  <c r="T358" i="2" s="1"/>
  <c r="X356" i="2"/>
  <c r="X358" i="2" s="1"/>
  <c r="AB356" i="2"/>
  <c r="AB358" i="2" s="1"/>
  <c r="AF356" i="2"/>
  <c r="AF358" i="2" s="1"/>
  <c r="H356" i="2"/>
  <c r="H358" i="2" s="1"/>
  <c r="D13" i="4" s="1"/>
  <c r="Q356" i="2"/>
  <c r="Q358" i="2" s="1"/>
  <c r="D22" i="4" s="1"/>
  <c r="Y356" i="2"/>
  <c r="Y358" i="2" s="1"/>
  <c r="AG356" i="2"/>
  <c r="AG358" i="2" s="1"/>
  <c r="N356" i="2"/>
  <c r="N358" i="2" s="1"/>
  <c r="D19" i="4" s="1"/>
  <c r="V356" i="2"/>
  <c r="V358" i="2" s="1"/>
  <c r="AD356" i="2"/>
  <c r="AD358" i="2" s="1"/>
  <c r="AI440" i="2"/>
  <c r="J448" i="2"/>
  <c r="J451" i="2" s="1"/>
  <c r="AH451" i="2" s="1"/>
  <c r="AH495" i="2"/>
  <c r="AH442" i="2"/>
  <c r="AI442" i="2" s="1"/>
  <c r="I285" i="1"/>
  <c r="E277" i="2"/>
  <c r="I463" i="1"/>
  <c r="E239" i="2"/>
  <c r="M636" i="2" l="1"/>
  <c r="M562" i="2"/>
  <c r="AH173" i="2"/>
  <c r="AH97" i="2"/>
  <c r="AI97" i="2" s="1"/>
  <c r="O135" i="2"/>
  <c r="Q135" i="2"/>
  <c r="Q515" i="2" s="1"/>
  <c r="P135" i="2"/>
  <c r="P515" i="2" s="1"/>
  <c r="AB135" i="2"/>
  <c r="AB515" i="2" s="1"/>
  <c r="AG135" i="2"/>
  <c r="AG515" i="2" s="1"/>
  <c r="W135" i="2"/>
  <c r="Z135" i="2"/>
  <c r="Z515" i="2" s="1"/>
  <c r="Z553" i="2" s="1"/>
  <c r="T135" i="2"/>
  <c r="AE135" i="2"/>
  <c r="AE515" i="2" s="1"/>
  <c r="X135" i="2"/>
  <c r="X515" i="2" s="1"/>
  <c r="AA135" i="2"/>
  <c r="AA515" i="2" s="1"/>
  <c r="V135" i="2"/>
  <c r="V515" i="2" s="1"/>
  <c r="R135" i="2"/>
  <c r="R515" i="2" s="1"/>
  <c r="F135" i="2"/>
  <c r="F515" i="2" s="1"/>
  <c r="S135" i="2"/>
  <c r="S515" i="2" s="1"/>
  <c r="M135" i="2"/>
  <c r="M515" i="2" s="1"/>
  <c r="AC135" i="2"/>
  <c r="AC515" i="2" s="1"/>
  <c r="AC553" i="2" s="1"/>
  <c r="U135" i="2"/>
  <c r="U515" i="2" s="1"/>
  <c r="N135" i="2"/>
  <c r="N515" i="2" s="1"/>
  <c r="K135" i="2"/>
  <c r="K515" i="2" s="1"/>
  <c r="AD135" i="2"/>
  <c r="AD515" i="2" s="1"/>
  <c r="Y135" i="2"/>
  <c r="Y515" i="2" s="1"/>
  <c r="G135" i="2"/>
  <c r="G515" i="2" s="1"/>
  <c r="AF135" i="2"/>
  <c r="H135" i="2"/>
  <c r="J135" i="2"/>
  <c r="J515" i="2" s="1"/>
  <c r="L135" i="2"/>
  <c r="L515" i="2" s="1"/>
  <c r="I135" i="2"/>
  <c r="I515" i="2" s="1"/>
  <c r="AH366" i="2"/>
  <c r="AI366" i="2" s="1"/>
  <c r="AH412" i="2"/>
  <c r="AI412" i="2" s="1"/>
  <c r="G562" i="2"/>
  <c r="H562" i="2"/>
  <c r="I562" i="2"/>
  <c r="AI173" i="2"/>
  <c r="W515" i="2"/>
  <c r="T515" i="2"/>
  <c r="E515" i="2"/>
  <c r="O124" i="1"/>
  <c r="O126" i="1" s="1"/>
  <c r="AA636" i="2"/>
  <c r="AA637" i="2" s="1"/>
  <c r="AA562" i="2"/>
  <c r="U636" i="2"/>
  <c r="U637" i="2" s="1"/>
  <c r="U562" i="2"/>
  <c r="W562" i="2"/>
  <c r="W636" i="2"/>
  <c r="W637" i="2" s="1"/>
  <c r="AD636" i="2"/>
  <c r="AD637" i="2" s="1"/>
  <c r="AD562" i="2"/>
  <c r="F533" i="2"/>
  <c r="AB636" i="2"/>
  <c r="AB637" i="2" s="1"/>
  <c r="AB562" i="2"/>
  <c r="Y562" i="2"/>
  <c r="Y636" i="2"/>
  <c r="Y637" i="2" s="1"/>
  <c r="V636" i="2"/>
  <c r="V637" i="2" s="1"/>
  <c r="V562" i="2"/>
  <c r="AE636" i="2"/>
  <c r="AE637" i="2" s="1"/>
  <c r="AE562" i="2"/>
  <c r="AC636" i="2"/>
  <c r="AC637" i="2" s="1"/>
  <c r="AC562" i="2"/>
  <c r="X562" i="2"/>
  <c r="X636" i="2"/>
  <c r="X637" i="2" s="1"/>
  <c r="Z636" i="2"/>
  <c r="Z637" i="2" s="1"/>
  <c r="Z562" i="2"/>
  <c r="F356" i="2"/>
  <c r="F358" i="2" s="1"/>
  <c r="D11" i="4" s="1"/>
  <c r="AF499" i="2"/>
  <c r="AG500" i="2" s="1"/>
  <c r="N499" i="2"/>
  <c r="N500" i="2" s="1"/>
  <c r="AA499" i="2"/>
  <c r="AB500" i="2" s="1"/>
  <c r="AE499" i="2"/>
  <c r="AF500" i="2" s="1"/>
  <c r="W499" i="2"/>
  <c r="X500" i="2" s="1"/>
  <c r="Q499" i="2"/>
  <c r="R500" i="2" s="1"/>
  <c r="X499" i="2"/>
  <c r="Y500" i="2" s="1"/>
  <c r="AD499" i="2"/>
  <c r="AE500" i="2" s="1"/>
  <c r="L499" i="2"/>
  <c r="L500" i="2" s="1"/>
  <c r="S499" i="2"/>
  <c r="T500" i="2" s="1"/>
  <c r="R499" i="2"/>
  <c r="S500" i="2" s="1"/>
  <c r="U499" i="2"/>
  <c r="V500" i="2" s="1"/>
  <c r="AG499" i="2"/>
  <c r="AC499" i="2"/>
  <c r="AD500" i="2" s="1"/>
  <c r="K499" i="2"/>
  <c r="K500" i="2" s="1"/>
  <c r="J499" i="2"/>
  <c r="J500" i="2" s="1"/>
  <c r="H499" i="2"/>
  <c r="H500" i="2" s="1"/>
  <c r="Z499" i="2"/>
  <c r="AA500" i="2" s="1"/>
  <c r="AI495" i="2"/>
  <c r="V499" i="2"/>
  <c r="W500" i="2" s="1"/>
  <c r="AB499" i="2"/>
  <c r="AC500" i="2" s="1"/>
  <c r="T499" i="2"/>
  <c r="U500" i="2" s="1"/>
  <c r="Y499" i="2"/>
  <c r="Z500" i="2" s="1"/>
  <c r="I499" i="2"/>
  <c r="I500" i="2" s="1"/>
  <c r="G499" i="2"/>
  <c r="G500" i="2" s="1"/>
  <c r="I465" i="1"/>
  <c r="I330" i="1"/>
  <c r="I129" i="1"/>
  <c r="E124" i="2"/>
  <c r="I287" i="1"/>
  <c r="J455" i="2"/>
  <c r="J458" i="2" s="1"/>
  <c r="AH458" i="2" s="1"/>
  <c r="AH448" i="2"/>
  <c r="AI448" i="2" s="1"/>
  <c r="AH135" i="2" l="1"/>
  <c r="X237" i="2"/>
  <c r="X275" i="2"/>
  <c r="Y237" i="2"/>
  <c r="Y275" i="2"/>
  <c r="H237" i="2"/>
  <c r="H275" i="2"/>
  <c r="AE237" i="2"/>
  <c r="AE275" i="2"/>
  <c r="W237" i="2"/>
  <c r="W275" i="2"/>
  <c r="AG237" i="2"/>
  <c r="AG275" i="2"/>
  <c r="AB237" i="2"/>
  <c r="AB275" i="2"/>
  <c r="T237" i="2"/>
  <c r="T275" i="2"/>
  <c r="AC237" i="2"/>
  <c r="AC275" i="2"/>
  <c r="U237" i="2"/>
  <c r="U275" i="2"/>
  <c r="N237" i="2"/>
  <c r="N275" i="2"/>
  <c r="I237" i="2"/>
  <c r="I275" i="2"/>
  <c r="L237" i="2"/>
  <c r="L275" i="2"/>
  <c r="G237" i="2"/>
  <c r="G275" i="2"/>
  <c r="AA237" i="2"/>
  <c r="AA275" i="2"/>
  <c r="J237" i="2"/>
  <c r="J275" i="2"/>
  <c r="AF237" i="2"/>
  <c r="AF275" i="2"/>
  <c r="V237" i="2"/>
  <c r="V275" i="2"/>
  <c r="K237" i="2"/>
  <c r="K275" i="2"/>
  <c r="Z237" i="2"/>
  <c r="Z275" i="2"/>
  <c r="AD237" i="2"/>
  <c r="AD275" i="2"/>
  <c r="S237" i="2"/>
  <c r="S275" i="2"/>
  <c r="Y161" i="2"/>
  <c r="Y199" i="2"/>
  <c r="W161" i="2"/>
  <c r="W199" i="2"/>
  <c r="AG161" i="2"/>
  <c r="AG199" i="2"/>
  <c r="AB161" i="2"/>
  <c r="AB199" i="2"/>
  <c r="T161" i="2"/>
  <c r="T199" i="2"/>
  <c r="AC161" i="2"/>
  <c r="AC199" i="2"/>
  <c r="X161" i="2"/>
  <c r="X199" i="2"/>
  <c r="H161" i="2"/>
  <c r="H199" i="2"/>
  <c r="U161" i="2"/>
  <c r="U199" i="2"/>
  <c r="N161" i="2"/>
  <c r="N199" i="2"/>
  <c r="I161" i="2"/>
  <c r="I199" i="2"/>
  <c r="L161" i="2"/>
  <c r="L199" i="2"/>
  <c r="AA161" i="2"/>
  <c r="AA199" i="2"/>
  <c r="J161" i="2"/>
  <c r="J199" i="2"/>
  <c r="AF161" i="2"/>
  <c r="AF199" i="2"/>
  <c r="V161" i="2"/>
  <c r="V199" i="2"/>
  <c r="K161" i="2"/>
  <c r="K199" i="2"/>
  <c r="Z161" i="2"/>
  <c r="Z199" i="2"/>
  <c r="G161" i="2"/>
  <c r="G199" i="2"/>
  <c r="AD161" i="2"/>
  <c r="AD199" i="2"/>
  <c r="AE161" i="2"/>
  <c r="AE199" i="2"/>
  <c r="S161" i="2"/>
  <c r="S199" i="2"/>
  <c r="G85" i="2"/>
  <c r="G123" i="2"/>
  <c r="H85" i="2"/>
  <c r="H123" i="2"/>
  <c r="U85" i="2"/>
  <c r="U123" i="2"/>
  <c r="N85" i="2"/>
  <c r="N123" i="2"/>
  <c r="AB85" i="2"/>
  <c r="AB123" i="2"/>
  <c r="L85" i="2"/>
  <c r="L123" i="2"/>
  <c r="J85" i="2"/>
  <c r="J123" i="2"/>
  <c r="V85" i="2"/>
  <c r="V123" i="2"/>
  <c r="K85" i="2"/>
  <c r="K123" i="2"/>
  <c r="Z85" i="2"/>
  <c r="Z123" i="2"/>
  <c r="I85" i="2"/>
  <c r="I123" i="2"/>
  <c r="AF85" i="2"/>
  <c r="AF123" i="2"/>
  <c r="AD85" i="2"/>
  <c r="AD123" i="2"/>
  <c r="AE85" i="2"/>
  <c r="AE123" i="2"/>
  <c r="S85" i="2"/>
  <c r="S123" i="2"/>
  <c r="AA85" i="2"/>
  <c r="AA123" i="2"/>
  <c r="X85" i="2"/>
  <c r="X123" i="2"/>
  <c r="Y85" i="2"/>
  <c r="Y123" i="2"/>
  <c r="W85" i="2"/>
  <c r="W123" i="2"/>
  <c r="AG85" i="2"/>
  <c r="AG123" i="2"/>
  <c r="T85" i="2"/>
  <c r="T123" i="2"/>
  <c r="AC85" i="2"/>
  <c r="AC123" i="2"/>
  <c r="H8" i="2"/>
  <c r="H47" i="2"/>
  <c r="U8" i="2"/>
  <c r="U47" i="2"/>
  <c r="N8" i="2"/>
  <c r="N47" i="2"/>
  <c r="L8" i="2"/>
  <c r="L47" i="2"/>
  <c r="AA8" i="2"/>
  <c r="AA47" i="2"/>
  <c r="J8" i="2"/>
  <c r="J47" i="2"/>
  <c r="AF8" i="2"/>
  <c r="AF47" i="2"/>
  <c r="G8" i="2"/>
  <c r="G47" i="2"/>
  <c r="V8" i="2"/>
  <c r="V47" i="2"/>
  <c r="K8" i="2"/>
  <c r="K47" i="2"/>
  <c r="Z8" i="2"/>
  <c r="Z47" i="2"/>
  <c r="AD8" i="2"/>
  <c r="AD47" i="2"/>
  <c r="AE8" i="2"/>
  <c r="AE47" i="2"/>
  <c r="S8" i="2"/>
  <c r="S47" i="2"/>
  <c r="I8" i="2"/>
  <c r="I47" i="2"/>
  <c r="X8" i="2"/>
  <c r="X47" i="2"/>
  <c r="Y8" i="2"/>
  <c r="Y47" i="2"/>
  <c r="W8" i="2"/>
  <c r="W47" i="2"/>
  <c r="AG8" i="2"/>
  <c r="AG47" i="2"/>
  <c r="AB8" i="2"/>
  <c r="AB47" i="2"/>
  <c r="T8" i="2"/>
  <c r="T47" i="2"/>
  <c r="AC8" i="2"/>
  <c r="AC47" i="2"/>
  <c r="W553" i="2"/>
  <c r="AA553" i="2"/>
  <c r="U553" i="2"/>
  <c r="V553" i="2"/>
  <c r="AB553" i="2"/>
  <c r="X553" i="2"/>
  <c r="Y553" i="2"/>
  <c r="AD553" i="2"/>
  <c r="AE553" i="2"/>
  <c r="AK135" i="2"/>
  <c r="H515" i="2"/>
  <c r="AI135" i="2"/>
  <c r="AH350" i="2"/>
  <c r="AI350" i="2" s="1"/>
  <c r="J356" i="2"/>
  <c r="J358" i="2" s="1"/>
  <c r="D15" i="4" s="1"/>
  <c r="AB124" i="1"/>
  <c r="AC124" i="1" s="1"/>
  <c r="O272" i="1"/>
  <c r="O324" i="1"/>
  <c r="AB324" i="1" s="1"/>
  <c r="AC324" i="1" s="1"/>
  <c r="O322" i="1"/>
  <c r="AB322" i="1" s="1"/>
  <c r="AC322" i="1" s="1"/>
  <c r="O451" i="1"/>
  <c r="O326" i="1"/>
  <c r="AB326" i="1" s="1"/>
  <c r="AC326" i="1" s="1"/>
  <c r="O320" i="1"/>
  <c r="AB320" i="1" s="1"/>
  <c r="AC320" i="1" s="1"/>
  <c r="O316" i="1"/>
  <c r="O281" i="1"/>
  <c r="AB281" i="1" s="1"/>
  <c r="AC281" i="1" s="1"/>
  <c r="O457" i="1"/>
  <c r="AB457" i="1" s="1"/>
  <c r="AC457" i="1" s="1"/>
  <c r="E58" i="2"/>
  <c r="O318" i="1"/>
  <c r="AB318" i="1" s="1"/>
  <c r="AC318" i="1" s="1"/>
  <c r="O278" i="1"/>
  <c r="AB278" i="1" s="1"/>
  <c r="AC278" i="1" s="1"/>
  <c r="O314" i="1"/>
  <c r="AB126" i="1"/>
  <c r="AC126" i="1" s="1"/>
  <c r="F562" i="2"/>
  <c r="AH533" i="2"/>
  <c r="AI533" i="2" s="1"/>
  <c r="AI342" i="2"/>
  <c r="F499" i="2"/>
  <c r="F500" i="2" s="1"/>
  <c r="AH500" i="2" s="1"/>
  <c r="AI498" i="2"/>
  <c r="J452" i="2"/>
  <c r="AH452" i="2" s="1"/>
  <c r="AI452" i="2" s="1"/>
  <c r="AI451" i="2"/>
  <c r="E162" i="2"/>
  <c r="E503" i="2"/>
  <c r="E512" i="2"/>
  <c r="E521" i="2" s="1"/>
  <c r="E125" i="2"/>
  <c r="I133" i="1"/>
  <c r="J476" i="2"/>
  <c r="J479" i="2" s="1"/>
  <c r="AH479" i="2" s="1"/>
  <c r="AH455" i="2"/>
  <c r="AI455" i="2" s="1"/>
  <c r="G58" i="2" l="1"/>
  <c r="G60" i="2" s="1"/>
  <c r="K58" i="2"/>
  <c r="K60" i="2" s="1"/>
  <c r="L58" i="2"/>
  <c r="L60" i="2" s="1"/>
  <c r="N58" i="2"/>
  <c r="N60" i="2" s="1"/>
  <c r="I58" i="2"/>
  <c r="I60" i="2" s="1"/>
  <c r="H58" i="2"/>
  <c r="H60" i="2" s="1"/>
  <c r="J58" i="2"/>
  <c r="J60" i="2" s="1"/>
  <c r="M58" i="2"/>
  <c r="M60" i="2" s="1"/>
  <c r="R58" i="2"/>
  <c r="R60" i="2" s="1"/>
  <c r="Y58" i="2"/>
  <c r="Y60" i="2" s="1"/>
  <c r="W58" i="2"/>
  <c r="W60" i="2" s="1"/>
  <c r="AE58" i="2"/>
  <c r="AE60" i="2" s="1"/>
  <c r="V58" i="2"/>
  <c r="V60" i="2" s="1"/>
  <c r="AB58" i="2"/>
  <c r="AB60" i="2" s="1"/>
  <c r="U58" i="2"/>
  <c r="U60" i="2" s="1"/>
  <c r="S58" i="2"/>
  <c r="S60" i="2" s="1"/>
  <c r="AG58" i="2"/>
  <c r="AG60" i="2" s="1"/>
  <c r="AF58" i="2"/>
  <c r="AF60" i="2" s="1"/>
  <c r="T58" i="2"/>
  <c r="T60" i="2" s="1"/>
  <c r="AA58" i="2"/>
  <c r="AA60" i="2" s="1"/>
  <c r="F58" i="2"/>
  <c r="Q58" i="2"/>
  <c r="Q60" i="2" s="1"/>
  <c r="AD58" i="2"/>
  <c r="AD60" i="2" s="1"/>
  <c r="X58" i="2"/>
  <c r="X60" i="2" s="1"/>
  <c r="AC58" i="2"/>
  <c r="AC60" i="2" s="1"/>
  <c r="Z58" i="2"/>
  <c r="Z60" i="2" s="1"/>
  <c r="P58" i="2"/>
  <c r="P60" i="2" s="1"/>
  <c r="O58" i="2"/>
  <c r="O60" i="2" s="1"/>
  <c r="U511" i="2"/>
  <c r="U520" i="2" s="1"/>
  <c r="AG511" i="2"/>
  <c r="AG520" i="2" s="1"/>
  <c r="X511" i="2"/>
  <c r="X520" i="2" s="1"/>
  <c r="V511" i="2"/>
  <c r="V520" i="2" s="1"/>
  <c r="T511" i="2"/>
  <c r="T520" i="2" s="1"/>
  <c r="R529" i="2"/>
  <c r="S529" i="2"/>
  <c r="AF511" i="2"/>
  <c r="AF520" i="2" s="1"/>
  <c r="AC511" i="2"/>
  <c r="AC520" i="2" s="1"/>
  <c r="Y511" i="2"/>
  <c r="Y520" i="2" s="1"/>
  <c r="Q529" i="2"/>
  <c r="W511" i="2"/>
  <c r="W520" i="2" s="1"/>
  <c r="L529" i="2"/>
  <c r="AA511" i="2"/>
  <c r="AA520" i="2" s="1"/>
  <c r="AE511" i="2"/>
  <c r="AE520" i="2" s="1"/>
  <c r="AB511" i="2"/>
  <c r="AB520" i="2" s="1"/>
  <c r="Z511" i="2"/>
  <c r="Z520" i="2" s="1"/>
  <c r="D28" i="4"/>
  <c r="D39" i="4" s="1"/>
  <c r="AH515" i="2"/>
  <c r="AK123" i="2"/>
  <c r="AH356" i="2"/>
  <c r="AI356" i="2" s="1"/>
  <c r="E248" i="2"/>
  <c r="O328" i="1"/>
  <c r="AB328" i="1" s="1"/>
  <c r="AC328" i="1" s="1"/>
  <c r="AB314" i="1"/>
  <c r="AC314" i="1" s="1"/>
  <c r="O283" i="1"/>
  <c r="AB272" i="1"/>
  <c r="AC272" i="1" s="1"/>
  <c r="O461" i="1"/>
  <c r="AB451" i="1"/>
  <c r="AC451" i="1" s="1"/>
  <c r="E60" i="2"/>
  <c r="E79" i="2" s="1"/>
  <c r="E286" i="2"/>
  <c r="AB316" i="1"/>
  <c r="AC316" i="1" s="1"/>
  <c r="J511" i="2"/>
  <c r="J459" i="2"/>
  <c r="AH459" i="2" s="1"/>
  <c r="AI459" i="2" s="1"/>
  <c r="AI458" i="2"/>
  <c r="I144" i="1"/>
  <c r="P511" i="2"/>
  <c r="P520" i="2" s="1"/>
  <c r="O529" i="2"/>
  <c r="G511" i="2"/>
  <c r="J483" i="2"/>
  <c r="J486" i="2" s="1"/>
  <c r="AH486" i="2" s="1"/>
  <c r="AH476" i="2"/>
  <c r="AI476" i="2" s="1"/>
  <c r="AH499" i="2"/>
  <c r="AI499" i="2" s="1"/>
  <c r="I511" i="2"/>
  <c r="K511" i="2"/>
  <c r="E163" i="2"/>
  <c r="P529" i="2"/>
  <c r="G529" i="2"/>
  <c r="AD511" i="2"/>
  <c r="AD520" i="2" s="1"/>
  <c r="K529" i="2"/>
  <c r="N529" i="2"/>
  <c r="J529" i="2"/>
  <c r="E505" i="2"/>
  <c r="AH503" i="2"/>
  <c r="AI503" i="2" s="1"/>
  <c r="I529" i="2"/>
  <c r="H511" i="2"/>
  <c r="H529" i="2"/>
  <c r="F60" i="2" l="1"/>
  <c r="AH60" i="2" s="1"/>
  <c r="AH58" i="2"/>
  <c r="Y286" i="2"/>
  <c r="H286" i="2"/>
  <c r="I286" i="2"/>
  <c r="G286" i="2"/>
  <c r="G288" i="2" s="1"/>
  <c r="M286" i="2"/>
  <c r="M288" i="2" s="1"/>
  <c r="AD286" i="2"/>
  <c r="AD288" i="2" s="1"/>
  <c r="AG286" i="2"/>
  <c r="V286" i="2"/>
  <c r="AE286" i="2"/>
  <c r="Z286" i="2"/>
  <c r="W286" i="2"/>
  <c r="W288" i="2" s="1"/>
  <c r="U286" i="2"/>
  <c r="U288" i="2" s="1"/>
  <c r="S286" i="2"/>
  <c r="S288" i="2" s="1"/>
  <c r="K286" i="2"/>
  <c r="K288" i="2" s="1"/>
  <c r="T286" i="2"/>
  <c r="N286" i="2"/>
  <c r="X286" i="2"/>
  <c r="AB286" i="2"/>
  <c r="AB288" i="2" s="1"/>
  <c r="L286" i="2"/>
  <c r="L288" i="2" s="1"/>
  <c r="AA286" i="2"/>
  <c r="AA288" i="2" s="1"/>
  <c r="AC286" i="2"/>
  <c r="AC288" i="2" s="1"/>
  <c r="AF286" i="2"/>
  <c r="AF288" i="2" s="1"/>
  <c r="J286" i="2"/>
  <c r="Q286" i="2"/>
  <c r="O286" i="2"/>
  <c r="P286" i="2"/>
  <c r="P288" i="2" s="1"/>
  <c r="R286" i="2"/>
  <c r="R288" i="2" s="1"/>
  <c r="F286" i="2"/>
  <c r="G248" i="2"/>
  <c r="G250" i="2" s="1"/>
  <c r="AG248" i="2"/>
  <c r="AG250" i="2" s="1"/>
  <c r="V248" i="2"/>
  <c r="V250" i="2" s="1"/>
  <c r="AE248" i="2"/>
  <c r="Z248" i="2"/>
  <c r="W248" i="2"/>
  <c r="W250" i="2" s="1"/>
  <c r="U248" i="2"/>
  <c r="U250" i="2" s="1"/>
  <c r="Y248" i="2"/>
  <c r="Y250" i="2" s="1"/>
  <c r="M248" i="2"/>
  <c r="M250" i="2" s="1"/>
  <c r="S248" i="2"/>
  <c r="S250" i="2" s="1"/>
  <c r="K248" i="2"/>
  <c r="T248" i="2"/>
  <c r="N248" i="2"/>
  <c r="X248" i="2"/>
  <c r="X250" i="2" s="1"/>
  <c r="I248" i="2"/>
  <c r="I250" i="2" s="1"/>
  <c r="AB248" i="2"/>
  <c r="AB250" i="2" s="1"/>
  <c r="L248" i="2"/>
  <c r="L250" i="2" s="1"/>
  <c r="AA248" i="2"/>
  <c r="AA250" i="2" s="1"/>
  <c r="AC248" i="2"/>
  <c r="AC250" i="2" s="1"/>
  <c r="AF248" i="2"/>
  <c r="J248" i="2"/>
  <c r="H248" i="2"/>
  <c r="H250" i="2" s="1"/>
  <c r="AD248" i="2"/>
  <c r="AD250" i="2" s="1"/>
  <c r="R248" i="2"/>
  <c r="R250" i="2" s="1"/>
  <c r="O248" i="2"/>
  <c r="O250" i="2" s="1"/>
  <c r="Q248" i="2"/>
  <c r="Q250" i="2" s="1"/>
  <c r="P248" i="2"/>
  <c r="P250" i="2" s="1"/>
  <c r="F248" i="2"/>
  <c r="AA505" i="2"/>
  <c r="S505" i="2"/>
  <c r="S506" i="2" s="1"/>
  <c r="K505" i="2"/>
  <c r="K506" i="2" s="1"/>
  <c r="V505" i="2"/>
  <c r="V506" i="2" s="1"/>
  <c r="Z505" i="2"/>
  <c r="Z506" i="2" s="1"/>
  <c r="R505" i="2"/>
  <c r="R506" i="2" s="1"/>
  <c r="J505" i="2"/>
  <c r="J506" i="2" s="1"/>
  <c r="N505" i="2"/>
  <c r="N506" i="2" s="1"/>
  <c r="AG505" i="2"/>
  <c r="AG506" i="2" s="1"/>
  <c r="Y505" i="2"/>
  <c r="Y506" i="2" s="1"/>
  <c r="Q505" i="2"/>
  <c r="Q506" i="2" s="1"/>
  <c r="I505" i="2"/>
  <c r="I506" i="2" s="1"/>
  <c r="F505" i="2"/>
  <c r="AF505" i="2"/>
  <c r="AF506" i="2" s="1"/>
  <c r="X505" i="2"/>
  <c r="X506" i="2" s="1"/>
  <c r="P505" i="2"/>
  <c r="P506" i="2" s="1"/>
  <c r="H505" i="2"/>
  <c r="H506" i="2" s="1"/>
  <c r="AE505" i="2"/>
  <c r="AE506" i="2" s="1"/>
  <c r="W505" i="2"/>
  <c r="W506" i="2" s="1"/>
  <c r="O505" i="2"/>
  <c r="O506" i="2" s="1"/>
  <c r="G505" i="2"/>
  <c r="G506" i="2" s="1"/>
  <c r="AD505" i="2"/>
  <c r="AD506" i="2" s="1"/>
  <c r="AC505" i="2"/>
  <c r="AC506" i="2" s="1"/>
  <c r="U505" i="2"/>
  <c r="U506" i="2" s="1"/>
  <c r="M505" i="2"/>
  <c r="M506" i="2" s="1"/>
  <c r="AB505" i="2"/>
  <c r="AB506" i="2" s="1"/>
  <c r="T505" i="2"/>
  <c r="T506" i="2" s="1"/>
  <c r="L505" i="2"/>
  <c r="L506" i="2" s="1"/>
  <c r="F8" i="2"/>
  <c r="AH8" i="2" s="1"/>
  <c r="F47" i="2"/>
  <c r="AH47" i="2" s="1"/>
  <c r="F161" i="2"/>
  <c r="AH161" i="2" s="1"/>
  <c r="F123" i="2"/>
  <c r="AH123" i="2" s="1"/>
  <c r="F199" i="2"/>
  <c r="AH199" i="2" s="1"/>
  <c r="F237" i="2"/>
  <c r="AH237" i="2" s="1"/>
  <c r="F85" i="2"/>
  <c r="AH85" i="2" s="1"/>
  <c r="F275" i="2"/>
  <c r="AH275" i="2" s="1"/>
  <c r="N511" i="2"/>
  <c r="N520" i="2" s="1"/>
  <c r="S511" i="2"/>
  <c r="S520" i="2" s="1"/>
  <c r="R511" i="2"/>
  <c r="R520" i="2" s="1"/>
  <c r="L511" i="2"/>
  <c r="L520" i="2" s="1"/>
  <c r="L549" i="2" s="1"/>
  <c r="L568" i="2" s="1"/>
  <c r="D45" i="4"/>
  <c r="D52" i="4"/>
  <c r="Q511" i="2"/>
  <c r="Q520" i="2" s="1"/>
  <c r="D50" i="4"/>
  <c r="D51" i="4"/>
  <c r="D35" i="4"/>
  <c r="D47" i="4"/>
  <c r="D48" i="4"/>
  <c r="D44" i="4"/>
  <c r="D49" i="4"/>
  <c r="D46" i="4"/>
  <c r="D42" i="4"/>
  <c r="D38" i="4"/>
  <c r="D43" i="4"/>
  <c r="D37" i="4"/>
  <c r="D36" i="4"/>
  <c r="D41" i="4"/>
  <c r="D40" i="4"/>
  <c r="M529" i="2"/>
  <c r="M511" i="2"/>
  <c r="AI515" i="2"/>
  <c r="K520" i="2"/>
  <c r="I520" i="2"/>
  <c r="I549" i="2" s="1"/>
  <c r="I568" i="2" s="1"/>
  <c r="O549" i="2"/>
  <c r="O568" i="2" s="1"/>
  <c r="H520" i="2"/>
  <c r="H549" i="2" s="1"/>
  <c r="H568" i="2" s="1"/>
  <c r="G520" i="2"/>
  <c r="G549" i="2" s="1"/>
  <c r="G568" i="2" s="1"/>
  <c r="J520" i="2"/>
  <c r="J549" i="2" s="1"/>
  <c r="J568" i="2" s="1"/>
  <c r="L558" i="2"/>
  <c r="J558" i="2"/>
  <c r="H558" i="2"/>
  <c r="I558" i="2"/>
  <c r="G558" i="2"/>
  <c r="AH358" i="2"/>
  <c r="AI358" i="2" s="1"/>
  <c r="E288" i="2"/>
  <c r="E307" i="2" s="1"/>
  <c r="E322" i="2" s="1"/>
  <c r="T288" i="2"/>
  <c r="Q288" i="2"/>
  <c r="I288" i="2"/>
  <c r="Z288" i="2"/>
  <c r="AG288" i="2"/>
  <c r="X288" i="2"/>
  <c r="O288" i="2"/>
  <c r="Y288" i="2"/>
  <c r="N288" i="2"/>
  <c r="J288" i="2"/>
  <c r="V288" i="2"/>
  <c r="H288" i="2"/>
  <c r="AE288" i="2"/>
  <c r="AI60" i="2"/>
  <c r="AI58" i="2"/>
  <c r="O463" i="1"/>
  <c r="AB461" i="1"/>
  <c r="AC461" i="1" s="1"/>
  <c r="O285" i="1"/>
  <c r="AB283" i="1"/>
  <c r="AC283" i="1" s="1"/>
  <c r="E250" i="2"/>
  <c r="E269" i="2" s="1"/>
  <c r="E321" i="2" s="1"/>
  <c r="T250" i="2"/>
  <c r="N250" i="2"/>
  <c r="K250" i="2"/>
  <c r="Z250" i="2"/>
  <c r="J250" i="2"/>
  <c r="AE250" i="2"/>
  <c r="AF250" i="2"/>
  <c r="O558" i="2"/>
  <c r="AI500" i="2"/>
  <c r="Y549" i="2"/>
  <c r="Y593" i="2" s="1"/>
  <c r="Y619" i="2" s="1"/>
  <c r="U549" i="2"/>
  <c r="U593" i="2" s="1"/>
  <c r="U619" i="2" s="1"/>
  <c r="J480" i="2"/>
  <c r="J481" i="2" s="1"/>
  <c r="AH481" i="2" s="1"/>
  <c r="AI479" i="2"/>
  <c r="AD549" i="2"/>
  <c r="AD593" i="2" s="1"/>
  <c r="AD619" i="2" s="1"/>
  <c r="S558" i="2"/>
  <c r="X549" i="2"/>
  <c r="X593" i="2" s="1"/>
  <c r="X619" i="2" s="1"/>
  <c r="R558" i="2"/>
  <c r="AA549" i="2"/>
  <c r="AA593" i="2" s="1"/>
  <c r="AA619" i="2" s="1"/>
  <c r="AB549" i="2"/>
  <c r="AB593" i="2" s="1"/>
  <c r="AB619" i="2" s="1"/>
  <c r="V549" i="2"/>
  <c r="V593" i="2" s="1"/>
  <c r="V619" i="2" s="1"/>
  <c r="AH483" i="2"/>
  <c r="AI483" i="2" s="1"/>
  <c r="E86" i="2"/>
  <c r="AE549" i="2"/>
  <c r="AE593" i="2" s="1"/>
  <c r="AE619" i="2" s="1"/>
  <c r="W549" i="2"/>
  <c r="W593" i="2" s="1"/>
  <c r="W619" i="2" s="1"/>
  <c r="Z549" i="2"/>
  <c r="Z593" i="2" s="1"/>
  <c r="Z619" i="2" s="1"/>
  <c r="E506" i="2"/>
  <c r="AA506" i="2"/>
  <c r="Q558" i="2"/>
  <c r="AC549" i="2"/>
  <c r="AC593" i="2" s="1"/>
  <c r="AC619" i="2" s="1"/>
  <c r="K507" i="2" l="1"/>
  <c r="K238" i="2" s="1"/>
  <c r="L507" i="2"/>
  <c r="I507" i="2"/>
  <c r="I238" i="2" s="1"/>
  <c r="W507" i="2"/>
  <c r="X86" i="2" s="1"/>
  <c r="X87" i="2" s="1"/>
  <c r="AC507" i="2"/>
  <c r="AD276" i="2" s="1"/>
  <c r="AB507" i="2"/>
  <c r="AC200" i="2" s="1"/>
  <c r="X507" i="2"/>
  <c r="Y238" i="2" s="1"/>
  <c r="U507" i="2"/>
  <c r="V124" i="2" s="1"/>
  <c r="R507" i="2"/>
  <c r="S276" i="2" s="1"/>
  <c r="AH286" i="2"/>
  <c r="AF507" i="2"/>
  <c r="AG238" i="2" s="1"/>
  <c r="Z507" i="2"/>
  <c r="AA238" i="2" s="1"/>
  <c r="T507" i="2"/>
  <c r="U200" i="2" s="1"/>
  <c r="M507" i="2"/>
  <c r="M276" i="2" s="1"/>
  <c r="V507" i="2"/>
  <c r="W238" i="2" s="1"/>
  <c r="N507" i="2"/>
  <c r="N276" i="2" s="1"/>
  <c r="AH248" i="2"/>
  <c r="Y507" i="2"/>
  <c r="J507" i="2"/>
  <c r="J276" i="2" s="1"/>
  <c r="AE507" i="2"/>
  <c r="AF276" i="2" s="1"/>
  <c r="AG507" i="2"/>
  <c r="S507" i="2"/>
  <c r="T238" i="2" s="1"/>
  <c r="AA507" i="2"/>
  <c r="AB124" i="2" s="1"/>
  <c r="G507" i="2"/>
  <c r="G276" i="2" s="1"/>
  <c r="AD507" i="2"/>
  <c r="AE238" i="2" s="1"/>
  <c r="AH505" i="2"/>
  <c r="H507" i="2"/>
  <c r="H238" i="2" s="1"/>
  <c r="Q507" i="2"/>
  <c r="P507" i="2"/>
  <c r="O507" i="2"/>
  <c r="L238" i="2"/>
  <c r="L276" i="2"/>
  <c r="Z238" i="2"/>
  <c r="Z276" i="2"/>
  <c r="I276" i="2"/>
  <c r="X238" i="2"/>
  <c r="K162" i="2"/>
  <c r="K200" i="2"/>
  <c r="Z162" i="2"/>
  <c r="Z200" i="2"/>
  <c r="L162" i="2"/>
  <c r="L200" i="2"/>
  <c r="I162" i="2"/>
  <c r="I200" i="2"/>
  <c r="X162" i="2"/>
  <c r="AD200" i="2"/>
  <c r="AE162" i="2"/>
  <c r="S162" i="2"/>
  <c r="S200" i="2"/>
  <c r="L86" i="2"/>
  <c r="L87" i="2" s="1"/>
  <c r="L124" i="2"/>
  <c r="Z86" i="2"/>
  <c r="Z87" i="2" s="1"/>
  <c r="Z124" i="2"/>
  <c r="U86" i="2"/>
  <c r="U87" i="2" s="1"/>
  <c r="X124" i="2"/>
  <c r="S86" i="2"/>
  <c r="S87" i="2" s="1"/>
  <c r="S124" i="2"/>
  <c r="AF124" i="2"/>
  <c r="K86" i="2"/>
  <c r="K87" i="2" s="1"/>
  <c r="K124" i="2"/>
  <c r="AD124" i="2"/>
  <c r="AE86" i="2"/>
  <c r="AE87" i="2" s="1"/>
  <c r="AE124" i="2"/>
  <c r="AA86" i="2"/>
  <c r="AA87" i="2" s="1"/>
  <c r="AA124" i="2"/>
  <c r="AG86" i="2"/>
  <c r="AG87" i="2" s="1"/>
  <c r="AG124" i="2"/>
  <c r="I86" i="2"/>
  <c r="I87" i="2" s="1"/>
  <c r="I124" i="2"/>
  <c r="J55" i="2"/>
  <c r="AH55" i="2" s="1"/>
  <c r="J93" i="2"/>
  <c r="AH93" i="2" s="1"/>
  <c r="I9" i="2"/>
  <c r="I10" i="2" s="1"/>
  <c r="I48" i="2"/>
  <c r="Z9" i="2"/>
  <c r="Z10" i="2" s="1"/>
  <c r="Z48" i="2"/>
  <c r="U48" i="2"/>
  <c r="AD9" i="2"/>
  <c r="AD10" i="2" s="1"/>
  <c r="AD48" i="2"/>
  <c r="AE9" i="2"/>
  <c r="AE10" i="2" s="1"/>
  <c r="AE48" i="2"/>
  <c r="AF9" i="2"/>
  <c r="AF10" i="2" s="1"/>
  <c r="AF48" i="2"/>
  <c r="AG9" i="2"/>
  <c r="AG10" i="2" s="1"/>
  <c r="AG48" i="2"/>
  <c r="K9" i="2"/>
  <c r="K10" i="2" s="1"/>
  <c r="K48" i="2"/>
  <c r="S9" i="2"/>
  <c r="S10" i="2" s="1"/>
  <c r="S48" i="2"/>
  <c r="L9" i="2"/>
  <c r="L10" i="2" s="1"/>
  <c r="L48" i="2"/>
  <c r="J16" i="2"/>
  <c r="AH16" i="2" s="1"/>
  <c r="M520" i="2"/>
  <c r="M558" i="2"/>
  <c r="M620" i="2"/>
  <c r="I619" i="2"/>
  <c r="I593" i="2"/>
  <c r="H593" i="2"/>
  <c r="H619" i="2"/>
  <c r="O619" i="2"/>
  <c r="O593" i="2"/>
  <c r="G593" i="2"/>
  <c r="G619" i="2"/>
  <c r="J593" i="2"/>
  <c r="J619" i="2"/>
  <c r="L619" i="2"/>
  <c r="L593" i="2"/>
  <c r="F288" i="2"/>
  <c r="AH288" i="2" s="1"/>
  <c r="AI288" i="2" s="1"/>
  <c r="AI286" i="2"/>
  <c r="AI248" i="2"/>
  <c r="F250" i="2"/>
  <c r="AH250" i="2" s="1"/>
  <c r="AI250" i="2" s="1"/>
  <c r="O465" i="1"/>
  <c r="AB463" i="1"/>
  <c r="AC463" i="1" s="1"/>
  <c r="O129" i="1"/>
  <c r="E134" i="2"/>
  <c r="O330" i="1"/>
  <c r="AB330" i="1" s="1"/>
  <c r="AC330" i="1" s="1"/>
  <c r="O287" i="1"/>
  <c r="AB287" i="1" s="1"/>
  <c r="AC287" i="1" s="1"/>
  <c r="AB285" i="1"/>
  <c r="AC285" i="1" s="1"/>
  <c r="F529" i="2"/>
  <c r="AI85" i="2"/>
  <c r="AI199" i="2"/>
  <c r="E530" i="2"/>
  <c r="E87" i="2"/>
  <c r="AI275" i="2"/>
  <c r="T549" i="2"/>
  <c r="T538" i="2"/>
  <c r="AI123" i="2"/>
  <c r="F511" i="2"/>
  <c r="F520" i="2" s="1"/>
  <c r="AI8" i="2"/>
  <c r="F506" i="2"/>
  <c r="F507" i="2" s="1"/>
  <c r="AI505" i="2"/>
  <c r="J487" i="2"/>
  <c r="J488" i="2" s="1"/>
  <c r="AH488" i="2" s="1"/>
  <c r="AI486" i="2"/>
  <c r="AH480" i="2"/>
  <c r="AI480" i="2" s="1"/>
  <c r="AI47" i="2"/>
  <c r="AI237" i="2"/>
  <c r="AI161" i="2"/>
  <c r="U276" i="2" l="1"/>
  <c r="U238" i="2"/>
  <c r="U9" i="2"/>
  <c r="U10" i="2" s="1"/>
  <c r="AD86" i="2"/>
  <c r="AD87" i="2" s="1"/>
  <c r="AD162" i="2"/>
  <c r="U162" i="2"/>
  <c r="U163" i="2" s="1"/>
  <c r="AD238" i="2"/>
  <c r="AE200" i="2"/>
  <c r="AE201" i="2" s="1"/>
  <c r="AE231" i="2" s="1"/>
  <c r="AF86" i="2"/>
  <c r="AF87" i="2" s="1"/>
  <c r="AA48" i="2"/>
  <c r="X48" i="2"/>
  <c r="AG200" i="2"/>
  <c r="AG201" i="2" s="1"/>
  <c r="AG231" i="2" s="1"/>
  <c r="AA9" i="2"/>
  <c r="AA10" i="2" s="1"/>
  <c r="AA40" i="2" s="1"/>
  <c r="X9" i="2"/>
  <c r="X10" i="2" s="1"/>
  <c r="X40" i="2" s="1"/>
  <c r="AA162" i="2"/>
  <c r="AA163" i="2" s="1"/>
  <c r="X200" i="2"/>
  <c r="X201" i="2" s="1"/>
  <c r="X231" i="2" s="1"/>
  <c r="S238" i="2"/>
  <c r="K276" i="2"/>
  <c r="U124" i="2"/>
  <c r="AB9" i="2"/>
  <c r="AB10" i="2" s="1"/>
  <c r="AB40" i="2" s="1"/>
  <c r="X276" i="2"/>
  <c r="X277" i="2" s="1"/>
  <c r="X307" i="2" s="1"/>
  <c r="X322" i="2" s="1"/>
  <c r="Y9" i="2"/>
  <c r="Y10" i="2" s="1"/>
  <c r="Y40" i="2" s="1"/>
  <c r="AG162" i="2"/>
  <c r="AG163" i="2" s="1"/>
  <c r="AG276" i="2"/>
  <c r="AG277" i="2" s="1"/>
  <c r="AG307" i="2" s="1"/>
  <c r="AG322" i="2" s="1"/>
  <c r="AA200" i="2"/>
  <c r="AA201" i="2" s="1"/>
  <c r="AA231" i="2" s="1"/>
  <c r="AF162" i="2"/>
  <c r="AF163" i="2" s="1"/>
  <c r="AB86" i="2"/>
  <c r="AB87" i="2" s="1"/>
  <c r="AA276" i="2"/>
  <c r="AA277" i="2" s="1"/>
  <c r="AA307" i="2" s="1"/>
  <c r="AA322" i="2" s="1"/>
  <c r="Y48" i="2"/>
  <c r="Y49" i="2" s="1"/>
  <c r="Y79" i="2" s="1"/>
  <c r="Y124" i="2"/>
  <c r="Y86" i="2"/>
  <c r="Y87" i="2" s="1"/>
  <c r="Y200" i="2"/>
  <c r="Y201" i="2" s="1"/>
  <c r="Y231" i="2" s="1"/>
  <c r="Y162" i="2"/>
  <c r="Y163" i="2" s="1"/>
  <c r="T9" i="2"/>
  <c r="T10" i="2" s="1"/>
  <c r="T40" i="2" s="1"/>
  <c r="M124" i="2"/>
  <c r="AC124" i="2"/>
  <c r="M238" i="2"/>
  <c r="M239" i="2" s="1"/>
  <c r="M269" i="2" s="1"/>
  <c r="M321" i="2" s="1"/>
  <c r="AC162" i="2"/>
  <c r="AC163" i="2" s="1"/>
  <c r="M162" i="2"/>
  <c r="M163" i="2" s="1"/>
  <c r="J86" i="2"/>
  <c r="J87" i="2" s="1"/>
  <c r="J238" i="2"/>
  <c r="J239" i="2" s="1"/>
  <c r="J200" i="2"/>
  <c r="J201" i="2" s="1"/>
  <c r="J162" i="2"/>
  <c r="J163" i="2" s="1"/>
  <c r="AF200" i="2"/>
  <c r="AF201" i="2" s="1"/>
  <c r="AF231" i="2" s="1"/>
  <c r="J48" i="2"/>
  <c r="J49" i="2" s="1"/>
  <c r="J9" i="2"/>
  <c r="J10" i="2" s="1"/>
  <c r="J124" i="2"/>
  <c r="AF238" i="2"/>
  <c r="AF239" i="2" s="1"/>
  <c r="AF269" i="2" s="1"/>
  <c r="AF321" i="2" s="1"/>
  <c r="M86" i="2"/>
  <c r="M87" i="2" s="1"/>
  <c r="M200" i="2"/>
  <c r="M201" i="2" s="1"/>
  <c r="M231" i="2" s="1"/>
  <c r="AC48" i="2"/>
  <c r="AC49" i="2" s="1"/>
  <c r="AC79" i="2" s="1"/>
  <c r="AC86" i="2"/>
  <c r="AC87" i="2" s="1"/>
  <c r="AC9" i="2"/>
  <c r="AC10" i="2" s="1"/>
  <c r="AC40" i="2" s="1"/>
  <c r="T124" i="2"/>
  <c r="T86" i="2"/>
  <c r="T87" i="2" s="1"/>
  <c r="T200" i="2"/>
  <c r="T201" i="2" s="1"/>
  <c r="T231" i="2" s="1"/>
  <c r="AC276" i="2"/>
  <c r="AC277" i="2" s="1"/>
  <c r="AC307" i="2" s="1"/>
  <c r="AC322" i="2" s="1"/>
  <c r="M48" i="2"/>
  <c r="M49" i="2" s="1"/>
  <c r="M79" i="2" s="1"/>
  <c r="M9" i="2"/>
  <c r="M10" i="2" s="1"/>
  <c r="M40" i="2" s="1"/>
  <c r="T162" i="2"/>
  <c r="T163" i="2" s="1"/>
  <c r="AC238" i="2"/>
  <c r="AC239" i="2" s="1"/>
  <c r="AC269" i="2" s="1"/>
  <c r="AC321" i="2" s="1"/>
  <c r="T48" i="2"/>
  <c r="T49" i="2" s="1"/>
  <c r="T79" i="2" s="1"/>
  <c r="T276" i="2"/>
  <c r="T277" i="2" s="1"/>
  <c r="T307" i="2" s="1"/>
  <c r="T322" i="2" s="1"/>
  <c r="G238" i="2"/>
  <c r="G239" i="2" s="1"/>
  <c r="G269" i="2" s="1"/>
  <c r="G321" i="2" s="1"/>
  <c r="N238" i="2"/>
  <c r="N239" i="2" s="1"/>
  <c r="N269" i="2" s="1"/>
  <c r="N321" i="2" s="1"/>
  <c r="Y276" i="2"/>
  <c r="Y277" i="2" s="1"/>
  <c r="Y307" i="2" s="1"/>
  <c r="Y322" i="2" s="1"/>
  <c r="V86" i="2"/>
  <c r="V87" i="2" s="1"/>
  <c r="N9" i="2"/>
  <c r="N10" i="2" s="1"/>
  <c r="N40" i="2" s="1"/>
  <c r="N124" i="2"/>
  <c r="N86" i="2"/>
  <c r="N87" i="2" s="1"/>
  <c r="V200" i="2"/>
  <c r="V201" i="2" s="1"/>
  <c r="V231" i="2" s="1"/>
  <c r="N200" i="2"/>
  <c r="N201" i="2" s="1"/>
  <c r="N231" i="2" s="1"/>
  <c r="V162" i="2"/>
  <c r="V163" i="2" s="1"/>
  <c r="N162" i="2"/>
  <c r="N163" i="2" s="1"/>
  <c r="G48" i="2"/>
  <c r="G49" i="2" s="1"/>
  <c r="G79" i="2" s="1"/>
  <c r="G9" i="2"/>
  <c r="G10" i="2" s="1"/>
  <c r="G40" i="2" s="1"/>
  <c r="G124" i="2"/>
  <c r="G86" i="2"/>
  <c r="G87" i="2" s="1"/>
  <c r="G200" i="2"/>
  <c r="G201" i="2" s="1"/>
  <c r="G231" i="2" s="1"/>
  <c r="V276" i="2"/>
  <c r="V277" i="2" s="1"/>
  <c r="V307" i="2" s="1"/>
  <c r="V322" i="2" s="1"/>
  <c r="V48" i="2"/>
  <c r="V49" i="2" s="1"/>
  <c r="V79" i="2" s="1"/>
  <c r="G162" i="2"/>
  <c r="G163" i="2" s="1"/>
  <c r="V238" i="2"/>
  <c r="V239" i="2" s="1"/>
  <c r="V269" i="2" s="1"/>
  <c r="V321" i="2" s="1"/>
  <c r="N48" i="2"/>
  <c r="N49" i="2" s="1"/>
  <c r="N79" i="2" s="1"/>
  <c r="V9" i="2"/>
  <c r="V10" i="2" s="1"/>
  <c r="V40" i="2" s="1"/>
  <c r="W200" i="2"/>
  <c r="W201" i="2" s="1"/>
  <c r="W231" i="2" s="1"/>
  <c r="W162" i="2"/>
  <c r="W163" i="2" s="1"/>
  <c r="W124" i="2"/>
  <c r="AB200" i="2"/>
  <c r="AB201" i="2" s="1"/>
  <c r="AB231" i="2" s="1"/>
  <c r="AB162" i="2"/>
  <c r="AB163" i="2" s="1"/>
  <c r="W86" i="2"/>
  <c r="W87" i="2" s="1"/>
  <c r="W48" i="2"/>
  <c r="W49" i="2" s="1"/>
  <c r="W79" i="2" s="1"/>
  <c r="W276" i="2"/>
  <c r="W277" i="2" s="1"/>
  <c r="W307" i="2" s="1"/>
  <c r="W322" i="2" s="1"/>
  <c r="AB276" i="2"/>
  <c r="AB277" i="2" s="1"/>
  <c r="AB307" i="2" s="1"/>
  <c r="AB322" i="2" s="1"/>
  <c r="W9" i="2"/>
  <c r="W10" i="2" s="1"/>
  <c r="W40" i="2" s="1"/>
  <c r="AB238" i="2"/>
  <c r="AB239" i="2" s="1"/>
  <c r="AB269" i="2" s="1"/>
  <c r="AB321" i="2" s="1"/>
  <c r="G134" i="2"/>
  <c r="AF134" i="2"/>
  <c r="J134" i="2"/>
  <c r="J136" i="2" s="1"/>
  <c r="S134" i="2"/>
  <c r="Y134" i="2"/>
  <c r="V134" i="2"/>
  <c r="K134" i="2"/>
  <c r="AA134" i="2"/>
  <c r="I134" i="2"/>
  <c r="AE134" i="2"/>
  <c r="AG134" i="2"/>
  <c r="T134" i="2"/>
  <c r="Z134" i="2"/>
  <c r="W134" i="2"/>
  <c r="AD134" i="2"/>
  <c r="M134" i="2"/>
  <c r="M514" i="2" s="1"/>
  <c r="L134" i="2"/>
  <c r="AC134" i="2"/>
  <c r="N134" i="2"/>
  <c r="X134" i="2"/>
  <c r="U134" i="2"/>
  <c r="AB134" i="2"/>
  <c r="H134" i="2"/>
  <c r="O134" i="2"/>
  <c r="P134" i="2"/>
  <c r="Q134" i="2"/>
  <c r="R134" i="2"/>
  <c r="F134" i="2"/>
  <c r="AB48" i="2"/>
  <c r="AB49" i="2" s="1"/>
  <c r="AB79" i="2" s="1"/>
  <c r="H162" i="2"/>
  <c r="H163" i="2" s="1"/>
  <c r="H200" i="2"/>
  <c r="H201" i="2" s="1"/>
  <c r="H231" i="2" s="1"/>
  <c r="H86" i="2"/>
  <c r="H87" i="2" s="1"/>
  <c r="H48" i="2"/>
  <c r="H49" i="2" s="1"/>
  <c r="H79" i="2" s="1"/>
  <c r="H9" i="2"/>
  <c r="H10" i="2" s="1"/>
  <c r="H40" i="2" s="1"/>
  <c r="H124" i="2"/>
  <c r="AE276" i="2"/>
  <c r="AE277" i="2" s="1"/>
  <c r="AE307" i="2" s="1"/>
  <c r="AE322" i="2" s="1"/>
  <c r="H276" i="2"/>
  <c r="H277" i="2" s="1"/>
  <c r="H307" i="2" s="1"/>
  <c r="H322" i="2" s="1"/>
  <c r="AH507" i="2"/>
  <c r="J207" i="2"/>
  <c r="AH207" i="2" s="1"/>
  <c r="AI207" i="2" s="1"/>
  <c r="Q276" i="2"/>
  <c r="Q277" i="2" s="1"/>
  <c r="Q307" i="2" s="1"/>
  <c r="Q322" i="2" s="1"/>
  <c r="P276" i="2"/>
  <c r="P277" i="2" s="1"/>
  <c r="P307" i="2" s="1"/>
  <c r="P322" i="2" s="1"/>
  <c r="O276" i="2"/>
  <c r="O277" i="2" s="1"/>
  <c r="O307" i="2" s="1"/>
  <c r="O322" i="2" s="1"/>
  <c r="R238" i="2"/>
  <c r="R239" i="2" s="1"/>
  <c r="R269" i="2" s="1"/>
  <c r="R321" i="2" s="1"/>
  <c r="R276" i="2"/>
  <c r="R277" i="2" s="1"/>
  <c r="R307" i="2" s="1"/>
  <c r="R322" i="2" s="1"/>
  <c r="J245" i="2"/>
  <c r="AH245" i="2" s="1"/>
  <c r="Q238" i="2"/>
  <c r="Q239" i="2" s="1"/>
  <c r="Q269" i="2" s="1"/>
  <c r="Q321" i="2" s="1"/>
  <c r="P238" i="2"/>
  <c r="P239" i="2" s="1"/>
  <c r="P269" i="2" s="1"/>
  <c r="P321" i="2" s="1"/>
  <c r="O238" i="2"/>
  <c r="O239" i="2" s="1"/>
  <c r="O269" i="2" s="1"/>
  <c r="O321" i="2" s="1"/>
  <c r="R162" i="2"/>
  <c r="R163" i="2" s="1"/>
  <c r="R200" i="2"/>
  <c r="R201" i="2" s="1"/>
  <c r="R231" i="2" s="1"/>
  <c r="Q200" i="2"/>
  <c r="Q201" i="2" s="1"/>
  <c r="Q231" i="2" s="1"/>
  <c r="P200" i="2"/>
  <c r="P201" i="2" s="1"/>
  <c r="P231" i="2" s="1"/>
  <c r="O200" i="2"/>
  <c r="O201" i="2" s="1"/>
  <c r="O231" i="2" s="1"/>
  <c r="Q162" i="2"/>
  <c r="Q163" i="2" s="1"/>
  <c r="O162" i="2"/>
  <c r="O163" i="2" s="1"/>
  <c r="P162" i="2"/>
  <c r="P163" i="2" s="1"/>
  <c r="J131" i="2"/>
  <c r="AH131" i="2" s="1"/>
  <c r="R86" i="2"/>
  <c r="R87" i="2" s="1"/>
  <c r="R124" i="2"/>
  <c r="Q124" i="2"/>
  <c r="P124" i="2"/>
  <c r="O124" i="2"/>
  <c r="O86" i="2"/>
  <c r="O87" i="2" s="1"/>
  <c r="Q86" i="2"/>
  <c r="Q87" i="2" s="1"/>
  <c r="P86" i="2"/>
  <c r="P87" i="2" s="1"/>
  <c r="Q48" i="2"/>
  <c r="Q49" i="2" s="1"/>
  <c r="Q79" i="2" s="1"/>
  <c r="P48" i="2"/>
  <c r="P49" i="2" s="1"/>
  <c r="P79" i="2" s="1"/>
  <c r="O48" i="2"/>
  <c r="O49" i="2" s="1"/>
  <c r="O79" i="2" s="1"/>
  <c r="R9" i="2"/>
  <c r="R10" i="2" s="1"/>
  <c r="R40" i="2" s="1"/>
  <c r="R48" i="2"/>
  <c r="R49" i="2" s="1"/>
  <c r="R79" i="2" s="1"/>
  <c r="Q9" i="2"/>
  <c r="Q10" i="2" s="1"/>
  <c r="Q40" i="2" s="1"/>
  <c r="P9" i="2"/>
  <c r="P10" i="2" s="1"/>
  <c r="P40" i="2" s="1"/>
  <c r="O9" i="2"/>
  <c r="O10" i="2" s="1"/>
  <c r="O40" i="2" s="1"/>
  <c r="AH506" i="2"/>
  <c r="AI506" i="2" s="1"/>
  <c r="F276" i="2"/>
  <c r="M277" i="2"/>
  <c r="M307" i="2" s="1"/>
  <c r="M322" i="2" s="1"/>
  <c r="M549" i="2"/>
  <c r="M568" i="2" s="1"/>
  <c r="M538" i="2"/>
  <c r="E136" i="2"/>
  <c r="E155" i="2" s="1"/>
  <c r="E319" i="2" s="1"/>
  <c r="E324" i="2" s="1"/>
  <c r="E362" i="2" s="1"/>
  <c r="E514" i="2"/>
  <c r="O133" i="1"/>
  <c r="AB129" i="1"/>
  <c r="AC129" i="1" s="1"/>
  <c r="E172" i="2"/>
  <c r="AB465" i="1"/>
  <c r="AC465" i="1" s="1"/>
  <c r="AH511" i="2"/>
  <c r="AH520" i="2" s="1"/>
  <c r="W239" i="2"/>
  <c r="W269" i="2" s="1"/>
  <c r="W321" i="2" s="1"/>
  <c r="H239" i="2"/>
  <c r="H269" i="2" s="1"/>
  <c r="H321" i="2" s="1"/>
  <c r="K277" i="2"/>
  <c r="K307" i="2" s="1"/>
  <c r="K322" i="2" s="1"/>
  <c r="K239" i="2"/>
  <c r="K269" i="2" s="1"/>
  <c r="K321" i="2" s="1"/>
  <c r="K49" i="2"/>
  <c r="K79" i="2" s="1"/>
  <c r="K201" i="2"/>
  <c r="K231" i="2" s="1"/>
  <c r="K40" i="2"/>
  <c r="K163" i="2"/>
  <c r="Z49" i="2"/>
  <c r="Z79" i="2" s="1"/>
  <c r="Z239" i="2"/>
  <c r="Z269" i="2" s="1"/>
  <c r="Z321" i="2" s="1"/>
  <c r="Z201" i="2"/>
  <c r="Z231" i="2" s="1"/>
  <c r="Z40" i="2"/>
  <c r="Z277" i="2"/>
  <c r="Z307" i="2" s="1"/>
  <c r="Z322" i="2" s="1"/>
  <c r="Z163" i="2"/>
  <c r="J277" i="2"/>
  <c r="AH487" i="2"/>
  <c r="AI487" i="2" s="1"/>
  <c r="T593" i="2"/>
  <c r="T568" i="2"/>
  <c r="L40" i="2"/>
  <c r="L201" i="2"/>
  <c r="L231" i="2" s="1"/>
  <c r="L49" i="2"/>
  <c r="L79" i="2" s="1"/>
  <c r="L277" i="2"/>
  <c r="L307" i="2" s="1"/>
  <c r="L322" i="2" s="1"/>
  <c r="L163" i="2"/>
  <c r="L239" i="2"/>
  <c r="L269" i="2" s="1"/>
  <c r="L321" i="2" s="1"/>
  <c r="I40" i="2"/>
  <c r="I239" i="2"/>
  <c r="I269" i="2" s="1"/>
  <c r="I321" i="2" s="1"/>
  <c r="I163" i="2"/>
  <c r="I201" i="2"/>
  <c r="I231" i="2" s="1"/>
  <c r="I49" i="2"/>
  <c r="I79" i="2" s="1"/>
  <c r="I277" i="2"/>
  <c r="I307" i="2" s="1"/>
  <c r="I322" i="2" s="1"/>
  <c r="AA49" i="2"/>
  <c r="AA79" i="2" s="1"/>
  <c r="AA239" i="2"/>
  <c r="AA269" i="2" s="1"/>
  <c r="AA321" i="2" s="1"/>
  <c r="U201" i="2"/>
  <c r="U231" i="2" s="1"/>
  <c r="U239" i="2"/>
  <c r="U269" i="2" s="1"/>
  <c r="U321" i="2" s="1"/>
  <c r="U49" i="2"/>
  <c r="U79" i="2" s="1"/>
  <c r="U40" i="2"/>
  <c r="U277" i="2"/>
  <c r="U307" i="2" s="1"/>
  <c r="U322" i="2" s="1"/>
  <c r="AD49" i="2"/>
  <c r="AD79" i="2" s="1"/>
  <c r="AD201" i="2"/>
  <c r="AD231" i="2" s="1"/>
  <c r="AD40" i="2"/>
  <c r="AD277" i="2"/>
  <c r="AD307" i="2" s="1"/>
  <c r="AD322" i="2" s="1"/>
  <c r="AD239" i="2"/>
  <c r="AD269" i="2" s="1"/>
  <c r="AD321" i="2" s="1"/>
  <c r="AD163" i="2"/>
  <c r="AI16" i="2"/>
  <c r="AI55" i="2"/>
  <c r="AI481" i="2"/>
  <c r="Y239" i="2"/>
  <c r="Y269" i="2" s="1"/>
  <c r="Y321" i="2" s="1"/>
  <c r="X163" i="2"/>
  <c r="X49" i="2"/>
  <c r="X79" i="2" s="1"/>
  <c r="X239" i="2"/>
  <c r="X269" i="2" s="1"/>
  <c r="X321" i="2" s="1"/>
  <c r="AC201" i="2"/>
  <c r="AC231" i="2" s="1"/>
  <c r="G277" i="2"/>
  <c r="G307" i="2" s="1"/>
  <c r="G322" i="2" s="1"/>
  <c r="AG40" i="2"/>
  <c r="AG239" i="2"/>
  <c r="AG269" i="2" s="1"/>
  <c r="AG321" i="2" s="1"/>
  <c r="AG49" i="2"/>
  <c r="AG79" i="2" s="1"/>
  <c r="AF40" i="2"/>
  <c r="AF277" i="2"/>
  <c r="AF307" i="2" s="1"/>
  <c r="AF322" i="2" s="1"/>
  <c r="AF49" i="2"/>
  <c r="AF79" i="2" s="1"/>
  <c r="AH529" i="2"/>
  <c r="AI529" i="2" s="1"/>
  <c r="F558" i="2"/>
  <c r="N277" i="2"/>
  <c r="N307" i="2" s="1"/>
  <c r="N322" i="2" s="1"/>
  <c r="AE163" i="2"/>
  <c r="AE40" i="2"/>
  <c r="AE49" i="2"/>
  <c r="AE79" i="2" s="1"/>
  <c r="AE239" i="2"/>
  <c r="AE269" i="2" s="1"/>
  <c r="AE321" i="2" s="1"/>
  <c r="S49" i="2"/>
  <c r="S79" i="2" s="1"/>
  <c r="S277" i="2"/>
  <c r="S307" i="2" s="1"/>
  <c r="S322" i="2" s="1"/>
  <c r="S239" i="2"/>
  <c r="S269" i="2" s="1"/>
  <c r="S321" i="2" s="1"/>
  <c r="S163" i="2"/>
  <c r="S201" i="2"/>
  <c r="S231" i="2" s="1"/>
  <c r="S40" i="2"/>
  <c r="T239" i="2"/>
  <c r="T269" i="2" s="1"/>
  <c r="T321" i="2" s="1"/>
  <c r="M136" i="2" l="1"/>
  <c r="G172" i="2"/>
  <c r="G174" i="2" s="1"/>
  <c r="G193" i="2" s="1"/>
  <c r="AF172" i="2"/>
  <c r="AF174" i="2" s="1"/>
  <c r="AF193" i="2" s="1"/>
  <c r="J172" i="2"/>
  <c r="J174" i="2" s="1"/>
  <c r="S172" i="2"/>
  <c r="Y172" i="2"/>
  <c r="Y174" i="2" s="1"/>
  <c r="Y193" i="2" s="1"/>
  <c r="X172" i="2"/>
  <c r="X174" i="2" s="1"/>
  <c r="X193" i="2" s="1"/>
  <c r="AC172" i="2"/>
  <c r="AC174" i="2" s="1"/>
  <c r="AC193" i="2" s="1"/>
  <c r="V172" i="2"/>
  <c r="V174" i="2" s="1"/>
  <c r="V193" i="2" s="1"/>
  <c r="K172" i="2"/>
  <c r="K174" i="2" s="1"/>
  <c r="K193" i="2" s="1"/>
  <c r="AA172" i="2"/>
  <c r="AA174" i="2" s="1"/>
  <c r="AA193" i="2" s="1"/>
  <c r="I172" i="2"/>
  <c r="I174" i="2" s="1"/>
  <c r="I193" i="2" s="1"/>
  <c r="AE172" i="2"/>
  <c r="AE174" i="2" s="1"/>
  <c r="AE193" i="2" s="1"/>
  <c r="AG172" i="2"/>
  <c r="AG174" i="2" s="1"/>
  <c r="AG193" i="2" s="1"/>
  <c r="H172" i="2"/>
  <c r="H174" i="2" s="1"/>
  <c r="H193" i="2" s="1"/>
  <c r="U172" i="2"/>
  <c r="U174" i="2" s="1"/>
  <c r="U193" i="2" s="1"/>
  <c r="T172" i="2"/>
  <c r="T174" i="2" s="1"/>
  <c r="T193" i="2" s="1"/>
  <c r="Z172" i="2"/>
  <c r="Z174" i="2" s="1"/>
  <c r="Z193" i="2" s="1"/>
  <c r="W172" i="2"/>
  <c r="W174" i="2" s="1"/>
  <c r="W193" i="2" s="1"/>
  <c r="AD172" i="2"/>
  <c r="AD174" i="2" s="1"/>
  <c r="AD193" i="2" s="1"/>
  <c r="M172" i="2"/>
  <c r="M174" i="2" s="1"/>
  <c r="M193" i="2" s="1"/>
  <c r="M376" i="2" s="1"/>
  <c r="L172" i="2"/>
  <c r="L174" i="2" s="1"/>
  <c r="L193" i="2" s="1"/>
  <c r="AB172" i="2"/>
  <c r="AB174" i="2" s="1"/>
  <c r="AB193" i="2" s="1"/>
  <c r="N172" i="2"/>
  <c r="N174" i="2" s="1"/>
  <c r="N193" i="2" s="1"/>
  <c r="O172" i="2"/>
  <c r="O174" i="2" s="1"/>
  <c r="O193" i="2" s="1"/>
  <c r="P172" i="2"/>
  <c r="P174" i="2" s="1"/>
  <c r="P193" i="2" s="1"/>
  <c r="R172" i="2"/>
  <c r="R174" i="2" s="1"/>
  <c r="R193" i="2" s="1"/>
  <c r="Q172" i="2"/>
  <c r="Q174" i="2" s="1"/>
  <c r="Q193" i="2" s="1"/>
  <c r="F172" i="2"/>
  <c r="AH134" i="2"/>
  <c r="AI134" i="2" s="1"/>
  <c r="J169" i="2"/>
  <c r="AH169" i="2" s="1"/>
  <c r="AI169" i="2" s="1"/>
  <c r="J283" i="2"/>
  <c r="AH283" i="2" s="1"/>
  <c r="AI283" i="2" s="1"/>
  <c r="AH276" i="2"/>
  <c r="M320" i="2"/>
  <c r="F200" i="2"/>
  <c r="AH200" i="2" s="1"/>
  <c r="F238" i="2"/>
  <c r="AH238" i="2" s="1"/>
  <c r="F124" i="2"/>
  <c r="AH124" i="2" s="1"/>
  <c r="F162" i="2"/>
  <c r="AH162" i="2" s="1"/>
  <c r="F48" i="2"/>
  <c r="AH48" i="2" s="1"/>
  <c r="F86" i="2"/>
  <c r="AI507" i="2"/>
  <c r="F9" i="2"/>
  <c r="M530" i="2"/>
  <c r="M619" i="2"/>
  <c r="M593" i="2"/>
  <c r="M512" i="2"/>
  <c r="M125" i="2"/>
  <c r="M155" i="2" s="1"/>
  <c r="M319" i="2" s="1"/>
  <c r="AK134" i="2"/>
  <c r="AK124" i="2"/>
  <c r="E326" i="2"/>
  <c r="X136" i="2"/>
  <c r="X514" i="2"/>
  <c r="T136" i="2"/>
  <c r="T514" i="2"/>
  <c r="S514" i="2"/>
  <c r="S136" i="2"/>
  <c r="N514" i="2"/>
  <c r="N136" i="2"/>
  <c r="O136" i="2"/>
  <c r="H136" i="2"/>
  <c r="H514" i="2"/>
  <c r="AE136" i="2"/>
  <c r="AE514" i="2"/>
  <c r="I136" i="2"/>
  <c r="I514" i="2"/>
  <c r="K136" i="2"/>
  <c r="K514" i="2"/>
  <c r="V136" i="2"/>
  <c r="V514" i="2"/>
  <c r="O144" i="1"/>
  <c r="AB133" i="1"/>
  <c r="AC133" i="1" s="1"/>
  <c r="F136" i="2"/>
  <c r="F514" i="2"/>
  <c r="W136" i="2"/>
  <c r="W514" i="2"/>
  <c r="Y136" i="2"/>
  <c r="Y514" i="2"/>
  <c r="G514" i="2"/>
  <c r="G136" i="2"/>
  <c r="P136" i="2"/>
  <c r="P514" i="2"/>
  <c r="R136" i="2"/>
  <c r="R514" i="2"/>
  <c r="U136" i="2"/>
  <c r="U514" i="2"/>
  <c r="E174" i="2"/>
  <c r="E193" i="2" s="1"/>
  <c r="S174" i="2"/>
  <c r="S193" i="2" s="1"/>
  <c r="Q136" i="2"/>
  <c r="Q514" i="2"/>
  <c r="AA136" i="2"/>
  <c r="AA514" i="2"/>
  <c r="E525" i="2"/>
  <c r="E516" i="2"/>
  <c r="AC514" i="2"/>
  <c r="AC136" i="2"/>
  <c r="Z514" i="2"/>
  <c r="Z136" i="2"/>
  <c r="AG514" i="2"/>
  <c r="AG136" i="2"/>
  <c r="AB136" i="2"/>
  <c r="AB514" i="2"/>
  <c r="AF136" i="2"/>
  <c r="AF514" i="2"/>
  <c r="AD136" i="2"/>
  <c r="AD514" i="2"/>
  <c r="L136" i="2"/>
  <c r="L514" i="2"/>
  <c r="AI511" i="2"/>
  <c r="T320" i="2"/>
  <c r="T512" i="2"/>
  <c r="T521" i="2" s="1"/>
  <c r="T125" i="2"/>
  <c r="R512" i="2"/>
  <c r="R521" i="2" s="1"/>
  <c r="R125" i="2"/>
  <c r="S320" i="2"/>
  <c r="AF512" i="2"/>
  <c r="AF521" i="2" s="1"/>
  <c r="AF125" i="2"/>
  <c r="AG512" i="2"/>
  <c r="AG521" i="2" s="1"/>
  <c r="AG125" i="2"/>
  <c r="AC512" i="2"/>
  <c r="AC521" i="2" s="1"/>
  <c r="AC125" i="2"/>
  <c r="X320" i="2"/>
  <c r="AI93" i="2"/>
  <c r="U320" i="2"/>
  <c r="I512" i="2"/>
  <c r="I125" i="2"/>
  <c r="I530" i="2"/>
  <c r="O320" i="2"/>
  <c r="P512" i="2"/>
  <c r="P521" i="2" s="1"/>
  <c r="P125" i="2"/>
  <c r="P530" i="2"/>
  <c r="T619" i="2"/>
  <c r="J79" i="2"/>
  <c r="J231" i="2"/>
  <c r="Q530" i="2"/>
  <c r="Z512" i="2"/>
  <c r="Z521" i="2" s="1"/>
  <c r="Z125" i="2"/>
  <c r="H530" i="2"/>
  <c r="W320" i="2"/>
  <c r="N530" i="2"/>
  <c r="AB512" i="2"/>
  <c r="AB521" i="2" s="1"/>
  <c r="AB125" i="2"/>
  <c r="AG320" i="2"/>
  <c r="G530" i="2"/>
  <c r="X512" i="2"/>
  <c r="X521" i="2" s="1"/>
  <c r="X125" i="2"/>
  <c r="U512" i="2"/>
  <c r="U521" i="2" s="1"/>
  <c r="U125" i="2"/>
  <c r="O125" i="2"/>
  <c r="J40" i="2"/>
  <c r="J512" i="2"/>
  <c r="J125" i="2"/>
  <c r="Q320" i="2"/>
  <c r="K320" i="2"/>
  <c r="H320" i="2"/>
  <c r="H512" i="2"/>
  <c r="H125" i="2"/>
  <c r="E392" i="2"/>
  <c r="F549" i="2"/>
  <c r="F568" i="2" s="1"/>
  <c r="S530" i="2"/>
  <c r="S512" i="2"/>
  <c r="S521" i="2" s="1"/>
  <c r="S125" i="2"/>
  <c r="AE320" i="2"/>
  <c r="AE512" i="2"/>
  <c r="AE521" i="2" s="1"/>
  <c r="AE125" i="2"/>
  <c r="N320" i="2"/>
  <c r="AB320" i="2"/>
  <c r="AF320" i="2"/>
  <c r="G320" i="2"/>
  <c r="Y512" i="2"/>
  <c r="Y521" i="2" s="1"/>
  <c r="Y125" i="2"/>
  <c r="AD512" i="2"/>
  <c r="AD521" i="2" s="1"/>
  <c r="AD125" i="2"/>
  <c r="AA512" i="2"/>
  <c r="AA521" i="2" s="1"/>
  <c r="AA125" i="2"/>
  <c r="L530" i="2"/>
  <c r="L320" i="2"/>
  <c r="P320" i="2"/>
  <c r="R320" i="2"/>
  <c r="R530" i="2"/>
  <c r="V320" i="2"/>
  <c r="V512" i="2"/>
  <c r="V521" i="2" s="1"/>
  <c r="V125" i="2"/>
  <c r="N512" i="2"/>
  <c r="N125" i="2"/>
  <c r="G512" i="2"/>
  <c r="G125" i="2"/>
  <c r="AC320" i="2"/>
  <c r="Y320" i="2"/>
  <c r="AD320" i="2"/>
  <c r="AA320" i="2"/>
  <c r="I320" i="2"/>
  <c r="O530" i="2"/>
  <c r="L512" i="2"/>
  <c r="L125" i="2"/>
  <c r="AI245" i="2"/>
  <c r="AI488" i="2"/>
  <c r="J530" i="2"/>
  <c r="Q512" i="2"/>
  <c r="Q521" i="2" s="1"/>
  <c r="Q125" i="2"/>
  <c r="Z320" i="2"/>
  <c r="K530" i="2"/>
  <c r="K512" i="2"/>
  <c r="K125" i="2"/>
  <c r="W512" i="2"/>
  <c r="W521" i="2" s="1"/>
  <c r="W125" i="2"/>
  <c r="AB375" i="2" l="1"/>
  <c r="AB376" i="2"/>
  <c r="N375" i="2"/>
  <c r="N376" i="2"/>
  <c r="V375" i="2"/>
  <c r="V376" i="2"/>
  <c r="AD375" i="2"/>
  <c r="AD376" i="2"/>
  <c r="AC375" i="2"/>
  <c r="AC376" i="2"/>
  <c r="H375" i="2"/>
  <c r="H376" i="2"/>
  <c r="Y375" i="2"/>
  <c r="Y376" i="2"/>
  <c r="AF375" i="2"/>
  <c r="AF376" i="2"/>
  <c r="Z375" i="2"/>
  <c r="Z376" i="2"/>
  <c r="R375" i="2"/>
  <c r="R376" i="2"/>
  <c r="AE375" i="2"/>
  <c r="AE376" i="2"/>
  <c r="I375" i="2"/>
  <c r="I376" i="2"/>
  <c r="M375" i="2"/>
  <c r="S375" i="2"/>
  <c r="S376" i="2"/>
  <c r="X375" i="2"/>
  <c r="X376" i="2"/>
  <c r="AG375" i="2"/>
  <c r="AG376" i="2"/>
  <c r="P375" i="2"/>
  <c r="Q376" i="2"/>
  <c r="O376" i="2"/>
  <c r="P376" i="2"/>
  <c r="AA375" i="2"/>
  <c r="AA376" i="2"/>
  <c r="K375" i="2"/>
  <c r="K376" i="2"/>
  <c r="G375" i="2"/>
  <c r="G376" i="2"/>
  <c r="L375" i="2"/>
  <c r="L376" i="2"/>
  <c r="T375" i="2"/>
  <c r="T376" i="2"/>
  <c r="U375" i="2"/>
  <c r="U376" i="2"/>
  <c r="W375" i="2"/>
  <c r="W376" i="2"/>
  <c r="O375" i="2"/>
  <c r="Q375" i="2"/>
  <c r="AH172" i="2"/>
  <c r="AI172" i="2" s="1"/>
  <c r="M324" i="2"/>
  <c r="M362" i="2" s="1"/>
  <c r="AH86" i="2"/>
  <c r="AI86" i="2" s="1"/>
  <c r="F87" i="2"/>
  <c r="AH9" i="2"/>
  <c r="AI9" i="2" s="1"/>
  <c r="F10" i="2"/>
  <c r="AH10" i="2" s="1"/>
  <c r="M559" i="2"/>
  <c r="M622" i="2"/>
  <c r="M521" i="2"/>
  <c r="M516" i="2"/>
  <c r="E526" i="2"/>
  <c r="E527" i="2" s="1"/>
  <c r="K521" i="2"/>
  <c r="L521" i="2"/>
  <c r="L550" i="2" s="1"/>
  <c r="L570" i="2" s="1"/>
  <c r="J521" i="2"/>
  <c r="J550" i="2" s="1"/>
  <c r="J570" i="2" s="1"/>
  <c r="N521" i="2"/>
  <c r="H521" i="2"/>
  <c r="H550" i="2" s="1"/>
  <c r="H570" i="2" s="1"/>
  <c r="O550" i="2"/>
  <c r="O570" i="2" s="1"/>
  <c r="G521" i="2"/>
  <c r="G550" i="2" s="1"/>
  <c r="G570" i="2" s="1"/>
  <c r="I521" i="2"/>
  <c r="I550" i="2" s="1"/>
  <c r="I570" i="2" s="1"/>
  <c r="J559" i="2"/>
  <c r="L559" i="2"/>
  <c r="AK125" i="2"/>
  <c r="AK136" i="2"/>
  <c r="G559" i="2"/>
  <c r="H559" i="2"/>
  <c r="I559" i="2"/>
  <c r="AB155" i="2"/>
  <c r="AB319" i="2" s="1"/>
  <c r="AB324" i="2" s="1"/>
  <c r="O155" i="2"/>
  <c r="O319" i="2" s="1"/>
  <c r="O324" i="2" s="1"/>
  <c r="O362" i="2" s="1"/>
  <c r="X155" i="2"/>
  <c r="X319" i="2" s="1"/>
  <c r="X324" i="2" s="1"/>
  <c r="X326" i="2" s="1"/>
  <c r="G155" i="2"/>
  <c r="G319" i="2" s="1"/>
  <c r="G324" i="2" s="1"/>
  <c r="G326" i="2" s="1"/>
  <c r="V155" i="2"/>
  <c r="V319" i="2" s="1"/>
  <c r="V324" i="2" s="1"/>
  <c r="T155" i="2"/>
  <c r="T319" i="2" s="1"/>
  <c r="T324" i="2" s="1"/>
  <c r="T362" i="2" s="1"/>
  <c r="H155" i="2"/>
  <c r="I155" i="2"/>
  <c r="I319" i="2" s="1"/>
  <c r="I324" i="2" s="1"/>
  <c r="AD155" i="2"/>
  <c r="AD319" i="2" s="1"/>
  <c r="AD324" i="2" s="1"/>
  <c r="AE155" i="2"/>
  <c r="AE319" i="2" s="1"/>
  <c r="AE324" i="2" s="1"/>
  <c r="Q155" i="2"/>
  <c r="Q319" i="2" s="1"/>
  <c r="Q324" i="2" s="1"/>
  <c r="Q362" i="2" s="1"/>
  <c r="S155" i="2"/>
  <c r="S319" i="2" s="1"/>
  <c r="S324" i="2" s="1"/>
  <c r="S362" i="2" s="1"/>
  <c r="AA155" i="2"/>
  <c r="AA319" i="2" s="1"/>
  <c r="AA324" i="2" s="1"/>
  <c r="Y155" i="2"/>
  <c r="Y319" i="2" s="1"/>
  <c r="Y324" i="2" s="1"/>
  <c r="U155" i="2"/>
  <c r="U319" i="2" s="1"/>
  <c r="U324" i="2" s="1"/>
  <c r="U362" i="2" s="1"/>
  <c r="Z155" i="2"/>
  <c r="Z319" i="2" s="1"/>
  <c r="Z324" i="2" s="1"/>
  <c r="AC155" i="2"/>
  <c r="AC319" i="2" s="1"/>
  <c r="AC324" i="2" s="1"/>
  <c r="P155" i="2"/>
  <c r="P319" i="2" s="1"/>
  <c r="P324" i="2" s="1"/>
  <c r="AG155" i="2"/>
  <c r="AG319" i="2" s="1"/>
  <c r="AG324" i="2" s="1"/>
  <c r="R155" i="2"/>
  <c r="R319" i="2" s="1"/>
  <c r="R324" i="2" s="1"/>
  <c r="V552" i="2"/>
  <c r="AE552" i="2"/>
  <c r="X552" i="2"/>
  <c r="AD552" i="2"/>
  <c r="AB552" i="2"/>
  <c r="U552" i="2"/>
  <c r="Y552" i="2"/>
  <c r="E96" i="2"/>
  <c r="AB144" i="1"/>
  <c r="AC144" i="1" s="1"/>
  <c r="AC1" i="1" s="1"/>
  <c r="AC552" i="2"/>
  <c r="W155" i="2"/>
  <c r="W319" i="2" s="1"/>
  <c r="W324" i="2" s="1"/>
  <c r="W362" i="2" s="1"/>
  <c r="Z552" i="2"/>
  <c r="AA552" i="2"/>
  <c r="AF155" i="2"/>
  <c r="AF319" i="2" s="1"/>
  <c r="AF324" i="2" s="1"/>
  <c r="F174" i="2"/>
  <c r="AH174" i="2" s="1"/>
  <c r="AI174" i="2" s="1"/>
  <c r="W552" i="2"/>
  <c r="AH136" i="2"/>
  <c r="AI136" i="2" s="1"/>
  <c r="O559" i="2"/>
  <c r="K155" i="2"/>
  <c r="K319" i="2" s="1"/>
  <c r="K324" i="2" s="1"/>
  <c r="K362" i="2" s="1"/>
  <c r="N155" i="2"/>
  <c r="N319" i="2" s="1"/>
  <c r="N324" i="2" s="1"/>
  <c r="N326" i="2" s="1"/>
  <c r="L155" i="2"/>
  <c r="L319" i="2" s="1"/>
  <c r="L324" i="2" s="1"/>
  <c r="L362" i="2" s="1"/>
  <c r="V550" i="2"/>
  <c r="V594" i="2" s="1"/>
  <c r="V620" i="2" s="1"/>
  <c r="V516" i="2"/>
  <c r="AI238" i="2"/>
  <c r="F239" i="2"/>
  <c r="AI200" i="2"/>
  <c r="F201" i="2"/>
  <c r="Y550" i="2"/>
  <c r="Y594" i="2" s="1"/>
  <c r="Y620" i="2" s="1"/>
  <c r="Y516" i="2"/>
  <c r="AE550" i="2"/>
  <c r="AE594" i="2" s="1"/>
  <c r="AE620" i="2" s="1"/>
  <c r="AE516" i="2"/>
  <c r="E394" i="2"/>
  <c r="X550" i="2"/>
  <c r="X594" i="2" s="1"/>
  <c r="X620" i="2" s="1"/>
  <c r="X516" i="2"/>
  <c r="AB550" i="2"/>
  <c r="AB594" i="2" s="1"/>
  <c r="AB620" i="2" s="1"/>
  <c r="AB516" i="2"/>
  <c r="F512" i="2"/>
  <c r="F521" i="2" s="1"/>
  <c r="AI124" i="2"/>
  <c r="F125" i="2"/>
  <c r="F530" i="2"/>
  <c r="AI48" i="2"/>
  <c r="F49" i="2"/>
  <c r="J307" i="2"/>
  <c r="J322" i="2" s="1"/>
  <c r="O516" i="2"/>
  <c r="Q559" i="2"/>
  <c r="P516" i="2"/>
  <c r="I516" i="2"/>
  <c r="AC550" i="2"/>
  <c r="AC594" i="2" s="1"/>
  <c r="AC620" i="2" s="1"/>
  <c r="AC516" i="2"/>
  <c r="AF516" i="2"/>
  <c r="R516" i="2"/>
  <c r="W550" i="2"/>
  <c r="W594" i="2" s="1"/>
  <c r="W620" i="2" s="1"/>
  <c r="W516" i="2"/>
  <c r="Q516" i="2"/>
  <c r="J193" i="2"/>
  <c r="N516" i="2"/>
  <c r="R559" i="2"/>
  <c r="AI276" i="2"/>
  <c r="F277" i="2"/>
  <c r="J269" i="2"/>
  <c r="J321" i="2" s="1"/>
  <c r="AD550" i="2"/>
  <c r="AD594" i="2" s="1"/>
  <c r="AD620" i="2" s="1"/>
  <c r="AD516" i="2"/>
  <c r="S516" i="2"/>
  <c r="S559" i="2"/>
  <c r="H516" i="2"/>
  <c r="U550" i="2"/>
  <c r="U594" i="2" s="1"/>
  <c r="U620" i="2" s="1"/>
  <c r="U516" i="2"/>
  <c r="J320" i="2"/>
  <c r="K516" i="2"/>
  <c r="J514" i="2"/>
  <c r="L516" i="2"/>
  <c r="G516" i="2"/>
  <c r="AI162" i="2"/>
  <c r="F163" i="2"/>
  <c r="AA550" i="2"/>
  <c r="AA594" i="2" s="1"/>
  <c r="AA620" i="2" s="1"/>
  <c r="AA516" i="2"/>
  <c r="F593" i="2"/>
  <c r="F619" i="2"/>
  <c r="J155" i="2"/>
  <c r="J319" i="2" s="1"/>
  <c r="Z550" i="2"/>
  <c r="Z594" i="2" s="1"/>
  <c r="Z620" i="2" s="1"/>
  <c r="Z516" i="2"/>
  <c r="AG516" i="2"/>
  <c r="T516" i="2"/>
  <c r="M326" i="2" l="1"/>
  <c r="J375" i="2"/>
  <c r="J376" i="2"/>
  <c r="M96" i="2"/>
  <c r="M532" i="2" s="1"/>
  <c r="I96" i="2"/>
  <c r="N96" i="2"/>
  <c r="H96" i="2"/>
  <c r="L96" i="2"/>
  <c r="K96" i="2"/>
  <c r="G96" i="2"/>
  <c r="J96" i="2"/>
  <c r="Y96" i="2"/>
  <c r="Z96" i="2"/>
  <c r="Q96" i="2"/>
  <c r="S96" i="2"/>
  <c r="U96" i="2"/>
  <c r="T96" i="2"/>
  <c r="P96" i="2"/>
  <c r="X96" i="2"/>
  <c r="AB96" i="2"/>
  <c r="O96" i="2"/>
  <c r="AE96" i="2"/>
  <c r="F96" i="2"/>
  <c r="R96" i="2"/>
  <c r="AC96" i="2"/>
  <c r="AD96" i="2"/>
  <c r="AG96" i="2"/>
  <c r="AF96" i="2"/>
  <c r="V96" i="2"/>
  <c r="W96" i="2"/>
  <c r="AA96" i="2"/>
  <c r="AH87" i="2"/>
  <c r="AI87" i="2" s="1"/>
  <c r="M539" i="2"/>
  <c r="M550" i="2"/>
  <c r="M570" i="2" s="1"/>
  <c r="I621" i="2"/>
  <c r="I595" i="2"/>
  <c r="J621" i="2"/>
  <c r="J595" i="2"/>
  <c r="O595" i="2"/>
  <c r="O621" i="2"/>
  <c r="L595" i="2"/>
  <c r="L621" i="2"/>
  <c r="G621" i="2"/>
  <c r="G595" i="2"/>
  <c r="H595" i="2"/>
  <c r="H621" i="2"/>
  <c r="H319" i="2"/>
  <c r="H324" i="2" s="1"/>
  <c r="H326" i="2" s="1"/>
  <c r="AK155" i="2"/>
  <c r="E532" i="2"/>
  <c r="E534" i="2" s="1"/>
  <c r="E98" i="2"/>
  <c r="E117" i="2" s="1"/>
  <c r="L326" i="2"/>
  <c r="U326" i="2"/>
  <c r="N362" i="2"/>
  <c r="J516" i="2"/>
  <c r="X362" i="2"/>
  <c r="W326" i="2"/>
  <c r="T326" i="2"/>
  <c r="O326" i="2"/>
  <c r="Q326" i="2"/>
  <c r="G362" i="2"/>
  <c r="K326" i="2"/>
  <c r="S326" i="2"/>
  <c r="J324" i="2"/>
  <c r="J326" i="2" s="1"/>
  <c r="V362" i="2"/>
  <c r="V326" i="2"/>
  <c r="AG362" i="2"/>
  <c r="AG326" i="2"/>
  <c r="AA326" i="2"/>
  <c r="AA362" i="2"/>
  <c r="AI10" i="2"/>
  <c r="F40" i="2"/>
  <c r="AH40" i="2" s="1"/>
  <c r="AI40" i="2" s="1"/>
  <c r="I362" i="2"/>
  <c r="I326" i="2"/>
  <c r="T550" i="2"/>
  <c r="T539" i="2"/>
  <c r="AE326" i="2"/>
  <c r="AE362" i="2"/>
  <c r="F559" i="2"/>
  <c r="AH512" i="2"/>
  <c r="AH521" i="2" s="1"/>
  <c r="F516" i="2"/>
  <c r="R362" i="2"/>
  <c r="R326" i="2"/>
  <c r="P362" i="2"/>
  <c r="P326" i="2"/>
  <c r="AH201" i="2"/>
  <c r="AI201" i="2" s="1"/>
  <c r="F231" i="2"/>
  <c r="AB362" i="2"/>
  <c r="AB326" i="2"/>
  <c r="Y362" i="2"/>
  <c r="Y326" i="2"/>
  <c r="AH163" i="2"/>
  <c r="AI163" i="2" s="1"/>
  <c r="F193" i="2"/>
  <c r="F376" i="2" s="1"/>
  <c r="AH376" i="2" s="1"/>
  <c r="AI376" i="2" s="1"/>
  <c r="AH514" i="2"/>
  <c r="AI131" i="2"/>
  <c r="F307" i="2"/>
  <c r="AH277" i="2"/>
  <c r="AI277" i="2" s="1"/>
  <c r="F79" i="2"/>
  <c r="AH49" i="2"/>
  <c r="AI49" i="2" s="1"/>
  <c r="AF326" i="2"/>
  <c r="AF362" i="2"/>
  <c r="Z362" i="2"/>
  <c r="Z326" i="2"/>
  <c r="AD362" i="2"/>
  <c r="AD326" i="2"/>
  <c r="AH125" i="2"/>
  <c r="AI125" i="2" s="1"/>
  <c r="F155" i="2"/>
  <c r="AC362" i="2"/>
  <c r="AC326" i="2"/>
  <c r="AH239" i="2"/>
  <c r="AI239" i="2" s="1"/>
  <c r="F269" i="2"/>
  <c r="F375" i="2" l="1"/>
  <c r="AH375" i="2" s="1"/>
  <c r="M98" i="2"/>
  <c r="M117" i="2" s="1"/>
  <c r="M328" i="2" s="1"/>
  <c r="AH96" i="2"/>
  <c r="AI96" i="2" s="1"/>
  <c r="M595" i="2"/>
  <c r="M621" i="2"/>
  <c r="M658" i="2" s="1"/>
  <c r="F17" i="17" s="1"/>
  <c r="M631" i="2"/>
  <c r="M561" i="2"/>
  <c r="M534" i="2"/>
  <c r="E118" i="2"/>
  <c r="AI514" i="2"/>
  <c r="H362" i="2"/>
  <c r="N532" i="2"/>
  <c r="N98" i="2"/>
  <c r="N117" i="2" s="1"/>
  <c r="X98" i="2"/>
  <c r="X117" i="2" s="1"/>
  <c r="X532" i="2"/>
  <c r="AA98" i="2"/>
  <c r="AA117" i="2" s="1"/>
  <c r="AA532" i="2"/>
  <c r="J98" i="2"/>
  <c r="J117" i="2" s="1"/>
  <c r="J532" i="2"/>
  <c r="AB98" i="2"/>
  <c r="AB117" i="2" s="1"/>
  <c r="AB532" i="2"/>
  <c r="AD532" i="2"/>
  <c r="AD98" i="2"/>
  <c r="AD117" i="2" s="1"/>
  <c r="O98" i="2"/>
  <c r="O117" i="2" s="1"/>
  <c r="Z98" i="2"/>
  <c r="Z117" i="2" s="1"/>
  <c r="Z532" i="2"/>
  <c r="Y98" i="2"/>
  <c r="Y117" i="2" s="1"/>
  <c r="Y532" i="2"/>
  <c r="H98" i="2"/>
  <c r="H117" i="2" s="1"/>
  <c r="H532" i="2"/>
  <c r="AG98" i="2"/>
  <c r="AG117" i="2" s="1"/>
  <c r="AG532" i="2"/>
  <c r="AG631" i="2" s="1"/>
  <c r="AG632" i="2" s="1"/>
  <c r="R98" i="2"/>
  <c r="R117" i="2" s="1"/>
  <c r="R532" i="2"/>
  <c r="G98" i="2"/>
  <c r="G117" i="2" s="1"/>
  <c r="G532" i="2"/>
  <c r="AC98" i="2"/>
  <c r="AC117" i="2" s="1"/>
  <c r="AC532" i="2"/>
  <c r="S98" i="2"/>
  <c r="S117" i="2" s="1"/>
  <c r="S532" i="2"/>
  <c r="AE98" i="2"/>
  <c r="AE117" i="2" s="1"/>
  <c r="AE532" i="2"/>
  <c r="P98" i="2"/>
  <c r="P117" i="2" s="1"/>
  <c r="P532" i="2"/>
  <c r="E328" i="2"/>
  <c r="F532" i="2"/>
  <c r="F98" i="2"/>
  <c r="F117" i="2" s="1"/>
  <c r="F398" i="2" s="1"/>
  <c r="AF532" i="2"/>
  <c r="AF631" i="2" s="1"/>
  <c r="AF632" i="2" s="1"/>
  <c r="AF98" i="2"/>
  <c r="AF117" i="2" s="1"/>
  <c r="U98" i="2"/>
  <c r="U117" i="2" s="1"/>
  <c r="U532" i="2"/>
  <c r="L532" i="2"/>
  <c r="L98" i="2"/>
  <c r="W532" i="2"/>
  <c r="W98" i="2"/>
  <c r="W117" i="2" s="1"/>
  <c r="Q98" i="2"/>
  <c r="Q117" i="2" s="1"/>
  <c r="Q532" i="2"/>
  <c r="V98" i="2"/>
  <c r="V117" i="2" s="1"/>
  <c r="V532" i="2"/>
  <c r="T98" i="2"/>
  <c r="T117" i="2" s="1"/>
  <c r="T532" i="2"/>
  <c r="K98" i="2"/>
  <c r="K117" i="2" s="1"/>
  <c r="K532" i="2"/>
  <c r="I98" i="2"/>
  <c r="I117" i="2" s="1"/>
  <c r="I532" i="2"/>
  <c r="J362" i="2"/>
  <c r="F550" i="2"/>
  <c r="F570" i="2" s="1"/>
  <c r="F321" i="2"/>
  <c r="AH321" i="2" s="1"/>
  <c r="AI321" i="2" s="1"/>
  <c r="AH269" i="2"/>
  <c r="AI269" i="2" s="1"/>
  <c r="F80" i="2"/>
  <c r="AH79" i="2"/>
  <c r="AI79" i="2" s="1"/>
  <c r="AH307" i="2"/>
  <c r="AI307" i="2" s="1"/>
  <c r="F322" i="2"/>
  <c r="AH322" i="2" s="1"/>
  <c r="AI322" i="2" s="1"/>
  <c r="AI512" i="2"/>
  <c r="AH516" i="2"/>
  <c r="AI516" i="2" s="1"/>
  <c r="AH231" i="2"/>
  <c r="AI231" i="2" s="1"/>
  <c r="F320" i="2"/>
  <c r="AH320" i="2" s="1"/>
  <c r="AI320" i="2" s="1"/>
  <c r="AH155" i="2"/>
  <c r="AI155" i="2" s="1"/>
  <c r="F319" i="2"/>
  <c r="AH193" i="2"/>
  <c r="AI193" i="2" s="1"/>
  <c r="T594" i="2"/>
  <c r="T570" i="2"/>
  <c r="F372" i="2" l="1"/>
  <c r="M370" i="2"/>
  <c r="AD373" i="2"/>
  <c r="AD372" i="2"/>
  <c r="H373" i="2"/>
  <c r="H372" i="2"/>
  <c r="N373" i="2"/>
  <c r="N372" i="2"/>
  <c r="G373" i="2"/>
  <c r="G372" i="2"/>
  <c r="V373" i="2"/>
  <c r="V372" i="2"/>
  <c r="K373" i="2"/>
  <c r="K372" i="2"/>
  <c r="Y373" i="2"/>
  <c r="Y372" i="2"/>
  <c r="U373" i="2"/>
  <c r="U372" i="2"/>
  <c r="AC373" i="2"/>
  <c r="AC372" i="2"/>
  <c r="O372" i="2"/>
  <c r="P372" i="2"/>
  <c r="Q372" i="2"/>
  <c r="W373" i="2"/>
  <c r="W372" i="2"/>
  <c r="J373" i="2"/>
  <c r="J372" i="2"/>
  <c r="AF373" i="2"/>
  <c r="AF372" i="2"/>
  <c r="Z373" i="2"/>
  <c r="Z372" i="2"/>
  <c r="AG373" i="2"/>
  <c r="AG372" i="2"/>
  <c r="S373" i="2"/>
  <c r="S372" i="2"/>
  <c r="AA373" i="2"/>
  <c r="AA372" i="2"/>
  <c r="I373" i="2"/>
  <c r="I372" i="2"/>
  <c r="AB373" i="2"/>
  <c r="AB372" i="2"/>
  <c r="R373" i="2"/>
  <c r="R372" i="2"/>
  <c r="X373" i="2"/>
  <c r="X372" i="2"/>
  <c r="T373" i="2"/>
  <c r="T372" i="2"/>
  <c r="AE373" i="2"/>
  <c r="AE372" i="2"/>
  <c r="M398" i="2"/>
  <c r="M372" i="2"/>
  <c r="F373" i="2"/>
  <c r="Q373" i="2"/>
  <c r="P373" i="2"/>
  <c r="O373" i="2"/>
  <c r="M118" i="2"/>
  <c r="M371" i="2"/>
  <c r="M374" i="2"/>
  <c r="M373" i="2"/>
  <c r="U398" i="2"/>
  <c r="U374" i="2"/>
  <c r="AC398" i="2"/>
  <c r="AC374" i="2"/>
  <c r="G398" i="2"/>
  <c r="G374" i="2"/>
  <c r="W398" i="2"/>
  <c r="W374" i="2"/>
  <c r="V398" i="2"/>
  <c r="V374" i="2"/>
  <c r="J398" i="2"/>
  <c r="J374" i="2"/>
  <c r="AG398" i="2"/>
  <c r="AG374" i="2"/>
  <c r="AF398" i="2"/>
  <c r="AF374" i="2"/>
  <c r="S398" i="2"/>
  <c r="S374" i="2"/>
  <c r="AA398" i="2"/>
  <c r="AA374" i="2"/>
  <c r="AB398" i="2"/>
  <c r="AB374" i="2"/>
  <c r="Q374" i="2"/>
  <c r="O374" i="2"/>
  <c r="P374" i="2"/>
  <c r="T398" i="2"/>
  <c r="T374" i="2"/>
  <c r="AE398" i="2"/>
  <c r="AE374" i="2"/>
  <c r="F374" i="2"/>
  <c r="I398" i="2"/>
  <c r="I374" i="2"/>
  <c r="X398" i="2"/>
  <c r="X374" i="2"/>
  <c r="K398" i="2"/>
  <c r="K374" i="2"/>
  <c r="Y398" i="2"/>
  <c r="Y374" i="2"/>
  <c r="Z398" i="2"/>
  <c r="Z374" i="2"/>
  <c r="R398" i="2"/>
  <c r="R374" i="2"/>
  <c r="AD398" i="2"/>
  <c r="AD374" i="2"/>
  <c r="H398" i="2"/>
  <c r="H374" i="2"/>
  <c r="N398" i="2"/>
  <c r="N374" i="2"/>
  <c r="Q398" i="2"/>
  <c r="P398" i="2"/>
  <c r="O398" i="2"/>
  <c r="W370" i="2"/>
  <c r="W371" i="2"/>
  <c r="V371" i="2"/>
  <c r="V370" i="2"/>
  <c r="O371" i="2"/>
  <c r="Q370" i="2"/>
  <c r="P370" i="2"/>
  <c r="O370" i="2"/>
  <c r="P371" i="2"/>
  <c r="Q371" i="2"/>
  <c r="G371" i="2"/>
  <c r="G370" i="2"/>
  <c r="Z370" i="2"/>
  <c r="Z371" i="2"/>
  <c r="I370" i="2"/>
  <c r="I371" i="2"/>
  <c r="S370" i="2"/>
  <c r="S371" i="2"/>
  <c r="X370" i="2"/>
  <c r="X371" i="2"/>
  <c r="K370" i="2"/>
  <c r="K371" i="2"/>
  <c r="AG370" i="2"/>
  <c r="AG371" i="2"/>
  <c r="J370" i="2"/>
  <c r="J524" i="2" s="1"/>
  <c r="J371" i="2"/>
  <c r="J523" i="2" s="1"/>
  <c r="F371" i="2"/>
  <c r="F370" i="2"/>
  <c r="AB371" i="2"/>
  <c r="AB370" i="2"/>
  <c r="AF370" i="2"/>
  <c r="AF371" i="2"/>
  <c r="Y370" i="2"/>
  <c r="Y371" i="2"/>
  <c r="R370" i="2"/>
  <c r="R371" i="2"/>
  <c r="AA370" i="2"/>
  <c r="AA371" i="2"/>
  <c r="T371" i="2"/>
  <c r="T370" i="2"/>
  <c r="U371" i="2"/>
  <c r="U370" i="2"/>
  <c r="AD371" i="2"/>
  <c r="AD370" i="2"/>
  <c r="H370" i="2"/>
  <c r="H371" i="2"/>
  <c r="N371" i="2"/>
  <c r="N370" i="2"/>
  <c r="AE371" i="2"/>
  <c r="AE370" i="2"/>
  <c r="AC371" i="2"/>
  <c r="AC370" i="2"/>
  <c r="L117" i="2"/>
  <c r="M396" i="2"/>
  <c r="M330" i="2"/>
  <c r="T378" i="2"/>
  <c r="Q378" i="2"/>
  <c r="AE378" i="2"/>
  <c r="R378" i="2"/>
  <c r="Z378" i="2"/>
  <c r="J378" i="2"/>
  <c r="V378" i="2"/>
  <c r="U378" i="2"/>
  <c r="P378" i="2"/>
  <c r="S378" i="2"/>
  <c r="G378" i="2"/>
  <c r="AG378" i="2"/>
  <c r="Y378" i="2"/>
  <c r="O378" i="2"/>
  <c r="AB378" i="2"/>
  <c r="AA378" i="2"/>
  <c r="I378" i="2"/>
  <c r="AC378" i="2"/>
  <c r="H378" i="2"/>
  <c r="X378" i="2"/>
  <c r="W378" i="2"/>
  <c r="N378" i="2"/>
  <c r="K378" i="2"/>
  <c r="AF378" i="2"/>
  <c r="AD378" i="2"/>
  <c r="J561" i="2"/>
  <c r="L561" i="2"/>
  <c r="I561" i="2"/>
  <c r="H561" i="2"/>
  <c r="G561" i="2"/>
  <c r="AF377" i="2"/>
  <c r="AD377" i="2"/>
  <c r="W377" i="2"/>
  <c r="N377" i="2"/>
  <c r="I377" i="2"/>
  <c r="T377" i="2"/>
  <c r="Q377" i="2"/>
  <c r="AE377" i="2"/>
  <c r="AC377" i="2"/>
  <c r="R377" i="2"/>
  <c r="H377" i="2"/>
  <c r="Z377" i="2"/>
  <c r="J377" i="2"/>
  <c r="X377" i="2"/>
  <c r="K377" i="2"/>
  <c r="V377" i="2"/>
  <c r="U377" i="2"/>
  <c r="P377" i="2"/>
  <c r="S377" i="2"/>
  <c r="G377" i="2"/>
  <c r="AG377" i="2"/>
  <c r="Y377" i="2"/>
  <c r="O377" i="2"/>
  <c r="AB377" i="2"/>
  <c r="AA377" i="2"/>
  <c r="AF328" i="2"/>
  <c r="AF396" i="2" s="1"/>
  <c r="AF380" i="2"/>
  <c r="AD328" i="2"/>
  <c r="AD396" i="2" s="1"/>
  <c r="AD380" i="2"/>
  <c r="W328" i="2"/>
  <c r="W396" i="2" s="1"/>
  <c r="W380" i="2"/>
  <c r="N118" i="2"/>
  <c r="N380" i="2"/>
  <c r="I118" i="2"/>
  <c r="I380" i="2"/>
  <c r="T385" i="2"/>
  <c r="T380" i="2"/>
  <c r="Q380" i="2"/>
  <c r="AE379" i="2"/>
  <c r="AE380" i="2"/>
  <c r="AC380" i="2"/>
  <c r="R386" i="2"/>
  <c r="R380" i="2"/>
  <c r="H118" i="2"/>
  <c r="H380" i="2"/>
  <c r="Z328" i="2"/>
  <c r="Z396" i="2" s="1"/>
  <c r="Z380" i="2"/>
  <c r="J118" i="2"/>
  <c r="J380" i="2"/>
  <c r="X328" i="2"/>
  <c r="X396" i="2" s="1"/>
  <c r="X380" i="2"/>
  <c r="K118" i="2"/>
  <c r="K380" i="2"/>
  <c r="V328" i="2"/>
  <c r="V396" i="2" s="1"/>
  <c r="V380" i="2"/>
  <c r="U328" i="2"/>
  <c r="U396" i="2" s="1"/>
  <c r="U380" i="2"/>
  <c r="P118" i="2"/>
  <c r="P380" i="2"/>
  <c r="S328" i="2"/>
  <c r="S396" i="2" s="1"/>
  <c r="S380" i="2"/>
  <c r="G118" i="2"/>
  <c r="G380" i="2"/>
  <c r="AG328" i="2"/>
  <c r="AG396" i="2" s="1"/>
  <c r="AG380" i="2"/>
  <c r="Y328" i="2"/>
  <c r="Y396" i="2" s="1"/>
  <c r="Y380" i="2"/>
  <c r="O118" i="2"/>
  <c r="O380" i="2"/>
  <c r="AB384" i="2"/>
  <c r="AB380" i="2"/>
  <c r="AA383" i="2"/>
  <c r="AA380" i="2"/>
  <c r="J328" i="2"/>
  <c r="J396" i="2" s="1"/>
  <c r="N328" i="2"/>
  <c r="N330" i="2" s="1"/>
  <c r="K328" i="2"/>
  <c r="K396" i="2" s="1"/>
  <c r="P328" i="2"/>
  <c r="P396" i="2" s="1"/>
  <c r="O379" i="2"/>
  <c r="H328" i="2"/>
  <c r="H396" i="2" s="1"/>
  <c r="G328" i="2"/>
  <c r="G396" i="2" s="1"/>
  <c r="Z379" i="2"/>
  <c r="AG388" i="2"/>
  <c r="N384" i="2"/>
  <c r="Y385" i="2"/>
  <c r="Y389" i="2"/>
  <c r="Y387" i="2"/>
  <c r="Y384" i="2"/>
  <c r="Y381" i="2"/>
  <c r="Y386" i="2"/>
  <c r="AA384" i="2"/>
  <c r="Y379" i="2"/>
  <c r="AB379" i="2"/>
  <c r="AB385" i="2"/>
  <c r="Y388" i="2"/>
  <c r="Y383" i="2"/>
  <c r="J382" i="2"/>
  <c r="H382" i="2"/>
  <c r="J387" i="2"/>
  <c r="J389" i="2"/>
  <c r="Z381" i="2"/>
  <c r="Z387" i="2"/>
  <c r="J388" i="2"/>
  <c r="Z389" i="2"/>
  <c r="X379" i="2"/>
  <c r="N381" i="2"/>
  <c r="N383" i="2"/>
  <c r="G389" i="2"/>
  <c r="S386" i="2"/>
  <c r="N389" i="2"/>
  <c r="J383" i="2"/>
  <c r="X385" i="2"/>
  <c r="H388" i="2"/>
  <c r="J379" i="2"/>
  <c r="Z388" i="2"/>
  <c r="Z383" i="2"/>
  <c r="N386" i="2"/>
  <c r="N382" i="2"/>
  <c r="N379" i="2"/>
  <c r="G382" i="2"/>
  <c r="AG385" i="2"/>
  <c r="J381" i="2"/>
  <c r="J385" i="2"/>
  <c r="J384" i="2"/>
  <c r="X386" i="2"/>
  <c r="X384" i="2"/>
  <c r="J386" i="2"/>
  <c r="H386" i="2"/>
  <c r="Z384" i="2"/>
  <c r="X387" i="2"/>
  <c r="X388" i="2"/>
  <c r="Z382" i="2"/>
  <c r="Z386" i="2"/>
  <c r="Z385" i="2"/>
  <c r="N388" i="2"/>
  <c r="P387" i="2"/>
  <c r="AC388" i="2"/>
  <c r="N385" i="2"/>
  <c r="N387" i="2"/>
  <c r="AG383" i="2"/>
  <c r="AE389" i="2"/>
  <c r="R384" i="2"/>
  <c r="AC386" i="2"/>
  <c r="AC381" i="2"/>
  <c r="AE386" i="2"/>
  <c r="AD383" i="2"/>
  <c r="R385" i="2"/>
  <c r="K386" i="2"/>
  <c r="AE384" i="2"/>
  <c r="AE388" i="2"/>
  <c r="H383" i="2"/>
  <c r="G386" i="2"/>
  <c r="P382" i="2"/>
  <c r="P389" i="2"/>
  <c r="S379" i="2"/>
  <c r="G384" i="2"/>
  <c r="AG379" i="2"/>
  <c r="AF387" i="2"/>
  <c r="AG382" i="2"/>
  <c r="AD389" i="2"/>
  <c r="AD388" i="2"/>
  <c r="AG387" i="2"/>
  <c r="U382" i="2"/>
  <c r="V382" i="2"/>
  <c r="AG381" i="2"/>
  <c r="AG384" i="2"/>
  <c r="AD385" i="2"/>
  <c r="P379" i="2"/>
  <c r="S385" i="2"/>
  <c r="H385" i="2"/>
  <c r="G387" i="2"/>
  <c r="P385" i="2"/>
  <c r="G385" i="2"/>
  <c r="P388" i="2"/>
  <c r="G381" i="2"/>
  <c r="AG389" i="2"/>
  <c r="AF383" i="2"/>
  <c r="AF386" i="2"/>
  <c r="AG386" i="2"/>
  <c r="V384" i="2"/>
  <c r="W385" i="2"/>
  <c r="H384" i="2"/>
  <c r="P383" i="2"/>
  <c r="S387" i="2"/>
  <c r="P386" i="2"/>
  <c r="H389" i="2"/>
  <c r="S382" i="2"/>
  <c r="H379" i="2"/>
  <c r="S383" i="2"/>
  <c r="S388" i="2"/>
  <c r="K381" i="2"/>
  <c r="P381" i="2"/>
  <c r="S389" i="2"/>
  <c r="H387" i="2"/>
  <c r="K383" i="2"/>
  <c r="S384" i="2"/>
  <c r="S381" i="2"/>
  <c r="G379" i="2"/>
  <c r="H381" i="2"/>
  <c r="G388" i="2"/>
  <c r="G383" i="2"/>
  <c r="P384" i="2"/>
  <c r="U384" i="2"/>
  <c r="AD381" i="2"/>
  <c r="U379" i="2"/>
  <c r="V383" i="2"/>
  <c r="AD384" i="2"/>
  <c r="AD382" i="2"/>
  <c r="AD386" i="2"/>
  <c r="Q381" i="2"/>
  <c r="I389" i="2"/>
  <c r="AE328" i="2"/>
  <c r="AE387" i="2"/>
  <c r="AE383" i="2"/>
  <c r="AE382" i="2"/>
  <c r="AE385" i="2"/>
  <c r="AE381" i="2"/>
  <c r="AC328" i="2"/>
  <c r="AC382" i="2"/>
  <c r="AC384" i="2"/>
  <c r="AC383" i="2"/>
  <c r="AC385" i="2"/>
  <c r="AC389" i="2"/>
  <c r="AC387" i="2"/>
  <c r="AC379" i="2"/>
  <c r="R328" i="2"/>
  <c r="R381" i="2"/>
  <c r="R387" i="2"/>
  <c r="R382" i="2"/>
  <c r="R383" i="2"/>
  <c r="R389" i="2"/>
  <c r="R379" i="2"/>
  <c r="R388" i="2"/>
  <c r="Q388" i="2"/>
  <c r="E330" i="2"/>
  <c r="E396" i="2"/>
  <c r="E400" i="2" s="1"/>
  <c r="O328" i="2"/>
  <c r="O388" i="2"/>
  <c r="O383" i="2"/>
  <c r="O381" i="2"/>
  <c r="O382" i="2"/>
  <c r="O385" i="2"/>
  <c r="O387" i="2"/>
  <c r="O386" i="2"/>
  <c r="O384" i="2"/>
  <c r="O389" i="2"/>
  <c r="AB328" i="2"/>
  <c r="AB388" i="2"/>
  <c r="AB389" i="2"/>
  <c r="AB383" i="2"/>
  <c r="AB386" i="2"/>
  <c r="AB381" i="2"/>
  <c r="AB382" i="2"/>
  <c r="AB387" i="2"/>
  <c r="AA328" i="2"/>
  <c r="AA382" i="2"/>
  <c r="AA385" i="2"/>
  <c r="AA379" i="2"/>
  <c r="AA381" i="2"/>
  <c r="AA386" i="2"/>
  <c r="AA389" i="2"/>
  <c r="AA387" i="2"/>
  <c r="AA388" i="2"/>
  <c r="I328" i="2"/>
  <c r="I385" i="2"/>
  <c r="I382" i="2"/>
  <c r="I386" i="2"/>
  <c r="I384" i="2"/>
  <c r="I379" i="2"/>
  <c r="I381" i="2"/>
  <c r="I383" i="2"/>
  <c r="I387" i="2"/>
  <c r="T328" i="2"/>
  <c r="T384" i="2"/>
  <c r="T381" i="2"/>
  <c r="T382" i="2"/>
  <c r="T379" i="2"/>
  <c r="T387" i="2"/>
  <c r="T386" i="2"/>
  <c r="T383" i="2"/>
  <c r="T388" i="2"/>
  <c r="Q328" i="2"/>
  <c r="Q382" i="2"/>
  <c r="Q383" i="2"/>
  <c r="Q386" i="2"/>
  <c r="Q379" i="2"/>
  <c r="Q384" i="2"/>
  <c r="Q389" i="2"/>
  <c r="Q387" i="2"/>
  <c r="L534" i="2"/>
  <c r="Y631" i="2"/>
  <c r="Y632" i="2" s="1"/>
  <c r="Y561" i="2"/>
  <c r="X561" i="2"/>
  <c r="X631" i="2"/>
  <c r="X632" i="2" s="1"/>
  <c r="I388" i="2"/>
  <c r="Q385" i="2"/>
  <c r="T389" i="2"/>
  <c r="K534" i="2"/>
  <c r="V561" i="2"/>
  <c r="V631" i="2"/>
  <c r="V632" i="2" s="1"/>
  <c r="U631" i="2"/>
  <c r="U632" i="2" s="1"/>
  <c r="U561" i="2"/>
  <c r="AH98" i="2"/>
  <c r="AI98" i="2" s="1"/>
  <c r="K388" i="2"/>
  <c r="K387" i="2"/>
  <c r="K385" i="2"/>
  <c r="V385" i="2"/>
  <c r="W381" i="2"/>
  <c r="V389" i="2"/>
  <c r="U389" i="2"/>
  <c r="W382" i="2"/>
  <c r="AF388" i="2"/>
  <c r="P534" i="2"/>
  <c r="S561" i="2"/>
  <c r="S534" i="2"/>
  <c r="G534" i="2"/>
  <c r="Z631" i="2"/>
  <c r="Z632" i="2" s="1"/>
  <c r="Z561" i="2"/>
  <c r="J534" i="2"/>
  <c r="K389" i="2"/>
  <c r="W386" i="2"/>
  <c r="W379" i="2"/>
  <c r="AF389" i="2"/>
  <c r="U381" i="2"/>
  <c r="U386" i="2"/>
  <c r="V386" i="2"/>
  <c r="W384" i="2"/>
  <c r="AF384" i="2"/>
  <c r="V381" i="2"/>
  <c r="AD379" i="2"/>
  <c r="X381" i="2"/>
  <c r="V387" i="2"/>
  <c r="W387" i="2"/>
  <c r="AF385" i="2"/>
  <c r="Y382" i="2"/>
  <c r="U383" i="2"/>
  <c r="H534" i="2"/>
  <c r="AD561" i="2"/>
  <c r="AD631" i="2"/>
  <c r="AD632" i="2" s="1"/>
  <c r="W561" i="2"/>
  <c r="W631" i="2"/>
  <c r="W632" i="2" s="1"/>
  <c r="K384" i="2"/>
  <c r="I534" i="2"/>
  <c r="T561" i="2"/>
  <c r="Q561" i="2"/>
  <c r="Q534" i="2"/>
  <c r="F561" i="2"/>
  <c r="AH532" i="2"/>
  <c r="AI532" i="2" s="1"/>
  <c r="F534" i="2"/>
  <c r="K379" i="2"/>
  <c r="K382" i="2"/>
  <c r="U387" i="2"/>
  <c r="W383" i="2"/>
  <c r="U388" i="2"/>
  <c r="V379" i="2"/>
  <c r="V388" i="2"/>
  <c r="W389" i="2"/>
  <c r="AD387" i="2"/>
  <c r="X382" i="2"/>
  <c r="AF381" i="2"/>
  <c r="U385" i="2"/>
  <c r="X389" i="2"/>
  <c r="AF379" i="2"/>
  <c r="W388" i="2"/>
  <c r="AF382" i="2"/>
  <c r="X383" i="2"/>
  <c r="AE561" i="2"/>
  <c r="AE631" i="2"/>
  <c r="AE632" i="2" s="1"/>
  <c r="AC631" i="2"/>
  <c r="AC632" i="2" s="1"/>
  <c r="AC561" i="2"/>
  <c r="R561" i="2"/>
  <c r="R534" i="2"/>
  <c r="O561" i="2"/>
  <c r="O534" i="2"/>
  <c r="AB631" i="2"/>
  <c r="AB632" i="2" s="1"/>
  <c r="AB561" i="2"/>
  <c r="AA561" i="2"/>
  <c r="AA631" i="2"/>
  <c r="AA632" i="2" s="1"/>
  <c r="N534" i="2"/>
  <c r="F595" i="2"/>
  <c r="F621" i="2"/>
  <c r="T620" i="2"/>
  <c r="AH319" i="2"/>
  <c r="AI319" i="2" s="1"/>
  <c r="F324" i="2"/>
  <c r="F523" i="2" l="1"/>
  <c r="G523" i="2"/>
  <c r="N524" i="2"/>
  <c r="N523" i="2"/>
  <c r="I524" i="2"/>
  <c r="H523" i="2"/>
  <c r="H552" i="2" s="1"/>
  <c r="K523" i="2"/>
  <c r="K524" i="2"/>
  <c r="M523" i="2"/>
  <c r="I523" i="2"/>
  <c r="I552" i="2" s="1"/>
  <c r="I579" i="2" s="1"/>
  <c r="H524" i="2"/>
  <c r="H553" i="2" s="1"/>
  <c r="F524" i="2"/>
  <c r="G524" i="2"/>
  <c r="M524" i="2"/>
  <c r="L373" i="2"/>
  <c r="AH373" i="2" s="1"/>
  <c r="AI373" i="2" s="1"/>
  <c r="L372" i="2"/>
  <c r="AH372" i="2" s="1"/>
  <c r="AI372" i="2" s="1"/>
  <c r="L398" i="2"/>
  <c r="AH398" i="2" s="1"/>
  <c r="L374" i="2"/>
  <c r="AH374" i="2" s="1"/>
  <c r="AI374" i="2" s="1"/>
  <c r="L384" i="2"/>
  <c r="L385" i="2"/>
  <c r="L387" i="2"/>
  <c r="L389" i="2"/>
  <c r="L379" i="2"/>
  <c r="L383" i="2"/>
  <c r="L381" i="2"/>
  <c r="L388" i="2"/>
  <c r="L382" i="2"/>
  <c r="L386" i="2"/>
  <c r="L328" i="2"/>
  <c r="L396" i="2" s="1"/>
  <c r="L118" i="2"/>
  <c r="AH117" i="2"/>
  <c r="AI117" i="2" s="1"/>
  <c r="L371" i="2"/>
  <c r="L370" i="2"/>
  <c r="L380" i="2"/>
  <c r="L378" i="2"/>
  <c r="M400" i="2"/>
  <c r="G18" i="4" s="1"/>
  <c r="M384" i="2"/>
  <c r="L377" i="2"/>
  <c r="M387" i="2"/>
  <c r="M380" i="2"/>
  <c r="M382" i="2"/>
  <c r="M377" i="2"/>
  <c r="M385" i="2"/>
  <c r="M389" i="2"/>
  <c r="M378" i="2"/>
  <c r="M383" i="2"/>
  <c r="M381" i="2"/>
  <c r="M388" i="2"/>
  <c r="M386" i="2"/>
  <c r="M379" i="2"/>
  <c r="M331" i="2"/>
  <c r="M643" i="2"/>
  <c r="O553" i="2"/>
  <c r="O609" i="2" s="1"/>
  <c r="O635" i="2" s="1"/>
  <c r="AG524" i="2"/>
  <c r="Q524" i="2"/>
  <c r="Q553" i="2" s="1"/>
  <c r="Q609" i="2" s="1"/>
  <c r="Q635" i="2" s="1"/>
  <c r="AD524" i="2"/>
  <c r="AC524" i="2"/>
  <c r="AA524" i="2"/>
  <c r="U524" i="2"/>
  <c r="R551" i="2"/>
  <c r="R574" i="2" s="1"/>
  <c r="R599" i="2" s="1"/>
  <c r="R524" i="2"/>
  <c r="R553" i="2" s="1"/>
  <c r="AB523" i="2"/>
  <c r="V523" i="2"/>
  <c r="X523" i="2"/>
  <c r="R523" i="2"/>
  <c r="R552" i="2" s="1"/>
  <c r="AE523" i="2"/>
  <c r="T523" i="2"/>
  <c r="AD523" i="2"/>
  <c r="AF524" i="2"/>
  <c r="W524" i="2"/>
  <c r="I553" i="2"/>
  <c r="AB524" i="2"/>
  <c r="Y524" i="2"/>
  <c r="G553" i="2"/>
  <c r="V524" i="2"/>
  <c r="Z524" i="2"/>
  <c r="AE524" i="2"/>
  <c r="T524" i="2"/>
  <c r="T553" i="2" s="1"/>
  <c r="X524" i="2"/>
  <c r="S551" i="2"/>
  <c r="S574" i="2" s="1"/>
  <c r="S625" i="2" s="1"/>
  <c r="S524" i="2"/>
  <c r="S553" i="2" s="1"/>
  <c r="J553" i="2"/>
  <c r="Y523" i="2"/>
  <c r="Z523" i="2"/>
  <c r="AA523" i="2"/>
  <c r="O552" i="2"/>
  <c r="AG523" i="2"/>
  <c r="S523" i="2"/>
  <c r="S552" i="2" s="1"/>
  <c r="U523" i="2"/>
  <c r="J552" i="2"/>
  <c r="AC523" i="2"/>
  <c r="Q523" i="2"/>
  <c r="Q552" i="2" s="1"/>
  <c r="W523" i="2"/>
  <c r="AF523" i="2"/>
  <c r="F378" i="2"/>
  <c r="Q551" i="2"/>
  <c r="Q574" i="2" s="1"/>
  <c r="AI522" i="2"/>
  <c r="R550" i="2"/>
  <c r="R570" i="2" s="1"/>
  <c r="R621" i="2" s="1"/>
  <c r="V330" i="2"/>
  <c r="V580" i="2" s="1"/>
  <c r="V581" i="2" s="1"/>
  <c r="V400" i="2"/>
  <c r="Q550" i="2"/>
  <c r="Q570" i="2" s="1"/>
  <c r="AD330" i="2"/>
  <c r="AD580" i="2" s="1"/>
  <c r="AD581" i="2" s="1"/>
  <c r="X330" i="2"/>
  <c r="X331" i="2" s="1"/>
  <c r="Z330" i="2"/>
  <c r="Z585" i="2" s="1"/>
  <c r="Z586" i="2" s="1"/>
  <c r="U400" i="2"/>
  <c r="W330" i="2"/>
  <c r="W580" i="2" s="1"/>
  <c r="W581" i="2" s="1"/>
  <c r="Y330" i="2"/>
  <c r="Y585" i="2" s="1"/>
  <c r="Y586" i="2" s="1"/>
  <c r="S550" i="2"/>
  <c r="S570" i="2" s="1"/>
  <c r="S621" i="2" s="1"/>
  <c r="F377" i="2"/>
  <c r="S400" i="2"/>
  <c r="G24" i="4" s="1"/>
  <c r="U330" i="2"/>
  <c r="U585" i="2" s="1"/>
  <c r="U586" i="2" s="1"/>
  <c r="F118" i="2"/>
  <c r="F380" i="2"/>
  <c r="AF330" i="2"/>
  <c r="AF580" i="2" s="1"/>
  <c r="AF581" i="2" s="1"/>
  <c r="AG330" i="2"/>
  <c r="AG331" i="2" s="1"/>
  <c r="S330" i="2"/>
  <c r="I24" i="4" s="1"/>
  <c r="K330" i="2"/>
  <c r="P400" i="2"/>
  <c r="G21" i="4" s="1"/>
  <c r="P330" i="2"/>
  <c r="P643" i="2" s="1"/>
  <c r="N396" i="2"/>
  <c r="N400" i="2" s="1"/>
  <c r="G19" i="4" s="1"/>
  <c r="H330" i="2"/>
  <c r="H643" i="2" s="1"/>
  <c r="G330" i="2"/>
  <c r="G643" i="2" s="1"/>
  <c r="J330" i="2"/>
  <c r="J331" i="2" s="1"/>
  <c r="J400" i="2"/>
  <c r="G15" i="4" s="1"/>
  <c r="K400" i="2"/>
  <c r="G16" i="4" s="1"/>
  <c r="Z392" i="2"/>
  <c r="Z394" i="2" s="1"/>
  <c r="Z402" i="2" s="1"/>
  <c r="J390" i="2"/>
  <c r="J392" i="2" s="1"/>
  <c r="J394" i="2" s="1"/>
  <c r="N390" i="2"/>
  <c r="N392" i="2" s="1"/>
  <c r="N394" i="2" s="1"/>
  <c r="Y392" i="2"/>
  <c r="Y394" i="2" s="1"/>
  <c r="Y402" i="2" s="1"/>
  <c r="G400" i="2"/>
  <c r="G12" i="4" s="1"/>
  <c r="H400" i="2"/>
  <c r="G13" i="4" s="1"/>
  <c r="AG392" i="2"/>
  <c r="AG394" i="2" s="1"/>
  <c r="AG402" i="2" s="1"/>
  <c r="G390" i="2"/>
  <c r="G392" i="2" s="1"/>
  <c r="E12" i="4" s="1"/>
  <c r="F12" i="4" s="1"/>
  <c r="S390" i="2"/>
  <c r="S392" i="2" s="1"/>
  <c r="E24" i="4" s="1"/>
  <c r="F24" i="4" s="1"/>
  <c r="P390" i="2"/>
  <c r="P392" i="2" s="1"/>
  <c r="E21" i="4" s="1"/>
  <c r="F21" i="4" s="1"/>
  <c r="AE392" i="2"/>
  <c r="AE394" i="2" s="1"/>
  <c r="O390" i="2"/>
  <c r="O392" i="2" s="1"/>
  <c r="O394" i="2" s="1"/>
  <c r="H390" i="2"/>
  <c r="H392" i="2" s="1"/>
  <c r="I390" i="2"/>
  <c r="I392" i="2" s="1"/>
  <c r="E14" i="4" s="1"/>
  <c r="F14" i="4" s="1"/>
  <c r="I396" i="2"/>
  <c r="I400" i="2" s="1"/>
  <c r="G14" i="4" s="1"/>
  <c r="I330" i="2"/>
  <c r="U605" i="2"/>
  <c r="U606" i="2" s="1"/>
  <c r="W605" i="2"/>
  <c r="W606" i="2" s="1"/>
  <c r="Y605" i="2"/>
  <c r="Y606" i="2" s="1"/>
  <c r="AG605" i="2"/>
  <c r="AG606" i="2" s="1"/>
  <c r="E643" i="2"/>
  <c r="AC605" i="2"/>
  <c r="AC606" i="2" s="1"/>
  <c r="Z605" i="2"/>
  <c r="Z606" i="2" s="1"/>
  <c r="AA605" i="2"/>
  <c r="AA606" i="2" s="1"/>
  <c r="AE605" i="2"/>
  <c r="AE606" i="2" s="1"/>
  <c r="AD605" i="2"/>
  <c r="AD606" i="2" s="1"/>
  <c r="V605" i="2"/>
  <c r="V606" i="2" s="1"/>
  <c r="X605" i="2"/>
  <c r="X606" i="2" s="1"/>
  <c r="AF605" i="2"/>
  <c r="AF606" i="2" s="1"/>
  <c r="E331" i="2"/>
  <c r="AB605" i="2"/>
  <c r="AB606" i="2" s="1"/>
  <c r="S549" i="2"/>
  <c r="S568" i="2" s="1"/>
  <c r="N331" i="2"/>
  <c r="AD392" i="2"/>
  <c r="AD394" i="2" s="1"/>
  <c r="AD402" i="2" s="1"/>
  <c r="AA396" i="2"/>
  <c r="AA330" i="2"/>
  <c r="AB396" i="2"/>
  <c r="AB330" i="2"/>
  <c r="R396" i="2"/>
  <c r="R400" i="2" s="1"/>
  <c r="G23" i="4" s="1"/>
  <c r="R330" i="2"/>
  <c r="AC392" i="2"/>
  <c r="AC394" i="2" s="1"/>
  <c r="U392" i="2"/>
  <c r="U394" i="2" s="1"/>
  <c r="U402" i="2" s="1"/>
  <c r="AF392" i="2"/>
  <c r="AF394" i="2" s="1"/>
  <c r="AF402" i="2" s="1"/>
  <c r="T396" i="2"/>
  <c r="T400" i="2" s="1"/>
  <c r="T330" i="2"/>
  <c r="T331" i="2" s="1"/>
  <c r="AA392" i="2"/>
  <c r="AA394" i="2" s="1"/>
  <c r="AC396" i="2"/>
  <c r="AC330" i="2"/>
  <c r="K390" i="2"/>
  <c r="K392" i="2" s="1"/>
  <c r="X392" i="2"/>
  <c r="X394" i="2" s="1"/>
  <c r="X402" i="2" s="1"/>
  <c r="Q396" i="2"/>
  <c r="Q400" i="2" s="1"/>
  <c r="G22" i="4" s="1"/>
  <c r="Q330" i="2"/>
  <c r="Q331" i="2" s="1"/>
  <c r="O396" i="2"/>
  <c r="O400" i="2" s="1"/>
  <c r="G20" i="4" s="1"/>
  <c r="O330" i="2"/>
  <c r="W392" i="2"/>
  <c r="W394" i="2" s="1"/>
  <c r="W402" i="2" s="1"/>
  <c r="V392" i="2"/>
  <c r="V394" i="2" s="1"/>
  <c r="V402" i="2" s="1"/>
  <c r="AH534" i="2"/>
  <c r="AI534" i="2" s="1"/>
  <c r="F382" i="2"/>
  <c r="AI375" i="2"/>
  <c r="F385" i="2"/>
  <c r="F328" i="2"/>
  <c r="F386" i="2"/>
  <c r="F388" i="2"/>
  <c r="F384" i="2"/>
  <c r="F381" i="2"/>
  <c r="F379" i="2"/>
  <c r="F383" i="2"/>
  <c r="F387" i="2"/>
  <c r="F389" i="2"/>
  <c r="Q390" i="2"/>
  <c r="Q392" i="2" s="1"/>
  <c r="T392" i="2"/>
  <c r="T394" i="2" s="1"/>
  <c r="AB392" i="2"/>
  <c r="AB394" i="2" s="1"/>
  <c r="E402" i="2"/>
  <c r="R390" i="2"/>
  <c r="R392" i="2" s="1"/>
  <c r="AE396" i="2"/>
  <c r="AE330" i="2"/>
  <c r="F362" i="2"/>
  <c r="AH324" i="2"/>
  <c r="AI324" i="2" s="1"/>
  <c r="F326" i="2"/>
  <c r="L524" i="2" l="1"/>
  <c r="L553" i="2" s="1"/>
  <c r="L609" i="2" s="1"/>
  <c r="L635" i="2" s="1"/>
  <c r="L523" i="2"/>
  <c r="AH523" i="2" s="1"/>
  <c r="AH370" i="2"/>
  <c r="AI370" i="2" s="1"/>
  <c r="AH371" i="2"/>
  <c r="L400" i="2"/>
  <c r="G17" i="4" s="1"/>
  <c r="AH118" i="2"/>
  <c r="AI118" i="2" s="1"/>
  <c r="L330" i="2"/>
  <c r="L331" i="2" s="1"/>
  <c r="AH384" i="2"/>
  <c r="AI384" i="2" s="1"/>
  <c r="AH388" i="2"/>
  <c r="AI388" i="2" s="1"/>
  <c r="AH385" i="2"/>
  <c r="AI385" i="2" s="1"/>
  <c r="M553" i="2"/>
  <c r="AI398" i="2"/>
  <c r="AH377" i="2"/>
  <c r="AI377" i="2" s="1"/>
  <c r="AH389" i="2"/>
  <c r="AI389" i="2" s="1"/>
  <c r="L390" i="2"/>
  <c r="L392" i="2" s="1"/>
  <c r="E17" i="4" s="1"/>
  <c r="F17" i="4" s="1"/>
  <c r="AH380" i="2"/>
  <c r="AI380" i="2" s="1"/>
  <c r="AH383" i="2"/>
  <c r="AI383" i="2" s="1"/>
  <c r="AH387" i="2"/>
  <c r="AI387" i="2" s="1"/>
  <c r="AH382" i="2"/>
  <c r="AI382" i="2" s="1"/>
  <c r="AH381" i="2"/>
  <c r="AI381" i="2" s="1"/>
  <c r="M390" i="2"/>
  <c r="M392" i="2" s="1"/>
  <c r="E18" i="4" s="1"/>
  <c r="F18" i="4" s="1"/>
  <c r="H18" i="4" s="1"/>
  <c r="AH378" i="2"/>
  <c r="AI378" i="2" s="1"/>
  <c r="AH386" i="2"/>
  <c r="AI386" i="2" s="1"/>
  <c r="S599" i="2"/>
  <c r="M600" i="2"/>
  <c r="M601" i="2" s="1"/>
  <c r="M610" i="2"/>
  <c r="M594" i="2"/>
  <c r="M596" i="2"/>
  <c r="M652" i="2" s="1"/>
  <c r="M605" i="2"/>
  <c r="AG525" i="2"/>
  <c r="O584" i="2"/>
  <c r="R625" i="2"/>
  <c r="W525" i="2"/>
  <c r="Z525" i="2"/>
  <c r="Q584" i="2"/>
  <c r="AA525" i="2"/>
  <c r="AE525" i="2"/>
  <c r="S579" i="2"/>
  <c r="S604" i="2"/>
  <c r="S630" i="2" s="1"/>
  <c r="S525" i="2"/>
  <c r="F553" i="2"/>
  <c r="F609" i="2" s="1"/>
  <c r="J584" i="2"/>
  <c r="J609" i="2"/>
  <c r="J635" i="2" s="1"/>
  <c r="AD525" i="2"/>
  <c r="R604" i="2"/>
  <c r="R630" i="2" s="1"/>
  <c r="R579" i="2"/>
  <c r="AB525" i="2"/>
  <c r="Q579" i="2"/>
  <c r="Q604" i="2"/>
  <c r="Q630" i="2" s="1"/>
  <c r="Y525" i="2"/>
  <c r="S584" i="2"/>
  <c r="S609" i="2"/>
  <c r="S635" i="2" s="1"/>
  <c r="T609" i="2"/>
  <c r="T635" i="2" s="1"/>
  <c r="T584" i="2"/>
  <c r="I584" i="2"/>
  <c r="I609" i="2"/>
  <c r="I635" i="2" s="1"/>
  <c r="X525" i="2"/>
  <c r="R584" i="2"/>
  <c r="R609" i="2"/>
  <c r="R635" i="2" s="1"/>
  <c r="AF525" i="2"/>
  <c r="AC525" i="2"/>
  <c r="U525" i="2"/>
  <c r="G584" i="2"/>
  <c r="G609" i="2"/>
  <c r="G635" i="2" s="1"/>
  <c r="H609" i="2"/>
  <c r="H635" i="2" s="1"/>
  <c r="H584" i="2"/>
  <c r="T552" i="2"/>
  <c r="T525" i="2"/>
  <c r="V525" i="2"/>
  <c r="Q599" i="2"/>
  <c r="Q625" i="2"/>
  <c r="L594" i="2"/>
  <c r="J594" i="2"/>
  <c r="L596" i="2"/>
  <c r="L652" i="2" s="1"/>
  <c r="J596" i="2"/>
  <c r="J652" i="2" s="1"/>
  <c r="J605" i="2"/>
  <c r="L605" i="2"/>
  <c r="J604" i="2"/>
  <c r="J579" i="2"/>
  <c r="I600" i="2"/>
  <c r="I601" i="2" s="1"/>
  <c r="H600" i="2"/>
  <c r="H601" i="2" s="1"/>
  <c r="G600" i="2"/>
  <c r="G601" i="2" s="1"/>
  <c r="J600" i="2"/>
  <c r="J601" i="2" s="1"/>
  <c r="J610" i="2"/>
  <c r="G610" i="2"/>
  <c r="H610" i="2"/>
  <c r="I610" i="2"/>
  <c r="H594" i="2"/>
  <c r="I594" i="2"/>
  <c r="G594" i="2"/>
  <c r="G596" i="2"/>
  <c r="H596" i="2"/>
  <c r="I596" i="2"/>
  <c r="I652" i="2" s="1"/>
  <c r="I605" i="2"/>
  <c r="G605" i="2"/>
  <c r="H605" i="2"/>
  <c r="H604" i="2"/>
  <c r="H579" i="2"/>
  <c r="H630" i="2" s="1"/>
  <c r="I604" i="2"/>
  <c r="G525" i="2"/>
  <c r="G552" i="2"/>
  <c r="U580" i="2"/>
  <c r="U581" i="2" s="1"/>
  <c r="X585" i="2"/>
  <c r="X586" i="2" s="1"/>
  <c r="R595" i="2"/>
  <c r="AI521" i="2"/>
  <c r="S595" i="2"/>
  <c r="V585" i="2"/>
  <c r="V586" i="2" s="1"/>
  <c r="W585" i="2"/>
  <c r="W586" i="2" s="1"/>
  <c r="V331" i="2"/>
  <c r="X580" i="2"/>
  <c r="X581" i="2" s="1"/>
  <c r="AD331" i="2"/>
  <c r="AD585" i="2"/>
  <c r="AD586" i="2" s="1"/>
  <c r="W331" i="2"/>
  <c r="Z580" i="2"/>
  <c r="Z581" i="2" s="1"/>
  <c r="U331" i="2"/>
  <c r="Z331" i="2"/>
  <c r="Y331" i="2"/>
  <c r="Y580" i="2"/>
  <c r="Y581" i="2" s="1"/>
  <c r="P331" i="2"/>
  <c r="S331" i="2"/>
  <c r="AF331" i="2"/>
  <c r="AF585" i="2"/>
  <c r="AF586" i="2" s="1"/>
  <c r="K331" i="2"/>
  <c r="H331" i="2"/>
  <c r="G331" i="2"/>
  <c r="J643" i="2"/>
  <c r="J402" i="2"/>
  <c r="J525" i="2"/>
  <c r="E19" i="4"/>
  <c r="F19" i="4" s="1"/>
  <c r="H19" i="4" s="1"/>
  <c r="H21" i="4"/>
  <c r="H24" i="4"/>
  <c r="N402" i="2"/>
  <c r="N403" i="2" s="1"/>
  <c r="E15" i="4"/>
  <c r="F15" i="4" s="1"/>
  <c r="H15" i="4" s="1"/>
  <c r="N525" i="2"/>
  <c r="O525" i="2"/>
  <c r="G394" i="2"/>
  <c r="G402" i="2" s="1"/>
  <c r="AB402" i="2"/>
  <c r="AB403" i="2" s="1"/>
  <c r="H525" i="2"/>
  <c r="T402" i="2"/>
  <c r="T580" i="2" s="1"/>
  <c r="E20" i="4"/>
  <c r="F20" i="4" s="1"/>
  <c r="H20" i="4" s="1"/>
  <c r="P525" i="2"/>
  <c r="H12" i="4"/>
  <c r="P394" i="2"/>
  <c r="P402" i="2" s="1"/>
  <c r="H14" i="4"/>
  <c r="I394" i="2"/>
  <c r="I402" i="2" s="1"/>
  <c r="AE402" i="2"/>
  <c r="AE403" i="2" s="1"/>
  <c r="S394" i="2"/>
  <c r="S402" i="2" s="1"/>
  <c r="S585" i="2" s="1"/>
  <c r="O402" i="2"/>
  <c r="O575" i="2" s="1"/>
  <c r="O576" i="2" s="1"/>
  <c r="AC402" i="2"/>
  <c r="AC403" i="2" s="1"/>
  <c r="H394" i="2"/>
  <c r="H402" i="2" s="1"/>
  <c r="E13" i="4"/>
  <c r="X403" i="2"/>
  <c r="AH379" i="2"/>
  <c r="AI379" i="2" s="1"/>
  <c r="F390" i="2"/>
  <c r="AC580" i="2"/>
  <c r="AC581" i="2" s="1"/>
  <c r="AC331" i="2"/>
  <c r="AC585" i="2"/>
  <c r="AC586" i="2" s="1"/>
  <c r="U403" i="2"/>
  <c r="I525" i="2"/>
  <c r="I23" i="4"/>
  <c r="R331" i="2"/>
  <c r="AB331" i="2"/>
  <c r="AB580" i="2"/>
  <c r="AB581" i="2" s="1"/>
  <c r="AB585" i="2"/>
  <c r="AB586" i="2" s="1"/>
  <c r="I643" i="2"/>
  <c r="I331" i="2"/>
  <c r="AE331" i="2"/>
  <c r="AE585" i="2"/>
  <c r="AE586" i="2" s="1"/>
  <c r="AE580" i="2"/>
  <c r="AE581" i="2" s="1"/>
  <c r="O594" i="2"/>
  <c r="Z403" i="2"/>
  <c r="C590" i="2"/>
  <c r="M590" i="2" s="1"/>
  <c r="S600" i="2"/>
  <c r="F600" i="2"/>
  <c r="F601" i="2" s="1"/>
  <c r="AA610" i="2"/>
  <c r="AA611" i="2" s="1"/>
  <c r="AG610" i="2"/>
  <c r="AG611" i="2" s="1"/>
  <c r="AE610" i="2"/>
  <c r="AE611" i="2" s="1"/>
  <c r="X610" i="2"/>
  <c r="X611" i="2" s="1"/>
  <c r="S605" i="2"/>
  <c r="R594" i="2"/>
  <c r="F594" i="2"/>
  <c r="L600" i="2"/>
  <c r="L601" i="2" s="1"/>
  <c r="O610" i="2"/>
  <c r="O611" i="2" s="1"/>
  <c r="O651" i="2" s="1"/>
  <c r="O596" i="2"/>
  <c r="E649" i="2"/>
  <c r="M649" i="2" s="1"/>
  <c r="Q600" i="2"/>
  <c r="F610" i="2"/>
  <c r="Z610" i="2"/>
  <c r="Z611" i="2" s="1"/>
  <c r="T610" i="2"/>
  <c r="S610" i="2"/>
  <c r="R610" i="2"/>
  <c r="T605" i="2"/>
  <c r="R596" i="2"/>
  <c r="F596" i="2"/>
  <c r="O605" i="2"/>
  <c r="E403" i="2"/>
  <c r="R600" i="2"/>
  <c r="R601" i="2" s="1"/>
  <c r="W610" i="2"/>
  <c r="W611" i="2" s="1"/>
  <c r="V610" i="2"/>
  <c r="V611" i="2" s="1"/>
  <c r="Y610" i="2"/>
  <c r="Y611" i="2" s="1"/>
  <c r="R605" i="2"/>
  <c r="S594" i="2"/>
  <c r="AF610" i="2"/>
  <c r="AF611" i="2" s="1"/>
  <c r="AC610" i="2"/>
  <c r="AC611" i="2" s="1"/>
  <c r="U610" i="2"/>
  <c r="U611" i="2" s="1"/>
  <c r="AB610" i="2"/>
  <c r="AB611" i="2" s="1"/>
  <c r="F605" i="2"/>
  <c r="Q594" i="2"/>
  <c r="S596" i="2"/>
  <c r="O600" i="2"/>
  <c r="O601" i="2" s="1"/>
  <c r="L610" i="2"/>
  <c r="Q610" i="2"/>
  <c r="Q611" i="2" s="1"/>
  <c r="Q651" i="2" s="1"/>
  <c r="AD610" i="2"/>
  <c r="AD611" i="2" s="1"/>
  <c r="Q596" i="2"/>
  <c r="Q605" i="2"/>
  <c r="Q595" i="2"/>
  <c r="Q621" i="2"/>
  <c r="Y403" i="2"/>
  <c r="V403" i="2"/>
  <c r="O643" i="2"/>
  <c r="O331" i="2"/>
  <c r="E16" i="4"/>
  <c r="F16" i="4" s="1"/>
  <c r="H16" i="4" s="1"/>
  <c r="K394" i="2"/>
  <c r="K402" i="2" s="1"/>
  <c r="AF403" i="2"/>
  <c r="K525" i="2"/>
  <c r="AG403" i="2"/>
  <c r="E23" i="4"/>
  <c r="F23" i="4" s="1"/>
  <c r="R394" i="2"/>
  <c r="R402" i="2" s="1"/>
  <c r="Q549" i="2"/>
  <c r="Q568" i="2" s="1"/>
  <c r="Q525" i="2"/>
  <c r="AI520" i="2"/>
  <c r="R525" i="2"/>
  <c r="R549" i="2"/>
  <c r="R568" i="2" s="1"/>
  <c r="Q394" i="2"/>
  <c r="Q402" i="2" s="1"/>
  <c r="E22" i="4"/>
  <c r="F22" i="4" s="1"/>
  <c r="AH328" i="2"/>
  <c r="AI328" i="2" s="1"/>
  <c r="F396" i="2"/>
  <c r="W403" i="2"/>
  <c r="AA402" i="2"/>
  <c r="AA403" i="2" s="1"/>
  <c r="AA331" i="2"/>
  <c r="AA580" i="2"/>
  <c r="AA581" i="2" s="1"/>
  <c r="AA585" i="2"/>
  <c r="AA586" i="2" s="1"/>
  <c r="AD403" i="2"/>
  <c r="S593" i="2"/>
  <c r="S619" i="2"/>
  <c r="O604" i="2"/>
  <c r="O579" i="2"/>
  <c r="O630" i="2" s="1"/>
  <c r="AH362" i="2"/>
  <c r="AI362" i="2" s="1"/>
  <c r="F330" i="2"/>
  <c r="AH326" i="2"/>
  <c r="L552" i="2" l="1"/>
  <c r="L604" i="2" s="1"/>
  <c r="L606" i="2" s="1"/>
  <c r="L653" i="2" s="1"/>
  <c r="AH524" i="2"/>
  <c r="AI524" i="2" s="1"/>
  <c r="H17" i="4"/>
  <c r="L643" i="2"/>
  <c r="L525" i="2"/>
  <c r="L584" i="2"/>
  <c r="M542" i="2"/>
  <c r="M525" i="2"/>
  <c r="L394" i="2"/>
  <c r="L402" i="2" s="1"/>
  <c r="L575" i="2" s="1"/>
  <c r="L576" i="2" s="1"/>
  <c r="AH390" i="2"/>
  <c r="AI390" i="2" s="1"/>
  <c r="M552" i="2"/>
  <c r="M604" i="2" s="1"/>
  <c r="M541" i="2"/>
  <c r="M394" i="2"/>
  <c r="M402" i="2" s="1"/>
  <c r="M575" i="2" s="1"/>
  <c r="M576" i="2" s="1"/>
  <c r="S611" i="2"/>
  <c r="S651" i="2" s="1"/>
  <c r="Q601" i="2"/>
  <c r="S606" i="2"/>
  <c r="G611" i="2"/>
  <c r="G651" i="2" s="1"/>
  <c r="H611" i="2"/>
  <c r="H651" i="2" s="1"/>
  <c r="S601" i="2"/>
  <c r="M584" i="2"/>
  <c r="M609" i="2"/>
  <c r="R606" i="2"/>
  <c r="J611" i="2"/>
  <c r="J651" i="2" s="1"/>
  <c r="T611" i="2"/>
  <c r="T651" i="2" s="1"/>
  <c r="F584" i="2"/>
  <c r="I611" i="2"/>
  <c r="I651" i="2" s="1"/>
  <c r="L611" i="2"/>
  <c r="L651" i="2" s="1"/>
  <c r="R611" i="2"/>
  <c r="R651" i="2" s="1"/>
  <c r="T579" i="2"/>
  <c r="T581" i="2" s="1"/>
  <c r="T646" i="2" s="1"/>
  <c r="T604" i="2"/>
  <c r="T630" i="2" s="1"/>
  <c r="Q606" i="2"/>
  <c r="S586" i="2"/>
  <c r="S645" i="2" s="1"/>
  <c r="AI371" i="2"/>
  <c r="AI523" i="2"/>
  <c r="J569" i="2"/>
  <c r="J571" i="2"/>
  <c r="J646" i="2" s="1"/>
  <c r="J580" i="2"/>
  <c r="J581" i="2" s="1"/>
  <c r="J630" i="2"/>
  <c r="J606" i="2"/>
  <c r="J653" i="2" s="1"/>
  <c r="L620" i="2"/>
  <c r="J620" i="2"/>
  <c r="J622" i="2"/>
  <c r="J658" i="2" s="1"/>
  <c r="L622" i="2"/>
  <c r="L658" i="2" s="1"/>
  <c r="F16" i="17" s="1"/>
  <c r="J626" i="2"/>
  <c r="J627" i="2" s="1"/>
  <c r="I626" i="2"/>
  <c r="I627" i="2" s="1"/>
  <c r="G626" i="2"/>
  <c r="G627" i="2" s="1"/>
  <c r="H626" i="2"/>
  <c r="H627" i="2" s="1"/>
  <c r="H620" i="2"/>
  <c r="G620" i="2"/>
  <c r="I620" i="2"/>
  <c r="G622" i="2"/>
  <c r="H622" i="2"/>
  <c r="I622" i="2"/>
  <c r="I658" i="2" s="1"/>
  <c r="H606" i="2"/>
  <c r="H652" i="2" s="1"/>
  <c r="I565" i="2"/>
  <c r="I575" i="2"/>
  <c r="I576" i="2" s="1"/>
  <c r="I585" i="2"/>
  <c r="I586" i="2" s="1"/>
  <c r="I645" i="2" s="1"/>
  <c r="I569" i="2"/>
  <c r="I571" i="2"/>
  <c r="I646" i="2" s="1"/>
  <c r="I580" i="2"/>
  <c r="I581" i="2" s="1"/>
  <c r="J575" i="2"/>
  <c r="J576" i="2" s="1"/>
  <c r="J585" i="2"/>
  <c r="J586" i="2" s="1"/>
  <c r="J645" i="2" s="1"/>
  <c r="G579" i="2"/>
  <c r="G630" i="2" s="1"/>
  <c r="G604" i="2"/>
  <c r="G606" i="2" s="1"/>
  <c r="G652" i="2" s="1"/>
  <c r="I630" i="2"/>
  <c r="I606" i="2"/>
  <c r="I653" i="2" s="1"/>
  <c r="H575" i="2"/>
  <c r="H576" i="2" s="1"/>
  <c r="H585" i="2"/>
  <c r="H586" i="2" s="1"/>
  <c r="H645" i="2" s="1"/>
  <c r="H569" i="2"/>
  <c r="H571" i="2"/>
  <c r="H580" i="2"/>
  <c r="H581" i="2" s="1"/>
  <c r="G575" i="2"/>
  <c r="G576" i="2" s="1"/>
  <c r="G585" i="2"/>
  <c r="G586" i="2" s="1"/>
  <c r="G645" i="2" s="1"/>
  <c r="G569" i="2"/>
  <c r="G571" i="2"/>
  <c r="G580" i="2"/>
  <c r="F13" i="4"/>
  <c r="S652" i="2"/>
  <c r="J565" i="2"/>
  <c r="J403" i="2"/>
  <c r="H22" i="4"/>
  <c r="H23" i="4"/>
  <c r="S403" i="2"/>
  <c r="S643" i="2"/>
  <c r="T403" i="2"/>
  <c r="O571" i="2"/>
  <c r="O580" i="2"/>
  <c r="O581" i="2" s="1"/>
  <c r="S565" i="2"/>
  <c r="S569" i="2"/>
  <c r="G565" i="2"/>
  <c r="H565" i="2"/>
  <c r="T585" i="2"/>
  <c r="T586" i="2" s="1"/>
  <c r="S575" i="2"/>
  <c r="S576" i="2" s="1"/>
  <c r="S580" i="2"/>
  <c r="S581" i="2" s="1"/>
  <c r="S571" i="2"/>
  <c r="S646" i="2" s="1"/>
  <c r="G403" i="2"/>
  <c r="H403" i="2"/>
  <c r="P565" i="2"/>
  <c r="O569" i="2"/>
  <c r="P403" i="2"/>
  <c r="O403" i="2"/>
  <c r="O585" i="2"/>
  <c r="O586" i="2" s="1"/>
  <c r="O645" i="2" s="1"/>
  <c r="O565" i="2"/>
  <c r="F392" i="2"/>
  <c r="E11" i="4" s="1"/>
  <c r="O590" i="2"/>
  <c r="P590" i="2"/>
  <c r="S590" i="2"/>
  <c r="L590" i="2"/>
  <c r="Q590" i="2"/>
  <c r="I590" i="2"/>
  <c r="J590" i="2"/>
  <c r="G590" i="2"/>
  <c r="R590" i="2"/>
  <c r="H590" i="2"/>
  <c r="F590" i="2"/>
  <c r="L616" i="2"/>
  <c r="L631" i="2" s="1"/>
  <c r="C616" i="2"/>
  <c r="J616" i="2"/>
  <c r="J631" i="2" s="1"/>
  <c r="G616" i="2"/>
  <c r="O626" i="2"/>
  <c r="O627" i="2" s="1"/>
  <c r="L540" i="2"/>
  <c r="Q540" i="2"/>
  <c r="F540" i="2"/>
  <c r="G540" i="2"/>
  <c r="E542" i="2"/>
  <c r="R542" i="2"/>
  <c r="T541" i="2"/>
  <c r="S620" i="2"/>
  <c r="O620" i="2"/>
  <c r="G538" i="2"/>
  <c r="F538" i="2"/>
  <c r="K539" i="2"/>
  <c r="S539" i="2"/>
  <c r="H539" i="2"/>
  <c r="R539" i="2"/>
  <c r="H541" i="2"/>
  <c r="P538" i="2"/>
  <c r="L541" i="2"/>
  <c r="P542" i="2"/>
  <c r="I542" i="2"/>
  <c r="Q616" i="2"/>
  <c r="I616" i="2"/>
  <c r="P616" i="2"/>
  <c r="R626" i="2"/>
  <c r="R627" i="2" s="1"/>
  <c r="J540" i="2"/>
  <c r="O540" i="2"/>
  <c r="E540" i="2"/>
  <c r="T542" i="2"/>
  <c r="H538" i="2"/>
  <c r="I539" i="2"/>
  <c r="G539" i="2"/>
  <c r="F622" i="2"/>
  <c r="I541" i="2"/>
  <c r="J541" i="2"/>
  <c r="Q538" i="2"/>
  <c r="G541" i="2"/>
  <c r="K542" i="2"/>
  <c r="O616" i="2"/>
  <c r="H540" i="2"/>
  <c r="Q541" i="2"/>
  <c r="J538" i="2"/>
  <c r="N541" i="2"/>
  <c r="N542" i="2"/>
  <c r="O542" i="2"/>
  <c r="F616" i="2"/>
  <c r="S616" i="2"/>
  <c r="F626" i="2"/>
  <c r="F627" i="2" s="1"/>
  <c r="S540" i="2"/>
  <c r="E538" i="2"/>
  <c r="S541" i="2"/>
  <c r="I538" i="2"/>
  <c r="O622" i="2"/>
  <c r="Q622" i="2"/>
  <c r="J539" i="2"/>
  <c r="O541" i="2"/>
  <c r="R538" i="2"/>
  <c r="J542" i="2"/>
  <c r="K541" i="2"/>
  <c r="H616" i="2"/>
  <c r="R616" i="2"/>
  <c r="Q626" i="2"/>
  <c r="Q627" i="2" s="1"/>
  <c r="R540" i="2"/>
  <c r="N540" i="2"/>
  <c r="Q542" i="2"/>
  <c r="F620" i="2"/>
  <c r="S622" i="2"/>
  <c r="S658" i="2" s="1"/>
  <c r="L539" i="2"/>
  <c r="P539" i="2"/>
  <c r="G542" i="2"/>
  <c r="S538" i="2"/>
  <c r="L538" i="2"/>
  <c r="F542" i="2"/>
  <c r="T616" i="2"/>
  <c r="K540" i="2"/>
  <c r="P540" i="2"/>
  <c r="R541" i="2"/>
  <c r="R620" i="2"/>
  <c r="Q620" i="2"/>
  <c r="E539" i="2"/>
  <c r="R622" i="2"/>
  <c r="N539" i="2"/>
  <c r="P541" i="2"/>
  <c r="L542" i="2"/>
  <c r="H542" i="2"/>
  <c r="F539" i="2"/>
  <c r="E655" i="2"/>
  <c r="F655" i="2" s="1"/>
  <c r="G655" i="2" s="1"/>
  <c r="H655" i="2" s="1"/>
  <c r="I655" i="2" s="1"/>
  <c r="J655" i="2" s="1"/>
  <c r="L655" i="2" s="1"/>
  <c r="S626" i="2"/>
  <c r="S627" i="2" s="1"/>
  <c r="L626" i="2"/>
  <c r="L627" i="2" s="1"/>
  <c r="I540" i="2"/>
  <c r="E541" i="2"/>
  <c r="S542" i="2"/>
  <c r="K538" i="2"/>
  <c r="O539" i="2"/>
  <c r="Q539" i="2"/>
  <c r="O538" i="2"/>
  <c r="N538" i="2"/>
  <c r="R643" i="2"/>
  <c r="R569" i="2"/>
  <c r="R575" i="2"/>
  <c r="R576" i="2" s="1"/>
  <c r="R571" i="2"/>
  <c r="R580" i="2"/>
  <c r="R581" i="2" s="1"/>
  <c r="R403" i="2"/>
  <c r="R565" i="2"/>
  <c r="R585" i="2"/>
  <c r="R586" i="2" s="1"/>
  <c r="R645" i="2" s="1"/>
  <c r="O606" i="2"/>
  <c r="O652" i="2" s="1"/>
  <c r="F525" i="2"/>
  <c r="F541" i="2"/>
  <c r="F552" i="2"/>
  <c r="Q593" i="2"/>
  <c r="Q619" i="2"/>
  <c r="Q643" i="2"/>
  <c r="Q580" i="2"/>
  <c r="Q581" i="2" s="1"/>
  <c r="Q571" i="2"/>
  <c r="Q569" i="2"/>
  <c r="Q403" i="2"/>
  <c r="Q565" i="2"/>
  <c r="Q585" i="2"/>
  <c r="Q586" i="2" s="1"/>
  <c r="Q645" i="2" s="1"/>
  <c r="Q575" i="2"/>
  <c r="Q576" i="2" s="1"/>
  <c r="K403" i="2"/>
  <c r="R619" i="2"/>
  <c r="R593" i="2"/>
  <c r="I403" i="2"/>
  <c r="AH396" i="2"/>
  <c r="AI396" i="2" s="1"/>
  <c r="F400" i="2"/>
  <c r="J649" i="2"/>
  <c r="F649" i="2"/>
  <c r="P649" i="2"/>
  <c r="H649" i="2"/>
  <c r="L649" i="2"/>
  <c r="I649" i="2"/>
  <c r="O649" i="2"/>
  <c r="G649" i="2"/>
  <c r="F331" i="2"/>
  <c r="F643" i="2"/>
  <c r="AH330" i="2"/>
  <c r="AI330" i="2" s="1"/>
  <c r="AI326" i="2"/>
  <c r="F635" i="2"/>
  <c r="F611" i="2"/>
  <c r="F651" i="2" s="1"/>
  <c r="L630" i="2" l="1"/>
  <c r="L632" i="2" s="1"/>
  <c r="L659" i="2" s="1"/>
  <c r="G16" i="17" s="1"/>
  <c r="L579" i="2"/>
  <c r="L585" i="2"/>
  <c r="L586" i="2" s="1"/>
  <c r="L645" i="2" s="1"/>
  <c r="AH525" i="2"/>
  <c r="AI525" i="2" s="1"/>
  <c r="M543" i="2"/>
  <c r="L565" i="2"/>
  <c r="L569" i="2"/>
  <c r="L580" i="2"/>
  <c r="L571" i="2"/>
  <c r="L646" i="2" s="1"/>
  <c r="L403" i="2"/>
  <c r="M579" i="2"/>
  <c r="M585" i="2"/>
  <c r="M586" i="2" s="1"/>
  <c r="M645" i="2" s="1"/>
  <c r="M569" i="2"/>
  <c r="M580" i="2"/>
  <c r="M565" i="2"/>
  <c r="M403" i="2"/>
  <c r="M571" i="2"/>
  <c r="M646" i="2" s="1"/>
  <c r="S653" i="2"/>
  <c r="R652" i="2"/>
  <c r="O655" i="2"/>
  <c r="P655" i="2" s="1"/>
  <c r="Q655" i="2" s="1"/>
  <c r="R655" i="2" s="1"/>
  <c r="S655" i="2" s="1"/>
  <c r="M655" i="2"/>
  <c r="M630" i="2"/>
  <c r="M632" i="2" s="1"/>
  <c r="M659" i="2" s="1"/>
  <c r="G17" i="17" s="1"/>
  <c r="M606" i="2"/>
  <c r="M653" i="2" s="1"/>
  <c r="M611" i="2"/>
  <c r="M651" i="2" s="1"/>
  <c r="M635" i="2"/>
  <c r="M637" i="2" s="1"/>
  <c r="M657" i="2" s="1"/>
  <c r="E17" i="17" s="1"/>
  <c r="T606" i="2"/>
  <c r="T652" i="2"/>
  <c r="Q652" i="2"/>
  <c r="I647" i="2"/>
  <c r="J632" i="2"/>
  <c r="J659" i="2" s="1"/>
  <c r="G14" i="17" s="1"/>
  <c r="G15" i="17"/>
  <c r="J636" i="2"/>
  <c r="J637" i="2" s="1"/>
  <c r="F14" i="17"/>
  <c r="F15" i="17"/>
  <c r="H636" i="2"/>
  <c r="H637" i="2" s="1"/>
  <c r="H657" i="2" s="1"/>
  <c r="E12" i="17" s="1"/>
  <c r="H631" i="2"/>
  <c r="H632" i="2" s="1"/>
  <c r="H658" i="2" s="1"/>
  <c r="F12" i="17" s="1"/>
  <c r="G636" i="2"/>
  <c r="G637" i="2" s="1"/>
  <c r="G657" i="2" s="1"/>
  <c r="E11" i="17" s="1"/>
  <c r="G631" i="2"/>
  <c r="G632" i="2" s="1"/>
  <c r="G658" i="2" s="1"/>
  <c r="F11" i="17" s="1"/>
  <c r="I636" i="2"/>
  <c r="I637" i="2" s="1"/>
  <c r="I657" i="2" s="1"/>
  <c r="E13" i="17" s="1"/>
  <c r="I631" i="2"/>
  <c r="I632" i="2" s="1"/>
  <c r="I659" i="2" s="1"/>
  <c r="G13" i="17" s="1"/>
  <c r="G581" i="2"/>
  <c r="G646" i="2" s="1"/>
  <c r="H13" i="4"/>
  <c r="J647" i="2"/>
  <c r="S647" i="2"/>
  <c r="AH392" i="2"/>
  <c r="AI392" i="2" s="1"/>
  <c r="K543" i="2"/>
  <c r="O646" i="2"/>
  <c r="F394" i="2"/>
  <c r="F402" i="2" s="1"/>
  <c r="Q649" i="2" s="1"/>
  <c r="R649" i="2" s="1"/>
  <c r="S649" i="2" s="1"/>
  <c r="T649" i="2" s="1"/>
  <c r="H646" i="2"/>
  <c r="J543" i="2"/>
  <c r="N543" i="2"/>
  <c r="Q646" i="2"/>
  <c r="P543" i="2"/>
  <c r="F604" i="2"/>
  <c r="F606" i="2" s="1"/>
  <c r="F652" i="2" s="1"/>
  <c r="F579" i="2"/>
  <c r="F630" i="2" s="1"/>
  <c r="L543" i="2"/>
  <c r="F543" i="2"/>
  <c r="F636" i="2"/>
  <c r="F637" i="2" s="1"/>
  <c r="F657" i="2" s="1"/>
  <c r="E10" i="17" s="1"/>
  <c r="F631" i="2"/>
  <c r="R646" i="2"/>
  <c r="T631" i="2"/>
  <c r="T636" i="2"/>
  <c r="T637" i="2" s="1"/>
  <c r="T657" i="2" s="1"/>
  <c r="S543" i="2"/>
  <c r="Q543" i="2"/>
  <c r="G543" i="2"/>
  <c r="T543" i="2"/>
  <c r="I543" i="2"/>
  <c r="Q636" i="2"/>
  <c r="Q637" i="2" s="1"/>
  <c r="Q657" i="2" s="1"/>
  <c r="Q631" i="2"/>
  <c r="Q632" i="2" s="1"/>
  <c r="Q658" i="2" s="1"/>
  <c r="G11" i="4"/>
  <c r="G28" i="4" s="1"/>
  <c r="AH400" i="2"/>
  <c r="AI400" i="2" s="1"/>
  <c r="O543" i="2"/>
  <c r="R631" i="2"/>
  <c r="R632" i="2" s="1"/>
  <c r="R658" i="2" s="1"/>
  <c r="R636" i="2"/>
  <c r="R637" i="2" s="1"/>
  <c r="R657" i="2" s="1"/>
  <c r="R543" i="2"/>
  <c r="E543" i="2"/>
  <c r="E545" i="2" s="1"/>
  <c r="S636" i="2"/>
  <c r="S637" i="2" s="1"/>
  <c r="S657" i="2" s="1"/>
  <c r="S631" i="2"/>
  <c r="S632" i="2" s="1"/>
  <c r="S659" i="2" s="1"/>
  <c r="O636" i="2"/>
  <c r="O637" i="2" s="1"/>
  <c r="O657" i="2" s="1"/>
  <c r="O631" i="2"/>
  <c r="O632" i="2" s="1"/>
  <c r="O658" i="2" s="1"/>
  <c r="H543" i="2"/>
  <c r="F13" i="17"/>
  <c r="L636" i="2"/>
  <c r="L637" i="2" s="1"/>
  <c r="E28" i="4"/>
  <c r="F11" i="4"/>
  <c r="L581" i="2" l="1"/>
  <c r="L647" i="2" s="1"/>
  <c r="M581" i="2"/>
  <c r="M647" i="2" s="1"/>
  <c r="J657" i="2"/>
  <c r="E14" i="17" s="1"/>
  <c r="E15" i="17"/>
  <c r="F28" i="4"/>
  <c r="H28" i="4" s="1"/>
  <c r="E52" i="4"/>
  <c r="L657" i="2"/>
  <c r="E16" i="17" s="1"/>
  <c r="AH394" i="2"/>
  <c r="AI394" i="2" s="1"/>
  <c r="AI1" i="2" s="1"/>
  <c r="T658" i="2"/>
  <c r="T632" i="2"/>
  <c r="F632" i="2"/>
  <c r="F658" i="2" s="1"/>
  <c r="F10" i="17" s="1"/>
  <c r="H11" i="4"/>
  <c r="F565" i="2"/>
  <c r="F403" i="2"/>
  <c r="F575" i="2"/>
  <c r="F576" i="2" s="1"/>
  <c r="F585" i="2"/>
  <c r="F586" i="2" s="1"/>
  <c r="F645" i="2" s="1"/>
  <c r="F580" i="2"/>
  <c r="F581" i="2" s="1"/>
  <c r="F569" i="2"/>
  <c r="F571" i="2"/>
  <c r="I20" i="4" l="1"/>
  <c r="I18" i="4"/>
  <c r="I14" i="4"/>
  <c r="I19" i="4"/>
  <c r="I22" i="4"/>
  <c r="I15" i="4"/>
  <c r="I12" i="4"/>
  <c r="I11" i="4"/>
  <c r="I16" i="4"/>
  <c r="I28" i="4"/>
  <c r="I21" i="4"/>
  <c r="I17" i="4"/>
  <c r="I13" i="4"/>
  <c r="F646" i="2"/>
</calcChain>
</file>

<file path=xl/sharedStrings.xml><?xml version="1.0" encoding="utf-8"?>
<sst xmlns="http://schemas.openxmlformats.org/spreadsheetml/2006/main" count="2414" uniqueCount="1210">
  <si>
    <t>Total</t>
  </si>
  <si>
    <t>Station Equipment</t>
  </si>
  <si>
    <t>Primary Distribution Plant</t>
  </si>
  <si>
    <t>Customer Services</t>
  </si>
  <si>
    <t>Meters</t>
  </si>
  <si>
    <t>Lighting Systems</t>
  </si>
  <si>
    <t>Description</t>
  </si>
  <si>
    <t>Name</t>
  </si>
  <si>
    <t>Vector</t>
  </si>
  <si>
    <t>System</t>
  </si>
  <si>
    <t>Demand</t>
  </si>
  <si>
    <t>Energy</t>
  </si>
  <si>
    <t>Customer</t>
  </si>
  <si>
    <t>Total Check</t>
  </si>
  <si>
    <t>Status</t>
  </si>
  <si>
    <t>Plant in Service</t>
  </si>
  <si>
    <t>PDIST</t>
  </si>
  <si>
    <t>LAND AND LAND RIGHTS</t>
  </si>
  <si>
    <t>P360</t>
  </si>
  <si>
    <t>Total Intangible Plant</t>
  </si>
  <si>
    <t>PINT</t>
  </si>
  <si>
    <t>Distribution</t>
  </si>
  <si>
    <t>STATION EQUIPMENT</t>
  </si>
  <si>
    <t>P362</t>
  </si>
  <si>
    <t>F001</t>
  </si>
  <si>
    <t>POLES, TOWERS AND FIXTURES</t>
  </si>
  <si>
    <t>P364</t>
  </si>
  <si>
    <t>F002</t>
  </si>
  <si>
    <t>OVERHEAD CONDUCTORS AND DEVICE</t>
  </si>
  <si>
    <t>P365</t>
  </si>
  <si>
    <t>F003</t>
  </si>
  <si>
    <t>UNDERGROUND CONDUIT</t>
  </si>
  <si>
    <t>P366</t>
  </si>
  <si>
    <t>F004</t>
  </si>
  <si>
    <t>UNDERGROUND CONDUCTORS AND DEV</t>
  </si>
  <si>
    <t>P367</t>
  </si>
  <si>
    <t>LINE TRANSFORMERS</t>
  </si>
  <si>
    <t>P368</t>
  </si>
  <si>
    <t>F005</t>
  </si>
  <si>
    <t>SERVICES</t>
  </si>
  <si>
    <t>P369</t>
  </si>
  <si>
    <t>F006</t>
  </si>
  <si>
    <t>METERS</t>
  </si>
  <si>
    <t>P370</t>
  </si>
  <si>
    <t>F007</t>
  </si>
  <si>
    <t>INSTALLATIONS ON CONSUMERS PRE</t>
  </si>
  <si>
    <t>P371</t>
  </si>
  <si>
    <t>STREET LIGHTING AND SIGNAL SYS</t>
  </si>
  <si>
    <t>P373</t>
  </si>
  <si>
    <t>F008</t>
  </si>
  <si>
    <t>Total Distribution Plant</t>
  </si>
  <si>
    <t>General Plant</t>
  </si>
  <si>
    <t>P389</t>
  </si>
  <si>
    <t>STRUCTURES AND IMPROVEMENTS</t>
  </si>
  <si>
    <t>P390</t>
  </si>
  <si>
    <t>OFFICE FURNITURE AND EQUIPMENT</t>
  </si>
  <si>
    <t>P391</t>
  </si>
  <si>
    <t>TRANSPORTATION EQUIPMENT</t>
  </si>
  <si>
    <t>P392</t>
  </si>
  <si>
    <t>STORES EQUIPMENT</t>
  </si>
  <si>
    <t>P393</t>
  </si>
  <si>
    <t>TOOLS, SHOP &amp; GARAGE EQUIPMENT</t>
  </si>
  <si>
    <t>P394</t>
  </si>
  <si>
    <t>LABORATORY EQUIPMENT</t>
  </si>
  <si>
    <t>P395</t>
  </si>
  <si>
    <t>POWER OPERATED EQUIPMENT</t>
  </si>
  <si>
    <t>P396</t>
  </si>
  <si>
    <t>COMMUNICATION EQUIPMENT</t>
  </si>
  <si>
    <t>P397</t>
  </si>
  <si>
    <t>Total General Plant</t>
  </si>
  <si>
    <t>PGP</t>
  </si>
  <si>
    <t>Total Plant in Service</t>
  </si>
  <si>
    <t>TPIS</t>
  </si>
  <si>
    <t>Construction Work in Progress (CWIP)</t>
  </si>
  <si>
    <t xml:space="preserve">  Total Construction Work in Progress</t>
  </si>
  <si>
    <t>TCWIP</t>
  </si>
  <si>
    <t>Rate Base</t>
  </si>
  <si>
    <t>Utility Plant</t>
  </si>
  <si>
    <t xml:space="preserve">    Total Utility Plant</t>
  </si>
  <si>
    <t>TUP</t>
  </si>
  <si>
    <t>Less: Acummulated Provision for Depreciation</t>
  </si>
  <si>
    <t xml:space="preserve">  General Plant</t>
  </si>
  <si>
    <t>TADEPR</t>
  </si>
  <si>
    <t>Net Utility Plant</t>
  </si>
  <si>
    <t>NTPLANT</t>
  </si>
  <si>
    <t>Working Capital</t>
  </si>
  <si>
    <t>Operation and Maintenance Expenses</t>
  </si>
  <si>
    <t>CWC</t>
  </si>
  <si>
    <t>OMLPP</t>
  </si>
  <si>
    <t>PREPAY</t>
  </si>
  <si>
    <t xml:space="preserve">  Total Working Capital</t>
  </si>
  <si>
    <t>TWC</t>
  </si>
  <si>
    <t>Less: Customer Deposits</t>
  </si>
  <si>
    <t>CSTDEP</t>
  </si>
  <si>
    <t>Net Rate Base</t>
  </si>
  <si>
    <t>RB</t>
  </si>
  <si>
    <t>Purchased Power</t>
  </si>
  <si>
    <t>OMPP</t>
  </si>
  <si>
    <t>Distribution Operation Expense</t>
  </si>
  <si>
    <t>OPERATION SUPERVISION AND ENGI</t>
  </si>
  <si>
    <t>OM580</t>
  </si>
  <si>
    <t>LOAD DISPATCHING</t>
  </si>
  <si>
    <t>OM581</t>
  </si>
  <si>
    <t>OVERHEAD LINE EXPENSES</t>
  </si>
  <si>
    <t>OM583</t>
  </si>
  <si>
    <t>UNDERGROUND LINE EXPENSES</t>
  </si>
  <si>
    <t>OM584</t>
  </si>
  <si>
    <t>STREET LIGHTING EXPENSE</t>
  </si>
  <si>
    <t>OM585</t>
  </si>
  <si>
    <t>METER EXPENSES</t>
  </si>
  <si>
    <t>OM586</t>
  </si>
  <si>
    <t>CUSTOMER INSTALLATIONS EXPENSE</t>
  </si>
  <si>
    <t>OM587</t>
  </si>
  <si>
    <t>MISCELLANEOUS DISTRIBUTION EXP</t>
  </si>
  <si>
    <t>OM588</t>
  </si>
  <si>
    <t>RENTS</t>
  </si>
  <si>
    <t>OM589</t>
  </si>
  <si>
    <t>Total Distribution Operation Expense</t>
  </si>
  <si>
    <t>OMDO</t>
  </si>
  <si>
    <t>Distribution Maintenance Expense</t>
  </si>
  <si>
    <t>MAINTENANCE SUPERVISION AND EN</t>
  </si>
  <si>
    <t>OM590</t>
  </si>
  <si>
    <t>MAINTENANCE OF STATION EQUIPME</t>
  </si>
  <si>
    <t>OM592</t>
  </si>
  <si>
    <t>MAINTENANCE OF OVERHEAD LINES</t>
  </si>
  <si>
    <t>OM593</t>
  </si>
  <si>
    <t>MAINTENANCE OF UNDERGROUND LIN</t>
  </si>
  <si>
    <t>OM594</t>
  </si>
  <si>
    <t>MAINTENANCE OF LINE TRANSFORME</t>
  </si>
  <si>
    <t>OM595</t>
  </si>
  <si>
    <t>MAINTENANCE OF METERS</t>
  </si>
  <si>
    <t>OM597</t>
  </si>
  <si>
    <t>OM598</t>
  </si>
  <si>
    <t>Total Distribution Maintenance Expense</t>
  </si>
  <si>
    <t>OMDM</t>
  </si>
  <si>
    <t>OMSUB</t>
  </si>
  <si>
    <t>Operation and Maintenance Expenses (Continued)</t>
  </si>
  <si>
    <t>Customer Accounts Expense</t>
  </si>
  <si>
    <t>SUPERVISION/CUSTOMER ACCTS</t>
  </si>
  <si>
    <t>OM901</t>
  </si>
  <si>
    <t>F009</t>
  </si>
  <si>
    <t>METER READING EXPENSES</t>
  </si>
  <si>
    <t>OM902</t>
  </si>
  <si>
    <t>OM903</t>
  </si>
  <si>
    <t>UNCOLLECTIBLE ACCOUNTS</t>
  </si>
  <si>
    <t>OM904</t>
  </si>
  <si>
    <t>Total Customer Accounts Expense</t>
  </si>
  <si>
    <t>OMCA</t>
  </si>
  <si>
    <t>Customer Service Expense</t>
  </si>
  <si>
    <t>OM907</t>
  </si>
  <si>
    <t>F010</t>
  </si>
  <si>
    <t>CUSTOMER ASSISTANCE EXPENSES</t>
  </si>
  <si>
    <t>OM908</t>
  </si>
  <si>
    <t>INFORMATIONAL AND INSTRUCTIONA</t>
  </si>
  <si>
    <t>OM909</t>
  </si>
  <si>
    <t>MISCELLANEOUS CUSTOMER SERVICE</t>
  </si>
  <si>
    <t>OM910</t>
  </si>
  <si>
    <t>Total Customer Service Expense</t>
  </si>
  <si>
    <t>OMCS</t>
  </si>
  <si>
    <t>Administrative and General Expense</t>
  </si>
  <si>
    <t>ADMIN. &amp; GEN. SALARIES-</t>
  </si>
  <si>
    <t>OM920</t>
  </si>
  <si>
    <t>OFFICE SUPPLIES AND EXPENSES</t>
  </si>
  <si>
    <t>OM921</t>
  </si>
  <si>
    <t>OUTSIDE SERVICES EMPLOYED</t>
  </si>
  <si>
    <t>OM923</t>
  </si>
  <si>
    <t>PROPERTY INSURANCE</t>
  </si>
  <si>
    <t>OM924</t>
  </si>
  <si>
    <t>INJURIES AND DAMAGES - INSURAN</t>
  </si>
  <si>
    <t>OM925</t>
  </si>
  <si>
    <t>EMPLOYEE BENEFITS</t>
  </si>
  <si>
    <t>OM926</t>
  </si>
  <si>
    <t>REGULATORY COMMISSION EXPENSES</t>
  </si>
  <si>
    <t>OM928</t>
  </si>
  <si>
    <t>MISCELLANEOUS GENERAL EXPENSES</t>
  </si>
  <si>
    <t>OM930</t>
  </si>
  <si>
    <t>RENTS AND LEASES</t>
  </si>
  <si>
    <t>OM931</t>
  </si>
  <si>
    <t>MAINTENANCE OF GENERAL PLANT</t>
  </si>
  <si>
    <t>Total Administrative and General Expense</t>
  </si>
  <si>
    <t>OMAG</t>
  </si>
  <si>
    <t>Total Operation and Maintenance Expenses</t>
  </si>
  <si>
    <t>TOM</t>
  </si>
  <si>
    <t>Labor Expenses</t>
  </si>
  <si>
    <t>Other Expenses</t>
  </si>
  <si>
    <t>Depreciation Expenses</t>
  </si>
  <si>
    <t>Total Depreciation Expense</t>
  </si>
  <si>
    <t>TDEPR</t>
  </si>
  <si>
    <t>Property Taxes</t>
  </si>
  <si>
    <t>PTAX</t>
  </si>
  <si>
    <t>OT</t>
  </si>
  <si>
    <t>Interest -- LTD</t>
  </si>
  <si>
    <t>INTLTD</t>
  </si>
  <si>
    <t>Interest -- Other</t>
  </si>
  <si>
    <t>INTOTH</t>
  </si>
  <si>
    <t>Other Deductions</t>
  </si>
  <si>
    <t>DEDUCT</t>
  </si>
  <si>
    <t>Total Other Expenses</t>
  </si>
  <si>
    <t>TOE</t>
  </si>
  <si>
    <t>Functional Vectors</t>
  </si>
  <si>
    <t>Poles, Towers and Fixtures</t>
  </si>
  <si>
    <t>Overhead Conductors and Devices</t>
  </si>
  <si>
    <t>Underground Conductors and Devices</t>
  </si>
  <si>
    <t>Line Transformers</t>
  </si>
  <si>
    <t>Services</t>
  </si>
  <si>
    <t>Street Lighting</t>
  </si>
  <si>
    <t>Meter Reading</t>
  </si>
  <si>
    <t>Billing</t>
  </si>
  <si>
    <t>Allocation</t>
  </si>
  <si>
    <t xml:space="preserve">  Demand</t>
  </si>
  <si>
    <t>PLPPD</t>
  </si>
  <si>
    <t>D01</t>
  </si>
  <si>
    <t xml:space="preserve">  Energy</t>
  </si>
  <si>
    <t>PLPPE</t>
  </si>
  <si>
    <t>E01</t>
  </si>
  <si>
    <t>Total Purchase Power</t>
  </si>
  <si>
    <t>PLPPT</t>
  </si>
  <si>
    <t>PLSED</t>
  </si>
  <si>
    <t>D02</t>
  </si>
  <si>
    <t>PLDPD</t>
  </si>
  <si>
    <t>D03</t>
  </si>
  <si>
    <t xml:space="preserve">  Customer</t>
  </si>
  <si>
    <t>PLDPC</t>
  </si>
  <si>
    <t>C01</t>
  </si>
  <si>
    <t>Total Primary Distribution Plant</t>
  </si>
  <si>
    <t>PLCSD</t>
  </si>
  <si>
    <t>PLCSC</t>
  </si>
  <si>
    <t>C02</t>
  </si>
  <si>
    <t>Total Customer Services</t>
  </si>
  <si>
    <t>PLMC</t>
  </si>
  <si>
    <t>C03</t>
  </si>
  <si>
    <t>PLLSC</t>
  </si>
  <si>
    <t>C04</t>
  </si>
  <si>
    <t>PLMRBC</t>
  </si>
  <si>
    <t>C05</t>
  </si>
  <si>
    <t>C06</t>
  </si>
  <si>
    <t>PLT</t>
  </si>
  <si>
    <t>NPPPD</t>
  </si>
  <si>
    <t>NPPPE</t>
  </si>
  <si>
    <t>NPPPT</t>
  </si>
  <si>
    <t>NPSED</t>
  </si>
  <si>
    <t>NPDPD</t>
  </si>
  <si>
    <t>NPDPC</t>
  </si>
  <si>
    <t>NPCSD</t>
  </si>
  <si>
    <t>NPCSC</t>
  </si>
  <si>
    <t>NPMC</t>
  </si>
  <si>
    <t>NPLSC</t>
  </si>
  <si>
    <t>NPMRBC</t>
  </si>
  <si>
    <t>NPT</t>
  </si>
  <si>
    <t>Net Cost Rate Base</t>
  </si>
  <si>
    <t>RBPPD</t>
  </si>
  <si>
    <t>RBPPE</t>
  </si>
  <si>
    <t>RBPPT</t>
  </si>
  <si>
    <t>RBSED</t>
  </si>
  <si>
    <t>RBDPD</t>
  </si>
  <si>
    <t>RBDPC</t>
  </si>
  <si>
    <t>RBCSD</t>
  </si>
  <si>
    <t>RBCSC</t>
  </si>
  <si>
    <t>RBMC</t>
  </si>
  <si>
    <t>RBLSC</t>
  </si>
  <si>
    <t>RBMRBC</t>
  </si>
  <si>
    <t>RBT</t>
  </si>
  <si>
    <t>OMPPD</t>
  </si>
  <si>
    <t>OMPPE</t>
  </si>
  <si>
    <t>OMPPT</t>
  </si>
  <si>
    <t>OMSED</t>
  </si>
  <si>
    <t>OMDPD</t>
  </si>
  <si>
    <t>OMDPC</t>
  </si>
  <si>
    <t>OMCSD</t>
  </si>
  <si>
    <t>OMCSC</t>
  </si>
  <si>
    <t>OMMC</t>
  </si>
  <si>
    <t>OMLSC</t>
  </si>
  <si>
    <t>OMMRBC</t>
  </si>
  <si>
    <t>OMT</t>
  </si>
  <si>
    <t>LBPPD</t>
  </si>
  <si>
    <t>LBPPE</t>
  </si>
  <si>
    <t>LBPPT</t>
  </si>
  <si>
    <t>LBSED</t>
  </si>
  <si>
    <t>LBDPD</t>
  </si>
  <si>
    <t>LBDPC</t>
  </si>
  <si>
    <t>LBCSD</t>
  </si>
  <si>
    <t>LBCSC</t>
  </si>
  <si>
    <t>LBMC</t>
  </si>
  <si>
    <t>LBLSC</t>
  </si>
  <si>
    <t>LBMRBC</t>
  </si>
  <si>
    <t>LBT</t>
  </si>
  <si>
    <t>DPPPD</t>
  </si>
  <si>
    <t>DPPPE</t>
  </si>
  <si>
    <t>DPPPT</t>
  </si>
  <si>
    <t>DPSED</t>
  </si>
  <si>
    <t>DPDPD</t>
  </si>
  <si>
    <t>DPDPC</t>
  </si>
  <si>
    <t>DPCSD</t>
  </si>
  <si>
    <t>DPCSC</t>
  </si>
  <si>
    <t>DPMC</t>
  </si>
  <si>
    <t>DPLSC</t>
  </si>
  <si>
    <t>DPMRBC</t>
  </si>
  <si>
    <t>DPT</t>
  </si>
  <si>
    <t>PTPPD</t>
  </si>
  <si>
    <t>PTPPE</t>
  </si>
  <si>
    <t>PTPPT</t>
  </si>
  <si>
    <t>PTSED</t>
  </si>
  <si>
    <t>PTDPD</t>
  </si>
  <si>
    <t>PTDPC</t>
  </si>
  <si>
    <t>PTCSD</t>
  </si>
  <si>
    <t>PTCSC</t>
  </si>
  <si>
    <t>PTMC</t>
  </si>
  <si>
    <t>PTLSC</t>
  </si>
  <si>
    <t>PTMRBC</t>
  </si>
  <si>
    <t>PTT</t>
  </si>
  <si>
    <t>Other Taxes</t>
  </si>
  <si>
    <t>OTPPD</t>
  </si>
  <si>
    <t>OTPPE</t>
  </si>
  <si>
    <t>OTPPT</t>
  </si>
  <si>
    <t>OTSED</t>
  </si>
  <si>
    <t>OTDPD</t>
  </si>
  <si>
    <t>OTDPC</t>
  </si>
  <si>
    <t>OTCSD</t>
  </si>
  <si>
    <t>OTCSC</t>
  </si>
  <si>
    <t>OTMC</t>
  </si>
  <si>
    <t>OTLSC</t>
  </si>
  <si>
    <t>OTMRBC</t>
  </si>
  <si>
    <t>OTT</t>
  </si>
  <si>
    <t>Operating Revenues</t>
  </si>
  <si>
    <t>REVUC</t>
  </si>
  <si>
    <t>Total Operating Revenues</t>
  </si>
  <si>
    <t>TOR</t>
  </si>
  <si>
    <t>Operating Expenses</t>
  </si>
  <si>
    <t xml:space="preserve">   Operation and Maintenance Expenses</t>
  </si>
  <si>
    <t xml:space="preserve">   Depreciation and Amortization Expenses</t>
  </si>
  <si>
    <t xml:space="preserve">   Property Taxes</t>
  </si>
  <si>
    <t xml:space="preserve">   Other Taxes</t>
  </si>
  <si>
    <t>Total Operating Expenses</t>
  </si>
  <si>
    <t>Utility Operating Margin</t>
  </si>
  <si>
    <t>Rate of Return</t>
  </si>
  <si>
    <t>Energy Allocation Factors</t>
  </si>
  <si>
    <t>Energy Usage by Class</t>
  </si>
  <si>
    <t>Demand Allocation Factors</t>
  </si>
  <si>
    <t>Purchase Power -- Average 12 CP</t>
  </si>
  <si>
    <t>Station Equipment -- Maximum Class Demand</t>
  </si>
  <si>
    <t>Primary Distribution Plant -- Maximum Class Demand</t>
  </si>
  <si>
    <t>Customer Allocation Factors</t>
  </si>
  <si>
    <t>Primary Distribution Plant -- Average Number of Customers</t>
  </si>
  <si>
    <t>Customer Services -- Average Number of Customers</t>
  </si>
  <si>
    <t>Meter Costs -- Weighted Cost of Meters</t>
  </si>
  <si>
    <t>Lighting Systems -- Lighting Customers</t>
  </si>
  <si>
    <t>Meter Reading and Billing -- Weighted Cost</t>
  </si>
  <si>
    <t>Margin</t>
  </si>
  <si>
    <t>Revenue</t>
  </si>
  <si>
    <t>Rev</t>
  </si>
  <si>
    <t>Transmission</t>
  </si>
  <si>
    <t>CONDUCTORS AND DEVICES</t>
  </si>
  <si>
    <t>P350</t>
  </si>
  <si>
    <t>P353</t>
  </si>
  <si>
    <t>P355</t>
  </si>
  <si>
    <t>P356</t>
  </si>
  <si>
    <t>Pri &amp; Sec. Distr Plant</t>
  </si>
  <si>
    <t>Primary &amp; Secondary Distribution Plant</t>
  </si>
  <si>
    <t>Intangible Plant</t>
  </si>
  <si>
    <t>Total Transmission Plant</t>
  </si>
  <si>
    <t>ORGANIZATION</t>
  </si>
  <si>
    <t>P301</t>
  </si>
  <si>
    <t>MISCELLANEOUS EQUIPMENT</t>
  </si>
  <si>
    <t>P398</t>
  </si>
  <si>
    <t>COMPLETED CONSTR NOT CLASSIFIED</t>
  </si>
  <si>
    <t>P106</t>
  </si>
  <si>
    <t>Plant in Service (Continued)</t>
  </si>
  <si>
    <t xml:space="preserve">  Total Utility Plant</t>
  </si>
  <si>
    <t xml:space="preserve">  Transmission</t>
  </si>
  <si>
    <t xml:space="preserve">  Electric Plant Amortization</t>
  </si>
  <si>
    <t xml:space="preserve">  Retirement Work in Progress</t>
  </si>
  <si>
    <t>Transmission Expenses</t>
  </si>
  <si>
    <t>STATION EXPENSES</t>
  </si>
  <si>
    <t>MAINTENACE SUPERVISION AND ENG</t>
  </si>
  <si>
    <t>OPERATION SUPERVISION AND ENG</t>
  </si>
  <si>
    <t>MAINT OF STATION EQUIPMENT</t>
  </si>
  <si>
    <t>MAINT OF OVERHEAD LINES</t>
  </si>
  <si>
    <t>Total Transmission Expenses</t>
  </si>
  <si>
    <t>OM582</t>
  </si>
  <si>
    <t>PURCHASED POWER</t>
  </si>
  <si>
    <t>MAINTENANCE OF ST LIGHTS &amp; SIG SYSTEMS</t>
  </si>
  <si>
    <t>OM596</t>
  </si>
  <si>
    <t>Total Distribution Operation and Maintenance Expenses</t>
  </si>
  <si>
    <t>Transmission and Distribution Expenses</t>
  </si>
  <si>
    <t>MAINTENANCE OF MISC DISTR PLANT</t>
  </si>
  <si>
    <t>SUPERVISION</t>
  </si>
  <si>
    <t>DUPLICATE CHARGES-CR</t>
  </si>
  <si>
    <t>OM929</t>
  </si>
  <si>
    <t>AMORT ELECT PLANT ACQUISIT ADJ</t>
  </si>
  <si>
    <t>Total Cost of Service (O&amp;M + Other Expenses)</t>
  </si>
  <si>
    <t>PTRAN</t>
  </si>
  <si>
    <t>F011</t>
  </si>
  <si>
    <t>PT&amp;D</t>
  </si>
  <si>
    <t>ADEPREPA</t>
  </si>
  <si>
    <t>RWIP</t>
  </si>
  <si>
    <t>ADEPRTP</t>
  </si>
  <si>
    <t>M&amp;S</t>
  </si>
  <si>
    <t>OM555</t>
  </si>
  <si>
    <t>OTHER EXPENSES</t>
  </si>
  <si>
    <t>Total Purchased Power</t>
  </si>
  <si>
    <t>OM557</t>
  </si>
  <si>
    <t>TPP</t>
  </si>
  <si>
    <t>Purchased Power Expenses</t>
  </si>
  <si>
    <t>OM560</t>
  </si>
  <si>
    <t>OM561</t>
  </si>
  <si>
    <t>OM562</t>
  </si>
  <si>
    <t>OM563</t>
  </si>
  <si>
    <t>OM568</t>
  </si>
  <si>
    <t>OM570</t>
  </si>
  <si>
    <t>OM571</t>
  </si>
  <si>
    <t>Sub-Total Transmission, Distribution, Cust Acct and Cust Service</t>
  </si>
  <si>
    <t>OMSUB2</t>
  </si>
  <si>
    <t>Operation and Maintenance Expenses Less Purchase Power</t>
  </si>
  <si>
    <t>Cash Working Capital - Operation and Maintenance Expenses</t>
  </si>
  <si>
    <t>DEPRTP</t>
  </si>
  <si>
    <t>DEPRGP</t>
  </si>
  <si>
    <t>DEPRLTEP</t>
  </si>
  <si>
    <t>DEPRAADJ</t>
  </si>
  <si>
    <t>P352</t>
  </si>
  <si>
    <t>TOWERS AND FIXTURES</t>
  </si>
  <si>
    <t>POLES AND FIXTURES</t>
  </si>
  <si>
    <t>P354</t>
  </si>
  <si>
    <t>ROADS AND TRAILS</t>
  </si>
  <si>
    <t>P359</t>
  </si>
  <si>
    <t>P361</t>
  </si>
  <si>
    <t xml:space="preserve">  CWIP Transmission</t>
  </si>
  <si>
    <t xml:space="preserve">  Dist-Structures</t>
  </si>
  <si>
    <t xml:space="preserve">  Dist-Station</t>
  </si>
  <si>
    <t xml:space="preserve">  Dist-Poles and Fixtures</t>
  </si>
  <si>
    <t xml:space="preserve">  Dist-OH Conductor</t>
  </si>
  <si>
    <t xml:space="preserve">  Dist-UG Conductor</t>
  </si>
  <si>
    <t xml:space="preserve">  Dist-Line Transformers</t>
  </si>
  <si>
    <t xml:space="preserve">  Dist-Services</t>
  </si>
  <si>
    <t xml:space="preserve">  Dist-Meters</t>
  </si>
  <si>
    <t xml:space="preserve">  Dist-Installations on Customer Premises</t>
  </si>
  <si>
    <t xml:space="preserve">  Dist-Lighting &amp; Signal Systems</t>
  </si>
  <si>
    <t>ADEPRD1</t>
  </si>
  <si>
    <t>ADEPRD2</t>
  </si>
  <si>
    <t>ADEPRD3</t>
  </si>
  <si>
    <t>ADEPRD4</t>
  </si>
  <si>
    <t>ADEPRD5</t>
  </si>
  <si>
    <t>ADEPRD6</t>
  </si>
  <si>
    <t>ADEPRD7</t>
  </si>
  <si>
    <t>ADEPRD8</t>
  </si>
  <si>
    <t>ADEPRD9</t>
  </si>
  <si>
    <t>ADEPRD10</t>
  </si>
  <si>
    <t>ADEPRD11</t>
  </si>
  <si>
    <t xml:space="preserve">  Dist-UG Conduit</t>
  </si>
  <si>
    <t>ADEPRD12</t>
  </si>
  <si>
    <t xml:space="preserve">  CWIP General Plant</t>
  </si>
  <si>
    <t>METER EXPENSES - LOAD MANAGEMENT</t>
  </si>
  <si>
    <t>OM586x</t>
  </si>
  <si>
    <t>RECORDS AND COLLECTION</t>
  </si>
  <si>
    <t>MISC CUST ACCOUNTS</t>
  </si>
  <si>
    <t>CUSTOMER ASSISTANCE EXP-LOAD MGMT</t>
  </si>
  <si>
    <t>OM908x</t>
  </si>
  <si>
    <t>INFORM AND INSTRUC -LOAD MGMT</t>
  </si>
  <si>
    <t>OM909x</t>
  </si>
  <si>
    <t>DEPRDP1</t>
  </si>
  <si>
    <t>DEPRDP2</t>
  </si>
  <si>
    <t>DEPRDP3</t>
  </si>
  <si>
    <t>DEPRDP4</t>
  </si>
  <si>
    <t>DEPRDP5</t>
  </si>
  <si>
    <t>DEPRDP6</t>
  </si>
  <si>
    <t>DEPRDP7</t>
  </si>
  <si>
    <t>DEPRDP8</t>
  </si>
  <si>
    <t>DEPRDP9</t>
  </si>
  <si>
    <t>DEPRDP10</t>
  </si>
  <si>
    <t>DEPRDP11</t>
  </si>
  <si>
    <t>DEPRDP12</t>
  </si>
  <si>
    <t>Load Management</t>
  </si>
  <si>
    <t>F012</t>
  </si>
  <si>
    <t>PLD</t>
  </si>
  <si>
    <t>Labor Expenses (Continued)</t>
  </si>
  <si>
    <t>LBPP</t>
  </si>
  <si>
    <t>LB557</t>
  </si>
  <si>
    <t>LB561</t>
  </si>
  <si>
    <t>LB562</t>
  </si>
  <si>
    <t>LB563</t>
  </si>
  <si>
    <t>LB568</t>
  </si>
  <si>
    <t>LB570</t>
  </si>
  <si>
    <t>LB571</t>
  </si>
  <si>
    <t>LB580</t>
  </si>
  <si>
    <t>LB581</t>
  </si>
  <si>
    <t>LB582</t>
  </si>
  <si>
    <t>LB583</t>
  </si>
  <si>
    <t>LB584</t>
  </si>
  <si>
    <t>LB585</t>
  </si>
  <si>
    <t>LB586</t>
  </si>
  <si>
    <t>LB586x</t>
  </si>
  <si>
    <t>LB587</t>
  </si>
  <si>
    <t>LB588</t>
  </si>
  <si>
    <t>LB589</t>
  </si>
  <si>
    <t>LBDO</t>
  </si>
  <si>
    <t>LB590</t>
  </si>
  <si>
    <t>LB592</t>
  </si>
  <si>
    <t>LB593</t>
  </si>
  <si>
    <t>LB594</t>
  </si>
  <si>
    <t>LB595</t>
  </si>
  <si>
    <t>LB596</t>
  </si>
  <si>
    <t>LB597</t>
  </si>
  <si>
    <t>LB598</t>
  </si>
  <si>
    <t>LBDM</t>
  </si>
  <si>
    <t>LBSUB</t>
  </si>
  <si>
    <t>LB901</t>
  </si>
  <si>
    <t>LB902</t>
  </si>
  <si>
    <t>LB903</t>
  </si>
  <si>
    <t>LB904</t>
  </si>
  <si>
    <t>LBCA</t>
  </si>
  <si>
    <t>LB907</t>
  </si>
  <si>
    <t>LB908</t>
  </si>
  <si>
    <t>LB908x</t>
  </si>
  <si>
    <t>LB909</t>
  </si>
  <si>
    <t>LB909x</t>
  </si>
  <si>
    <t>LB910</t>
  </si>
  <si>
    <t>LBCS</t>
  </si>
  <si>
    <t>LBSUB2</t>
  </si>
  <si>
    <t>LB920</t>
  </si>
  <si>
    <t>LB921</t>
  </si>
  <si>
    <t>LB923</t>
  </si>
  <si>
    <t>LB924</t>
  </si>
  <si>
    <t>LB925</t>
  </si>
  <si>
    <t>LB926</t>
  </si>
  <si>
    <t>LB928</t>
  </si>
  <si>
    <t>LB929</t>
  </si>
  <si>
    <t>LB930</t>
  </si>
  <si>
    <t>LB931</t>
  </si>
  <si>
    <t>LBAG</t>
  </si>
  <si>
    <t>TLB</t>
  </si>
  <si>
    <t>LBLPP</t>
  </si>
  <si>
    <t>LB555</t>
  </si>
  <si>
    <t>LB560</t>
  </si>
  <si>
    <t>Total Purchased Power Labor</t>
  </si>
  <si>
    <t>Total Transmission Labor Expenses</t>
  </si>
  <si>
    <t>Transmission Labor Expenses</t>
  </si>
  <si>
    <t>Distribution Operation Labor Expense</t>
  </si>
  <si>
    <t>Total Distribution Operation Labor Expense</t>
  </si>
  <si>
    <t>Distribution Maintenance Labor Expense</t>
  </si>
  <si>
    <t>Total Distribution Maintenance Labor Expense</t>
  </si>
  <si>
    <t>Total Distribution Operation and Maintenance Labor Expenses</t>
  </si>
  <si>
    <t>Transmission and Distribution Labor Expenses</t>
  </si>
  <si>
    <t>Purchased Power, Transmission and Distribution Labor Expenses</t>
  </si>
  <si>
    <t>Total Customer Accounts Labor Expense</t>
  </si>
  <si>
    <t>Total Customer Service Labor Expense</t>
  </si>
  <si>
    <t>Sub-Total Trans, Distr, Cust Acct and Cust Service Labor Exp</t>
  </si>
  <si>
    <t>Meter Reading, Billing and Customer Service</t>
  </si>
  <si>
    <t>F013</t>
  </si>
  <si>
    <t>F014</t>
  </si>
  <si>
    <t>Intallations on Customer Premises - Plant in Service</t>
  </si>
  <si>
    <t>Intallations on Customer Premises - Accum Depr</t>
  </si>
  <si>
    <t>OM588x</t>
  </si>
  <si>
    <t>F015</t>
  </si>
  <si>
    <t>F016</t>
  </si>
  <si>
    <t>CWIP1</t>
  </si>
  <si>
    <t>CWIP2</t>
  </si>
  <si>
    <t>CWIP3</t>
  </si>
  <si>
    <t>CWIP4</t>
  </si>
  <si>
    <t>CWIP5</t>
  </si>
  <si>
    <t>Customers (Monthly Bills)</t>
  </si>
  <si>
    <t>Average Customers (Bills/12)</t>
  </si>
  <si>
    <t>Average Customers (Lighting = Lights)</t>
  </si>
  <si>
    <t>R01</t>
  </si>
  <si>
    <t>Cust01</t>
  </si>
  <si>
    <t>Cust02</t>
  </si>
  <si>
    <t>Cust03</t>
  </si>
  <si>
    <t>Cust04</t>
  </si>
  <si>
    <t>NCP</t>
  </si>
  <si>
    <t>Allocation Factors</t>
  </si>
  <si>
    <t>Total Operating Revenue -- Actual</t>
  </si>
  <si>
    <t>Pro-Forma Adjustments:</t>
  </si>
  <si>
    <t>Total Pro-Forma Operating Revenue</t>
  </si>
  <si>
    <t>Total Operating Expenses -- Actual</t>
  </si>
  <si>
    <t>Total Pro-forma Operating Expenses</t>
  </si>
  <si>
    <t>Utility Operating Margin -- Pro-Forma</t>
  </si>
  <si>
    <t>LEASED PROP. ON CONSUMERS PREMISES</t>
  </si>
  <si>
    <t>P372</t>
  </si>
  <si>
    <t>WATER HEATER - HEAT PUMP PROGRAM</t>
  </si>
  <si>
    <t>OM913</t>
  </si>
  <si>
    <t>ASSOCIATED DUES</t>
  </si>
  <si>
    <t xml:space="preserve">  Distribution Plant</t>
  </si>
  <si>
    <t>Average</t>
  </si>
  <si>
    <t>Cost of Service Summary -- Unadjusted Results</t>
  </si>
  <si>
    <t>Customers</t>
  </si>
  <si>
    <t>OTHER TANGIBLE PROPERTY</t>
  </si>
  <si>
    <t>P399</t>
  </si>
  <si>
    <t>MISC. TRANSMISSION EXPENSES</t>
  </si>
  <si>
    <t>OM566</t>
  </si>
  <si>
    <t>DEMONSTRATION AND SELLING EXP</t>
  </si>
  <si>
    <t>OM912</t>
  </si>
  <si>
    <t>LB566</t>
  </si>
  <si>
    <t>LB912</t>
  </si>
  <si>
    <t>LB913</t>
  </si>
  <si>
    <t>PAYROLL GENERAL LEDGER DEFAULT</t>
  </si>
  <si>
    <t>LB950</t>
  </si>
  <si>
    <t>Customer Specific Assignment</t>
  </si>
  <si>
    <t>Transmission Residual</t>
  </si>
  <si>
    <t xml:space="preserve">Transmission Plant In Service </t>
  </si>
  <si>
    <t>Transmission Residual Demand Allocator</t>
  </si>
  <si>
    <t>TRDA</t>
  </si>
  <si>
    <t>TA1</t>
  </si>
  <si>
    <t>Transmission Total</t>
  </si>
  <si>
    <t>T01</t>
  </si>
  <si>
    <t>Distribution Residual Demand Allocator</t>
  </si>
  <si>
    <t xml:space="preserve">Distribution Plant In Service </t>
  </si>
  <si>
    <t>Distribution Residual</t>
  </si>
  <si>
    <t>Distribution Total</t>
  </si>
  <si>
    <t>DDA</t>
  </si>
  <si>
    <t>DA1</t>
  </si>
  <si>
    <t>DT1</t>
  </si>
  <si>
    <t>Substation Residual Demand Allocator</t>
  </si>
  <si>
    <t xml:space="preserve">Substation Plant In Service </t>
  </si>
  <si>
    <t>Substation Residual</t>
  </si>
  <si>
    <t>Substation Total</t>
  </si>
  <si>
    <t>SDA</t>
  </si>
  <si>
    <t>ST1</t>
  </si>
  <si>
    <t>SA1</t>
  </si>
  <si>
    <t xml:space="preserve">Average Customers </t>
  </si>
  <si>
    <t>Cust05</t>
  </si>
  <si>
    <t>Cust06</t>
  </si>
  <si>
    <t>CSA</t>
  </si>
  <si>
    <t>Customer Services Allocator</t>
  </si>
  <si>
    <t>Customer Services Demand</t>
  </si>
  <si>
    <t>CSD</t>
  </si>
  <si>
    <t>Transmission Plant Allocator</t>
  </si>
  <si>
    <t>TOMDA</t>
  </si>
  <si>
    <t>TOMA</t>
  </si>
  <si>
    <t>T02</t>
  </si>
  <si>
    <t>DOMDA</t>
  </si>
  <si>
    <t>DOMA</t>
  </si>
  <si>
    <t>DOM</t>
  </si>
  <si>
    <t>SOMDA</t>
  </si>
  <si>
    <t>STOM</t>
  </si>
  <si>
    <t>SOMA</t>
  </si>
  <si>
    <t>Transmission O&amp;M Allocator</t>
  </si>
  <si>
    <t>Distribution O&amp;M Allocator</t>
  </si>
  <si>
    <t>Distribution Plant Allocator</t>
  </si>
  <si>
    <t>Substation Plant Allocator</t>
  </si>
  <si>
    <t>Substation O&amp;M Allocator</t>
  </si>
  <si>
    <t>ADVERTISING EXPENSES</t>
  </si>
  <si>
    <t>MDSE-JOBBING-CONTRACT</t>
  </si>
  <si>
    <t>MISC SALES EXPENSE</t>
  </si>
  <si>
    <t>OM916</t>
  </si>
  <si>
    <t>LB915</t>
  </si>
  <si>
    <t>LB916</t>
  </si>
  <si>
    <t>Coincident</t>
  </si>
  <si>
    <t>Purchased Power Demand</t>
  </si>
  <si>
    <t>Purchased Power Energy</t>
  </si>
  <si>
    <t>Distribution Demand</t>
  </si>
  <si>
    <t>Distribution Customer</t>
  </si>
  <si>
    <t>Operating Expenses-Unit Costs</t>
  </si>
  <si>
    <t>Rate Base-Unit Costs</t>
  </si>
  <si>
    <t>Purchased Power Residual Demand Allocator</t>
  </si>
  <si>
    <t xml:space="preserve">Purchased Power Demand Costs </t>
  </si>
  <si>
    <t>Purchased Power Demand Residual</t>
  </si>
  <si>
    <t>Purchased Power Demand Total</t>
  </si>
  <si>
    <t>Purchased Power Demand Allocator</t>
  </si>
  <si>
    <t>PPDT</t>
  </si>
  <si>
    <t>PPDA</t>
  </si>
  <si>
    <t>PPDRA</t>
  </si>
  <si>
    <t>Purchased Power Residual Energy Allocator</t>
  </si>
  <si>
    <t xml:space="preserve">Purchased Power Energy Costs </t>
  </si>
  <si>
    <t>Purchased Power Energy Residual</t>
  </si>
  <si>
    <t>Purchased Power Energy Total</t>
  </si>
  <si>
    <t>Purchased Power Energy Allocator</t>
  </si>
  <si>
    <t>PPERA</t>
  </si>
  <si>
    <t>PPET</t>
  </si>
  <si>
    <t>PPEA</t>
  </si>
  <si>
    <t>Unit Revenue Requirement @ Current Class Revenues</t>
  </si>
  <si>
    <t xml:space="preserve">Distribution Demand </t>
  </si>
  <si>
    <t xml:space="preserve">Distribution Customer </t>
  </si>
  <si>
    <t>Distribution Customer (Per Customer Per Month)</t>
  </si>
  <si>
    <t>Distribution Customer Margin (Per Customer Per Month)</t>
  </si>
  <si>
    <t>Total Distribution Customer (Per Customer Per Month)</t>
  </si>
  <si>
    <t>Unit Revenue Requirement @ Total System Rate of Return</t>
  </si>
  <si>
    <t>Expenses</t>
  </si>
  <si>
    <t>Operating</t>
  </si>
  <si>
    <t>Summary of Rates of Return by Class</t>
  </si>
  <si>
    <t>Summary of Billing Determinants and Demand Analysis</t>
  </si>
  <si>
    <t>Meter Costs</t>
  </si>
  <si>
    <t>Kwh's</t>
  </si>
  <si>
    <t>Average Demand</t>
  </si>
  <si>
    <t>Coincidence Factor</t>
  </si>
  <si>
    <t>Coincident Demand</t>
  </si>
  <si>
    <t>Max Demand</t>
  </si>
  <si>
    <t>Individual</t>
  </si>
  <si>
    <t>Sum of</t>
  </si>
  <si>
    <t>Demands</t>
  </si>
  <si>
    <t>Summer</t>
  </si>
  <si>
    <t>Winter</t>
  </si>
  <si>
    <t>SIC</t>
  </si>
  <si>
    <t>Coin Demand</t>
  </si>
  <si>
    <t>Winter CP Demands</t>
  </si>
  <si>
    <t>Summer CP Demands</t>
  </si>
  <si>
    <t>Class Maximum Demands</t>
  </si>
  <si>
    <t>Class Demand</t>
  </si>
  <si>
    <t>During</t>
  </si>
  <si>
    <t>Peak Month</t>
  </si>
  <si>
    <t>Pro-Forma Operating Expenses</t>
  </si>
  <si>
    <t>Unit Revenue Requirement @ Specified Rate of Return</t>
  </si>
  <si>
    <t>Service Costs</t>
  </si>
  <si>
    <t xml:space="preserve">Services </t>
  </si>
  <si>
    <t>SERV</t>
  </si>
  <si>
    <t>Rate 31</t>
  </si>
  <si>
    <t>N/A</t>
  </si>
  <si>
    <t>MISC. INTANGIBLE</t>
  </si>
  <si>
    <t>P303</t>
  </si>
  <si>
    <t>ELECTRIC PLANT PURCHASED OR SOLD</t>
  </si>
  <si>
    <t>P102</t>
  </si>
  <si>
    <t>Mapping</t>
  </si>
  <si>
    <t>MISC DISTR EXP -- MAPPING</t>
  </si>
  <si>
    <t>OM911</t>
  </si>
  <si>
    <t>OM935</t>
  </si>
  <si>
    <t>LB911</t>
  </si>
  <si>
    <t>Residential Service</t>
  </si>
  <si>
    <t>Rate 30</t>
  </si>
  <si>
    <t>Metered CP</t>
  </si>
  <si>
    <t>Calculated CP</t>
  </si>
  <si>
    <t>Difference</t>
  </si>
  <si>
    <t>Industrial Power - 12KV Distribution</t>
  </si>
  <si>
    <t>Industrial Power - 46 &amp; 115KV Transmission</t>
  </si>
  <si>
    <t>GeoExchange System Residential</t>
  </si>
  <si>
    <t>GeoExchange System Commercial</t>
  </si>
  <si>
    <t>Residential Time of Use Service</t>
  </si>
  <si>
    <t>12 - Month</t>
  </si>
  <si>
    <t xml:space="preserve">Customer </t>
  </si>
  <si>
    <t>Rate 10 &amp; 13</t>
  </si>
  <si>
    <t>Residential SD Time Of Use Service</t>
  </si>
  <si>
    <t>Small Commercial Service</t>
  </si>
  <si>
    <t>Small Commercial Time Of Use Service</t>
  </si>
  <si>
    <t>Large Commercial Service</t>
  </si>
  <si>
    <t>Optional Large Commercial Service</t>
  </si>
  <si>
    <t>Municipal Service</t>
  </si>
  <si>
    <t>Security/Street Lighting</t>
  </si>
  <si>
    <t>Rate 7 &amp; 8</t>
  </si>
  <si>
    <t>Rate 20 &amp; 23</t>
  </si>
  <si>
    <t>Rate 25 &amp; 26</t>
  </si>
  <si>
    <t>Rate 14</t>
  </si>
  <si>
    <t>Rate 11</t>
  </si>
  <si>
    <t>Rate 60 &amp; 63</t>
  </si>
  <si>
    <t>Rate 4</t>
  </si>
  <si>
    <t>Rate 5</t>
  </si>
  <si>
    <t>Rate 1C</t>
  </si>
  <si>
    <t>Rate 2C</t>
  </si>
  <si>
    <t>Sales</t>
  </si>
  <si>
    <t>Loss Factor</t>
  </si>
  <si>
    <t>Energy Including Losses</t>
  </si>
  <si>
    <t>Sum of the Individual Customer Demands</t>
  </si>
  <si>
    <t>Misc. Service Revenue</t>
  </si>
  <si>
    <t>MISCSERV</t>
  </si>
  <si>
    <t>Pro-forma Rate Base</t>
  </si>
  <si>
    <t>Pro-forma Rate Base Adjustments</t>
  </si>
  <si>
    <t xml:space="preserve">  </t>
  </si>
  <si>
    <t>Total Transmission and Distribution Plant</t>
  </si>
  <si>
    <t>Rate</t>
  </si>
  <si>
    <t>Allocation Factor</t>
  </si>
  <si>
    <t>Lighting</t>
  </si>
  <si>
    <t>Diversified Load Factor</t>
  </si>
  <si>
    <t>Non-Coincident Demand</t>
  </si>
  <si>
    <t>Individual Customer Load Factor</t>
  </si>
  <si>
    <t>Sum of Individual Customer Demands</t>
  </si>
  <si>
    <t>Rate     Code</t>
  </si>
  <si>
    <t>Revenue Requirement Calculated at a Rate of Return of</t>
  </si>
  <si>
    <t>Energy Charge ($/kWh)</t>
  </si>
  <si>
    <t>Production &amp; Purchased Power</t>
  </si>
  <si>
    <t xml:space="preserve">  Total Sales of Electric Energy</t>
  </si>
  <si>
    <t xml:space="preserve">  Other Electric Revenues</t>
  </si>
  <si>
    <t xml:space="preserve">  Asset Retirement Costs</t>
  </si>
  <si>
    <t xml:space="preserve">  Steam Prod Plant</t>
  </si>
  <si>
    <t>Steam Production</t>
  </si>
  <si>
    <t>BOILER PLANT EQUIPMENT</t>
  </si>
  <si>
    <t>ENGINES AND ENGINE DRIVEN GENERATORS</t>
  </si>
  <si>
    <t>TURBOGENERATOR UNITS</t>
  </si>
  <si>
    <t>ACCESSORY ELEC EQUIP</t>
  </si>
  <si>
    <t>ASSET RETIREMENT COST FOR STEAM PROD</t>
  </si>
  <si>
    <t>MISC POWER PLANT EQUIPMENT</t>
  </si>
  <si>
    <t>P310</t>
  </si>
  <si>
    <t>P312</t>
  </si>
  <si>
    <t>P313</t>
  </si>
  <si>
    <t>P314</t>
  </si>
  <si>
    <t>P315</t>
  </si>
  <si>
    <t>P316</t>
  </si>
  <si>
    <t>P317</t>
  </si>
  <si>
    <t>P311</t>
  </si>
  <si>
    <t>PPROD</t>
  </si>
  <si>
    <t>Total Steam Production Plant</t>
  </si>
  <si>
    <t>Total Production, Transmission &amp; Distribution Plant</t>
  </si>
  <si>
    <t>PPT&amp;D</t>
  </si>
  <si>
    <t>F017</t>
  </si>
  <si>
    <t xml:space="preserve">  CWIP Production</t>
  </si>
  <si>
    <t>Steam Power Production Operations Expense</t>
  </si>
  <si>
    <t>Steam Power Production Maintenance Expense</t>
  </si>
  <si>
    <t>Total Steam Production Maintenance Expense</t>
  </si>
  <si>
    <t>Total Steam Production Operation and Maintenance Expenses</t>
  </si>
  <si>
    <t>Total Steam Production Operation Expense</t>
  </si>
  <si>
    <t>OPERATION SUPV AND ENGINEERING</t>
  </si>
  <si>
    <t>FUEL</t>
  </si>
  <si>
    <t>STEAM EXPENSES</t>
  </si>
  <si>
    <t>STEAM FROM OTHER SOURCES</t>
  </si>
  <si>
    <t>STEAM TRANSFERRED - CREDIT</t>
  </si>
  <si>
    <t>ELECTRIC EXPENSES</t>
  </si>
  <si>
    <t>MISC STEAM POWER EXPENSES</t>
  </si>
  <si>
    <t>ALLOWANCES</t>
  </si>
  <si>
    <t>MAINENANCE SUPV AND ENGINEERING</t>
  </si>
  <si>
    <t>MAINTENANCE OF STRUCTURES</t>
  </si>
  <si>
    <t>MAINTENANCE OF BOILER PLANT</t>
  </si>
  <si>
    <t>MAINTENANCE OF ELECTRIC PLANT</t>
  </si>
  <si>
    <t>MAINTENANCE OF MISC STEAM PLANT</t>
  </si>
  <si>
    <t>OM500</t>
  </si>
  <si>
    <t>OM501</t>
  </si>
  <si>
    <t>OM502</t>
  </si>
  <si>
    <t>OM503</t>
  </si>
  <si>
    <t>OM504</t>
  </si>
  <si>
    <t>OM505</t>
  </si>
  <si>
    <t>OM506</t>
  </si>
  <si>
    <t>OM507</t>
  </si>
  <si>
    <t>OM509</t>
  </si>
  <si>
    <t>OMPO</t>
  </si>
  <si>
    <t>OMPM</t>
  </si>
  <si>
    <t>OM510</t>
  </si>
  <si>
    <t>OM511</t>
  </si>
  <si>
    <t>OM512</t>
  </si>
  <si>
    <t>OM513</t>
  </si>
  <si>
    <t>OM514</t>
  </si>
  <si>
    <t>Production - Demand</t>
  </si>
  <si>
    <t>Production - Energy</t>
  </si>
  <si>
    <t>OMP</t>
  </si>
  <si>
    <t>Production, Purchased Power, Trans and Distr Expenses</t>
  </si>
  <si>
    <t>Steam Production, Transmission and Distribution Expenses</t>
  </si>
  <si>
    <t>DEPRPP</t>
  </si>
  <si>
    <t>FRANCHISES</t>
  </si>
  <si>
    <t>P302</t>
  </si>
  <si>
    <t>Electric Plant Acquisition Adjustment</t>
  </si>
  <si>
    <t>RENEWABLE ENERGY CR EXP</t>
  </si>
  <si>
    <t>OM559</t>
  </si>
  <si>
    <t xml:space="preserve">  Steam Production</t>
  </si>
  <si>
    <t xml:space="preserve">   Total Accumulated Depreciation &amp; Amort</t>
  </si>
  <si>
    <t xml:space="preserve">  Accum Amtz - Electric Plant Acquisition</t>
  </si>
  <si>
    <t xml:space="preserve">  Accum Amtz - Electric Plant in Service </t>
  </si>
  <si>
    <t xml:space="preserve">  General Plant </t>
  </si>
  <si>
    <t>ADEPRPP</t>
  </si>
  <si>
    <t xml:space="preserve">  CWIP Distribution</t>
  </si>
  <si>
    <t>LB500</t>
  </si>
  <si>
    <t>LB501</t>
  </si>
  <si>
    <t>LB502</t>
  </si>
  <si>
    <t>LB503</t>
  </si>
  <si>
    <t>LB504</t>
  </si>
  <si>
    <t>LB505</t>
  </si>
  <si>
    <t>LB506</t>
  </si>
  <si>
    <t>LB507</t>
  </si>
  <si>
    <t>LB509</t>
  </si>
  <si>
    <t>LBPO</t>
  </si>
  <si>
    <t>LB510</t>
  </si>
  <si>
    <t>LB511</t>
  </si>
  <si>
    <t>LB512</t>
  </si>
  <si>
    <t>LB513</t>
  </si>
  <si>
    <t>LB514</t>
  </si>
  <si>
    <t>LBPM</t>
  </si>
  <si>
    <t>LBP</t>
  </si>
  <si>
    <t>Donations</t>
  </si>
  <si>
    <t>DONAT</t>
  </si>
  <si>
    <t>Regulatory Liabilities</t>
  </si>
  <si>
    <t>REGLIAB</t>
  </si>
  <si>
    <t>TOTAL</t>
  </si>
  <si>
    <t>Rate Class</t>
  </si>
  <si>
    <t>Total                         Cost</t>
  </si>
  <si>
    <t>Total             Cost</t>
  </si>
  <si>
    <t>KWH</t>
  </si>
  <si>
    <t>Purchases</t>
  </si>
  <si>
    <t>Cost of Service Summary -- Adjusted Results</t>
  </si>
  <si>
    <t>Other Allocation Factors</t>
  </si>
  <si>
    <t>on Rate Base</t>
  </si>
  <si>
    <t>Rate Schedule</t>
  </si>
  <si>
    <t>Code</t>
  </si>
  <si>
    <t>Rate               Code</t>
  </si>
  <si>
    <t>Installed            Meters</t>
  </si>
  <si>
    <t>Avg Meter           Cost</t>
  </si>
  <si>
    <t>Allocation            Factor</t>
  </si>
  <si>
    <t>Average         Service           Cost</t>
  </si>
  <si>
    <t xml:space="preserve">Average             Number               of Services </t>
  </si>
  <si>
    <t>Summary of Cost-Based Charges</t>
  </si>
  <si>
    <t>At Current Class Rate of Return</t>
  </si>
  <si>
    <t>Customer Charge ($/month)</t>
  </si>
  <si>
    <t>Demand Charge ($/kW)</t>
  </si>
  <si>
    <t>At Current Total System Rate of Return</t>
  </si>
  <si>
    <t>At Specified Total System Rate of Return</t>
  </si>
  <si>
    <t>NPTD</t>
  </si>
  <si>
    <t>PLTD</t>
  </si>
  <si>
    <t>RBTD</t>
  </si>
  <si>
    <t>OMTD</t>
  </si>
  <si>
    <t>LBTD</t>
  </si>
  <si>
    <t>DPTD</t>
  </si>
  <si>
    <t>PTTD</t>
  </si>
  <si>
    <t>OTTD</t>
  </si>
  <si>
    <t>12 Month Sum of Coincident Demands</t>
  </si>
  <si>
    <t>SICD</t>
  </si>
  <si>
    <t>Transmission Demand</t>
  </si>
  <si>
    <t>Production &amp; Purchase Power</t>
  </si>
  <si>
    <t>Production &amp; Purchased Power Demand</t>
  </si>
  <si>
    <t>Production &amp; Purchased Power Energy</t>
  </si>
  <si>
    <t>Purchased Power Energy (per KWH)</t>
  </si>
  <si>
    <t>Distribution Customer (per Customer)</t>
  </si>
  <si>
    <t>Production &amp; Purchased Power Energy (Per KWH)</t>
  </si>
  <si>
    <t>Production &amp; Purchased Power Energy Margin (Per KWH)</t>
  </si>
  <si>
    <t>Total Pro Forma Adjustments</t>
  </si>
  <si>
    <t>Average Customers (Lighting =45 Lights per Cust)</t>
  </si>
  <si>
    <t>Allocation Factors (continued)</t>
  </si>
  <si>
    <t>Various</t>
  </si>
  <si>
    <t>%</t>
  </si>
  <si>
    <t xml:space="preserve"> Revenue</t>
  </si>
  <si>
    <t>Pro Forma</t>
  </si>
  <si>
    <t>Power Supply</t>
  </si>
  <si>
    <t>SYSTEM CONTROL &amp; LOAD DISPATCHING</t>
  </si>
  <si>
    <t>OM556</t>
  </si>
  <si>
    <t>TRANSMISION OF ELEC BY OTHERS</t>
  </si>
  <si>
    <t>OM564</t>
  </si>
  <si>
    <t>OM565</t>
  </si>
  <si>
    <t>OM567</t>
  </si>
  <si>
    <t>MAINTENANCE SUPERVISION AND ENG</t>
  </si>
  <si>
    <t>OM569</t>
  </si>
  <si>
    <t>MAINT MISC</t>
  </si>
  <si>
    <t xml:space="preserve">MAINT OF TRANS PLANT </t>
  </si>
  <si>
    <t>OM572</t>
  </si>
  <si>
    <t>OM573</t>
  </si>
  <si>
    <t>OM574</t>
  </si>
  <si>
    <t>MAINT OF UNDERGROUND LINES</t>
  </si>
  <si>
    <t>OM917</t>
  </si>
  <si>
    <t>TRANSPORTATION EXPENSES</t>
  </si>
  <si>
    <t>OM933</t>
  </si>
  <si>
    <t>OM932</t>
  </si>
  <si>
    <t>MAINT OF GENERAL PLANT</t>
  </si>
  <si>
    <t>Variance $</t>
  </si>
  <si>
    <t xml:space="preserve">SALES </t>
  </si>
  <si>
    <t>OM914</t>
  </si>
  <si>
    <t>DUPLICATE CHARGES - CREDIT</t>
  </si>
  <si>
    <t xml:space="preserve">  CWIP Other</t>
  </si>
  <si>
    <t>Deferred Debits &amp; Credits</t>
  </si>
  <si>
    <t>DDEB1</t>
  </si>
  <si>
    <t>DDEB2</t>
  </si>
  <si>
    <t>DDEB3</t>
  </si>
  <si>
    <t>DCRED1</t>
  </si>
  <si>
    <t xml:space="preserve">  Total Deferred Debits &amp; Credits</t>
  </si>
  <si>
    <t>Demand Charge</t>
  </si>
  <si>
    <t>Energy Charge</t>
  </si>
  <si>
    <t>Metering Point</t>
  </si>
  <si>
    <t>Sub/Wheeling Charge</t>
  </si>
  <si>
    <t>SUBTOTAL</t>
  </si>
  <si>
    <t>Green Power Charge</t>
  </si>
  <si>
    <t>Direct Load Total Charge</t>
  </si>
  <si>
    <t>Acct 555</t>
  </si>
  <si>
    <t>Environmental Surcharge</t>
  </si>
  <si>
    <t>Fuel Adjustment Clause</t>
  </si>
  <si>
    <t>kWh</t>
  </si>
  <si>
    <t>Unitized Rate of Return</t>
  </si>
  <si>
    <t xml:space="preserve">Unitized </t>
  </si>
  <si>
    <t>Residential &amp; Commercial Rev</t>
  </si>
  <si>
    <t>RCRev</t>
  </si>
  <si>
    <t>12CP</t>
  </si>
  <si>
    <t>WCP</t>
  </si>
  <si>
    <t>SCP</t>
  </si>
  <si>
    <t>#</t>
  </si>
  <si>
    <t>Item</t>
  </si>
  <si>
    <t>Energy (kWh)</t>
  </si>
  <si>
    <t>Billing Demand (kW)</t>
  </si>
  <si>
    <t>Materials and Supplies (13-Month Avg)</t>
  </si>
  <si>
    <t>Prepayments (13-Month Average)</t>
  </si>
  <si>
    <t>$/Month</t>
  </si>
  <si>
    <t>$/KWH</t>
  </si>
  <si>
    <t>$/KW</t>
  </si>
  <si>
    <t>Summary of Cost-Based Rates</t>
  </si>
  <si>
    <t>Actual</t>
  </si>
  <si>
    <t>Linear Regression Inputs</t>
  </si>
  <si>
    <t>Unit Cost</t>
  </si>
  <si>
    <t>Size</t>
  </si>
  <si>
    <t>Cost</t>
  </si>
  <si>
    <t>Quantity</t>
  </si>
  <si>
    <t>($ per Unit)</t>
  </si>
  <si>
    <t>y*n^0.5</t>
  </si>
  <si>
    <t>n^0.5</t>
  </si>
  <si>
    <t>xn^0.5</t>
  </si>
  <si>
    <t>Zero Intercept Linear Regression Results</t>
  </si>
  <si>
    <t>LINEST Array</t>
  </si>
  <si>
    <t>Size Coefficient  ($ per MCM)</t>
  </si>
  <si>
    <t>Zero Intercept ($ per Unit)</t>
  </si>
  <si>
    <t>R-Square</t>
  </si>
  <si>
    <t>Plant Classification</t>
  </si>
  <si>
    <t>Total Number of Units</t>
  </si>
  <si>
    <t>Zero Intercept ($/Unit)</t>
  </si>
  <si>
    <t>Minimum System ($/Unit)</t>
  </si>
  <si>
    <t>Use Min System (M) or Zero Intercept (Z)?</t>
  </si>
  <si>
    <t>M</t>
  </si>
  <si>
    <t>Zero Intercept or Min System Cost ($)</t>
  </si>
  <si>
    <t>Total Cost of Sample</t>
  </si>
  <si>
    <t>Percentage of Total</t>
  </si>
  <si>
    <t>Percentage Classified as Customer-Related</t>
  </si>
  <si>
    <t>Percentage Classified as Demand-Related</t>
  </si>
  <si>
    <t>Account 365 - Overhead Conductors and Devices</t>
  </si>
  <si>
    <t>Z</t>
  </si>
  <si>
    <t>Account 367 - Underground Conductors and Devices</t>
  </si>
  <si>
    <t>Account 368 - Line Transformers</t>
  </si>
  <si>
    <t>NARUC CAM</t>
  </si>
  <si>
    <t>Incl?</t>
  </si>
  <si>
    <t>Qty</t>
  </si>
  <si>
    <t>*</t>
  </si>
  <si>
    <t xml:space="preserve">* Only single-phase up to 50 KVA should be included </t>
  </si>
  <si>
    <t>in the Customer-related component per NARUC CAM</t>
  </si>
  <si>
    <t>Descripton</t>
  </si>
  <si>
    <t>Acct</t>
  </si>
  <si>
    <t>Zero Intercept &amp; Minimum System Analyses</t>
  </si>
  <si>
    <t>Meter Reading Billing and Cust Acct Service</t>
  </si>
  <si>
    <t>Production &amp; Purchased Power Demand (per KWH or KW)</t>
  </si>
  <si>
    <t>Transmission Demand (per KWH or KW)</t>
  </si>
  <si>
    <t>Distribution Demand (per KWH or KW)</t>
  </si>
  <si>
    <t>Production &amp; Purchased Power Demand (Per KWH or KW)</t>
  </si>
  <si>
    <t>Production &amp; Purchased Power Demand Margin (Per KWH or KW)</t>
  </si>
  <si>
    <t>Transmission Demand (Per KWH or KW)</t>
  </si>
  <si>
    <t>Transmission Demand Margin (Per KWH or KW)</t>
  </si>
  <si>
    <t>Total Transmission Demand (Per KWH or KW)</t>
  </si>
  <si>
    <t>Distribution Demand (Per KWH or KW)</t>
  </si>
  <si>
    <t>Distribution Demand Margin (Per KWH or KW)</t>
  </si>
  <si>
    <t>Total Distribution Demand (Per KWH or KW)</t>
  </si>
  <si>
    <t>Estimated ES Demand Share</t>
  </si>
  <si>
    <t>Estimated ES Energy Share</t>
  </si>
  <si>
    <t>SubTotal Demand $</t>
  </si>
  <si>
    <t>SubTotal Energy $</t>
  </si>
  <si>
    <t>SubTotal $</t>
  </si>
  <si>
    <t>SubTotal Demand %</t>
  </si>
  <si>
    <t>SubTotal Energy %</t>
  </si>
  <si>
    <t>AMORT Property Losses &amp; Unrecover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</si>
  <si>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</si>
  <si>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</si>
  <si>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</si>
  <si>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</si>
  <si>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</si>
  <si>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</si>
  <si>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</si>
  <si>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</si>
  <si>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</si>
  <si>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</si>
  <si>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</si>
  <si>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</si>
  <si>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Share of</t>
  </si>
  <si>
    <t>&lt;reserved&gt;</t>
  </si>
  <si>
    <t>R</t>
  </si>
  <si>
    <t>Panel Production Credit</t>
  </si>
  <si>
    <t>Variance</t>
  </si>
  <si>
    <t>Reconciliation</t>
  </si>
  <si>
    <t>Method</t>
  </si>
  <si>
    <t xml:space="preserve">Distribution </t>
  </si>
  <si>
    <t>Labor Expenses - for Labor Allocator</t>
  </si>
  <si>
    <t>Energy Usage (kWh)</t>
  </si>
  <si>
    <t>CLARK ENERGY COOPERATIVE</t>
  </si>
  <si>
    <t>C</t>
  </si>
  <si>
    <t>D</t>
  </si>
  <si>
    <t>E</t>
  </si>
  <si>
    <t>L</t>
  </si>
  <si>
    <t>P</t>
  </si>
  <si>
    <t>Residential</t>
  </si>
  <si>
    <t>Public Facilities</t>
  </si>
  <si>
    <t>General Power Service &lt; 50kW</t>
  </si>
  <si>
    <t>General Power Service 50-500kW</t>
  </si>
  <si>
    <t>General Power Service 1000-5000kW</t>
  </si>
  <si>
    <t>General Power Service 500+kW</t>
  </si>
  <si>
    <t>Resid TOU</t>
  </si>
  <si>
    <t>WIRE 1/0 STRANDED</t>
  </si>
  <si>
    <t>2 TPX UG</t>
  </si>
  <si>
    <t>WIRE 350 MCM TPX UG</t>
  </si>
  <si>
    <t>WIRE 250 MCM TPX UG</t>
  </si>
  <si>
    <t>WIRE 2 SOLID UG</t>
  </si>
  <si>
    <t>WIRE 2/0 TPX UG</t>
  </si>
  <si>
    <t>WIRE 1/0 SOLID UG</t>
  </si>
  <si>
    <t>WIRE 4/0 TPX UG</t>
  </si>
  <si>
    <t>TRANS 100 CONV 7.2</t>
  </si>
  <si>
    <t>TRANS 15 CONV 14.4</t>
  </si>
  <si>
    <t>TRANS 1000 PAD 7.2</t>
  </si>
  <si>
    <t>TRANS 75 CONV 7.2</t>
  </si>
  <si>
    <t>TRANS 15 PAD 7.2</t>
  </si>
  <si>
    <t>TRANS 50 CONV 14.4</t>
  </si>
  <si>
    <t>TRANS 167 CONV 7.2</t>
  </si>
  <si>
    <t>TRANS 50 PAD 7.2</t>
  </si>
  <si>
    <t>TRANS 25 PAD 7.2</t>
  </si>
  <si>
    <t>TRANS 15 CONV 7.2</t>
  </si>
  <si>
    <t>TRANS 10 CONV 7.2</t>
  </si>
  <si>
    <t>TRANS 15 CSP 7.2</t>
  </si>
  <si>
    <t>TRANS 10 CSP 7.2</t>
  </si>
  <si>
    <t>TRANS 25 SP 14.4</t>
  </si>
  <si>
    <t>TRANS 10 CSP 14.4</t>
  </si>
  <si>
    <t>TRANS 10 PAD 7.2</t>
  </si>
  <si>
    <t>TRANS 50 CONV 7.2</t>
  </si>
  <si>
    <t>TRANS 10 SP 14.4</t>
  </si>
  <si>
    <t>TRANS 1500 PAD 7.2</t>
  </si>
  <si>
    <t>TRANS 25 CSP 14.4</t>
  </si>
  <si>
    <t>TRANS 15 CSP 14.4</t>
  </si>
  <si>
    <t>TRANS 25 CSP 7.2</t>
  </si>
  <si>
    <t>TRANS 10 CONV 14.4</t>
  </si>
  <si>
    <t>TRANS 25 CONV 7.2</t>
  </si>
  <si>
    <t>TRANS 37.5 CONV 7.2</t>
  </si>
  <si>
    <t>TRANS 250 CONV 7.2</t>
  </si>
  <si>
    <t>TRANS 5 CONV 14.4</t>
  </si>
  <si>
    <t>TRANS 5 CSP 14.4</t>
  </si>
  <si>
    <t>TRANS 100 PAD 7.2</t>
  </si>
  <si>
    <t>TRANS 75 PAD 7.2</t>
  </si>
  <si>
    <t>TRANS 25 CONV 14.4</t>
  </si>
  <si>
    <t>TRANS 333 CONV 7.2</t>
  </si>
  <si>
    <t>TRANS 100 CONV 14.4</t>
  </si>
  <si>
    <t>TRANS 167 CONV 14.4</t>
  </si>
  <si>
    <t>TRANS 250 CONV 14.4</t>
  </si>
  <si>
    <t>TRANS 25 PAD 14.4</t>
  </si>
  <si>
    <t>TRANS 50 PAD 14.4</t>
  </si>
  <si>
    <t>TRANS 25 PAD DUAL</t>
  </si>
  <si>
    <t>TRANS 50 PAD DUAL</t>
  </si>
  <si>
    <t>TRANS 500 PAD</t>
  </si>
  <si>
    <t>TRANS 15 PAD 14.4</t>
  </si>
  <si>
    <t>TRANS 10 CONV DUAL</t>
  </si>
  <si>
    <t>TRANS 15 CONV DUAL</t>
  </si>
  <si>
    <t>TRANS 300 PAD</t>
  </si>
  <si>
    <t>TRANS 25 CONV DUAL</t>
  </si>
  <si>
    <t>TRANS 225 PAD 14.4</t>
  </si>
  <si>
    <t>TRANS 45 PAD 7.2 3PH</t>
  </si>
  <si>
    <t>TRANS 50 CONV DUAL</t>
  </si>
  <si>
    <t>TRANS 100 CONV DUAL</t>
  </si>
  <si>
    <t>TRANS 250 PAD 14.4</t>
  </si>
  <si>
    <t>TRANS 150 PAD DUAL</t>
  </si>
  <si>
    <t>TRANS 2500 PAD 3-PH</t>
  </si>
  <si>
    <t>TRANS 750 PAD</t>
  </si>
  <si>
    <t>TRANS 1000 PAD DUAL</t>
  </si>
  <si>
    <t>TRANS 75 PADMOUNT DUAL</t>
  </si>
  <si>
    <t>TRANS 300 PAD DUAL</t>
  </si>
  <si>
    <t>TRANS 1.5 CONV 7.2</t>
  </si>
  <si>
    <t>TRANS 1.5 CONV 14.4</t>
  </si>
  <si>
    <t>TRANS 75 PAD 14.4</t>
  </si>
  <si>
    <t>TRANS 750 PAD DUAL</t>
  </si>
  <si>
    <t>TRANS 100 PAD DUAL</t>
  </si>
  <si>
    <t>TRANS 167 PADMOUNT 7200</t>
  </si>
  <si>
    <t>TRANS 1000 PAD 14.4</t>
  </si>
  <si>
    <t>TRANS 500 CON 7.2</t>
  </si>
  <si>
    <t>TRANS 100 PAD 14.4</t>
  </si>
  <si>
    <t>WIRE 2 TPX</t>
  </si>
  <si>
    <t>WIRE 2 HDBC</t>
  </si>
  <si>
    <t>WIRE 397.5 ALUM</t>
  </si>
  <si>
    <t>WIRE-2 WP</t>
  </si>
  <si>
    <t>WIRE 1/0 QUADRUPLEX</t>
  </si>
  <si>
    <t>WIRE 1/0 BARE COPPER</t>
  </si>
  <si>
    <t>WIRE 6 DPX</t>
  </si>
  <si>
    <t>WIRE 4/0 QUADRUPLEX</t>
  </si>
  <si>
    <t>WIRE 6 HDBC WIRE</t>
  </si>
  <si>
    <t>WIRE 1/0 ACSR</t>
  </si>
  <si>
    <t>WIRE 8 ACWC</t>
  </si>
  <si>
    <t>WIRE 6 ACWC</t>
  </si>
  <si>
    <t>WIRE-2 ACSR</t>
  </si>
  <si>
    <t>WIRE 1/0 TPX</t>
  </si>
  <si>
    <t>WIRE 2 ACWC</t>
  </si>
  <si>
    <t>WIRE 2/0 COPPER WP</t>
  </si>
  <si>
    <t>WIRE 4 COPPER WP</t>
  </si>
  <si>
    <t>WIRE 4/0 ACSR</t>
  </si>
  <si>
    <t>WIRE 2 COPPER WP</t>
  </si>
  <si>
    <t>WIRE 300 MCM COPPER</t>
  </si>
  <si>
    <t>WIRE 4 ACSR</t>
  </si>
  <si>
    <t>WIRE 4 TPX</t>
  </si>
  <si>
    <t>WIRE 500 MCM COPPER</t>
  </si>
  <si>
    <t>WIRE 4/0 TPX</t>
  </si>
  <si>
    <t>750 MCM</t>
  </si>
  <si>
    <t>WIRE 336 SPACER CABLE</t>
  </si>
  <si>
    <t>WIRE 336.4 ACSR</t>
  </si>
  <si>
    <t>WIRE 052 MESSENGER</t>
  </si>
  <si>
    <t>WIRE 250 MCM</t>
  </si>
  <si>
    <t>WIRE 350 MCM</t>
  </si>
  <si>
    <t>LB932</t>
  </si>
  <si>
    <t>GENERAL</t>
  </si>
  <si>
    <t>Total Excluding Lighting</t>
  </si>
  <si>
    <t>Variance:</t>
  </si>
  <si>
    <t xml:space="preserve">Share of </t>
  </si>
  <si>
    <t>S,T,O</t>
  </si>
  <si>
    <t>Target</t>
  </si>
  <si>
    <t>n/a</t>
  </si>
  <si>
    <t>Total PFAs:</t>
  </si>
  <si>
    <t>(3)</t>
  </si>
  <si>
    <t>(4)</t>
  </si>
  <si>
    <t>(5)</t>
  </si>
  <si>
    <t>(6)</t>
  </si>
  <si>
    <t>(7)</t>
  </si>
  <si>
    <t>(8)</t>
  </si>
  <si>
    <t>&lt; Reported</t>
  </si>
  <si>
    <t>&lt; Variance</t>
  </si>
  <si>
    <t>After Rate Revisions</t>
  </si>
  <si>
    <t>Large Industrial Rate</t>
  </si>
  <si>
    <t>B-1</t>
  </si>
  <si>
    <t>TRANS 1500 PAD 14.4</t>
  </si>
  <si>
    <t>TRANS 37.5 PAD 14.4</t>
  </si>
  <si>
    <t>TRANS 2500 PAD 7.2</t>
  </si>
  <si>
    <t>TRANS 167 PAD 14.4</t>
  </si>
  <si>
    <t>TRANS 167 PAD DUAL</t>
  </si>
  <si>
    <t>Rate B</t>
  </si>
  <si>
    <t>Rate E</t>
  </si>
  <si>
    <t>Electric Vehicle Credit</t>
  </si>
  <si>
    <t>Earnings Mechanism</t>
  </si>
  <si>
    <t>Rate B Demand $</t>
  </si>
  <si>
    <t>Rate B Energy $</t>
  </si>
  <si>
    <t>Rate B Subtotal $</t>
  </si>
  <si>
    <t>Rate Increase</t>
  </si>
  <si>
    <t>Cost-Based Rates</t>
  </si>
  <si>
    <t>Rate Case Expenses</t>
  </si>
  <si>
    <t>Year-End Customer Normalization</t>
  </si>
  <si>
    <t>GTCC</t>
  </si>
  <si>
    <t>Non-Recurring Items</t>
  </si>
  <si>
    <t>Depreciation Expense Normalization</t>
  </si>
  <si>
    <t>Advertising &amp; Donations</t>
  </si>
  <si>
    <t>Directors Expense</t>
  </si>
  <si>
    <t>Interest</t>
  </si>
  <si>
    <t>Life Insurance Premiums</t>
  </si>
  <si>
    <t>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</si>
</sst>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0.000"/>
    <numFmt numFmtId="168" formatCode="0.0000"/>
    <numFmt numFmtId="169" formatCode="0.000000"/>
    <numFmt numFmtId="170" formatCode="_(* #,##0.0000_);_(* \(#,##0.0000\);_(* &quot;-&quot;??_);_(@_)"/>
    <numFmt numFmtId="171" formatCode="_(* #,##0.00000_);_(* \(#,##0.00000\);_(* &quot;-&quot;??_);_(@_)"/>
    <numFmt numFmtId="172" formatCode="_(* #,##0.000000_);_(* \(#,##0.000000\);_(* &quot;-&quot;??_);_(@_)"/>
    <numFmt numFmtId="173" formatCode="0.0000000"/>
    <numFmt numFmtId="174" formatCode="0.00000000"/>
    <numFmt numFmtId="175" formatCode="0.000000000"/>
    <numFmt numFmtId="176" formatCode="_(* #,##0.000000_);_(* \(#,##0.000000\);_(* &quot;-&quot;??????_);_(@_)"/>
    <numFmt numFmtId="177" formatCode="_(* #,##0.000_);_(* \(#,##0.000\);_(* &quot;-&quot;??_);_(@_)"/>
    <numFmt numFmtId="178" formatCode="_(* #,##0.0000000_);_(* \(#,##0.0000000\);_(* &quot;-&quot;??_);_(@_)"/>
    <numFmt numFmtId="179" formatCode="[$-409]mmm\-yy;@"/>
    <numFmt numFmtId="180" formatCode="mmm\ yyyy"/>
    <numFmt numFmtId="181" formatCode="_(&quot;$&quot;* #,##0.000_);_(&quot;$&quot;* \(#,##0.000\);_(&quot;$&quot;* &quot;-&quot;??_);_(@_)"/>
    <numFmt numFmtId="182" formatCode="0.0%"/>
    <numFmt numFmtId="183" formatCode="\(#\)"/>
  </numFmts>
  <fonts count="18" x14ac:knownFonts="1">
    <font>
      <sz val="11"/>
      <name val="Times New Roman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10"/>
      <color rgb="FF7030A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i/>
      <u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/>
    <xf numFmtId="169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 wrapText="1"/>
    </xf>
    <xf numFmtId="0" fontId="1" fillId="0" borderId="0" xfId="0" applyFont="1"/>
    <xf numFmtId="167" fontId="0" fillId="0" borderId="0" xfId="0" applyNumberForma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166" fontId="3" fillId="0" borderId="0" xfId="1" applyNumberFormat="1" applyFont="1" applyAlignment="1">
      <alignment horizontal="center"/>
    </xf>
    <xf numFmtId="177" fontId="3" fillId="0" borderId="2" xfId="1" applyNumberFormat="1" applyFont="1" applyBorder="1" applyAlignment="1">
      <alignment horizontal="left"/>
    </xf>
    <xf numFmtId="177" fontId="3" fillId="0" borderId="2" xfId="1" applyNumberFormat="1" applyFont="1" applyBorder="1" applyAlignment="1">
      <alignment horizontal="right"/>
    </xf>
    <xf numFmtId="166" fontId="3" fillId="0" borderId="2" xfId="1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166" fontId="4" fillId="0" borderId="0" xfId="1" applyNumberFormat="1" applyFont="1"/>
    <xf numFmtId="43" fontId="4" fillId="0" borderId="0" xfId="1" applyFont="1"/>
    <xf numFmtId="0" fontId="4" fillId="0" borderId="3" xfId="0" applyFont="1" applyBorder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6" fontId="3" fillId="0" borderId="2" xfId="1" applyNumberFormat="1" applyFont="1" applyBorder="1" applyAlignment="1">
      <alignment horizontal="right"/>
    </xf>
    <xf numFmtId="177" fontId="4" fillId="0" borderId="0" xfId="1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66" fontId="4" fillId="0" borderId="0" xfId="0" applyNumberFormat="1" applyFont="1"/>
    <xf numFmtId="44" fontId="4" fillId="0" borderId="3" xfId="0" applyNumberFormat="1" applyFont="1" applyBorder="1"/>
    <xf numFmtId="166" fontId="4" fillId="0" borderId="3" xfId="1" applyNumberFormat="1" applyFont="1" applyBorder="1"/>
    <xf numFmtId="171" fontId="4" fillId="0" borderId="0" xfId="1" applyNumberFormat="1" applyFont="1"/>
    <xf numFmtId="170" fontId="4" fillId="0" borderId="0" xfId="1" applyNumberFormat="1" applyFont="1"/>
    <xf numFmtId="177" fontId="4" fillId="0" borderId="0" xfId="1" applyNumberFormat="1" applyFont="1"/>
    <xf numFmtId="44" fontId="4" fillId="0" borderId="0" xfId="2" applyFont="1"/>
    <xf numFmtId="165" fontId="4" fillId="0" borderId="0" xfId="2" applyNumberFormat="1" applyFont="1"/>
    <xf numFmtId="168" fontId="4" fillId="0" borderId="0" xfId="0" applyNumberFormat="1" applyFont="1"/>
    <xf numFmtId="10" fontId="4" fillId="0" borderId="4" xfId="3" applyNumberFormat="1" applyFont="1" applyBorder="1"/>
    <xf numFmtId="10" fontId="4" fillId="0" borderId="5" xfId="0" applyNumberFormat="1" applyFont="1" applyBorder="1"/>
    <xf numFmtId="10" fontId="4" fillId="0" borderId="0" xfId="0" applyNumberFormat="1" applyFont="1"/>
    <xf numFmtId="43" fontId="4" fillId="0" borderId="0" xfId="1" applyFont="1" applyFill="1"/>
    <xf numFmtId="172" fontId="4" fillId="0" borderId="0" xfId="1" applyNumberFormat="1" applyFont="1" applyFill="1"/>
    <xf numFmtId="166" fontId="4" fillId="0" borderId="0" xfId="1" applyNumberFormat="1" applyFont="1" applyFill="1"/>
    <xf numFmtId="43" fontId="3" fillId="0" borderId="0" xfId="1" applyFont="1" applyFill="1" applyBorder="1" applyAlignment="1">
      <alignment horizontal="center"/>
    </xf>
    <xf numFmtId="166" fontId="3" fillId="0" borderId="0" xfId="1" applyNumberFormat="1" applyFont="1" applyFill="1" applyBorder="1" applyAlignment="1"/>
    <xf numFmtId="43" fontId="3" fillId="0" borderId="0" xfId="1" applyFont="1" applyFill="1" applyBorder="1" applyAlignment="1">
      <alignment horizontal="right"/>
    </xf>
    <xf numFmtId="172" fontId="4" fillId="0" borderId="0" xfId="1" applyNumberFormat="1" applyFont="1" applyFill="1" applyBorder="1" applyAlignment="1">
      <alignment horizontal="center" wrapText="1"/>
    </xf>
    <xf numFmtId="166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 wrapText="1"/>
    </xf>
    <xf numFmtId="172" fontId="4" fillId="0" borderId="0" xfId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Fill="1" applyAlignment="1">
      <alignment horizontal="right"/>
    </xf>
    <xf numFmtId="166" fontId="3" fillId="0" borderId="0" xfId="1" applyNumberFormat="1" applyFont="1" applyFill="1" applyAlignment="1">
      <alignment horizontal="center"/>
    </xf>
    <xf numFmtId="172" fontId="3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right"/>
    </xf>
    <xf numFmtId="165" fontId="4" fillId="0" borderId="0" xfId="2" applyNumberFormat="1" applyFont="1" applyFill="1"/>
    <xf numFmtId="10" fontId="4" fillId="0" borderId="0" xfId="3" applyNumberFormat="1" applyFont="1" applyFill="1"/>
    <xf numFmtId="165" fontId="4" fillId="0" borderId="0" xfId="2" applyNumberFormat="1" applyFont="1" applyFill="1" applyBorder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5" fontId="4" fillId="0" borderId="6" xfId="2" applyNumberFormat="1" applyFont="1" applyFill="1" applyBorder="1" applyAlignment="1">
      <alignment vertical="center"/>
    </xf>
    <xf numFmtId="10" fontId="4" fillId="0" borderId="6" xfId="3" applyNumberFormat="1" applyFont="1" applyFill="1" applyBorder="1" applyAlignment="1">
      <alignment vertical="center"/>
    </xf>
    <xf numFmtId="43" fontId="4" fillId="0" borderId="6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4" fontId="4" fillId="0" borderId="0" xfId="2" applyFont="1" applyFill="1" applyBorder="1"/>
    <xf numFmtId="43" fontId="4" fillId="0" borderId="0" xfId="1" applyFont="1" applyFill="1" applyAlignment="1">
      <alignment horizontal="right"/>
    </xf>
    <xf numFmtId="43" fontId="4" fillId="0" borderId="0" xfId="0" applyNumberFormat="1" applyFont="1"/>
    <xf numFmtId="166" fontId="4" fillId="0" borderId="0" xfId="1" applyNumberFormat="1" applyFont="1" applyFill="1" applyAlignment="1">
      <alignment vertical="center"/>
    </xf>
    <xf numFmtId="0" fontId="4" fillId="0" borderId="0" xfId="0" applyFont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Continuous"/>
    </xf>
    <xf numFmtId="2" fontId="4" fillId="0" borderId="0" xfId="0" applyNumberFormat="1" applyFont="1"/>
    <xf numFmtId="165" fontId="4" fillId="0" borderId="0" xfId="0" applyNumberFormat="1" applyFont="1"/>
    <xf numFmtId="2" fontId="4" fillId="0" borderId="0" xfId="0" applyNumberFormat="1" applyFont="1" applyAlignment="1">
      <alignment horizontal="center"/>
    </xf>
    <xf numFmtId="0" fontId="3" fillId="0" borderId="0" xfId="0" quotePrefix="1" applyFont="1"/>
    <xf numFmtId="0" fontId="4" fillId="0" borderId="0" xfId="0" quotePrefix="1" applyFont="1"/>
    <xf numFmtId="169" fontId="4" fillId="0" borderId="0" xfId="0" applyNumberFormat="1" applyFont="1"/>
    <xf numFmtId="169" fontId="4" fillId="0" borderId="0" xfId="1" applyNumberFormat="1" applyFont="1" applyFill="1"/>
    <xf numFmtId="169" fontId="4" fillId="0" borderId="0" xfId="0" applyNumberFormat="1" applyFont="1" applyAlignment="1">
      <alignment horizontal="centerContinuous"/>
    </xf>
    <xf numFmtId="166" fontId="4" fillId="0" borderId="0" xfId="1" applyNumberFormat="1" applyFont="1" applyFill="1" applyAlignment="1">
      <alignment horizontal="centerContinuous"/>
    </xf>
    <xf numFmtId="171" fontId="4" fillId="0" borderId="0" xfId="1" applyNumberFormat="1" applyFont="1" applyFill="1"/>
    <xf numFmtId="165" fontId="4" fillId="0" borderId="3" xfId="2" applyNumberFormat="1" applyFont="1" applyFill="1" applyBorder="1"/>
    <xf numFmtId="10" fontId="3" fillId="0" borderId="9" xfId="3" applyNumberFormat="1" applyFont="1" applyFill="1" applyBorder="1"/>
    <xf numFmtId="165" fontId="4" fillId="0" borderId="3" xfId="0" applyNumberFormat="1" applyFont="1" applyBorder="1"/>
    <xf numFmtId="172" fontId="4" fillId="0" borderId="0" xfId="0" applyNumberFormat="1" applyFont="1"/>
    <xf numFmtId="167" fontId="4" fillId="0" borderId="0" xfId="0" applyNumberFormat="1" applyFont="1"/>
    <xf numFmtId="164" fontId="4" fillId="0" borderId="0" xfId="0" applyNumberFormat="1" applyFont="1"/>
    <xf numFmtId="172" fontId="7" fillId="0" borderId="0" xfId="0" applyNumberFormat="1" applyFont="1" applyAlignment="1">
      <alignment vertical="center"/>
    </xf>
    <xf numFmtId="176" fontId="4" fillId="0" borderId="0" xfId="0" applyNumberFormat="1" applyFont="1"/>
    <xf numFmtId="172" fontId="7" fillId="0" borderId="0" xfId="0" applyNumberFormat="1" applyFont="1"/>
    <xf numFmtId="43" fontId="7" fillId="0" borderId="0" xfId="1" applyFont="1" applyFill="1"/>
    <xf numFmtId="172" fontId="4" fillId="0" borderId="0" xfId="0" applyNumberFormat="1" applyFont="1" applyAlignment="1">
      <alignment vertical="center"/>
    </xf>
    <xf numFmtId="178" fontId="4" fillId="0" borderId="0" xfId="0" applyNumberFormat="1" applyFont="1"/>
    <xf numFmtId="171" fontId="4" fillId="0" borderId="0" xfId="0" applyNumberFormat="1" applyFont="1"/>
    <xf numFmtId="10" fontId="4" fillId="0" borderId="0" xfId="0" applyNumberFormat="1" applyFont="1" applyAlignment="1">
      <alignment horizontal="right"/>
    </xf>
    <xf numFmtId="43" fontId="4" fillId="0" borderId="0" xfId="0" applyNumberFormat="1" applyFont="1" applyAlignment="1">
      <alignment horizontal="right"/>
    </xf>
    <xf numFmtId="172" fontId="4" fillId="0" borderId="0" xfId="0" applyNumberFormat="1" applyFont="1" applyAlignment="1">
      <alignment horizontal="right"/>
    </xf>
    <xf numFmtId="166" fontId="4" fillId="0" borderId="0" xfId="1" applyNumberFormat="1" applyFont="1" applyFill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66" fontId="4" fillId="0" borderId="0" xfId="1" applyNumberFormat="1" applyFont="1" applyFill="1" applyAlignment="1"/>
    <xf numFmtId="166" fontId="4" fillId="0" borderId="0" xfId="3" applyNumberFormat="1" applyFont="1" applyFill="1" applyAlignment="1"/>
    <xf numFmtId="165" fontId="4" fillId="0" borderId="0" xfId="2" applyNumberFormat="1" applyFont="1" applyFill="1" applyAlignment="1"/>
    <xf numFmtId="9" fontId="4" fillId="0" borderId="0" xfId="3" applyFont="1" applyFill="1"/>
    <xf numFmtId="0" fontId="4" fillId="0" borderId="3" xfId="0" applyFont="1" applyBorder="1" applyAlignment="1">
      <alignment horizontal="center"/>
    </xf>
    <xf numFmtId="166" fontId="4" fillId="0" borderId="3" xfId="1" applyNumberFormat="1" applyFont="1" applyFill="1" applyBorder="1" applyAlignment="1"/>
    <xf numFmtId="165" fontId="4" fillId="0" borderId="3" xfId="2" applyNumberFormat="1" applyFont="1" applyFill="1" applyBorder="1" applyAlignment="1"/>
    <xf numFmtId="166" fontId="4" fillId="0" borderId="3" xfId="0" applyNumberFormat="1" applyFont="1" applyBorder="1"/>
    <xf numFmtId="10" fontId="4" fillId="0" borderId="3" xfId="3" applyNumberFormat="1" applyFont="1" applyFill="1" applyBorder="1"/>
    <xf numFmtId="44" fontId="4" fillId="0" borderId="0" xfId="2" applyFont="1" applyFill="1"/>
    <xf numFmtId="166" fontId="3" fillId="0" borderId="0" xfId="1" applyNumberFormat="1" applyFont="1" applyFill="1" applyAlignment="1">
      <alignment horizontal="right"/>
    </xf>
    <xf numFmtId="166" fontId="3" fillId="0" borderId="0" xfId="0" applyNumberFormat="1" applyFont="1" applyAlignment="1">
      <alignment horizontal="right"/>
    </xf>
    <xf numFmtId="166" fontId="8" fillId="0" borderId="0" xfId="1" applyNumberFormat="1" applyFont="1" applyFill="1" applyAlignment="1">
      <alignment horizontal="left"/>
    </xf>
    <xf numFmtId="166" fontId="8" fillId="0" borderId="0" xfId="1" applyNumberFormat="1" applyFont="1" applyFill="1" applyAlignment="1">
      <alignment horizontal="center"/>
    </xf>
    <xf numFmtId="180" fontId="8" fillId="0" borderId="0" xfId="1" applyNumberFormat="1" applyFont="1" applyFill="1" applyAlignment="1">
      <alignment horizontal="right"/>
    </xf>
    <xf numFmtId="166" fontId="8" fillId="0" borderId="0" xfId="1" applyNumberFormat="1" applyFont="1" applyFill="1" applyAlignment="1">
      <alignment horizontal="right"/>
    </xf>
    <xf numFmtId="0" fontId="7" fillId="0" borderId="0" xfId="0" applyFont="1"/>
    <xf numFmtId="4" fontId="4" fillId="0" borderId="0" xfId="0" applyNumberFormat="1" applyFont="1"/>
    <xf numFmtId="166" fontId="4" fillId="0" borderId="0" xfId="0" applyNumberFormat="1" applyFont="1" applyAlignment="1">
      <alignment horizontal="center"/>
    </xf>
    <xf numFmtId="166" fontId="4" fillId="0" borderId="0" xfId="3" applyNumberFormat="1" applyFont="1" applyFill="1" applyAlignment="1">
      <alignment horizontal="right"/>
    </xf>
    <xf numFmtId="0" fontId="3" fillId="0" borderId="1" xfId="0" applyFont="1" applyBorder="1" applyAlignment="1">
      <alignment horizontal="center" wrapText="1"/>
    </xf>
    <xf numFmtId="0" fontId="4" fillId="0" borderId="0" xfId="1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right"/>
    </xf>
    <xf numFmtId="10" fontId="4" fillId="0" borderId="0" xfId="3" applyNumberFormat="1" applyFont="1" applyFill="1" applyAlignment="1">
      <alignment horizontal="right"/>
    </xf>
    <xf numFmtId="0" fontId="4" fillId="0" borderId="6" xfId="0" applyFont="1" applyBorder="1"/>
    <xf numFmtId="166" fontId="4" fillId="0" borderId="6" xfId="1" applyNumberFormat="1" applyFont="1" applyFill="1" applyBorder="1" applyAlignment="1">
      <alignment horizontal="center"/>
    </xf>
    <xf numFmtId="166" fontId="4" fillId="0" borderId="6" xfId="1" applyNumberFormat="1" applyFont="1" applyFill="1" applyBorder="1"/>
    <xf numFmtId="44" fontId="4" fillId="0" borderId="6" xfId="2" applyFont="1" applyFill="1" applyBorder="1"/>
    <xf numFmtId="165" fontId="4" fillId="0" borderId="6" xfId="0" applyNumberFormat="1" applyFont="1" applyBorder="1"/>
    <xf numFmtId="10" fontId="4" fillId="0" borderId="6" xfId="0" applyNumberFormat="1" applyFont="1" applyBorder="1"/>
    <xf numFmtId="166" fontId="4" fillId="0" borderId="0" xfId="1" applyNumberFormat="1" applyFont="1" applyFill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Border="1"/>
    <xf numFmtId="165" fontId="4" fillId="0" borderId="0" xfId="2" applyNumberFormat="1" applyFont="1" applyFill="1" applyAlignment="1">
      <alignment horizontal="center"/>
    </xf>
    <xf numFmtId="166" fontId="4" fillId="0" borderId="6" xfId="1" applyNumberFormat="1" applyFont="1" applyFill="1" applyBorder="1" applyAlignment="1">
      <alignment horizontal="right"/>
    </xf>
    <xf numFmtId="44" fontId="4" fillId="0" borderId="6" xfId="2" applyFont="1" applyFill="1" applyBorder="1" applyAlignment="1">
      <alignment horizontal="right"/>
    </xf>
    <xf numFmtId="165" fontId="4" fillId="0" borderId="6" xfId="0" applyNumberFormat="1" applyFont="1" applyBorder="1" applyAlignment="1">
      <alignment horizontal="right"/>
    </xf>
    <xf numFmtId="10" fontId="4" fillId="0" borderId="6" xfId="0" applyNumberFormat="1" applyFont="1" applyBorder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70" fontId="4" fillId="0" borderId="0" xfId="1" applyNumberFormat="1" applyFont="1" applyFill="1"/>
    <xf numFmtId="166" fontId="4" fillId="0" borderId="3" xfId="1" applyNumberFormat="1" applyFont="1" applyFill="1" applyBorder="1"/>
    <xf numFmtId="43" fontId="7" fillId="0" borderId="0" xfId="1" applyFont="1" applyFill="1" applyAlignment="1">
      <alignment vertical="center"/>
    </xf>
    <xf numFmtId="44" fontId="4" fillId="0" borderId="0" xfId="0" applyNumberFormat="1" applyFont="1"/>
    <xf numFmtId="172" fontId="3" fillId="0" borderId="0" xfId="1" applyNumberFormat="1" applyFont="1" applyFill="1" applyBorder="1" applyAlignment="1">
      <alignment horizontal="center"/>
    </xf>
    <xf numFmtId="43" fontId="4" fillId="0" borderId="0" xfId="1" applyFont="1" applyFill="1" applyBorder="1"/>
    <xf numFmtId="171" fontId="4" fillId="0" borderId="0" xfId="1" applyNumberFormat="1" applyFont="1" applyFill="1" applyBorder="1"/>
    <xf numFmtId="171" fontId="4" fillId="2" borderId="0" xfId="1" applyNumberFormat="1" applyFont="1" applyFill="1"/>
    <xf numFmtId="0" fontId="4" fillId="0" borderId="0" xfId="0" quotePrefix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166" fontId="4" fillId="0" borderId="0" xfId="1" applyNumberFormat="1" applyFont="1" applyFill="1" applyAlignment="1">
      <alignment wrapText="1"/>
    </xf>
    <xf numFmtId="166" fontId="6" fillId="0" borderId="0" xfId="1" applyNumberFormat="1" applyFont="1" applyFill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166" fontId="3" fillId="0" borderId="0" xfId="1" applyNumberFormat="1" applyFont="1" applyFill="1"/>
    <xf numFmtId="43" fontId="3" fillId="0" borderId="0" xfId="1" applyFont="1" applyFill="1" applyBorder="1"/>
    <xf numFmtId="10" fontId="3" fillId="0" borderId="0" xfId="3" applyNumberFormat="1" applyFont="1" applyFill="1" applyBorder="1"/>
    <xf numFmtId="0" fontId="4" fillId="0" borderId="3" xfId="0" applyFont="1" applyBorder="1"/>
    <xf numFmtId="175" fontId="4" fillId="0" borderId="0" xfId="0" applyNumberFormat="1" applyFont="1"/>
    <xf numFmtId="174" fontId="4" fillId="0" borderId="0" xfId="0" applyNumberFormat="1" applyFont="1"/>
    <xf numFmtId="173" fontId="4" fillId="0" borderId="0" xfId="0" applyNumberFormat="1" applyFont="1"/>
    <xf numFmtId="0" fontId="6" fillId="0" borderId="0" xfId="0" applyFont="1"/>
    <xf numFmtId="10" fontId="4" fillId="0" borderId="0" xfId="0" applyNumberFormat="1" applyFont="1" applyAlignment="1">
      <alignment horizontal="left"/>
    </xf>
    <xf numFmtId="44" fontId="4" fillId="0" borderId="0" xfId="2" applyFont="1" applyAlignment="1">
      <alignment horizontal="right"/>
    </xf>
    <xf numFmtId="166" fontId="9" fillId="0" borderId="0" xfId="1" applyNumberFormat="1" applyFont="1" applyFill="1"/>
    <xf numFmtId="44" fontId="4" fillId="0" borderId="0" xfId="0" applyNumberFormat="1" applyFont="1" applyAlignment="1">
      <alignment horizontal="center"/>
    </xf>
    <xf numFmtId="177" fontId="4" fillId="0" borderId="0" xfId="1" applyNumberFormat="1" applyFont="1" applyFill="1"/>
    <xf numFmtId="43" fontId="3" fillId="0" borderId="0" xfId="1" applyFont="1" applyFill="1" applyAlignment="1">
      <alignment horizontal="center"/>
    </xf>
    <xf numFmtId="181" fontId="4" fillId="0" borderId="0" xfId="0" applyNumberFormat="1" applyFont="1"/>
    <xf numFmtId="182" fontId="4" fillId="0" borderId="0" xfId="3" applyNumberFormat="1" applyFont="1" applyFill="1" applyAlignment="1">
      <alignment horizontal="right"/>
    </xf>
    <xf numFmtId="182" fontId="4" fillId="0" borderId="6" xfId="3" applyNumberFormat="1" applyFont="1" applyFill="1" applyBorder="1" applyAlignment="1">
      <alignment horizontal="right" vertical="center"/>
    </xf>
    <xf numFmtId="0" fontId="3" fillId="0" borderId="0" xfId="1" applyNumberFormat="1" applyFont="1" applyFill="1"/>
    <xf numFmtId="182" fontId="4" fillId="0" borderId="0" xfId="0" applyNumberFormat="1" applyFont="1"/>
    <xf numFmtId="165" fontId="4" fillId="0" borderId="4" xfId="0" applyNumberFormat="1" applyFont="1" applyBorder="1"/>
    <xf numFmtId="177" fontId="3" fillId="0" borderId="0" xfId="1" applyNumberFormat="1" applyFont="1" applyFill="1" applyAlignment="1">
      <alignment horizontal="right"/>
    </xf>
    <xf numFmtId="183" fontId="3" fillId="0" borderId="2" xfId="0" quotePrefix="1" applyNumberFormat="1" applyFont="1" applyBorder="1" applyAlignment="1">
      <alignment horizontal="center"/>
    </xf>
    <xf numFmtId="0" fontId="10" fillId="0" borderId="0" xfId="0" applyFont="1"/>
    <xf numFmtId="1" fontId="3" fillId="0" borderId="0" xfId="0" applyNumberFormat="1" applyFont="1" applyAlignment="1">
      <alignment horizontal="center"/>
    </xf>
    <xf numFmtId="179" fontId="5" fillId="0" borderId="0" xfId="0" applyNumberFormat="1" applyFont="1" applyAlignment="1">
      <alignment horizontal="center"/>
    </xf>
    <xf numFmtId="179" fontId="3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right"/>
    </xf>
    <xf numFmtId="166" fontId="3" fillId="0" borderId="10" xfId="1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5" fontId="4" fillId="0" borderId="0" xfId="3" applyNumberFormat="1" applyFont="1" applyFill="1"/>
    <xf numFmtId="43" fontId="3" fillId="0" borderId="0" xfId="1" applyFont="1" applyFill="1"/>
    <xf numFmtId="9" fontId="3" fillId="0" borderId="0" xfId="3" applyFont="1" applyFill="1"/>
    <xf numFmtId="9" fontId="4" fillId="0" borderId="0" xfId="0" applyNumberFormat="1" applyFont="1"/>
    <xf numFmtId="9" fontId="3" fillId="0" borderId="0" xfId="0" applyNumberFormat="1" applyFont="1"/>
    <xf numFmtId="166" fontId="3" fillId="0" borderId="0" xfId="1" applyNumberFormat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178" fontId="4" fillId="0" borderId="0" xfId="1" applyNumberFormat="1" applyFont="1" applyFill="1"/>
    <xf numFmtId="44" fontId="14" fillId="0" borderId="0" xfId="2" applyFont="1" applyFill="1"/>
    <xf numFmtId="166" fontId="14" fillId="0" borderId="0" xfId="1" applyNumberFormat="1" applyFont="1" applyFill="1"/>
    <xf numFmtId="165" fontId="15" fillId="0" borderId="0" xfId="2" applyNumberFormat="1" applyFont="1" applyFill="1"/>
    <xf numFmtId="0" fontId="16" fillId="0" borderId="0" xfId="0" applyFont="1" applyAlignment="1">
      <alignment horizontal="left"/>
    </xf>
    <xf numFmtId="43" fontId="13" fillId="0" borderId="2" xfId="1" applyFont="1" applyFill="1" applyBorder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43" fontId="4" fillId="0" borderId="10" xfId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/>
    <xf numFmtId="181" fontId="4" fillId="0" borderId="0" xfId="0" applyNumberFormat="1" applyFont="1" applyFill="1"/>
    <xf numFmtId="10" fontId="3" fillId="0" borderId="4" xfId="3" applyNumberFormat="1" applyFont="1" applyFill="1" applyBorder="1"/>
    <xf numFmtId="0" fontId="4" fillId="0" borderId="0" xfId="0" applyFont="1" applyFill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33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9C0006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rgb="FF006600"/>
      </font>
    </dxf>
    <dxf>
      <font>
        <color rgb="FF9C0006"/>
      </font>
    </dxf>
    <dxf>
      <font>
        <color rgb="FF0066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006600"/>
      </font>
    </dxf>
    <dxf>
      <font>
        <color rgb="FF9C0006"/>
      </font>
    </dxf>
    <dxf>
      <font>
        <color rgb="FF006600"/>
      </font>
    </dxf>
    <dxf>
      <font>
        <color rgb="FF9C0006"/>
      </font>
    </dxf>
    <dxf>
      <font>
        <color rgb="FF006600"/>
      </font>
    </dxf>
    <dxf>
      <font>
        <color rgb="FF9C0006"/>
      </font>
    </dxf>
    <dxf>
      <font>
        <color rgb="FF0066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ndense val="0"/>
        <extend val="0"/>
        <color rgb="FF9C0006"/>
      </font>
    </dxf>
    <dxf>
      <font>
        <color theme="6" tint="-0.499984740745262"/>
      </font>
    </dxf>
    <dxf>
      <font>
        <color rgb="FF9C0006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rgb="FF006600"/>
      </font>
    </dxf>
    <dxf>
      <font>
        <color rgb="FF9C0006"/>
      </font>
    </dxf>
    <dxf>
      <font>
        <color rgb="FF0066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006600"/>
      </font>
    </dxf>
    <dxf>
      <font>
        <color rgb="FF9C0006"/>
      </font>
    </dxf>
    <dxf>
      <font>
        <color rgb="FF006600"/>
      </font>
    </dxf>
    <dxf>
      <font>
        <color rgb="FF9C0006"/>
      </font>
    </dxf>
    <dxf>
      <font>
        <color rgb="FF006600"/>
      </font>
    </dxf>
    <dxf>
      <font>
        <color rgb="FF9C0006"/>
      </font>
    </dxf>
    <dxf>
      <font>
        <color rgb="FF0066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ndense val="0"/>
        <extend val="0"/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CC"/>
      <color rgb="FFFFFFCC"/>
      <color rgb="FFFEF6F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53"/>
  <sheetViews>
    <sheetView view="pageBreakPreview" zoomScaleNormal="100" zoomScaleSheetLayoutView="100" workbookViewId="0">
      <selection activeCell="H11" sqref="H11:I19"/>
    </sheetView>
  </sheetViews>
  <sheetFormatPr defaultRowHeight="12.75" x14ac:dyDescent="0.2"/>
  <cols>
    <col min="1" max="1" width="4.42578125" style="14" customWidth="1"/>
    <col min="2" max="2" width="29.42578125" style="27" customWidth="1"/>
    <col min="3" max="3" width="6.85546875" style="45" bestFit="1" customWidth="1"/>
    <col min="4" max="4" width="14" style="45" bestFit="1" customWidth="1"/>
    <col min="5" max="5" width="12.28515625" style="45" bestFit="1" customWidth="1"/>
    <col min="6" max="6" width="15.42578125" style="46" customWidth="1"/>
    <col min="7" max="7" width="13.42578125" style="14" hidden="1" customWidth="1"/>
    <col min="8" max="9" width="14.28515625" style="47" bestFit="1" customWidth="1"/>
    <col min="10" max="10" width="2.28515625" style="14" customWidth="1"/>
    <col min="11" max="11" width="10.140625" style="47" bestFit="1" customWidth="1"/>
    <col min="12" max="12" width="10.42578125" style="47" bestFit="1" customWidth="1"/>
    <col min="13" max="13" width="33.5703125" style="14" bestFit="1" customWidth="1"/>
    <col min="14" max="14" width="14" style="14" bestFit="1" customWidth="1"/>
    <col min="15" max="16" width="9.28515625" style="14" bestFit="1" customWidth="1"/>
    <col min="17" max="16384" width="9.140625" style="14"/>
  </cols>
  <sheetData>
    <row r="1" spans="1:16" x14ac:dyDescent="0.2">
      <c r="A1" s="13" t="s">
        <v>1050</v>
      </c>
      <c r="I1" s="191">
        <v>2024</v>
      </c>
    </row>
    <row r="2" spans="1:16" x14ac:dyDescent="0.2">
      <c r="A2" s="13" t="s">
        <v>676</v>
      </c>
      <c r="C2" s="48"/>
      <c r="D2" s="48"/>
      <c r="E2" s="48"/>
      <c r="F2" s="48"/>
      <c r="H2" s="49"/>
      <c r="I2" s="49"/>
      <c r="K2" s="49"/>
      <c r="L2" s="49"/>
      <c r="M2" s="49"/>
    </row>
    <row r="3" spans="1:16" x14ac:dyDescent="0.2">
      <c r="A3" s="13"/>
      <c r="C3" s="13"/>
      <c r="D3" s="50"/>
      <c r="E3" s="50"/>
      <c r="F3" s="51"/>
      <c r="H3" s="52"/>
      <c r="I3" s="53"/>
      <c r="K3" s="52"/>
      <c r="L3" s="52"/>
      <c r="M3" s="53"/>
    </row>
    <row r="4" spans="1:16" x14ac:dyDescent="0.2">
      <c r="F4" s="54"/>
    </row>
    <row r="5" spans="1:16" x14ac:dyDescent="0.2">
      <c r="A5" s="13"/>
      <c r="B5" s="55"/>
      <c r="C5" s="56"/>
      <c r="D5" s="56"/>
      <c r="E5" s="56"/>
      <c r="F5" s="56"/>
      <c r="G5" s="56"/>
      <c r="I5" s="46"/>
      <c r="M5" s="46"/>
    </row>
    <row r="6" spans="1:16" s="55" customFormat="1" x14ac:dyDescent="0.2">
      <c r="C6" s="187"/>
      <c r="D6" s="187" t="s">
        <v>909</v>
      </c>
      <c r="E6" s="187" t="s">
        <v>909</v>
      </c>
      <c r="F6" s="187"/>
      <c r="H6" s="187" t="s">
        <v>909</v>
      </c>
      <c r="I6" s="187" t="s">
        <v>953</v>
      </c>
      <c r="J6" s="14"/>
      <c r="K6" s="57"/>
      <c r="L6" s="57"/>
      <c r="M6" s="58"/>
    </row>
    <row r="7" spans="1:16" s="55" customFormat="1" x14ac:dyDescent="0.2">
      <c r="C7" s="187"/>
      <c r="D7" s="187" t="s">
        <v>675</v>
      </c>
      <c r="E7" s="187" t="s">
        <v>675</v>
      </c>
      <c r="F7" s="58"/>
      <c r="H7" s="55" t="s">
        <v>334</v>
      </c>
      <c r="I7" s="55" t="s">
        <v>334</v>
      </c>
      <c r="J7" s="14"/>
      <c r="M7" s="58"/>
    </row>
    <row r="8" spans="1:16" s="55" customFormat="1" x14ac:dyDescent="0.2">
      <c r="A8" s="59"/>
      <c r="B8" s="48" t="s">
        <v>753</v>
      </c>
      <c r="C8" s="48" t="s">
        <v>872</v>
      </c>
      <c r="D8" s="48" t="s">
        <v>348</v>
      </c>
      <c r="E8" s="48" t="s">
        <v>674</v>
      </c>
      <c r="F8" s="48" t="s">
        <v>347</v>
      </c>
      <c r="G8" s="162" t="s">
        <v>76</v>
      </c>
      <c r="H8" s="48" t="s">
        <v>870</v>
      </c>
      <c r="I8" s="48" t="s">
        <v>870</v>
      </c>
      <c r="J8" s="14"/>
      <c r="L8" s="57"/>
      <c r="M8" s="58"/>
    </row>
    <row r="9" spans="1:16" s="196" customFormat="1" ht="15" x14ac:dyDescent="0.25">
      <c r="A9" s="114" t="s">
        <v>959</v>
      </c>
      <c r="B9" s="195">
        <v>1</v>
      </c>
      <c r="C9" s="195">
        <f>B9+1</f>
        <v>2</v>
      </c>
      <c r="D9" s="195" t="s">
        <v>1175</v>
      </c>
      <c r="E9" s="195" t="s">
        <v>1176</v>
      </c>
      <c r="F9" s="195" t="s">
        <v>1177</v>
      </c>
      <c r="G9" s="195" t="s">
        <v>1178</v>
      </c>
      <c r="H9" s="195" t="s">
        <v>1179</v>
      </c>
      <c r="I9" s="195" t="s">
        <v>1180</v>
      </c>
      <c r="J9"/>
    </row>
    <row r="10" spans="1:16" x14ac:dyDescent="0.2">
      <c r="A10" s="27"/>
      <c r="B10" s="13"/>
      <c r="C10" s="55"/>
      <c r="F10" s="45"/>
      <c r="G10" s="46"/>
      <c r="H10" s="14"/>
      <c r="I10" s="57"/>
      <c r="K10" s="55"/>
      <c r="L10" s="55"/>
      <c r="M10" s="58"/>
      <c r="N10" s="55"/>
      <c r="O10" s="55"/>
      <c r="P10" s="55"/>
    </row>
    <row r="11" spans="1:16" ht="15" x14ac:dyDescent="0.25">
      <c r="A11" s="27">
        <v>1</v>
      </c>
      <c r="B11" s="14" t="s">
        <v>1056</v>
      </c>
      <c r="C11" s="27" t="s">
        <v>1042</v>
      </c>
      <c r="D11" s="62">
        <f>'Alloc &amp; Returns'!F$358</f>
        <v>37050332.889849186</v>
      </c>
      <c r="E11" s="62">
        <f>'Alloc &amp; Returns'!F$392</f>
        <v>38082954.663585782</v>
      </c>
      <c r="F11" s="62">
        <f>D11-E11</f>
        <v>-1032621.7737365961</v>
      </c>
      <c r="G11" s="62">
        <f>'Alloc &amp; Returns'!F$400</f>
        <v>94136212.983319223</v>
      </c>
      <c r="H11" s="63">
        <f>IF(G11=0,0,F11/G11)</f>
        <v>-1.0969442481392096E-2</v>
      </c>
      <c r="I11" s="45">
        <f t="shared" ref="I11:I18" si="0">H11/H$28</f>
        <v>-0.8056442077569379</v>
      </c>
      <c r="K11" s="55"/>
      <c r="L11" s="57"/>
      <c r="M11" s="11"/>
      <c r="N11" s="4"/>
      <c r="O11" s="55"/>
      <c r="P11" s="55"/>
    </row>
    <row r="12" spans="1:16" ht="15" x14ac:dyDescent="0.25">
      <c r="A12" s="27">
        <v>2</v>
      </c>
      <c r="B12" s="14" t="s">
        <v>1062</v>
      </c>
      <c r="C12" s="27" t="s">
        <v>1052</v>
      </c>
      <c r="D12" s="62">
        <f>'Alloc &amp; Returns'!G$358</f>
        <v>66431.425520410106</v>
      </c>
      <c r="E12" s="62">
        <f>'Alloc &amp; Returns'!G$392</f>
        <v>26482.05839813354</v>
      </c>
      <c r="F12" s="62">
        <f t="shared" ref="F12:F28" si="1">D12-E12</f>
        <v>39949.36712227657</v>
      </c>
      <c r="G12" s="62">
        <f>'Alloc &amp; Returns'!G$400</f>
        <v>29167.126963194252</v>
      </c>
      <c r="H12" s="63">
        <f t="shared" ref="H12:H21" si="2">IF(G12=0,0,F12/G12)</f>
        <v>1.3696709714566104</v>
      </c>
      <c r="I12" s="45">
        <f t="shared" si="0"/>
        <v>100.59467348123594</v>
      </c>
      <c r="L12" s="57"/>
      <c r="M12"/>
      <c r="N12" s="4"/>
      <c r="O12" s="55"/>
      <c r="P12" s="55"/>
    </row>
    <row r="13" spans="1:16" x14ac:dyDescent="0.2">
      <c r="A13" s="27">
        <v>3</v>
      </c>
      <c r="B13" s="14" t="s">
        <v>1058</v>
      </c>
      <c r="C13" s="27" t="s">
        <v>1051</v>
      </c>
      <c r="D13" s="62">
        <f>'Alloc &amp; Returns'!H$358</f>
        <v>4139721.893566167</v>
      </c>
      <c r="E13" s="62">
        <f>'Alloc &amp; Returns'!H$392</f>
        <v>3597385.0052412446</v>
      </c>
      <c r="F13" s="62">
        <f t="shared" si="1"/>
        <v>542336.88832492242</v>
      </c>
      <c r="G13" s="62">
        <f>'Alloc &amp; Returns'!H$400</f>
        <v>8191620.071561249</v>
      </c>
      <c r="H13" s="63">
        <f t="shared" si="2"/>
        <v>6.6206303952956388E-2</v>
      </c>
      <c r="I13" s="45">
        <f t="shared" si="0"/>
        <v>4.8624827913702262</v>
      </c>
      <c r="L13" s="57"/>
      <c r="M13" s="187"/>
      <c r="N13" s="187"/>
      <c r="O13" s="55"/>
      <c r="P13" s="55"/>
    </row>
    <row r="14" spans="1:16" ht="15" x14ac:dyDescent="0.25">
      <c r="A14" s="27">
        <v>4</v>
      </c>
      <c r="B14" s="14" t="s">
        <v>1057</v>
      </c>
      <c r="C14" s="27" t="s">
        <v>1053</v>
      </c>
      <c r="D14" s="62">
        <f>'Alloc &amp; Returns'!I$358</f>
        <v>448970.66105230659</v>
      </c>
      <c r="E14" s="62">
        <f>'Alloc &amp; Returns'!I$392</f>
        <v>432858.64251350297</v>
      </c>
      <c r="F14" s="62">
        <f t="shared" si="1"/>
        <v>16112.018538803619</v>
      </c>
      <c r="G14" s="62">
        <f>'Alloc &amp; Returns'!I$400</f>
        <v>1091320.717431678</v>
      </c>
      <c r="H14" s="63">
        <f t="shared" si="2"/>
        <v>1.4763779594253245E-2</v>
      </c>
      <c r="I14" s="45">
        <f t="shared" si="0"/>
        <v>1.0843170502864725</v>
      </c>
      <c r="L14" s="57"/>
      <c r="M14" s="11"/>
      <c r="N14" s="4"/>
      <c r="O14" s="55"/>
      <c r="P14" s="55"/>
    </row>
    <row r="15" spans="1:16" ht="15" x14ac:dyDescent="0.25">
      <c r="A15" s="27">
        <v>5</v>
      </c>
      <c r="B15" s="14" t="s">
        <v>1059</v>
      </c>
      <c r="C15" s="27" t="s">
        <v>1054</v>
      </c>
      <c r="D15" s="62">
        <f>'Alloc &amp; Returns'!J$358</f>
        <v>4383523.9593207985</v>
      </c>
      <c r="E15" s="62">
        <f>'Alloc &amp; Returns'!J$392</f>
        <v>3208442.5893981457</v>
      </c>
      <c r="F15" s="62">
        <f t="shared" si="1"/>
        <v>1175081.3699226528</v>
      </c>
      <c r="G15" s="62">
        <f>'Alloc &amp; Returns'!J$400</f>
        <v>2101293.4624647214</v>
      </c>
      <c r="H15" s="63">
        <f t="shared" si="2"/>
        <v>0.55921811537182242</v>
      </c>
      <c r="I15" s="45">
        <f t="shared" si="0"/>
        <v>41.071443356060549</v>
      </c>
      <c r="L15" s="57"/>
      <c r="M15"/>
      <c r="N15" s="4"/>
      <c r="O15" s="55"/>
      <c r="P15" s="55"/>
    </row>
    <row r="16" spans="1:16" ht="15" hidden="1" x14ac:dyDescent="0.25">
      <c r="A16" s="27">
        <v>6</v>
      </c>
      <c r="B16" s="14" t="s">
        <v>1060</v>
      </c>
      <c r="C16" s="27" t="s">
        <v>989</v>
      </c>
      <c r="D16" s="62">
        <f>'Alloc &amp; Returns'!K$358</f>
        <v>0</v>
      </c>
      <c r="E16" s="62">
        <f>'Alloc &amp; Returns'!K$392</f>
        <v>0</v>
      </c>
      <c r="F16" s="62">
        <f t="shared" si="1"/>
        <v>0</v>
      </c>
      <c r="G16" s="62">
        <f>'Alloc &amp; Returns'!K$400</f>
        <v>0</v>
      </c>
      <c r="H16" s="63">
        <f t="shared" si="2"/>
        <v>0</v>
      </c>
      <c r="I16" s="45">
        <f t="shared" si="0"/>
        <v>0</v>
      </c>
      <c r="L16" s="57"/>
      <c r="M16" s="11"/>
      <c r="N16" s="4"/>
      <c r="O16" s="55"/>
      <c r="P16" s="55"/>
    </row>
    <row r="17" spans="1:16" ht="15" x14ac:dyDescent="0.25">
      <c r="A17" s="27">
        <v>7</v>
      </c>
      <c r="B17" s="14" t="s">
        <v>1061</v>
      </c>
      <c r="C17" s="27" t="s">
        <v>1055</v>
      </c>
      <c r="D17" s="62">
        <f>'Alloc &amp; Returns'!L$358</f>
        <v>1878455.0252585304</v>
      </c>
      <c r="E17" s="62">
        <f>'Alloc &amp; Returns'!L$392</f>
        <v>1628313.6656872642</v>
      </c>
      <c r="F17" s="62">
        <f t="shared" si="1"/>
        <v>250141.35957126622</v>
      </c>
      <c r="G17" s="62">
        <f>'Alloc &amp; Returns'!L$400</f>
        <v>784906.06854340143</v>
      </c>
      <c r="H17" s="63">
        <f t="shared" si="2"/>
        <v>0.31868954719061982</v>
      </c>
      <c r="I17" s="45">
        <f t="shared" si="0"/>
        <v>23.405965089141052</v>
      </c>
      <c r="L17" s="57"/>
      <c r="M17" s="11"/>
      <c r="N17" s="4"/>
      <c r="O17" s="55"/>
      <c r="P17" s="55"/>
    </row>
    <row r="18" spans="1:16" ht="15" x14ac:dyDescent="0.25">
      <c r="A18" s="27">
        <v>8</v>
      </c>
      <c r="B18" s="14" t="s">
        <v>1184</v>
      </c>
      <c r="C18" s="27" t="s">
        <v>1185</v>
      </c>
      <c r="D18" s="62">
        <f>'Alloc &amp; Returns'!M$358</f>
        <v>727784.01155240904</v>
      </c>
      <c r="E18" s="62">
        <f>'Alloc &amp; Returns'!M$392</f>
        <v>587580.32448547101</v>
      </c>
      <c r="F18" s="62">
        <f t="shared" si="1"/>
        <v>140203.68706693803</v>
      </c>
      <c r="G18" s="62">
        <f>'Alloc &amp; Returns'!M$400</f>
        <v>221031.63491170568</v>
      </c>
      <c r="H18" s="63">
        <f t="shared" si="2"/>
        <v>0.63431502519059968</v>
      </c>
      <c r="I18" s="45">
        <f t="shared" si="0"/>
        <v>46.586891430889693</v>
      </c>
      <c r="L18" s="57"/>
      <c r="M18" s="11"/>
      <c r="N18" s="4"/>
      <c r="O18" s="55"/>
      <c r="P18" s="55"/>
    </row>
    <row r="19" spans="1:16" ht="15" x14ac:dyDescent="0.25">
      <c r="A19" s="27">
        <v>9</v>
      </c>
      <c r="B19" s="14" t="s">
        <v>755</v>
      </c>
      <c r="C19" s="27" t="s">
        <v>1171</v>
      </c>
      <c r="D19" s="62">
        <f>'Alloc &amp; Returns'!N$358</f>
        <v>1007432.823327673</v>
      </c>
      <c r="E19" s="62">
        <f>'Alloc &amp; Returns'!N$392</f>
        <v>629744.47449904552</v>
      </c>
      <c r="F19" s="62">
        <f t="shared" si="1"/>
        <v>377688.3488286275</v>
      </c>
      <c r="G19" s="62">
        <f>'Alloc &amp; Returns'!N$400</f>
        <v>4264073.4863433111</v>
      </c>
      <c r="H19" s="63">
        <f t="shared" si="2"/>
        <v>8.857454029304665E-2</v>
      </c>
      <c r="I19" s="45">
        <f>H19/H$28</f>
        <v>6.5053046645603576</v>
      </c>
      <c r="L19" s="57"/>
      <c r="M19" s="11"/>
      <c r="N19" s="4"/>
      <c r="O19" s="55"/>
      <c r="P19" s="55"/>
    </row>
    <row r="20" spans="1:16" hidden="1" x14ac:dyDescent="0.2">
      <c r="A20" s="27"/>
      <c r="B20" s="14" t="s">
        <v>703</v>
      </c>
      <c r="C20" s="27" t="s">
        <v>1173</v>
      </c>
      <c r="D20" s="62">
        <f>'Alloc &amp; Returns'!O$358</f>
        <v>0</v>
      </c>
      <c r="E20" s="62">
        <f>'Alloc &amp; Returns'!O$392</f>
        <v>0</v>
      </c>
      <c r="F20" s="62">
        <f t="shared" si="1"/>
        <v>0</v>
      </c>
      <c r="G20" s="62">
        <f>'Alloc &amp; Returns'!O$400</f>
        <v>0</v>
      </c>
      <c r="H20" s="63">
        <f t="shared" si="2"/>
        <v>0</v>
      </c>
      <c r="I20" s="45">
        <f>H20/H$28</f>
        <v>0</v>
      </c>
      <c r="J20" s="58"/>
      <c r="L20" s="57"/>
      <c r="M20" s="58"/>
      <c r="N20" s="55"/>
      <c r="O20" s="55"/>
      <c r="P20" s="55"/>
    </row>
    <row r="21" spans="1:16" hidden="1" x14ac:dyDescent="0.2">
      <c r="A21" s="27"/>
      <c r="B21" s="14" t="s">
        <v>703</v>
      </c>
      <c r="C21" s="27" t="s">
        <v>1173</v>
      </c>
      <c r="D21" s="62">
        <f>'Alloc &amp; Returns'!P$358</f>
        <v>0</v>
      </c>
      <c r="E21" s="62">
        <f>'Alloc &amp; Returns'!P$392</f>
        <v>0</v>
      </c>
      <c r="F21" s="62">
        <f t="shared" si="1"/>
        <v>0</v>
      </c>
      <c r="G21" s="62">
        <f>'Alloc &amp; Returns'!P$400</f>
        <v>0</v>
      </c>
      <c r="H21" s="63">
        <f t="shared" si="2"/>
        <v>0</v>
      </c>
      <c r="I21" s="45">
        <f>H21/H$28</f>
        <v>0</v>
      </c>
      <c r="J21" s="58"/>
      <c r="L21" s="57"/>
      <c r="M21" s="58"/>
      <c r="N21" s="55"/>
      <c r="O21" s="55"/>
      <c r="P21" s="55"/>
    </row>
    <row r="22" spans="1:16" hidden="1" x14ac:dyDescent="0.2">
      <c r="A22" s="27"/>
      <c r="B22" s="14"/>
      <c r="C22" s="27"/>
      <c r="D22" s="62">
        <f>'Alloc &amp; Returns'!Q$358</f>
        <v>0</v>
      </c>
      <c r="E22" s="62">
        <f>'Alloc &amp; Returns'!Q$392</f>
        <v>0</v>
      </c>
      <c r="F22" s="62">
        <f t="shared" si="1"/>
        <v>0</v>
      </c>
      <c r="G22" s="62">
        <f>'Alloc &amp; Returns'!Q$400</f>
        <v>0</v>
      </c>
      <c r="H22" s="63" t="e">
        <f t="shared" ref="H22:H24" si="3">F22/G22</f>
        <v>#DIV/0!</v>
      </c>
      <c r="I22" s="45" t="e">
        <f>H22/H$28</f>
        <v>#DIV/0!</v>
      </c>
      <c r="J22" s="58"/>
      <c r="L22" s="57"/>
      <c r="M22" s="58"/>
      <c r="N22" s="55"/>
      <c r="O22" s="55"/>
      <c r="P22" s="55"/>
    </row>
    <row r="23" spans="1:16" hidden="1" x14ac:dyDescent="0.2">
      <c r="A23" s="27"/>
      <c r="B23" s="14"/>
      <c r="C23" s="27"/>
      <c r="D23" s="64">
        <f>'Alloc &amp; Returns'!R$358</f>
        <v>0</v>
      </c>
      <c r="E23" s="62">
        <f>'Alloc &amp; Returns'!R$392</f>
        <v>0</v>
      </c>
      <c r="F23" s="64">
        <f t="shared" si="1"/>
        <v>0</v>
      </c>
      <c r="G23" s="62">
        <f>'Alloc &amp; Returns'!R$400</f>
        <v>0</v>
      </c>
      <c r="H23" s="63" t="e">
        <f t="shared" si="3"/>
        <v>#DIV/0!</v>
      </c>
      <c r="I23" s="63" t="e">
        <f>'Alloc &amp; Returns'!R330</f>
        <v>#DIV/0!</v>
      </c>
      <c r="J23" s="58"/>
      <c r="L23" s="57"/>
      <c r="M23" s="47"/>
      <c r="N23" s="55"/>
      <c r="O23" s="55"/>
      <c r="P23" s="55"/>
    </row>
    <row r="24" spans="1:16" hidden="1" x14ac:dyDescent="0.2">
      <c r="A24" s="27"/>
      <c r="B24" s="14"/>
      <c r="C24" s="27"/>
      <c r="D24" s="64">
        <f>'Alloc &amp; Returns'!S$358</f>
        <v>0</v>
      </c>
      <c r="E24" s="62">
        <f>'Alloc &amp; Returns'!S$392</f>
        <v>0</v>
      </c>
      <c r="F24" s="64">
        <f t="shared" si="1"/>
        <v>0</v>
      </c>
      <c r="G24" s="64">
        <f>'Alloc &amp; Returns'!S$400</f>
        <v>0</v>
      </c>
      <c r="H24" s="63" t="e">
        <f t="shared" si="3"/>
        <v>#DIV/0!</v>
      </c>
      <c r="I24" s="63" t="e">
        <f>'Alloc &amp; Returns'!S330</f>
        <v>#DIV/0!</v>
      </c>
      <c r="J24" s="58"/>
      <c r="L24" s="57"/>
      <c r="M24" s="47"/>
      <c r="N24" s="55"/>
      <c r="O24" s="55"/>
      <c r="P24" s="55"/>
    </row>
    <row r="25" spans="1:16" hidden="1" x14ac:dyDescent="0.2">
      <c r="A25" s="27"/>
      <c r="B25" s="14"/>
      <c r="C25" s="27"/>
      <c r="D25" s="64"/>
      <c r="E25" s="62"/>
      <c r="F25" s="64"/>
      <c r="G25" s="64"/>
      <c r="H25" s="63"/>
      <c r="I25" s="63"/>
      <c r="J25" s="58"/>
      <c r="L25" s="57"/>
      <c r="M25" s="47"/>
      <c r="N25" s="55"/>
      <c r="O25" s="55"/>
      <c r="P25" s="55"/>
    </row>
    <row r="26" spans="1:16" hidden="1" x14ac:dyDescent="0.2">
      <c r="A26" s="27"/>
      <c r="B26" s="14"/>
      <c r="C26" s="27"/>
      <c r="D26" s="64"/>
      <c r="E26" s="62"/>
      <c r="F26" s="64"/>
      <c r="G26" s="64"/>
      <c r="H26" s="63"/>
      <c r="I26" s="63"/>
      <c r="J26" s="58"/>
      <c r="L26" s="57"/>
      <c r="M26" s="47"/>
      <c r="N26" s="55"/>
      <c r="O26" s="55"/>
      <c r="P26" s="55"/>
    </row>
    <row r="27" spans="1:16" hidden="1" x14ac:dyDescent="0.2">
      <c r="A27" s="27"/>
      <c r="B27" s="14"/>
      <c r="C27" s="27"/>
      <c r="D27" s="64"/>
      <c r="E27" s="62"/>
      <c r="F27" s="64"/>
      <c r="G27" s="64"/>
      <c r="H27" s="63"/>
      <c r="I27" s="63"/>
      <c r="J27" s="58"/>
      <c r="L27" s="57"/>
      <c r="M27" s="58"/>
      <c r="N27" s="55"/>
      <c r="O27" s="55"/>
      <c r="P27" s="55"/>
    </row>
    <row r="28" spans="1:16" s="71" customFormat="1" ht="26.25" customHeight="1" thickBot="1" x14ac:dyDescent="0.25">
      <c r="A28" s="65">
        <v>10</v>
      </c>
      <c r="B28" s="66" t="s">
        <v>0</v>
      </c>
      <c r="C28" s="67"/>
      <c r="D28" s="68">
        <f>SUM(D11:D27)</f>
        <v>49702652.689447492</v>
      </c>
      <c r="E28" s="68">
        <f>SUM(E11:E27)</f>
        <v>48193761.423808597</v>
      </c>
      <c r="F28" s="68">
        <f t="shared" si="1"/>
        <v>1508891.2656388953</v>
      </c>
      <c r="G28" s="68">
        <f>SUM(G11:G27)</f>
        <v>110819625.55153848</v>
      </c>
      <c r="H28" s="69">
        <f>F28/G28</f>
        <v>1.3615740516440933E-2</v>
      </c>
      <c r="I28" s="70">
        <f>H28/H$28</f>
        <v>1</v>
      </c>
      <c r="J28" s="58"/>
      <c r="N28" s="55"/>
      <c r="O28" s="55"/>
      <c r="P28" s="55"/>
    </row>
    <row r="29" spans="1:16" ht="13.5" thickTop="1" x14ac:dyDescent="0.2">
      <c r="A29" s="27"/>
      <c r="B29" s="14"/>
      <c r="C29" s="27"/>
      <c r="D29" s="64"/>
      <c r="E29" s="64"/>
      <c r="F29" s="64"/>
      <c r="G29" s="64"/>
      <c r="H29" s="63"/>
      <c r="I29" s="45"/>
      <c r="J29" s="58"/>
      <c r="K29" s="57"/>
      <c r="N29" s="55"/>
      <c r="O29" s="55"/>
      <c r="P29" s="55"/>
    </row>
    <row r="30" spans="1:16" ht="21.75" customHeight="1" x14ac:dyDescent="0.2">
      <c r="A30" s="27"/>
      <c r="B30" s="14"/>
      <c r="C30" s="27"/>
      <c r="D30" s="64"/>
      <c r="E30" s="64"/>
      <c r="F30" s="64"/>
      <c r="G30" s="64"/>
      <c r="H30" s="215" t="s">
        <v>1183</v>
      </c>
      <c r="I30" s="215"/>
      <c r="J30" s="58"/>
      <c r="K30" s="57"/>
      <c r="N30" s="55"/>
      <c r="O30" s="55"/>
      <c r="P30" s="55"/>
    </row>
    <row r="31" spans="1:16" x14ac:dyDescent="0.2">
      <c r="A31" s="27"/>
      <c r="B31" s="14"/>
      <c r="C31" s="27"/>
      <c r="F31" s="45"/>
      <c r="G31" s="46"/>
      <c r="H31" s="187" t="s">
        <v>909</v>
      </c>
      <c r="I31" s="187" t="s">
        <v>953</v>
      </c>
      <c r="J31" s="47"/>
      <c r="K31" s="57"/>
      <c r="N31" s="55"/>
      <c r="O31" s="55"/>
      <c r="P31" s="55"/>
    </row>
    <row r="32" spans="1:16" x14ac:dyDescent="0.2">
      <c r="A32" s="55"/>
      <c r="B32" s="55"/>
      <c r="C32" s="27"/>
      <c r="D32" s="56" t="s">
        <v>1040</v>
      </c>
      <c r="E32" s="56" t="s">
        <v>1170</v>
      </c>
      <c r="F32" s="14"/>
      <c r="G32" s="46"/>
      <c r="H32" s="55" t="s">
        <v>334</v>
      </c>
      <c r="I32" s="55" t="s">
        <v>334</v>
      </c>
      <c r="J32" s="47"/>
    </row>
    <row r="33" spans="1:13" ht="13.5" thickBot="1" x14ac:dyDescent="0.25">
      <c r="A33" s="59" t="s">
        <v>959</v>
      </c>
      <c r="B33" s="60" t="s">
        <v>753</v>
      </c>
      <c r="C33" s="60" t="s">
        <v>872</v>
      </c>
      <c r="D33" s="61" t="s">
        <v>348</v>
      </c>
      <c r="E33" s="61" t="s">
        <v>11</v>
      </c>
      <c r="F33" s="14"/>
      <c r="G33" s="46"/>
      <c r="H33" s="48" t="s">
        <v>870</v>
      </c>
      <c r="I33" s="48" t="s">
        <v>870</v>
      </c>
      <c r="J33" s="47"/>
    </row>
    <row r="34" spans="1:13" x14ac:dyDescent="0.2">
      <c r="A34" s="27"/>
      <c r="B34" s="14"/>
      <c r="C34" s="55"/>
      <c r="D34" s="127"/>
      <c r="E34" s="127"/>
      <c r="F34" s="14"/>
      <c r="G34" s="46"/>
      <c r="H34" s="14"/>
      <c r="J34" s="47"/>
    </row>
    <row r="35" spans="1:13" x14ac:dyDescent="0.2">
      <c r="A35" s="27">
        <f>A28+1</f>
        <v>11</v>
      </c>
      <c r="B35" s="14" t="str">
        <f>B11</f>
        <v>Residential</v>
      </c>
      <c r="C35" s="27" t="str">
        <f>C11</f>
        <v>R</v>
      </c>
      <c r="D35" s="189">
        <f>D11/D$28</f>
        <v>0.74543974788121203</v>
      </c>
      <c r="E35" s="189">
        <f>'Billing Det'!P8</f>
        <v>0.7392420820840746</v>
      </c>
      <c r="F35" s="192"/>
      <c r="G35" s="46"/>
      <c r="H35" s="63">
        <v>1.8992993757463068E-2</v>
      </c>
      <c r="I35" s="45">
        <v>0.48615888087806453</v>
      </c>
      <c r="J35" s="47"/>
    </row>
    <row r="36" spans="1:13" x14ac:dyDescent="0.2">
      <c r="A36" s="27">
        <f>A35+1</f>
        <v>12</v>
      </c>
      <c r="B36" s="14" t="str">
        <f t="shared" ref="B36:C36" si="4">B12</f>
        <v>Resid TOU</v>
      </c>
      <c r="C36" s="27" t="str">
        <f t="shared" si="4"/>
        <v>D</v>
      </c>
      <c r="D36" s="189">
        <f t="shared" ref="D36:D43" si="5">D12/D$28</f>
        <v>1.3365770623046513E-3</v>
      </c>
      <c r="E36" s="189">
        <f>'Billing Det'!P9</f>
        <v>7.5260651967862604E-4</v>
      </c>
      <c r="F36" s="192"/>
      <c r="G36" s="46"/>
      <c r="H36" s="63">
        <v>1.3696709714566104</v>
      </c>
      <c r="I36" s="45">
        <v>35.059123124961204</v>
      </c>
      <c r="J36" s="47"/>
      <c r="M36" s="47"/>
    </row>
    <row r="37" spans="1:13" x14ac:dyDescent="0.2">
      <c r="A37" s="27">
        <f t="shared" ref="A37:A51" si="6">A36+1</f>
        <v>13</v>
      </c>
      <c r="B37" s="14" t="str">
        <f t="shared" ref="B37:C37" si="7">B13</f>
        <v>General Power Service &lt; 50kW</v>
      </c>
      <c r="C37" s="27" t="str">
        <f t="shared" si="7"/>
        <v>C</v>
      </c>
      <c r="D37" s="189">
        <f t="shared" si="5"/>
        <v>8.3289757579580515E-2</v>
      </c>
      <c r="E37" s="189">
        <f>'Billing Det'!P10</f>
        <v>7.3772845008694132E-2</v>
      </c>
      <c r="F37" s="192"/>
      <c r="G37" s="46"/>
      <c r="H37" s="63">
        <v>6.6206303952956388E-2</v>
      </c>
      <c r="I37" s="45">
        <v>1.6946660988710562</v>
      </c>
      <c r="J37" s="47"/>
      <c r="M37" s="47"/>
    </row>
    <row r="38" spans="1:13" x14ac:dyDescent="0.2">
      <c r="A38" s="27">
        <f t="shared" si="6"/>
        <v>14</v>
      </c>
      <c r="B38" s="14" t="str">
        <f t="shared" ref="B38:C38" si="8">B14</f>
        <v>Public Facilities</v>
      </c>
      <c r="C38" s="27" t="str">
        <f t="shared" si="8"/>
        <v>E</v>
      </c>
      <c r="D38" s="189">
        <f t="shared" si="5"/>
        <v>9.0331327757809752E-3</v>
      </c>
      <c r="E38" s="189">
        <f>'Billing Det'!P11</f>
        <v>8.3950051510450052E-3</v>
      </c>
      <c r="F38" s="192"/>
      <c r="H38" s="63">
        <v>1.4763779594253245E-2</v>
      </c>
      <c r="I38" s="45">
        <v>0.37790475038998184</v>
      </c>
    </row>
    <row r="39" spans="1:13" x14ac:dyDescent="0.2">
      <c r="A39" s="27">
        <f t="shared" si="6"/>
        <v>15</v>
      </c>
      <c r="B39" s="14" t="str">
        <f t="shared" ref="B39:C39" si="9">B15</f>
        <v>General Power Service 50-500kW</v>
      </c>
      <c r="C39" s="27" t="str">
        <f t="shared" si="9"/>
        <v>L</v>
      </c>
      <c r="D39" s="189">
        <f t="shared" si="5"/>
        <v>8.8194969928666933E-2</v>
      </c>
      <c r="E39" s="189">
        <f>'Billing Det'!P12</f>
        <v>9.7752205901502617E-2</v>
      </c>
      <c r="F39" s="192"/>
      <c r="H39" s="63">
        <v>0.55921811537182242</v>
      </c>
      <c r="I39" s="45">
        <v>14.314165350003234</v>
      </c>
    </row>
    <row r="40" spans="1:13" hidden="1" x14ac:dyDescent="0.2">
      <c r="A40" s="27">
        <f t="shared" si="6"/>
        <v>16</v>
      </c>
      <c r="B40" s="14" t="str">
        <f t="shared" ref="B40:C40" si="10">B16</f>
        <v>General Power Service 1000-5000kW</v>
      </c>
      <c r="C40" s="27" t="str">
        <f t="shared" si="10"/>
        <v>M</v>
      </c>
      <c r="D40" s="189">
        <f t="shared" si="5"/>
        <v>0</v>
      </c>
      <c r="E40" s="189">
        <f>'Billing Det'!P13</f>
        <v>0</v>
      </c>
      <c r="F40" s="192"/>
      <c r="H40" s="63">
        <v>0</v>
      </c>
      <c r="I40" s="45">
        <v>0</v>
      </c>
    </row>
    <row r="41" spans="1:13" x14ac:dyDescent="0.2">
      <c r="A41" s="27">
        <f t="shared" si="6"/>
        <v>17</v>
      </c>
      <c r="B41" s="14" t="str">
        <f t="shared" ref="B41:C41" si="11">B17</f>
        <v>General Power Service 500+kW</v>
      </c>
      <c r="C41" s="27" t="str">
        <f t="shared" si="11"/>
        <v>P</v>
      </c>
      <c r="D41" s="189">
        <f t="shared" si="5"/>
        <v>3.7793858549069963E-2</v>
      </c>
      <c r="E41" s="189">
        <f>'Billing Det'!P14</f>
        <v>4.8851301529237431E-2</v>
      </c>
      <c r="F41" s="192"/>
      <c r="H41" s="63">
        <v>0.31868954719061982</v>
      </c>
      <c r="I41" s="45">
        <v>8.1574161287158606</v>
      </c>
    </row>
    <row r="42" spans="1:13" x14ac:dyDescent="0.2">
      <c r="A42" s="27">
        <f t="shared" si="6"/>
        <v>18</v>
      </c>
      <c r="B42" s="14" t="str">
        <f>B18</f>
        <v>Large Industrial Rate</v>
      </c>
      <c r="C42" s="27" t="str">
        <f>C18</f>
        <v>B-1</v>
      </c>
      <c r="D42" s="189">
        <f t="shared" si="5"/>
        <v>1.4642759936773492E-2</v>
      </c>
      <c r="E42" s="189">
        <f>'Billing Det'!P15</f>
        <v>2.2082001541239737E-2</v>
      </c>
      <c r="F42" s="192"/>
      <c r="H42" s="63">
        <v>0.63431502519059968</v>
      </c>
      <c r="I42" s="45">
        <v>16.236402049552083</v>
      </c>
    </row>
    <row r="43" spans="1:13" x14ac:dyDescent="0.2">
      <c r="A43" s="27">
        <f t="shared" si="6"/>
        <v>19</v>
      </c>
      <c r="B43" s="14" t="str">
        <f t="shared" ref="B43:C43" si="12">B19</f>
        <v>Lighting</v>
      </c>
      <c r="C43" s="27" t="str">
        <f t="shared" si="12"/>
        <v>S,T,O</v>
      </c>
      <c r="D43" s="189">
        <f t="shared" si="5"/>
        <v>2.0269196286611155E-2</v>
      </c>
      <c r="E43" s="189">
        <f>'Billing Det'!P16</f>
        <v>9.1519522645278125E-3</v>
      </c>
      <c r="F43" s="192"/>
      <c r="H43" s="63">
        <v>8.857454029304665E-2</v>
      </c>
      <c r="I43" s="45">
        <v>2.267220214624468</v>
      </c>
    </row>
    <row r="44" spans="1:13" hidden="1" x14ac:dyDescent="0.2">
      <c r="A44" s="27">
        <f t="shared" si="6"/>
        <v>20</v>
      </c>
      <c r="B44" s="14" t="str">
        <f t="shared" ref="B44:C44" si="13">B20</f>
        <v>N/A</v>
      </c>
      <c r="C44" s="27" t="str">
        <f t="shared" si="13"/>
        <v>n/a</v>
      </c>
      <c r="D44" s="189">
        <f t="shared" ref="D44:D52" si="14">D20/D$28</f>
        <v>0</v>
      </c>
      <c r="E44" s="189">
        <f>'Billing Det'!P16</f>
        <v>9.1519522645278125E-3</v>
      </c>
      <c r="F44" s="192"/>
      <c r="H44" s="63">
        <v>0</v>
      </c>
      <c r="I44" s="45">
        <v>0</v>
      </c>
    </row>
    <row r="45" spans="1:13" hidden="1" x14ac:dyDescent="0.2">
      <c r="A45" s="27">
        <f t="shared" si="6"/>
        <v>21</v>
      </c>
      <c r="B45" s="14" t="str">
        <f t="shared" ref="B45:C45" si="15">B21</f>
        <v>N/A</v>
      </c>
      <c r="C45" s="27" t="str">
        <f t="shared" si="15"/>
        <v>n/a</v>
      </c>
      <c r="D45" s="189">
        <f t="shared" si="14"/>
        <v>0</v>
      </c>
      <c r="E45" s="189">
        <f>'Billing Det'!P17</f>
        <v>0</v>
      </c>
      <c r="F45" s="192"/>
      <c r="H45" s="63">
        <v>0</v>
      </c>
      <c r="I45" s="45">
        <v>0</v>
      </c>
    </row>
    <row r="46" spans="1:13" hidden="1" x14ac:dyDescent="0.2">
      <c r="A46" s="27">
        <f t="shared" si="6"/>
        <v>22</v>
      </c>
      <c r="B46" s="14"/>
      <c r="D46" s="189">
        <f t="shared" si="14"/>
        <v>0</v>
      </c>
      <c r="E46" s="189"/>
      <c r="F46" s="14"/>
      <c r="H46" s="63" t="e">
        <v>#DIV/0!</v>
      </c>
      <c r="I46" s="45" t="e">
        <v>#DIV/0!</v>
      </c>
    </row>
    <row r="47" spans="1:13" hidden="1" x14ac:dyDescent="0.2">
      <c r="A47" s="27">
        <f t="shared" si="6"/>
        <v>23</v>
      </c>
      <c r="B47" s="14"/>
      <c r="D47" s="189">
        <f t="shared" si="14"/>
        <v>0</v>
      </c>
      <c r="E47" s="189"/>
      <c r="F47" s="14"/>
      <c r="H47" s="63" t="e">
        <v>#DIV/0!</v>
      </c>
      <c r="I47" s="63" t="e">
        <v>#DIV/0!</v>
      </c>
    </row>
    <row r="48" spans="1:13" hidden="1" x14ac:dyDescent="0.2">
      <c r="A48" s="27">
        <f t="shared" si="6"/>
        <v>24</v>
      </c>
      <c r="B48" s="14"/>
      <c r="D48" s="189">
        <f t="shared" si="14"/>
        <v>0</v>
      </c>
      <c r="E48" s="189"/>
      <c r="F48" s="14"/>
      <c r="H48" s="63" t="e">
        <v>#DIV/0!</v>
      </c>
      <c r="I48" s="63" t="e">
        <v>#DIV/0!</v>
      </c>
    </row>
    <row r="49" spans="1:9" hidden="1" x14ac:dyDescent="0.2">
      <c r="A49" s="27">
        <f t="shared" si="6"/>
        <v>25</v>
      </c>
      <c r="B49" s="14"/>
      <c r="D49" s="189">
        <f t="shared" si="14"/>
        <v>0</v>
      </c>
      <c r="E49" s="189"/>
      <c r="F49" s="14"/>
      <c r="H49" s="63"/>
      <c r="I49" s="63"/>
    </row>
    <row r="50" spans="1:9" hidden="1" x14ac:dyDescent="0.2">
      <c r="A50" s="27">
        <f t="shared" si="6"/>
        <v>26</v>
      </c>
      <c r="B50" s="14"/>
      <c r="D50" s="189">
        <f t="shared" si="14"/>
        <v>0</v>
      </c>
      <c r="E50" s="189"/>
      <c r="F50" s="14"/>
      <c r="H50" s="63"/>
      <c r="I50" s="63"/>
    </row>
    <row r="51" spans="1:9" hidden="1" x14ac:dyDescent="0.2">
      <c r="A51" s="27">
        <f t="shared" si="6"/>
        <v>27</v>
      </c>
      <c r="B51" s="14"/>
      <c r="D51" s="189">
        <f t="shared" si="14"/>
        <v>0</v>
      </c>
      <c r="E51" s="189"/>
      <c r="F51" s="14"/>
      <c r="H51" s="63"/>
      <c r="I51" s="63"/>
    </row>
    <row r="52" spans="1:9" ht="21.75" customHeight="1" thickBot="1" x14ac:dyDescent="0.25">
      <c r="A52" s="27">
        <v>20</v>
      </c>
      <c r="B52" s="66" t="s">
        <v>0</v>
      </c>
      <c r="C52" s="66"/>
      <c r="D52" s="190">
        <f t="shared" si="14"/>
        <v>1</v>
      </c>
      <c r="E52" s="190">
        <f>E28/E$28</f>
        <v>1</v>
      </c>
      <c r="F52" s="14"/>
      <c r="H52" s="69">
        <v>3.9067462314293866E-2</v>
      </c>
      <c r="I52" s="70">
        <v>1</v>
      </c>
    </row>
    <row r="53" spans="1:9" ht="13.5" thickTop="1" x14ac:dyDescent="0.2">
      <c r="F53" s="14"/>
    </row>
  </sheetData>
  <mergeCells count="1">
    <mergeCell ref="H30:I30"/>
  </mergeCells>
  <phoneticPr fontId="0" type="noConversion"/>
  <conditionalFormatting sqref="H23:H24">
    <cfRule type="cellIs" dxfId="108" priority="48" stopIfTrue="1" operator="lessThan">
      <formula>$H$28</formula>
    </cfRule>
    <cfRule type="cellIs" dxfId="107" priority="49" stopIfTrue="1" operator="greaterThan">
      <formula>$H$28</formula>
    </cfRule>
  </conditionalFormatting>
  <conditionalFormatting sqref="I23:I24">
    <cfRule type="cellIs" dxfId="106" priority="40" stopIfTrue="1" operator="lessThan">
      <formula>$I$28</formula>
    </cfRule>
    <cfRule type="cellIs" dxfId="105" priority="41" stopIfTrue="1" operator="greaterThan">
      <formula>$I$28</formula>
    </cfRule>
  </conditionalFormatting>
  <conditionalFormatting sqref="H20:H21">
    <cfRule type="cellIs" dxfId="104" priority="21" operator="greaterThan">
      <formula>$H$28</formula>
    </cfRule>
    <cfRule type="cellIs" dxfId="103" priority="22" operator="lessThan">
      <formula>$H$28</formula>
    </cfRule>
  </conditionalFormatting>
  <conditionalFormatting sqref="I20:I21">
    <cfRule type="cellIs" dxfId="102" priority="19" operator="greaterThan">
      <formula>$I$28</formula>
    </cfRule>
    <cfRule type="cellIs" dxfId="101" priority="20" operator="lessThan">
      <formula>$I$28</formula>
    </cfRule>
  </conditionalFormatting>
  <conditionalFormatting sqref="H29">
    <cfRule type="cellIs" dxfId="100" priority="17" operator="greaterThan">
      <formula>$H$28</formula>
    </cfRule>
    <cfRule type="cellIs" dxfId="99" priority="18" operator="lessThan">
      <formula>$H$28</formula>
    </cfRule>
  </conditionalFormatting>
  <conditionalFormatting sqref="I29">
    <cfRule type="cellIs" dxfId="98" priority="15" operator="greaterThan">
      <formula>$I$28</formula>
    </cfRule>
    <cfRule type="cellIs" dxfId="97" priority="16" operator="lessThan">
      <formula>$I$28</formula>
    </cfRule>
  </conditionalFormatting>
  <conditionalFormatting sqref="H47:H48">
    <cfRule type="cellIs" dxfId="96" priority="13" stopIfTrue="1" operator="lessThan">
      <formula>$H$28</formula>
    </cfRule>
    <cfRule type="cellIs" dxfId="95" priority="14" stopIfTrue="1" operator="greaterThan">
      <formula>$H$28</formula>
    </cfRule>
  </conditionalFormatting>
  <conditionalFormatting sqref="I47:I48">
    <cfRule type="cellIs" dxfId="94" priority="11" stopIfTrue="1" operator="lessThan">
      <formula>$I$28</formula>
    </cfRule>
    <cfRule type="cellIs" dxfId="93" priority="12" stopIfTrue="1" operator="greaterThan">
      <formula>$I$28</formula>
    </cfRule>
  </conditionalFormatting>
  <conditionalFormatting sqref="H44:H45">
    <cfRule type="cellIs" dxfId="92" priority="9" operator="greaterThan">
      <formula>$H$28</formula>
    </cfRule>
    <cfRule type="cellIs" dxfId="91" priority="10" operator="lessThan">
      <formula>$H$28</formula>
    </cfRule>
  </conditionalFormatting>
  <conditionalFormatting sqref="I44:I45">
    <cfRule type="cellIs" dxfId="90" priority="7" operator="greaterThan">
      <formula>$I$28</formula>
    </cfRule>
    <cfRule type="cellIs" dxfId="89" priority="8" operator="lessThan">
      <formula>$I$28</formula>
    </cfRule>
  </conditionalFormatting>
  <pageMargins left="0.75" right="0.75" top="1" bottom="1" header="0.5" footer="0.5"/>
  <pageSetup orientation="landscape" r:id="rId1"/>
  <headerFooter alignWithMargins="0">
    <oddFooter>&amp;RExhibit JW-3
Page 1 of 2</oddFooter>
  </headerFooter>
  <ignoredErrors>
    <ignoredError sqref="F28" formula="1"/>
    <ignoredError sqref="B9:I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42"/>
  <sheetViews>
    <sheetView tabSelected="1" view="pageBreakPreview" zoomScaleNormal="100" zoomScaleSheetLayoutView="100" workbookViewId="0">
      <selection activeCell="D18" sqref="D18"/>
    </sheetView>
  </sheetViews>
  <sheetFormatPr defaultRowHeight="12.75" x14ac:dyDescent="0.2"/>
  <cols>
    <col min="1" max="1" width="4.42578125" style="14" customWidth="1"/>
    <col min="2" max="2" width="31.85546875" style="27" customWidth="1"/>
    <col min="3" max="3" width="7.28515625" style="27" customWidth="1"/>
    <col min="4" max="4" width="3.42578125" style="45" customWidth="1"/>
    <col min="5" max="6" width="10.7109375" style="45" bestFit="1" customWidth="1"/>
    <col min="7" max="7" width="12" style="46" customWidth="1"/>
    <col min="8" max="8" width="9.140625" style="14"/>
    <col min="9" max="9" width="6.7109375" style="47" bestFit="1" customWidth="1"/>
    <col min="10" max="10" width="8.7109375" style="47" bestFit="1" customWidth="1"/>
    <col min="11" max="11" width="15.7109375" style="47" customWidth="1"/>
    <col min="12" max="12" width="6.7109375" style="14" bestFit="1" customWidth="1"/>
    <col min="13" max="13" width="8.7109375" style="14" bestFit="1" customWidth="1"/>
    <col min="14" max="14" width="5.7109375" style="14" bestFit="1" customWidth="1"/>
    <col min="15" max="16384" width="9.140625" style="14"/>
  </cols>
  <sheetData>
    <row r="1" spans="1:14" x14ac:dyDescent="0.2">
      <c r="A1" s="13" t="str">
        <f>'Summary of Returns'!A1</f>
        <v>CLARK ENERGY COOPERATIVE</v>
      </c>
    </row>
    <row r="2" spans="1:14" x14ac:dyDescent="0.2">
      <c r="A2" s="13" t="s">
        <v>968</v>
      </c>
      <c r="D2" s="48"/>
      <c r="E2" s="48"/>
      <c r="F2" s="48"/>
      <c r="G2" s="48"/>
      <c r="I2" s="216"/>
      <c r="J2" s="216"/>
      <c r="K2" s="216"/>
      <c r="L2" s="216"/>
    </row>
    <row r="3" spans="1:14" x14ac:dyDescent="0.2">
      <c r="A3" s="13"/>
      <c r="D3" s="13"/>
      <c r="E3" s="50"/>
      <c r="F3" s="50"/>
      <c r="G3" s="51"/>
      <c r="I3" s="52"/>
      <c r="J3" s="52"/>
      <c r="K3" s="52"/>
      <c r="L3" s="53"/>
    </row>
    <row r="4" spans="1:14" x14ac:dyDescent="0.2">
      <c r="E4" s="217" t="s">
        <v>1199</v>
      </c>
      <c r="F4" s="218"/>
      <c r="G4" s="219"/>
    </row>
    <row r="5" spans="1:14" s="55" customFormat="1" x14ac:dyDescent="0.2">
      <c r="H5" s="14"/>
      <c r="I5" s="47"/>
      <c r="J5" s="57"/>
      <c r="K5" s="57"/>
      <c r="L5" s="58"/>
    </row>
    <row r="6" spans="1:14" s="55" customFormat="1" x14ac:dyDescent="0.2">
      <c r="A6" s="27"/>
      <c r="E6" s="48" t="s">
        <v>724</v>
      </c>
      <c r="F6" s="48" t="s">
        <v>11</v>
      </c>
      <c r="G6" s="48" t="s">
        <v>10</v>
      </c>
      <c r="H6" s="14"/>
      <c r="I6" s="47"/>
      <c r="J6" s="57"/>
      <c r="K6" s="57"/>
      <c r="L6" s="58"/>
    </row>
    <row r="7" spans="1:14" s="55" customFormat="1" x14ac:dyDescent="0.2">
      <c r="A7" s="27"/>
      <c r="B7" s="48" t="s">
        <v>753</v>
      </c>
      <c r="C7" s="48" t="s">
        <v>872</v>
      </c>
      <c r="D7" s="48"/>
      <c r="E7" s="48" t="s">
        <v>965</v>
      </c>
      <c r="F7" s="48" t="s">
        <v>966</v>
      </c>
      <c r="G7" s="48" t="s">
        <v>967</v>
      </c>
      <c r="H7" s="14"/>
      <c r="I7" s="47"/>
      <c r="J7" s="57"/>
      <c r="K7" s="57"/>
      <c r="L7" s="58"/>
    </row>
    <row r="8" spans="1:14" s="196" customFormat="1" ht="15" x14ac:dyDescent="0.25">
      <c r="A8" s="114" t="s">
        <v>959</v>
      </c>
      <c r="B8" s="195">
        <v>1</v>
      </c>
      <c r="C8" s="195">
        <f>B8+1</f>
        <v>2</v>
      </c>
      <c r="E8" s="195" t="s">
        <v>1175</v>
      </c>
      <c r="F8" s="195" t="s">
        <v>1176</v>
      </c>
      <c r="G8" s="195" t="s">
        <v>1177</v>
      </c>
      <c r="H8" s="14"/>
      <c r="I8" s="47"/>
      <c r="J8"/>
    </row>
    <row r="9" spans="1:14" x14ac:dyDescent="0.2">
      <c r="A9" s="27"/>
      <c r="B9" s="14"/>
      <c r="D9" s="14"/>
      <c r="G9" s="14"/>
      <c r="J9" s="57"/>
      <c r="K9" s="57"/>
      <c r="L9" s="58"/>
      <c r="M9" s="55"/>
      <c r="N9" s="55"/>
    </row>
    <row r="10" spans="1:14" x14ac:dyDescent="0.2">
      <c r="A10" s="27">
        <v>1</v>
      </c>
      <c r="B10" s="14" t="str">
        <f>'Summary of Returns'!B11</f>
        <v>Residential</v>
      </c>
      <c r="C10" s="27" t="str">
        <f>'Summary of Returns'!C11</f>
        <v>R</v>
      </c>
      <c r="E10" s="163">
        <f>'Alloc &amp; Returns'!F657</f>
        <v>44.380769974187722</v>
      </c>
      <c r="F10" s="164">
        <f>'Alloc &amp; Returns'!F658</f>
        <v>8.6601103980013902E-2</v>
      </c>
      <c r="G10" s="163">
        <f>'Alloc &amp; Returns'!F659</f>
        <v>0</v>
      </c>
      <c r="I10" s="55"/>
      <c r="J10" s="57"/>
      <c r="K10" s="57"/>
      <c r="L10" s="58"/>
      <c r="M10" s="55"/>
      <c r="N10" s="55"/>
    </row>
    <row r="11" spans="1:14" x14ac:dyDescent="0.2">
      <c r="A11" s="27">
        <v>2</v>
      </c>
      <c r="B11" s="14" t="str">
        <f>'Summary of Returns'!B12</f>
        <v>Resid TOU</v>
      </c>
      <c r="C11" s="27" t="str">
        <f>'Summary of Returns'!C12</f>
        <v>D</v>
      </c>
      <c r="D11" s="13"/>
      <c r="E11" s="163">
        <f>'Alloc &amp; Returns'!G657</f>
        <v>43.59035802036064</v>
      </c>
      <c r="F11" s="164">
        <f>'Alloc &amp; Returns'!G658</f>
        <v>8.2591551911977479E-2</v>
      </c>
      <c r="G11" s="163">
        <f>'Alloc &amp; Returns'!G659</f>
        <v>0</v>
      </c>
      <c r="H11" s="162"/>
      <c r="I11" s="55"/>
      <c r="J11" s="57"/>
      <c r="K11" s="57"/>
      <c r="L11" s="58"/>
      <c r="M11" s="55"/>
      <c r="N11" s="55"/>
    </row>
    <row r="12" spans="1:14" x14ac:dyDescent="0.2">
      <c r="A12" s="27">
        <v>3</v>
      </c>
      <c r="B12" s="14" t="str">
        <f>'Summary of Returns'!B13</f>
        <v>General Power Service &lt; 50kW</v>
      </c>
      <c r="C12" s="27" t="str">
        <f>'Summary of Returns'!C13</f>
        <v>C</v>
      </c>
      <c r="E12" s="163">
        <f>'Alloc &amp; Returns'!H657</f>
        <v>48.963637819809847</v>
      </c>
      <c r="F12" s="164">
        <f>'Alloc &amp; Returns'!H658</f>
        <v>8.4254323521493535E-2</v>
      </c>
      <c r="G12" s="163">
        <f>'Alloc &amp; Returns'!H659</f>
        <v>0</v>
      </c>
      <c r="H12" s="162"/>
      <c r="I12" s="55"/>
      <c r="J12" s="57"/>
      <c r="K12" s="57"/>
      <c r="L12" s="58"/>
      <c r="M12" s="55"/>
      <c r="N12" s="55"/>
    </row>
    <row r="13" spans="1:14" x14ac:dyDescent="0.2">
      <c r="A13" s="27">
        <v>4</v>
      </c>
      <c r="B13" s="14" t="str">
        <f>'Summary of Returns'!B14</f>
        <v>Public Facilities</v>
      </c>
      <c r="C13" s="27" t="str">
        <f>'Summary of Returns'!C14</f>
        <v>E</v>
      </c>
      <c r="D13" s="13"/>
      <c r="E13" s="74">
        <f>'Alloc &amp; Returns'!I657</f>
        <v>44.875223411650758</v>
      </c>
      <c r="F13" s="164">
        <f>'Alloc &amp; Returns'!I658</f>
        <v>5.7332578259428842E-2</v>
      </c>
      <c r="G13" s="163">
        <f>'Alloc &amp; Returns'!I659</f>
        <v>4.3268399578654222</v>
      </c>
      <c r="H13" s="162"/>
      <c r="I13" s="55"/>
      <c r="J13" s="57"/>
      <c r="K13" s="57"/>
      <c r="L13" s="58"/>
      <c r="M13" s="55"/>
      <c r="N13" s="55"/>
    </row>
    <row r="14" spans="1:14" x14ac:dyDescent="0.2">
      <c r="A14" s="27">
        <v>5</v>
      </c>
      <c r="B14" s="14" t="str">
        <f>'Summary of Returns'!B15</f>
        <v>General Power Service 50-500kW</v>
      </c>
      <c r="C14" s="27" t="str">
        <f>'Summary of Returns'!C15</f>
        <v>L</v>
      </c>
      <c r="E14" s="163">
        <f>'Alloc &amp; Returns'!J657</f>
        <v>51.582561141916564</v>
      </c>
      <c r="F14" s="164">
        <f>'Alloc &amp; Returns'!J658</f>
        <v>5.7332578259428842E-2</v>
      </c>
      <c r="G14" s="163">
        <f>'Alloc &amp; Returns'!J659</f>
        <v>5.0059811860338925</v>
      </c>
      <c r="H14" s="162"/>
      <c r="I14" s="55"/>
      <c r="J14" s="57"/>
      <c r="K14" s="57"/>
      <c r="L14" s="58"/>
      <c r="M14" s="55"/>
      <c r="N14" s="55"/>
    </row>
    <row r="15" spans="1:14" hidden="1" x14ac:dyDescent="0.2">
      <c r="A15" s="27">
        <v>6</v>
      </c>
      <c r="B15" s="14" t="str">
        <f>'Summary of Returns'!B16</f>
        <v>General Power Service 1000-5000kW</v>
      </c>
      <c r="C15" s="27" t="str">
        <f>'Summary of Returns'!C16</f>
        <v>M</v>
      </c>
      <c r="D15" s="13"/>
      <c r="E15" s="163">
        <f>'Alloc &amp; Returns'!K657</f>
        <v>0</v>
      </c>
      <c r="F15" s="164">
        <f>'Alloc &amp; Returns'!K658</f>
        <v>0</v>
      </c>
      <c r="G15" s="163">
        <f>'Alloc &amp; Returns'!K659</f>
        <v>0</v>
      </c>
      <c r="H15" s="162"/>
      <c r="I15" s="55"/>
      <c r="J15" s="57"/>
      <c r="K15" s="57"/>
      <c r="L15" s="58"/>
      <c r="M15" s="55"/>
      <c r="N15" s="55"/>
    </row>
    <row r="16" spans="1:14" x14ac:dyDescent="0.2">
      <c r="A16" s="27">
        <v>6</v>
      </c>
      <c r="B16" s="14" t="str">
        <f>'Summary of Returns'!B17</f>
        <v>General Power Service 500+kW</v>
      </c>
      <c r="C16" s="27" t="str">
        <f>'Summary of Returns'!C17</f>
        <v>P</v>
      </c>
      <c r="E16" s="163">
        <f>'Alloc &amp; Returns'!L657</f>
        <v>52.925265827429349</v>
      </c>
      <c r="F16" s="164">
        <f>'Alloc &amp; Returns'!L658</f>
        <v>5.7332578259428835E-2</v>
      </c>
      <c r="G16" s="163">
        <f>'Alloc &amp; Returns'!L659</f>
        <v>6.2502950911530819</v>
      </c>
      <c r="H16" s="162"/>
      <c r="I16" s="55"/>
      <c r="J16" s="57"/>
      <c r="K16" s="57"/>
      <c r="L16" s="58"/>
      <c r="M16" s="55"/>
      <c r="N16" s="55"/>
    </row>
    <row r="17" spans="1:14" x14ac:dyDescent="0.2">
      <c r="A17" s="27">
        <v>7</v>
      </c>
      <c r="B17" s="14" t="str">
        <f>'Summary of Returns'!B18</f>
        <v>Large Industrial Rate</v>
      </c>
      <c r="C17" s="27" t="str">
        <f>'Summary of Returns'!C18</f>
        <v>B-1</v>
      </c>
      <c r="E17" s="163">
        <f>'Alloc &amp; Returns'!M657</f>
        <v>52.462032417617948</v>
      </c>
      <c r="F17" s="164">
        <f>'Alloc &amp; Returns'!M658</f>
        <v>4.6627557614202772E-2</v>
      </c>
      <c r="G17" s="163">
        <f>'Alloc &amp; Returns'!M659</f>
        <v>7.3923524102257634</v>
      </c>
      <c r="H17" s="162"/>
      <c r="I17" s="55"/>
      <c r="J17" s="57"/>
      <c r="K17" s="57"/>
      <c r="L17" s="58"/>
      <c r="M17" s="55"/>
      <c r="N17" s="55"/>
    </row>
    <row r="18" spans="1:14" ht="15" customHeight="1" x14ac:dyDescent="0.2">
      <c r="A18" s="27"/>
      <c r="B18" s="14"/>
      <c r="C18" s="14"/>
      <c r="D18" s="45">
        <v>2820550</v>
      </c>
      <c r="G18" s="54"/>
      <c r="H18" s="58"/>
      <c r="I18" s="55"/>
      <c r="J18" s="57"/>
      <c r="K18" s="57"/>
      <c r="L18" s="58"/>
      <c r="M18" s="55"/>
      <c r="N18" s="55"/>
    </row>
    <row r="19" spans="1:14" ht="15" customHeight="1" x14ac:dyDescent="0.2">
      <c r="A19" s="27"/>
      <c r="B19" s="14"/>
      <c r="C19" s="14"/>
      <c r="D19" s="13"/>
      <c r="E19" s="50"/>
      <c r="F19" s="50"/>
      <c r="G19" s="51"/>
      <c r="H19" s="58"/>
      <c r="I19" s="55"/>
      <c r="J19" s="57"/>
      <c r="K19" s="57"/>
      <c r="L19" s="58"/>
      <c r="M19" s="55"/>
      <c r="N19" s="55"/>
    </row>
    <row r="20" spans="1:14" ht="15" customHeight="1" x14ac:dyDescent="0.2">
      <c r="A20" s="27"/>
      <c r="B20" s="14"/>
      <c r="C20" s="14"/>
      <c r="G20" s="54"/>
      <c r="H20" s="58"/>
      <c r="I20" s="55"/>
      <c r="J20" s="57"/>
      <c r="K20" s="57"/>
      <c r="L20" s="58"/>
      <c r="M20" s="55"/>
      <c r="N20" s="55"/>
    </row>
    <row r="21" spans="1:14" ht="15" customHeight="1" x14ac:dyDescent="0.2">
      <c r="A21" s="27"/>
      <c r="B21" s="14"/>
      <c r="C21" s="14"/>
      <c r="D21" s="13"/>
      <c r="E21" s="50"/>
      <c r="F21" s="50"/>
      <c r="G21" s="51"/>
      <c r="H21" s="58"/>
      <c r="I21" s="55"/>
      <c r="J21" s="57"/>
      <c r="K21" s="57"/>
      <c r="L21" s="58"/>
      <c r="M21" s="55"/>
      <c r="N21" s="55"/>
    </row>
    <row r="22" spans="1:14" ht="15" customHeight="1" x14ac:dyDescent="0.2">
      <c r="A22" s="27"/>
      <c r="B22" s="14"/>
      <c r="C22" s="14"/>
      <c r="G22" s="54"/>
      <c r="H22" s="58"/>
      <c r="I22" s="55"/>
      <c r="J22" s="57"/>
      <c r="K22" s="57"/>
      <c r="L22" s="58"/>
      <c r="M22" s="55"/>
      <c r="N22" s="55"/>
    </row>
    <row r="23" spans="1:14" x14ac:dyDescent="0.2">
      <c r="A23" s="27"/>
      <c r="B23" s="14"/>
      <c r="C23" s="14"/>
      <c r="D23" s="13"/>
      <c r="E23" s="50"/>
      <c r="F23" s="50"/>
      <c r="G23" s="51"/>
      <c r="H23" s="58"/>
      <c r="I23" s="55"/>
      <c r="J23" s="57"/>
      <c r="K23" s="57"/>
      <c r="L23" s="58"/>
      <c r="M23" s="55"/>
      <c r="N23" s="55"/>
    </row>
    <row r="24" spans="1:14" s="71" customFormat="1" ht="26.25" customHeight="1" x14ac:dyDescent="0.2">
      <c r="A24" s="65"/>
      <c r="B24" s="14"/>
      <c r="C24" s="14"/>
      <c r="D24" s="45"/>
      <c r="E24" s="45"/>
      <c r="F24" s="45"/>
      <c r="G24" s="54"/>
      <c r="H24" s="58"/>
      <c r="I24" s="55"/>
      <c r="J24" s="57"/>
      <c r="K24" s="57"/>
      <c r="L24" s="58"/>
      <c r="M24" s="55"/>
      <c r="N24" s="55"/>
    </row>
    <row r="25" spans="1:14" x14ac:dyDescent="0.2">
      <c r="A25" s="65"/>
      <c r="B25" s="14"/>
      <c r="C25" s="14"/>
      <c r="E25" s="50"/>
      <c r="F25" s="50"/>
      <c r="G25" s="51"/>
      <c r="H25" s="58"/>
      <c r="I25" s="55"/>
      <c r="J25" s="57"/>
      <c r="K25" s="57"/>
      <c r="L25" s="58"/>
      <c r="M25" s="55"/>
      <c r="N25" s="55"/>
    </row>
    <row r="26" spans="1:14" x14ac:dyDescent="0.2">
      <c r="A26" s="65"/>
      <c r="B26" s="14"/>
      <c r="C26" s="14"/>
      <c r="G26" s="54"/>
      <c r="H26" s="58"/>
      <c r="I26" s="55"/>
      <c r="J26" s="57"/>
      <c r="K26" s="57"/>
      <c r="L26" s="58"/>
      <c r="M26" s="55"/>
      <c r="N26" s="55"/>
    </row>
    <row r="27" spans="1:14" x14ac:dyDescent="0.2">
      <c r="A27" s="65"/>
      <c r="B27" s="14"/>
      <c r="C27" s="14"/>
      <c r="E27" s="50"/>
      <c r="F27" s="50"/>
      <c r="G27" s="51"/>
      <c r="H27" s="58"/>
      <c r="I27" s="55"/>
      <c r="J27" s="57"/>
      <c r="K27" s="57"/>
      <c r="L27" s="58"/>
      <c r="M27" s="55"/>
      <c r="N27" s="55"/>
    </row>
    <row r="28" spans="1:14" x14ac:dyDescent="0.2">
      <c r="A28" s="65"/>
      <c r="B28" s="71"/>
      <c r="C28" s="14"/>
      <c r="G28" s="54"/>
      <c r="H28" s="58"/>
      <c r="I28" s="55"/>
      <c r="J28" s="57"/>
      <c r="K28" s="57"/>
      <c r="L28" s="58"/>
      <c r="M28" s="55"/>
      <c r="N28" s="55"/>
    </row>
    <row r="29" spans="1:14" x14ac:dyDescent="0.2">
      <c r="A29" s="65"/>
      <c r="B29" s="71"/>
      <c r="C29" s="14"/>
      <c r="E29" s="50"/>
      <c r="F29" s="50"/>
      <c r="G29" s="51"/>
      <c r="H29" s="58"/>
      <c r="I29" s="55"/>
      <c r="J29" s="57"/>
      <c r="K29" s="57"/>
      <c r="L29" s="58"/>
      <c r="M29" s="55"/>
      <c r="N29" s="55"/>
    </row>
    <row r="30" spans="1:14" x14ac:dyDescent="0.2">
      <c r="A30" s="65"/>
      <c r="B30" s="71"/>
      <c r="C30" s="14"/>
      <c r="E30" s="71"/>
      <c r="G30" s="71"/>
      <c r="H30" s="47"/>
      <c r="I30" s="55"/>
      <c r="J30" s="57"/>
      <c r="K30" s="57"/>
      <c r="L30" s="58"/>
      <c r="M30" s="55"/>
      <c r="N30" s="55"/>
    </row>
    <row r="31" spans="1:14" x14ac:dyDescent="0.2">
      <c r="A31" s="65"/>
      <c r="B31" s="71"/>
      <c r="C31" s="14"/>
      <c r="E31" s="71"/>
      <c r="G31" s="71"/>
      <c r="H31" s="47"/>
      <c r="I31" s="55"/>
      <c r="J31" s="57"/>
      <c r="K31" s="57"/>
      <c r="L31" s="58"/>
      <c r="M31" s="55"/>
      <c r="N31" s="55"/>
    </row>
    <row r="32" spans="1:14" x14ac:dyDescent="0.2">
      <c r="A32" s="65"/>
      <c r="B32" s="71"/>
      <c r="C32" s="14"/>
      <c r="E32" s="71"/>
      <c r="G32" s="71"/>
      <c r="H32" s="47"/>
      <c r="I32" s="14"/>
      <c r="L32" s="47"/>
    </row>
    <row r="33" spans="1:12" x14ac:dyDescent="0.2">
      <c r="A33" s="65"/>
      <c r="B33" s="71"/>
      <c r="C33" s="14"/>
      <c r="E33" s="71"/>
      <c r="G33" s="71"/>
      <c r="H33" s="47"/>
      <c r="I33" s="14"/>
      <c r="L33" s="47"/>
    </row>
    <row r="34" spans="1:12" x14ac:dyDescent="0.2">
      <c r="A34" s="65"/>
      <c r="B34" s="71"/>
      <c r="C34" s="14"/>
      <c r="E34" s="71"/>
      <c r="G34" s="71"/>
      <c r="H34" s="47"/>
      <c r="I34" s="14"/>
      <c r="L34" s="47"/>
    </row>
    <row r="35" spans="1:12" x14ac:dyDescent="0.2">
      <c r="A35" s="65"/>
      <c r="B35" s="71"/>
      <c r="C35" s="14"/>
      <c r="E35" s="71"/>
      <c r="G35" s="71"/>
    </row>
    <row r="36" spans="1:12" x14ac:dyDescent="0.2">
      <c r="A36" s="65"/>
      <c r="B36" s="71"/>
      <c r="C36" s="14"/>
      <c r="E36" s="71"/>
      <c r="G36" s="71"/>
    </row>
    <row r="37" spans="1:12" x14ac:dyDescent="0.2">
      <c r="A37" s="65"/>
      <c r="B37" s="71"/>
      <c r="C37" s="14"/>
      <c r="E37" s="71"/>
      <c r="G37" s="71"/>
    </row>
    <row r="38" spans="1:12" x14ac:dyDescent="0.2">
      <c r="A38" s="65"/>
      <c r="B38" s="71"/>
      <c r="C38" s="14"/>
      <c r="E38" s="71"/>
      <c r="G38" s="71"/>
    </row>
    <row r="39" spans="1:12" x14ac:dyDescent="0.2">
      <c r="A39" s="65"/>
      <c r="B39" s="71"/>
      <c r="C39" s="14"/>
      <c r="E39" s="71"/>
      <c r="G39" s="71"/>
    </row>
    <row r="40" spans="1:12" x14ac:dyDescent="0.2">
      <c r="A40" s="65"/>
      <c r="B40" s="71"/>
      <c r="C40" s="14"/>
      <c r="E40" s="71"/>
      <c r="G40" s="71"/>
    </row>
    <row r="41" spans="1:12" x14ac:dyDescent="0.2">
      <c r="A41" s="65"/>
      <c r="B41" s="71"/>
      <c r="C41" s="14"/>
      <c r="E41" s="71"/>
      <c r="G41" s="71"/>
    </row>
    <row r="42" spans="1:12" x14ac:dyDescent="0.2">
      <c r="A42" s="65"/>
      <c r="B42" s="71"/>
      <c r="C42" s="71"/>
      <c r="E42" s="71"/>
      <c r="G42" s="71"/>
    </row>
  </sheetData>
  <mergeCells count="2">
    <mergeCell ref="I2:L2"/>
    <mergeCell ref="E4:G4"/>
  </mergeCells>
  <pageMargins left="0.75" right="0.75" top="1" bottom="1" header="0.5" footer="0.5"/>
  <pageSetup orientation="landscape" r:id="rId1"/>
  <headerFooter alignWithMargins="0">
    <oddFooter>&amp;RExhibit JW-3
Page 2 of 2</oddFooter>
  </headerFooter>
  <ignoredErrors>
    <ignoredError sqref="E8:G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508"/>
  <sheetViews>
    <sheetView view="pageBreakPreview" zoomScale="75" zoomScaleNormal="100" zoomScaleSheetLayoutView="75" workbookViewId="0">
      <pane xSplit="6" ySplit="3" topLeftCell="G454" activePane="bottomRight" state="frozen"/>
      <selection pane="topRight" activeCell="G1" sqref="G1"/>
      <selection pane="bottomLeft" activeCell="A4" sqref="A4"/>
      <selection pane="bottomRight" activeCell="H447" sqref="H447"/>
    </sheetView>
  </sheetViews>
  <sheetFormatPr defaultRowHeight="12.75" x14ac:dyDescent="0.2"/>
  <cols>
    <col min="1" max="1" width="7.7109375" style="14" customWidth="1"/>
    <col min="2" max="2" width="47.5703125" style="14" customWidth="1"/>
    <col min="3" max="3" width="12.85546875" style="14" customWidth="1"/>
    <col min="4" max="4" width="12.42578125" style="14" customWidth="1"/>
    <col min="5" max="5" width="2.7109375" style="227" customWidth="1"/>
    <col min="6" max="6" width="18.85546875" style="14" customWidth="1"/>
    <col min="7" max="7" width="2.28515625" style="14" customWidth="1"/>
    <col min="8" max="8" width="17.140625" style="14" customWidth="1"/>
    <col min="9" max="9" width="14.85546875" style="14" customWidth="1"/>
    <col min="10" max="10" width="2.7109375" style="14" customWidth="1"/>
    <col min="11" max="11" width="16.28515625" style="14" customWidth="1"/>
    <col min="12" max="12" width="2.7109375" style="14" customWidth="1"/>
    <col min="13" max="13" width="24.7109375" style="14" bestFit="1" customWidth="1"/>
    <col min="14" max="14" width="3.85546875" style="14" customWidth="1"/>
    <col min="15" max="15" width="16.28515625" style="14" customWidth="1"/>
    <col min="16" max="16" width="15.5703125" style="14" customWidth="1"/>
    <col min="17" max="17" width="1.85546875" style="76" customWidth="1"/>
    <col min="18" max="18" width="13.7109375" style="14" customWidth="1"/>
    <col min="19" max="19" width="15.140625" style="14" customWidth="1"/>
    <col min="20" max="20" width="1.85546875" style="14" customWidth="1"/>
    <col min="21" max="21" width="14.28515625" style="14" bestFit="1" customWidth="1"/>
    <col min="22" max="22" width="1.85546875" style="14" customWidth="1"/>
    <col min="23" max="23" width="13.85546875" style="14" customWidth="1"/>
    <col min="24" max="24" width="1.85546875" style="14" customWidth="1"/>
    <col min="25" max="25" width="15" style="14" customWidth="1"/>
    <col min="26" max="26" width="1.85546875" style="14" customWidth="1"/>
    <col min="27" max="27" width="14.7109375" style="14" customWidth="1"/>
    <col min="28" max="28" width="16.140625" style="14" customWidth="1"/>
    <col min="29" max="29" width="14.7109375" style="14" customWidth="1"/>
    <col min="30" max="30" width="12.85546875" style="14" customWidth="1"/>
    <col min="31" max="31" width="9.140625" style="14"/>
    <col min="32" max="32" width="18.140625" style="14" customWidth="1"/>
    <col min="33" max="16384" width="9.140625" style="14"/>
  </cols>
  <sheetData>
    <row r="1" spans="1:30" x14ac:dyDescent="0.2">
      <c r="A1" s="76"/>
      <c r="B1" s="76"/>
      <c r="C1" s="76"/>
      <c r="D1" s="76"/>
      <c r="E1" s="224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AC1" s="27" t="str">
        <f>IF(COUNTIF(AC4:AC490,"err"),"err","ok")</f>
        <v>ok</v>
      </c>
    </row>
    <row r="2" spans="1:30" ht="48" customHeight="1" thickBot="1" x14ac:dyDescent="0.25">
      <c r="A2" s="13"/>
      <c r="B2" s="13"/>
      <c r="C2" s="21"/>
      <c r="D2" s="15" t="s">
        <v>208</v>
      </c>
      <c r="E2" s="225"/>
      <c r="F2" s="21" t="s">
        <v>0</v>
      </c>
      <c r="G2" s="21"/>
      <c r="H2" s="77" t="s">
        <v>910</v>
      </c>
      <c r="I2" s="77"/>
      <c r="K2" s="78" t="s">
        <v>350</v>
      </c>
      <c r="L2" s="13"/>
      <c r="M2" s="78" t="s">
        <v>1</v>
      </c>
      <c r="N2" s="79"/>
      <c r="O2" s="77" t="s">
        <v>356</v>
      </c>
      <c r="P2" s="77"/>
      <c r="Q2" s="13"/>
      <c r="R2" s="77" t="s">
        <v>3</v>
      </c>
      <c r="S2" s="77"/>
      <c r="T2" s="13"/>
      <c r="U2" s="80" t="s">
        <v>4</v>
      </c>
      <c r="V2" s="21"/>
      <c r="W2" s="78" t="s">
        <v>755</v>
      </c>
      <c r="X2" s="79"/>
      <c r="Y2" s="78" t="s">
        <v>1008</v>
      </c>
      <c r="Z2" s="79"/>
      <c r="AA2" s="78" t="s">
        <v>470</v>
      </c>
      <c r="AB2" s="13"/>
      <c r="AC2" s="13"/>
    </row>
    <row r="3" spans="1:30" ht="13.5" thickBot="1" x14ac:dyDescent="0.25">
      <c r="A3" s="81" t="s">
        <v>6</v>
      </c>
      <c r="B3" s="81"/>
      <c r="C3" s="82" t="s">
        <v>7</v>
      </c>
      <c r="D3" s="82" t="s">
        <v>8</v>
      </c>
      <c r="E3" s="226"/>
      <c r="F3" s="80" t="s">
        <v>9</v>
      </c>
      <c r="G3" s="80"/>
      <c r="H3" s="80" t="s">
        <v>10</v>
      </c>
      <c r="I3" s="80" t="s">
        <v>11</v>
      </c>
      <c r="J3" s="80"/>
      <c r="K3" s="80" t="s">
        <v>10</v>
      </c>
      <c r="L3" s="80"/>
      <c r="M3" s="80" t="s">
        <v>10</v>
      </c>
      <c r="N3" s="80"/>
      <c r="O3" s="80" t="s">
        <v>10</v>
      </c>
      <c r="P3" s="80" t="s">
        <v>12</v>
      </c>
      <c r="Q3" s="77"/>
      <c r="R3" s="80" t="s">
        <v>10</v>
      </c>
      <c r="S3" s="80" t="s">
        <v>12</v>
      </c>
      <c r="T3" s="80"/>
      <c r="U3" s="80" t="s">
        <v>12</v>
      </c>
      <c r="V3" s="80"/>
      <c r="W3" s="80" t="s">
        <v>12</v>
      </c>
      <c r="X3" s="80"/>
      <c r="Y3" s="80" t="s">
        <v>12</v>
      </c>
      <c r="Z3" s="80"/>
      <c r="AA3" s="80" t="s">
        <v>12</v>
      </c>
      <c r="AB3" s="80" t="s">
        <v>13</v>
      </c>
      <c r="AC3" s="83" t="s">
        <v>14</v>
      </c>
    </row>
    <row r="4" spans="1:30" x14ac:dyDescent="0.2">
      <c r="F4" s="26"/>
      <c r="G4" s="26"/>
      <c r="H4" s="84"/>
      <c r="I4" s="84"/>
      <c r="J4" s="84"/>
      <c r="K4" s="84"/>
      <c r="L4" s="84"/>
      <c r="M4" s="84"/>
      <c r="N4" s="84"/>
      <c r="O4" s="84"/>
      <c r="P4" s="84"/>
      <c r="Q4" s="85"/>
      <c r="R4" s="84"/>
      <c r="S4" s="84"/>
      <c r="T4" s="84"/>
      <c r="U4" s="84"/>
      <c r="V4" s="84"/>
      <c r="W4" s="84"/>
      <c r="X4" s="84"/>
      <c r="Y4" s="84"/>
      <c r="Z4" s="84"/>
      <c r="AA4" s="84"/>
      <c r="AC4" s="27"/>
    </row>
    <row r="5" spans="1:30" x14ac:dyDescent="0.2">
      <c r="A5" s="25" t="s">
        <v>15</v>
      </c>
      <c r="F5" s="64"/>
      <c r="G5" s="64"/>
      <c r="H5" s="84"/>
      <c r="I5" s="84"/>
      <c r="J5" s="84"/>
      <c r="K5" s="84"/>
      <c r="L5" s="84"/>
      <c r="M5" s="84"/>
      <c r="N5" s="84"/>
      <c r="O5" s="84"/>
      <c r="P5" s="84"/>
      <c r="Q5" s="85"/>
      <c r="R5" s="84"/>
      <c r="S5" s="84"/>
      <c r="T5" s="84"/>
      <c r="U5" s="84"/>
      <c r="V5" s="84"/>
      <c r="W5" s="84"/>
      <c r="X5" s="84"/>
      <c r="Y5" s="84"/>
      <c r="Z5" s="84"/>
      <c r="AA5" s="84"/>
      <c r="AC5" s="27"/>
    </row>
    <row r="6" spans="1:30" x14ac:dyDescent="0.2">
      <c r="AC6" s="27"/>
    </row>
    <row r="7" spans="1:30" x14ac:dyDescent="0.2">
      <c r="A7" s="25" t="s">
        <v>358</v>
      </c>
      <c r="AC7" s="27"/>
    </row>
    <row r="8" spans="1:30" x14ac:dyDescent="0.2">
      <c r="A8" s="86">
        <v>301</v>
      </c>
      <c r="B8" s="14" t="s">
        <v>360</v>
      </c>
      <c r="C8" s="14" t="s">
        <v>361</v>
      </c>
      <c r="D8" s="14" t="s">
        <v>392</v>
      </c>
      <c r="F8" s="62">
        <v>182.9</v>
      </c>
      <c r="G8" s="62"/>
      <c r="H8" s="47">
        <f>IF(VLOOKUP($D8,$C$5:$AA$496,6,)=0,0,((VLOOKUP($D8,$C$5:$AA$496,6,)/VLOOKUP($D8,$C$5:$AA$496,4,))*$F8))</f>
        <v>0</v>
      </c>
      <c r="I8" s="47">
        <f>IF(VLOOKUP($D8,$C$5:$AA$496,7,)=0,0,((VLOOKUP($D8,$C$5:$AA$496,7,)/VLOOKUP($D8,$C$5:$AA$496,4,))*$F8))</f>
        <v>0</v>
      </c>
      <c r="J8" s="47"/>
      <c r="K8" s="47">
        <f>IF(VLOOKUP($D8,$C$5:$AA$496,9,)=0,0,((VLOOKUP($D8,$C$5:$AA$496,9,)/VLOOKUP($D8,$C$5:$AA$496,4,))*$F8))</f>
        <v>0</v>
      </c>
      <c r="L8" s="47"/>
      <c r="M8" s="47">
        <f>IF(VLOOKUP($D8,$C$5:$AA$496,11,)=0,0,((VLOOKUP($D8,$C$5:$AA$496,11,)/VLOOKUP($D8,$C$5:$AA$496,4,))*$F8))</f>
        <v>0.67977752863634389</v>
      </c>
      <c r="N8" s="47"/>
      <c r="O8" s="47">
        <f>IF(VLOOKUP($D8,$C$5:$AA$496,13,)=0,0,((VLOOKUP($D8,$C$5:$AA$496,13,)/VLOOKUP($D8,$C$5:$AA$496,4,))*$F8))</f>
        <v>51.134693623971977</v>
      </c>
      <c r="P8" s="47">
        <f>IF(VLOOKUP($D8,$C$5:$AA$496,14,)=0,0,((VLOOKUP($D8,$C$5:$AA$496,14,)/VLOOKUP($D8,$C$5:$AA$496,4,))*$F8))</f>
        <v>96.185396792361658</v>
      </c>
      <c r="Q8" s="47"/>
      <c r="R8" s="47">
        <f>IF(VLOOKUP($D8,$C$5:$AA$496,16,)=0,0,((VLOOKUP($D8,$C$5:$AA$496,16,)/VLOOKUP($D8,$C$5:$AA$496,4,))*$F8))</f>
        <v>0</v>
      </c>
      <c r="S8" s="47">
        <f>IF(VLOOKUP($D8,$C$5:$AA$496,17,)=0,0,((VLOOKUP($D8,$C$5:$AA$496,17,)/VLOOKUP($D8,$C$5:$AA$496,4,))*$F8))</f>
        <v>19.977214015201298</v>
      </c>
      <c r="T8" s="47"/>
      <c r="U8" s="47">
        <f>IF(VLOOKUP($D8,$C$5:$AA$496,19,)=0,0,((VLOOKUP($D8,$C$5:$AA$496,19,)/VLOOKUP($D8,$C$5:$AA$496,4,))*$F8))</f>
        <v>8.7704304296385587</v>
      </c>
      <c r="V8" s="47"/>
      <c r="W8" s="47">
        <f>IF(VLOOKUP($D8,$C$5:$AA$496,21,)=0,0,((VLOOKUP($D8,$C$5:$AA$496,21,)/VLOOKUP($D8,$C$5:$AA$496,4,))*$F8))</f>
        <v>6.1524876101901222</v>
      </c>
      <c r="X8" s="47"/>
      <c r="Y8" s="47">
        <f>IF(VLOOKUP($D8,$C$5:$AA$496,23,)=0,0,((VLOOKUP($D8,$C$5:$AA$496,23,)/VLOOKUP($D8,$C$5:$AA$496,4,))*$F8))</f>
        <v>0</v>
      </c>
      <c r="Z8" s="47"/>
      <c r="AA8" s="47">
        <f>IF(VLOOKUP($D8,$C$5:$AA$496,25,)=0,0,((VLOOKUP($D8,$C$5:$AA$496,25,)/VLOOKUP($D8,$C$5:$AA$496,4,))*$F8))</f>
        <v>0</v>
      </c>
      <c r="AB8" s="47">
        <f>SUM(H8:AA8)</f>
        <v>182.89999999999998</v>
      </c>
      <c r="AC8" s="27" t="str">
        <f>IF(ABS(AB8-F8)&lt;1,"ok","err")</f>
        <v>ok</v>
      </c>
      <c r="AD8" s="33"/>
    </row>
    <row r="9" spans="1:30" x14ac:dyDescent="0.2">
      <c r="A9" s="86">
        <v>302</v>
      </c>
      <c r="B9" s="14" t="s">
        <v>829</v>
      </c>
      <c r="C9" s="14" t="s">
        <v>830</v>
      </c>
      <c r="D9" s="14" t="s">
        <v>392</v>
      </c>
      <c r="F9" s="47">
        <v>0</v>
      </c>
      <c r="G9" s="47"/>
      <c r="H9" s="47">
        <f>IF(VLOOKUP($D9,$C$5:$AA$496,6,)=0,0,((VLOOKUP($D9,$C$5:$AA$496,6,)/VLOOKUP($D9,$C$5:$AA$496,4,))*$F9))</f>
        <v>0</v>
      </c>
      <c r="I9" s="47">
        <f>IF(VLOOKUP($D9,$C$5:$AA$496,7,)=0,0,((VLOOKUP($D9,$C$5:$AA$496,7,)/VLOOKUP($D9,$C$5:$AA$496,4,))*$F9))</f>
        <v>0</v>
      </c>
      <c r="J9" s="47"/>
      <c r="K9" s="47">
        <f>IF(VLOOKUP($D9,$C$5:$AA$496,9,)=0,0,((VLOOKUP($D9,$C$5:$AA$496,9,)/VLOOKUP($D9,$C$5:$AA$496,4,))*$F9))</f>
        <v>0</v>
      </c>
      <c r="L9" s="47"/>
      <c r="M9" s="47">
        <f>IF(VLOOKUP($D9,$C$5:$AA$496,11,)=0,0,((VLOOKUP($D9,$C$5:$AA$496,11,)/VLOOKUP($D9,$C$5:$AA$496,4,))*$F9))</f>
        <v>0</v>
      </c>
      <c r="N9" s="47"/>
      <c r="O9" s="47">
        <f>IF(VLOOKUP($D9,$C$5:$AA$496,13,)=0,0,((VLOOKUP($D9,$C$5:$AA$496,13,)/VLOOKUP($D9,$C$5:$AA$496,4,))*$F9))</f>
        <v>0</v>
      </c>
      <c r="P9" s="47">
        <f>IF(VLOOKUP($D9,$C$5:$AA$496,14,)=0,0,((VLOOKUP($D9,$C$5:$AA$496,14,)/VLOOKUP($D9,$C$5:$AA$496,4,))*$F9))</f>
        <v>0</v>
      </c>
      <c r="Q9" s="47"/>
      <c r="R9" s="47">
        <f>IF(VLOOKUP($D9,$C$5:$AA$496,16,)=0,0,((VLOOKUP($D9,$C$5:$AA$496,16,)/VLOOKUP($D9,$C$5:$AA$496,4,))*$F9))</f>
        <v>0</v>
      </c>
      <c r="S9" s="47">
        <f>IF(VLOOKUP($D9,$C$5:$AA$496,17,)=0,0,((VLOOKUP($D9,$C$5:$AA$496,17,)/VLOOKUP($D9,$C$5:$AA$496,4,))*$F9))</f>
        <v>0</v>
      </c>
      <c r="T9" s="47"/>
      <c r="U9" s="47">
        <f>IF(VLOOKUP($D9,$C$5:$AA$496,19,)=0,0,((VLOOKUP($D9,$C$5:$AA$496,19,)/VLOOKUP($D9,$C$5:$AA$496,4,))*$F9))</f>
        <v>0</v>
      </c>
      <c r="V9" s="47"/>
      <c r="W9" s="47">
        <f>IF(VLOOKUP($D9,$C$5:$AA$496,21,)=0,0,((VLOOKUP($D9,$C$5:$AA$496,21,)/VLOOKUP($D9,$C$5:$AA$496,4,))*$F9))</f>
        <v>0</v>
      </c>
      <c r="X9" s="47"/>
      <c r="Y9" s="47">
        <f>IF(VLOOKUP($D9,$C$5:$AA$496,23,)=0,0,((VLOOKUP($D9,$C$5:$AA$496,23,)/VLOOKUP($D9,$C$5:$AA$496,4,))*$F9))</f>
        <v>0</v>
      </c>
      <c r="Z9" s="47"/>
      <c r="AA9" s="47">
        <f>IF(VLOOKUP($D9,$C$5:$AA$496,25,)=0,0,((VLOOKUP($D9,$C$5:$AA$496,25,)/VLOOKUP($D9,$C$5:$AA$496,4,))*$F9))</f>
        <v>0</v>
      </c>
      <c r="AB9" s="47">
        <f>SUM(H9:AA9)</f>
        <v>0</v>
      </c>
      <c r="AC9" s="27" t="str">
        <f>IF(ABS(AB9-F9)&lt;1,"ok","err")</f>
        <v>ok</v>
      </c>
    </row>
    <row r="10" spans="1:30" x14ac:dyDescent="0.2">
      <c r="A10" s="86">
        <v>303</v>
      </c>
      <c r="B10" s="14" t="s">
        <v>704</v>
      </c>
      <c r="C10" s="14" t="s">
        <v>705</v>
      </c>
      <c r="D10" s="14" t="s">
        <v>392</v>
      </c>
      <c r="F10" s="47">
        <v>0</v>
      </c>
      <c r="G10" s="47"/>
      <c r="H10" s="47">
        <f>IF(VLOOKUP($D10,$C$5:$AA$496,6,)=0,0,((VLOOKUP($D10,$C$5:$AA$496,6,)/VLOOKUP($D10,$C$5:$AA$496,4,))*$F10))</f>
        <v>0</v>
      </c>
      <c r="I10" s="47">
        <f>IF(VLOOKUP($D10,$C$5:$AA$496,7,)=0,0,((VLOOKUP($D10,$C$5:$AA$496,7,)/VLOOKUP($D10,$C$5:$AA$496,4,))*$F10))</f>
        <v>0</v>
      </c>
      <c r="J10" s="47"/>
      <c r="K10" s="47">
        <f>IF(VLOOKUP($D10,$C$5:$AA$496,9,)=0,0,((VLOOKUP($D10,$C$5:$AA$496,9,)/VLOOKUP($D10,$C$5:$AA$496,4,))*$F10))</f>
        <v>0</v>
      </c>
      <c r="L10" s="47"/>
      <c r="M10" s="47">
        <f>IF(VLOOKUP($D10,$C$5:$AA$496,11,)=0,0,((VLOOKUP($D10,$C$5:$AA$496,11,)/VLOOKUP($D10,$C$5:$AA$496,4,))*$F10))</f>
        <v>0</v>
      </c>
      <c r="N10" s="47"/>
      <c r="O10" s="47">
        <f>IF(VLOOKUP($D10,$C$5:$AA$496,13,)=0,0,((VLOOKUP($D10,$C$5:$AA$496,13,)/VLOOKUP($D10,$C$5:$AA$496,4,))*$F10))</f>
        <v>0</v>
      </c>
      <c r="P10" s="47">
        <f>IF(VLOOKUP($D10,$C$5:$AA$496,14,)=0,0,((VLOOKUP($D10,$C$5:$AA$496,14,)/VLOOKUP($D10,$C$5:$AA$496,4,))*$F10))</f>
        <v>0</v>
      </c>
      <c r="Q10" s="47"/>
      <c r="R10" s="47">
        <f>IF(VLOOKUP($D10,$C$5:$AA$496,16,)=0,0,((VLOOKUP($D10,$C$5:$AA$496,16,)/VLOOKUP($D10,$C$5:$AA$496,4,))*$F10))</f>
        <v>0</v>
      </c>
      <c r="S10" s="47">
        <f>IF(VLOOKUP($D10,$C$5:$AA$496,17,)=0,0,((VLOOKUP($D10,$C$5:$AA$496,17,)/VLOOKUP($D10,$C$5:$AA$496,4,))*$F10))</f>
        <v>0</v>
      </c>
      <c r="T10" s="47"/>
      <c r="U10" s="47">
        <f>IF(VLOOKUP($D10,$C$5:$AA$496,19,)=0,0,((VLOOKUP($D10,$C$5:$AA$496,19,)/VLOOKUP($D10,$C$5:$AA$496,4,))*$F10))</f>
        <v>0</v>
      </c>
      <c r="V10" s="47"/>
      <c r="W10" s="47">
        <f>IF(VLOOKUP($D10,$C$5:$AA$496,21,)=0,0,((VLOOKUP($D10,$C$5:$AA$496,21,)/VLOOKUP($D10,$C$5:$AA$496,4,))*$F10))</f>
        <v>0</v>
      </c>
      <c r="X10" s="47"/>
      <c r="Y10" s="47">
        <f>IF(VLOOKUP($D10,$C$5:$AA$496,23,)=0,0,((VLOOKUP($D10,$C$5:$AA$496,23,)/VLOOKUP($D10,$C$5:$AA$496,4,))*$F10))</f>
        <v>0</v>
      </c>
      <c r="Z10" s="47"/>
      <c r="AA10" s="47">
        <f>IF(VLOOKUP($D10,$C$5:$AA$496,25,)=0,0,((VLOOKUP($D10,$C$5:$AA$496,25,)/VLOOKUP($D10,$C$5:$AA$496,4,))*$F10))</f>
        <v>0</v>
      </c>
      <c r="AB10" s="47">
        <f>SUM(H10:AA10)</f>
        <v>0</v>
      </c>
      <c r="AC10" s="27" t="str">
        <f>IF(ABS(AB10-F10)&lt;1,"ok","err")</f>
        <v>ok</v>
      </c>
    </row>
    <row r="11" spans="1:30" x14ac:dyDescent="0.2">
      <c r="AC11" s="27"/>
    </row>
    <row r="12" spans="1:30" x14ac:dyDescent="0.2">
      <c r="B12" s="14" t="s">
        <v>19</v>
      </c>
      <c r="C12" s="14" t="s">
        <v>20</v>
      </c>
      <c r="F12" s="87">
        <f>SUM(F8:F10)</f>
        <v>182.9</v>
      </c>
      <c r="G12" s="87"/>
      <c r="H12" s="87">
        <f>SUM(H8:H10)</f>
        <v>0</v>
      </c>
      <c r="I12" s="87">
        <f>SUM(I8:I10)</f>
        <v>0</v>
      </c>
      <c r="J12" s="87"/>
      <c r="K12" s="87">
        <f>SUM(K8:K10)</f>
        <v>0</v>
      </c>
      <c r="L12" s="87"/>
      <c r="M12" s="87">
        <f>SUM(M8:M10)</f>
        <v>0.67977752863634389</v>
      </c>
      <c r="N12" s="87"/>
      <c r="O12" s="87">
        <f>SUM(O8:O10)</f>
        <v>51.134693623971977</v>
      </c>
      <c r="P12" s="87">
        <f>SUM(P8:P10)</f>
        <v>96.185396792361658</v>
      </c>
      <c r="Q12" s="87"/>
      <c r="R12" s="87">
        <f>SUM(R8:R10)</f>
        <v>0</v>
      </c>
      <c r="S12" s="87">
        <f>SUM(S8:S10)</f>
        <v>19.977214015201298</v>
      </c>
      <c r="T12" s="87"/>
      <c r="U12" s="87">
        <f>SUM(U8:U10)</f>
        <v>8.7704304296385587</v>
      </c>
      <c r="V12" s="87"/>
      <c r="W12" s="87">
        <f>SUM(W8:W10)</f>
        <v>6.1524876101901222</v>
      </c>
      <c r="X12" s="87"/>
      <c r="Y12" s="87">
        <f>SUM(Y8:Y10)</f>
        <v>0</v>
      </c>
      <c r="Z12" s="87"/>
      <c r="AA12" s="87">
        <f>SUM(AA8:AA10)</f>
        <v>0</v>
      </c>
      <c r="AB12" s="47">
        <f>SUM(H12:AA12)</f>
        <v>182.89999999999998</v>
      </c>
      <c r="AC12" s="27" t="str">
        <f>IF(ABS(AB12-F12)&lt;1,"ok","err")</f>
        <v>ok</v>
      </c>
      <c r="AD12" s="33"/>
    </row>
    <row r="13" spans="1:30" x14ac:dyDescent="0.2">
      <c r="AC13" s="27"/>
    </row>
    <row r="14" spans="1:30" x14ac:dyDescent="0.2">
      <c r="A14" s="25" t="s">
        <v>768</v>
      </c>
      <c r="Q14" s="14"/>
      <c r="AC14" s="27"/>
    </row>
    <row r="15" spans="1:30" x14ac:dyDescent="0.2">
      <c r="A15" s="88">
        <v>310</v>
      </c>
      <c r="B15" s="14" t="s">
        <v>17</v>
      </c>
      <c r="C15" s="14" t="s">
        <v>775</v>
      </c>
      <c r="D15" s="14" t="s">
        <v>552</v>
      </c>
      <c r="F15" s="62">
        <v>0</v>
      </c>
      <c r="G15" s="62"/>
      <c r="H15" s="47">
        <f t="shared" ref="H15:H22" si="0">IF(VLOOKUP($D15,$C$5:$AA$496,6,)=0,0,((VLOOKUP($D15,$C$5:$AA$496,6,)/VLOOKUP($D15,$C$5:$AA$496,4,))*$F15))</f>
        <v>0</v>
      </c>
      <c r="I15" s="47">
        <f t="shared" ref="I15:I22" si="1">IF(VLOOKUP($D15,$C$5:$AA$496,7,)=0,0,((VLOOKUP($D15,$C$5:$AA$496,7,)/VLOOKUP($D15,$C$5:$AA$496,4,))*$F15))</f>
        <v>0</v>
      </c>
      <c r="J15" s="47"/>
      <c r="K15" s="47">
        <f t="shared" ref="K15:K22" si="2">IF(VLOOKUP($D15,$C$5:$AA$496,9,)=0,0,((VLOOKUP($D15,$C$5:$AA$496,9,)/VLOOKUP($D15,$C$5:$AA$496,4,))*$F15))</f>
        <v>0</v>
      </c>
      <c r="L15" s="47"/>
      <c r="M15" s="47">
        <f t="shared" ref="M15:M22" si="3">IF(VLOOKUP($D15,$C$5:$AA$496,11,)=0,0,((VLOOKUP($D15,$C$5:$AA$496,11,)/VLOOKUP($D15,$C$5:$AA$496,4,))*$F15))</f>
        <v>0</v>
      </c>
      <c r="N15" s="47"/>
      <c r="O15" s="47">
        <f t="shared" ref="O15:O22" si="4">IF(VLOOKUP($D15,$C$5:$AA$496,13,)=0,0,((VLOOKUP($D15,$C$5:$AA$496,13,)/VLOOKUP($D15,$C$5:$AA$496,4,))*$F15))</f>
        <v>0</v>
      </c>
      <c r="P15" s="47">
        <f t="shared" ref="P15:P22" si="5">IF(VLOOKUP($D15,$C$5:$AA$496,14,)=0,0,((VLOOKUP($D15,$C$5:$AA$496,14,)/VLOOKUP($D15,$C$5:$AA$496,4,))*$F15))</f>
        <v>0</v>
      </c>
      <c r="Q15" s="47"/>
      <c r="R15" s="47">
        <f t="shared" ref="R15:R22" si="6">IF(VLOOKUP($D15,$C$5:$AA$496,16,)=0,0,((VLOOKUP($D15,$C$5:$AA$496,16,)/VLOOKUP($D15,$C$5:$AA$496,4,))*$F15))</f>
        <v>0</v>
      </c>
      <c r="S15" s="47">
        <f t="shared" ref="S15:S22" si="7">IF(VLOOKUP($D15,$C$5:$AA$496,17,)=0,0,((VLOOKUP($D15,$C$5:$AA$496,17,)/VLOOKUP($D15,$C$5:$AA$496,4,))*$F15))</f>
        <v>0</v>
      </c>
      <c r="T15" s="47"/>
      <c r="U15" s="47">
        <f t="shared" ref="U15:U22" si="8">IF(VLOOKUP($D15,$C$5:$AA$496,19,)=0,0,((VLOOKUP($D15,$C$5:$AA$496,19,)/VLOOKUP($D15,$C$5:$AA$496,4,))*$F15))</f>
        <v>0</v>
      </c>
      <c r="V15" s="47"/>
      <c r="W15" s="47">
        <f t="shared" ref="W15:W22" si="9">IF(VLOOKUP($D15,$C$5:$AA$496,21,)=0,0,((VLOOKUP($D15,$C$5:$AA$496,21,)/VLOOKUP($D15,$C$5:$AA$496,4,))*$F15))</f>
        <v>0</v>
      </c>
      <c r="X15" s="47"/>
      <c r="Y15" s="47">
        <f t="shared" ref="Y15:Y22" si="10">IF(VLOOKUP($D15,$C$5:$AA$496,23,)=0,0,((VLOOKUP($D15,$C$5:$AA$496,23,)/VLOOKUP($D15,$C$5:$AA$496,4,))*$F15))</f>
        <v>0</v>
      </c>
      <c r="Z15" s="47"/>
      <c r="AA15" s="47">
        <f t="shared" ref="AA15:AA22" si="11">IF(VLOOKUP($D15,$C$5:$AA$496,25,)=0,0,((VLOOKUP($D15,$C$5:$AA$496,25,)/VLOOKUP($D15,$C$5:$AA$496,4,))*$F15))</f>
        <v>0</v>
      </c>
      <c r="AB15" s="47">
        <f t="shared" ref="AB15:AB22" si="12">SUM(H15:AA15)</f>
        <v>0</v>
      </c>
      <c r="AC15" s="27" t="str">
        <f t="shared" ref="AC15:AC22" si="13">IF(ABS(AB15-F15)&lt;1,"ok","err")</f>
        <v>ok</v>
      </c>
    </row>
    <row r="16" spans="1:30" x14ac:dyDescent="0.2">
      <c r="A16" s="88">
        <v>311</v>
      </c>
      <c r="B16" s="14" t="s">
        <v>53</v>
      </c>
      <c r="C16" s="14" t="s">
        <v>782</v>
      </c>
      <c r="D16" s="14" t="s">
        <v>552</v>
      </c>
      <c r="F16" s="47">
        <v>0</v>
      </c>
      <c r="G16" s="47"/>
      <c r="H16" s="47">
        <f t="shared" si="0"/>
        <v>0</v>
      </c>
      <c r="I16" s="47">
        <f t="shared" si="1"/>
        <v>0</v>
      </c>
      <c r="J16" s="47"/>
      <c r="K16" s="47">
        <f t="shared" si="2"/>
        <v>0</v>
      </c>
      <c r="L16" s="47"/>
      <c r="M16" s="47">
        <f t="shared" si="3"/>
        <v>0</v>
      </c>
      <c r="N16" s="47"/>
      <c r="O16" s="47">
        <f t="shared" si="4"/>
        <v>0</v>
      </c>
      <c r="P16" s="47">
        <f t="shared" si="5"/>
        <v>0</v>
      </c>
      <c r="Q16" s="47"/>
      <c r="R16" s="47">
        <f t="shared" si="6"/>
        <v>0</v>
      </c>
      <c r="S16" s="47">
        <f t="shared" si="7"/>
        <v>0</v>
      </c>
      <c r="T16" s="47"/>
      <c r="U16" s="47">
        <f t="shared" si="8"/>
        <v>0</v>
      </c>
      <c r="V16" s="47"/>
      <c r="W16" s="47">
        <f t="shared" si="9"/>
        <v>0</v>
      </c>
      <c r="X16" s="47"/>
      <c r="Y16" s="47">
        <f t="shared" si="10"/>
        <v>0</v>
      </c>
      <c r="Z16" s="47"/>
      <c r="AA16" s="47">
        <f t="shared" si="11"/>
        <v>0</v>
      </c>
      <c r="AB16" s="47">
        <f t="shared" si="12"/>
        <v>0</v>
      </c>
      <c r="AC16" s="27" t="str">
        <f t="shared" si="13"/>
        <v>ok</v>
      </c>
    </row>
    <row r="17" spans="1:29" x14ac:dyDescent="0.2">
      <c r="A17" s="88">
        <v>312</v>
      </c>
      <c r="B17" s="14" t="s">
        <v>769</v>
      </c>
      <c r="C17" s="14" t="s">
        <v>776</v>
      </c>
      <c r="D17" s="14" t="s">
        <v>552</v>
      </c>
      <c r="F17" s="47">
        <v>0</v>
      </c>
      <c r="G17" s="47"/>
      <c r="H17" s="47">
        <f t="shared" si="0"/>
        <v>0</v>
      </c>
      <c r="I17" s="47">
        <f t="shared" si="1"/>
        <v>0</v>
      </c>
      <c r="J17" s="47"/>
      <c r="K17" s="47">
        <f t="shared" si="2"/>
        <v>0</v>
      </c>
      <c r="L17" s="47"/>
      <c r="M17" s="47">
        <f t="shared" si="3"/>
        <v>0</v>
      </c>
      <c r="N17" s="47"/>
      <c r="O17" s="47">
        <f t="shared" si="4"/>
        <v>0</v>
      </c>
      <c r="P17" s="47">
        <f t="shared" si="5"/>
        <v>0</v>
      </c>
      <c r="Q17" s="47"/>
      <c r="R17" s="47">
        <f t="shared" si="6"/>
        <v>0</v>
      </c>
      <c r="S17" s="47">
        <f t="shared" si="7"/>
        <v>0</v>
      </c>
      <c r="T17" s="47"/>
      <c r="U17" s="47">
        <f t="shared" si="8"/>
        <v>0</v>
      </c>
      <c r="V17" s="47"/>
      <c r="W17" s="47">
        <f t="shared" si="9"/>
        <v>0</v>
      </c>
      <c r="X17" s="47"/>
      <c r="Y17" s="47">
        <f t="shared" si="10"/>
        <v>0</v>
      </c>
      <c r="Z17" s="47"/>
      <c r="AA17" s="47">
        <f t="shared" si="11"/>
        <v>0</v>
      </c>
      <c r="AB17" s="47">
        <f t="shared" si="12"/>
        <v>0</v>
      </c>
      <c r="AC17" s="27" t="str">
        <f t="shared" si="13"/>
        <v>ok</v>
      </c>
    </row>
    <row r="18" spans="1:29" x14ac:dyDescent="0.2">
      <c r="A18" s="88">
        <v>313</v>
      </c>
      <c r="B18" s="14" t="s">
        <v>770</v>
      </c>
      <c r="C18" s="14" t="s">
        <v>777</v>
      </c>
      <c r="D18" s="14" t="s">
        <v>552</v>
      </c>
      <c r="F18" s="47">
        <v>0</v>
      </c>
      <c r="G18" s="47"/>
      <c r="H18" s="47">
        <f t="shared" si="0"/>
        <v>0</v>
      </c>
      <c r="I18" s="47">
        <f t="shared" si="1"/>
        <v>0</v>
      </c>
      <c r="J18" s="47"/>
      <c r="K18" s="47">
        <f t="shared" si="2"/>
        <v>0</v>
      </c>
      <c r="L18" s="47"/>
      <c r="M18" s="47">
        <f t="shared" si="3"/>
        <v>0</v>
      </c>
      <c r="N18" s="47"/>
      <c r="O18" s="47">
        <f t="shared" si="4"/>
        <v>0</v>
      </c>
      <c r="P18" s="47">
        <f t="shared" si="5"/>
        <v>0</v>
      </c>
      <c r="Q18" s="47"/>
      <c r="R18" s="47">
        <f t="shared" si="6"/>
        <v>0</v>
      </c>
      <c r="S18" s="47">
        <f t="shared" si="7"/>
        <v>0</v>
      </c>
      <c r="T18" s="47"/>
      <c r="U18" s="47">
        <f t="shared" si="8"/>
        <v>0</v>
      </c>
      <c r="V18" s="47"/>
      <c r="W18" s="47">
        <f t="shared" si="9"/>
        <v>0</v>
      </c>
      <c r="X18" s="47"/>
      <c r="Y18" s="47">
        <f t="shared" si="10"/>
        <v>0</v>
      </c>
      <c r="Z18" s="47"/>
      <c r="AA18" s="47">
        <f t="shared" si="11"/>
        <v>0</v>
      </c>
      <c r="AB18" s="47">
        <f t="shared" si="12"/>
        <v>0</v>
      </c>
      <c r="AC18" s="27" t="str">
        <f t="shared" si="13"/>
        <v>ok</v>
      </c>
    </row>
    <row r="19" spans="1:29" x14ac:dyDescent="0.2">
      <c r="A19" s="88">
        <v>314</v>
      </c>
      <c r="B19" s="14" t="s">
        <v>771</v>
      </c>
      <c r="C19" s="14" t="s">
        <v>778</v>
      </c>
      <c r="D19" s="14" t="s">
        <v>552</v>
      </c>
      <c r="F19" s="47">
        <v>0</v>
      </c>
      <c r="G19" s="47"/>
      <c r="H19" s="47">
        <f t="shared" si="0"/>
        <v>0</v>
      </c>
      <c r="I19" s="47">
        <f t="shared" si="1"/>
        <v>0</v>
      </c>
      <c r="J19" s="47"/>
      <c r="K19" s="47">
        <f t="shared" si="2"/>
        <v>0</v>
      </c>
      <c r="L19" s="47"/>
      <c r="M19" s="47">
        <f t="shared" si="3"/>
        <v>0</v>
      </c>
      <c r="N19" s="47"/>
      <c r="O19" s="47">
        <f t="shared" si="4"/>
        <v>0</v>
      </c>
      <c r="P19" s="47">
        <f t="shared" si="5"/>
        <v>0</v>
      </c>
      <c r="Q19" s="47"/>
      <c r="R19" s="47">
        <f t="shared" si="6"/>
        <v>0</v>
      </c>
      <c r="S19" s="47">
        <f t="shared" si="7"/>
        <v>0</v>
      </c>
      <c r="T19" s="47"/>
      <c r="U19" s="47">
        <f t="shared" si="8"/>
        <v>0</v>
      </c>
      <c r="V19" s="47"/>
      <c r="W19" s="47">
        <f t="shared" si="9"/>
        <v>0</v>
      </c>
      <c r="X19" s="47"/>
      <c r="Y19" s="47">
        <f t="shared" si="10"/>
        <v>0</v>
      </c>
      <c r="Z19" s="47"/>
      <c r="AA19" s="47">
        <f t="shared" si="11"/>
        <v>0</v>
      </c>
      <c r="AB19" s="47">
        <f t="shared" si="12"/>
        <v>0</v>
      </c>
      <c r="AC19" s="27" t="str">
        <f t="shared" si="13"/>
        <v>ok</v>
      </c>
    </row>
    <row r="20" spans="1:29" x14ac:dyDescent="0.2">
      <c r="A20" s="88">
        <v>315</v>
      </c>
      <c r="B20" s="14" t="s">
        <v>772</v>
      </c>
      <c r="C20" s="14" t="s">
        <v>779</v>
      </c>
      <c r="D20" s="14" t="s">
        <v>552</v>
      </c>
      <c r="F20" s="47">
        <v>0</v>
      </c>
      <c r="G20" s="47"/>
      <c r="H20" s="47">
        <f t="shared" si="0"/>
        <v>0</v>
      </c>
      <c r="I20" s="47">
        <f t="shared" si="1"/>
        <v>0</v>
      </c>
      <c r="J20" s="47"/>
      <c r="K20" s="47">
        <f t="shared" si="2"/>
        <v>0</v>
      </c>
      <c r="L20" s="47"/>
      <c r="M20" s="47">
        <f t="shared" si="3"/>
        <v>0</v>
      </c>
      <c r="N20" s="47"/>
      <c r="O20" s="47">
        <f t="shared" si="4"/>
        <v>0</v>
      </c>
      <c r="P20" s="47">
        <f t="shared" si="5"/>
        <v>0</v>
      </c>
      <c r="Q20" s="47"/>
      <c r="R20" s="47">
        <f t="shared" si="6"/>
        <v>0</v>
      </c>
      <c r="S20" s="47">
        <f t="shared" si="7"/>
        <v>0</v>
      </c>
      <c r="T20" s="47"/>
      <c r="U20" s="47">
        <f t="shared" si="8"/>
        <v>0</v>
      </c>
      <c r="V20" s="47"/>
      <c r="W20" s="47">
        <f t="shared" si="9"/>
        <v>0</v>
      </c>
      <c r="X20" s="47"/>
      <c r="Y20" s="47">
        <f t="shared" si="10"/>
        <v>0</v>
      </c>
      <c r="Z20" s="47"/>
      <c r="AA20" s="47">
        <f t="shared" si="11"/>
        <v>0</v>
      </c>
      <c r="AB20" s="47">
        <f t="shared" si="12"/>
        <v>0</v>
      </c>
      <c r="AC20" s="27" t="str">
        <f t="shared" si="13"/>
        <v>ok</v>
      </c>
    </row>
    <row r="21" spans="1:29" x14ac:dyDescent="0.2">
      <c r="A21" s="88">
        <v>316</v>
      </c>
      <c r="B21" s="14" t="s">
        <v>774</v>
      </c>
      <c r="C21" s="14" t="s">
        <v>780</v>
      </c>
      <c r="D21" s="14" t="s">
        <v>552</v>
      </c>
      <c r="F21" s="47">
        <v>0</v>
      </c>
      <c r="G21" s="47"/>
      <c r="H21" s="47">
        <f t="shared" si="0"/>
        <v>0</v>
      </c>
      <c r="I21" s="47">
        <f t="shared" si="1"/>
        <v>0</v>
      </c>
      <c r="J21" s="47"/>
      <c r="K21" s="47">
        <f t="shared" si="2"/>
        <v>0</v>
      </c>
      <c r="L21" s="47"/>
      <c r="M21" s="47">
        <f t="shared" si="3"/>
        <v>0</v>
      </c>
      <c r="N21" s="47"/>
      <c r="O21" s="47">
        <f t="shared" si="4"/>
        <v>0</v>
      </c>
      <c r="P21" s="47">
        <f t="shared" si="5"/>
        <v>0</v>
      </c>
      <c r="Q21" s="47"/>
      <c r="R21" s="47">
        <f t="shared" si="6"/>
        <v>0</v>
      </c>
      <c r="S21" s="47">
        <f t="shared" si="7"/>
        <v>0</v>
      </c>
      <c r="T21" s="47"/>
      <c r="U21" s="47">
        <f t="shared" si="8"/>
        <v>0</v>
      </c>
      <c r="V21" s="47"/>
      <c r="W21" s="47">
        <f t="shared" si="9"/>
        <v>0</v>
      </c>
      <c r="X21" s="47"/>
      <c r="Y21" s="47">
        <f t="shared" si="10"/>
        <v>0</v>
      </c>
      <c r="Z21" s="47"/>
      <c r="AA21" s="47">
        <f t="shared" si="11"/>
        <v>0</v>
      </c>
      <c r="AB21" s="47">
        <f>SUM(H21:AA21)</f>
        <v>0</v>
      </c>
      <c r="AC21" s="27" t="str">
        <f>IF(ABS(AB21-F21)&lt;1,"ok","err")</f>
        <v>ok</v>
      </c>
    </row>
    <row r="22" spans="1:29" x14ac:dyDescent="0.2">
      <c r="A22" s="88">
        <v>317</v>
      </c>
      <c r="B22" s="14" t="s">
        <v>773</v>
      </c>
      <c r="C22" s="14" t="s">
        <v>781</v>
      </c>
      <c r="D22" s="14" t="s">
        <v>552</v>
      </c>
      <c r="F22" s="47">
        <v>0</v>
      </c>
      <c r="G22" s="47"/>
      <c r="H22" s="47">
        <f t="shared" si="0"/>
        <v>0</v>
      </c>
      <c r="I22" s="47">
        <f t="shared" si="1"/>
        <v>0</v>
      </c>
      <c r="J22" s="47"/>
      <c r="K22" s="47">
        <f t="shared" si="2"/>
        <v>0</v>
      </c>
      <c r="L22" s="47"/>
      <c r="M22" s="47">
        <f t="shared" si="3"/>
        <v>0</v>
      </c>
      <c r="N22" s="47"/>
      <c r="O22" s="47">
        <f t="shared" si="4"/>
        <v>0</v>
      </c>
      <c r="P22" s="47">
        <f t="shared" si="5"/>
        <v>0</v>
      </c>
      <c r="Q22" s="47"/>
      <c r="R22" s="47">
        <f t="shared" si="6"/>
        <v>0</v>
      </c>
      <c r="S22" s="47">
        <f t="shared" si="7"/>
        <v>0</v>
      </c>
      <c r="T22" s="47"/>
      <c r="U22" s="47">
        <f t="shared" si="8"/>
        <v>0</v>
      </c>
      <c r="V22" s="47"/>
      <c r="W22" s="47">
        <f t="shared" si="9"/>
        <v>0</v>
      </c>
      <c r="X22" s="47"/>
      <c r="Y22" s="47">
        <f t="shared" si="10"/>
        <v>0</v>
      </c>
      <c r="Z22" s="47"/>
      <c r="AA22" s="47">
        <f t="shared" si="11"/>
        <v>0</v>
      </c>
      <c r="AB22" s="47">
        <f t="shared" si="12"/>
        <v>0</v>
      </c>
      <c r="AC22" s="27" t="str">
        <f t="shared" si="13"/>
        <v>ok</v>
      </c>
    </row>
    <row r="23" spans="1:29" x14ac:dyDescent="0.2">
      <c r="Q23" s="14"/>
      <c r="AB23" s="47"/>
      <c r="AC23" s="27"/>
    </row>
    <row r="24" spans="1:29" x14ac:dyDescent="0.2">
      <c r="B24" s="14" t="s">
        <v>784</v>
      </c>
      <c r="C24" s="14" t="s">
        <v>783</v>
      </c>
      <c r="F24" s="87">
        <f>SUM(F15:F23)</f>
        <v>0</v>
      </c>
      <c r="G24" s="87"/>
      <c r="H24" s="87">
        <f>SUM(H15:H23)</f>
        <v>0</v>
      </c>
      <c r="I24" s="87">
        <f>SUM(I15:I23)</f>
        <v>0</v>
      </c>
      <c r="J24" s="87"/>
      <c r="K24" s="87">
        <f>SUM(K15:K23)</f>
        <v>0</v>
      </c>
      <c r="L24" s="87"/>
      <c r="M24" s="87">
        <f>SUM(M15:M23)</f>
        <v>0</v>
      </c>
      <c r="N24" s="87"/>
      <c r="O24" s="87">
        <f>SUM(O15:O23)</f>
        <v>0</v>
      </c>
      <c r="P24" s="87">
        <f>SUM(P15:P23)</f>
        <v>0</v>
      </c>
      <c r="Q24" s="87"/>
      <c r="R24" s="87">
        <f>SUM(R15:R23)</f>
        <v>0</v>
      </c>
      <c r="S24" s="87">
        <f>SUM(S15:S23)</f>
        <v>0</v>
      </c>
      <c r="T24" s="87"/>
      <c r="U24" s="87">
        <f>SUM(U15:U23)</f>
        <v>0</v>
      </c>
      <c r="V24" s="87"/>
      <c r="W24" s="87">
        <f>SUM(W15:W23)</f>
        <v>0</v>
      </c>
      <c r="X24" s="87"/>
      <c r="Y24" s="87">
        <f>SUM(Y15:Y23)</f>
        <v>0</v>
      </c>
      <c r="Z24" s="87"/>
      <c r="AA24" s="87">
        <f>SUM(AA15:AA23)</f>
        <v>0</v>
      </c>
      <c r="AB24" s="47">
        <f>SUM(H24:AA24)</f>
        <v>0</v>
      </c>
      <c r="AC24" s="27" t="str">
        <f>IF(ABS(AB24-F24)&lt;1,"ok","err")</f>
        <v>ok</v>
      </c>
    </row>
    <row r="25" spans="1:29" x14ac:dyDescent="0.2">
      <c r="Q25" s="14"/>
      <c r="AC25" s="27"/>
    </row>
    <row r="26" spans="1:29" x14ac:dyDescent="0.2">
      <c r="A26" s="25" t="s">
        <v>350</v>
      </c>
      <c r="Q26" s="14"/>
      <c r="AC26" s="27"/>
    </row>
    <row r="27" spans="1:29" x14ac:dyDescent="0.2">
      <c r="A27" s="88">
        <v>350</v>
      </c>
      <c r="B27" s="14" t="s">
        <v>17</v>
      </c>
      <c r="C27" s="14" t="s">
        <v>352</v>
      </c>
      <c r="D27" s="14" t="s">
        <v>391</v>
      </c>
      <c r="F27" s="62">
        <v>0</v>
      </c>
      <c r="G27" s="62"/>
      <c r="H27" s="47">
        <f t="shared" ref="H27:H33" si="14">IF(VLOOKUP($D27,$C$5:$AA$496,6,)=0,0,((VLOOKUP($D27,$C$5:$AA$496,6,)/VLOOKUP($D27,$C$5:$AA$496,4,))*$F27))</f>
        <v>0</v>
      </c>
      <c r="I27" s="47">
        <f t="shared" ref="I27:I33" si="15">IF(VLOOKUP($D27,$C$5:$AA$496,7,)=0,0,((VLOOKUP($D27,$C$5:$AA$496,7,)/VLOOKUP($D27,$C$5:$AA$496,4,))*$F27))</f>
        <v>0</v>
      </c>
      <c r="J27" s="47"/>
      <c r="K27" s="47">
        <f t="shared" ref="K27:K33" si="16">IF(VLOOKUP($D27,$C$5:$AA$496,9,)=0,0,((VLOOKUP($D27,$C$5:$AA$496,9,)/VLOOKUP($D27,$C$5:$AA$496,4,))*$F27))</f>
        <v>0</v>
      </c>
      <c r="L27" s="47"/>
      <c r="M27" s="47">
        <f t="shared" ref="M27:M33" si="17">IF(VLOOKUP($D27,$C$5:$AA$496,11,)=0,0,((VLOOKUP($D27,$C$5:$AA$496,11,)/VLOOKUP($D27,$C$5:$AA$496,4,))*$F27))</f>
        <v>0</v>
      </c>
      <c r="N27" s="47"/>
      <c r="O27" s="47">
        <f t="shared" ref="O27:O33" si="18">IF(VLOOKUP($D27,$C$5:$AA$496,13,)=0,0,((VLOOKUP($D27,$C$5:$AA$496,13,)/VLOOKUP($D27,$C$5:$AA$496,4,))*$F27))</f>
        <v>0</v>
      </c>
      <c r="P27" s="47">
        <f t="shared" ref="P27:P33" si="19">IF(VLOOKUP($D27,$C$5:$AA$496,14,)=0,0,((VLOOKUP($D27,$C$5:$AA$496,14,)/VLOOKUP($D27,$C$5:$AA$496,4,))*$F27))</f>
        <v>0</v>
      </c>
      <c r="Q27" s="47"/>
      <c r="R27" s="47">
        <f t="shared" ref="R27:R33" si="20">IF(VLOOKUP($D27,$C$5:$AA$496,16,)=0,0,((VLOOKUP($D27,$C$5:$AA$496,16,)/VLOOKUP($D27,$C$5:$AA$496,4,))*$F27))</f>
        <v>0</v>
      </c>
      <c r="S27" s="47">
        <f t="shared" ref="S27:S33" si="21">IF(VLOOKUP($D27,$C$5:$AA$496,17,)=0,0,((VLOOKUP($D27,$C$5:$AA$496,17,)/VLOOKUP($D27,$C$5:$AA$496,4,))*$F27))</f>
        <v>0</v>
      </c>
      <c r="T27" s="47"/>
      <c r="U27" s="47">
        <f t="shared" ref="U27:U33" si="22">IF(VLOOKUP($D27,$C$5:$AA$496,19,)=0,0,((VLOOKUP($D27,$C$5:$AA$496,19,)/VLOOKUP($D27,$C$5:$AA$496,4,))*$F27))</f>
        <v>0</v>
      </c>
      <c r="V27" s="47"/>
      <c r="W27" s="47">
        <f t="shared" ref="W27:W33" si="23">IF(VLOOKUP($D27,$C$5:$AA$496,21,)=0,0,((VLOOKUP($D27,$C$5:$AA$496,21,)/VLOOKUP($D27,$C$5:$AA$496,4,))*$F27))</f>
        <v>0</v>
      </c>
      <c r="X27" s="47"/>
      <c r="Y27" s="47">
        <f t="shared" ref="Y27:Y33" si="24">IF(VLOOKUP($D27,$C$5:$AA$496,23,)=0,0,((VLOOKUP($D27,$C$5:$AA$496,23,)/VLOOKUP($D27,$C$5:$AA$496,4,))*$F27))</f>
        <v>0</v>
      </c>
      <c r="Z27" s="47"/>
      <c r="AA27" s="47">
        <f t="shared" ref="AA27:AA33" si="25">IF(VLOOKUP($D27,$C$5:$AA$496,25,)=0,0,((VLOOKUP($D27,$C$5:$AA$496,25,)/VLOOKUP($D27,$C$5:$AA$496,4,))*$F27))</f>
        <v>0</v>
      </c>
      <c r="AB27" s="47">
        <f t="shared" ref="AB27:AB33" si="26">SUM(H27:AA27)</f>
        <v>0</v>
      </c>
      <c r="AC27" s="27" t="str">
        <f t="shared" ref="AC27:AC33" si="27">IF(ABS(AB27-F27)&lt;1,"ok","err")</f>
        <v>ok</v>
      </c>
    </row>
    <row r="28" spans="1:29" x14ac:dyDescent="0.2">
      <c r="A28" s="88">
        <v>352</v>
      </c>
      <c r="B28" s="14" t="s">
        <v>53</v>
      </c>
      <c r="C28" s="14" t="s">
        <v>418</v>
      </c>
      <c r="D28" s="14" t="s">
        <v>391</v>
      </c>
      <c r="F28" s="47">
        <v>0</v>
      </c>
      <c r="G28" s="47"/>
      <c r="H28" s="47">
        <f t="shared" si="14"/>
        <v>0</v>
      </c>
      <c r="I28" s="47">
        <f t="shared" si="15"/>
        <v>0</v>
      </c>
      <c r="J28" s="47"/>
      <c r="K28" s="47">
        <f t="shared" si="16"/>
        <v>0</v>
      </c>
      <c r="L28" s="47"/>
      <c r="M28" s="47">
        <f t="shared" si="17"/>
        <v>0</v>
      </c>
      <c r="N28" s="47"/>
      <c r="O28" s="47">
        <f t="shared" si="18"/>
        <v>0</v>
      </c>
      <c r="P28" s="47">
        <f t="shared" si="19"/>
        <v>0</v>
      </c>
      <c r="Q28" s="47"/>
      <c r="R28" s="47">
        <f t="shared" si="20"/>
        <v>0</v>
      </c>
      <c r="S28" s="47">
        <f t="shared" si="21"/>
        <v>0</v>
      </c>
      <c r="T28" s="47"/>
      <c r="U28" s="47">
        <f t="shared" si="22"/>
        <v>0</v>
      </c>
      <c r="V28" s="47"/>
      <c r="W28" s="47">
        <f t="shared" si="23"/>
        <v>0</v>
      </c>
      <c r="X28" s="47"/>
      <c r="Y28" s="47">
        <f t="shared" si="24"/>
        <v>0</v>
      </c>
      <c r="Z28" s="47"/>
      <c r="AA28" s="47">
        <f t="shared" si="25"/>
        <v>0</v>
      </c>
      <c r="AB28" s="47">
        <f t="shared" si="26"/>
        <v>0</v>
      </c>
      <c r="AC28" s="27" t="str">
        <f t="shared" si="27"/>
        <v>ok</v>
      </c>
    </row>
    <row r="29" spans="1:29" x14ac:dyDescent="0.2">
      <c r="A29" s="88">
        <v>353</v>
      </c>
      <c r="B29" s="14" t="s">
        <v>22</v>
      </c>
      <c r="C29" s="14" t="s">
        <v>353</v>
      </c>
      <c r="D29" s="14" t="s">
        <v>391</v>
      </c>
      <c r="F29" s="47">
        <v>0</v>
      </c>
      <c r="G29" s="47"/>
      <c r="H29" s="47">
        <f t="shared" si="14"/>
        <v>0</v>
      </c>
      <c r="I29" s="47">
        <f t="shared" si="15"/>
        <v>0</v>
      </c>
      <c r="J29" s="47"/>
      <c r="K29" s="47">
        <f t="shared" si="16"/>
        <v>0</v>
      </c>
      <c r="L29" s="47"/>
      <c r="M29" s="47">
        <f t="shared" si="17"/>
        <v>0</v>
      </c>
      <c r="N29" s="47"/>
      <c r="O29" s="47">
        <f t="shared" si="18"/>
        <v>0</v>
      </c>
      <c r="P29" s="47">
        <f t="shared" si="19"/>
        <v>0</v>
      </c>
      <c r="Q29" s="47"/>
      <c r="R29" s="47">
        <f t="shared" si="20"/>
        <v>0</v>
      </c>
      <c r="S29" s="47">
        <f t="shared" si="21"/>
        <v>0</v>
      </c>
      <c r="T29" s="47"/>
      <c r="U29" s="47">
        <f t="shared" si="22"/>
        <v>0</v>
      </c>
      <c r="V29" s="47"/>
      <c r="W29" s="47">
        <f t="shared" si="23"/>
        <v>0</v>
      </c>
      <c r="X29" s="47"/>
      <c r="Y29" s="47">
        <f t="shared" si="24"/>
        <v>0</v>
      </c>
      <c r="Z29" s="47"/>
      <c r="AA29" s="47">
        <f t="shared" si="25"/>
        <v>0</v>
      </c>
      <c r="AB29" s="47">
        <f t="shared" si="26"/>
        <v>0</v>
      </c>
      <c r="AC29" s="27" t="str">
        <f t="shared" si="27"/>
        <v>ok</v>
      </c>
    </row>
    <row r="30" spans="1:29" x14ac:dyDescent="0.2">
      <c r="A30" s="88">
        <v>354</v>
      </c>
      <c r="B30" s="14" t="s">
        <v>419</v>
      </c>
      <c r="C30" s="14" t="s">
        <v>421</v>
      </c>
      <c r="D30" s="14" t="s">
        <v>391</v>
      </c>
      <c r="F30" s="47">
        <v>0</v>
      </c>
      <c r="G30" s="47"/>
      <c r="H30" s="47">
        <f t="shared" si="14"/>
        <v>0</v>
      </c>
      <c r="I30" s="47">
        <f t="shared" si="15"/>
        <v>0</v>
      </c>
      <c r="J30" s="47"/>
      <c r="K30" s="47">
        <f t="shared" si="16"/>
        <v>0</v>
      </c>
      <c r="L30" s="47"/>
      <c r="M30" s="47">
        <f t="shared" si="17"/>
        <v>0</v>
      </c>
      <c r="N30" s="47"/>
      <c r="O30" s="47">
        <f t="shared" si="18"/>
        <v>0</v>
      </c>
      <c r="P30" s="47">
        <f t="shared" si="19"/>
        <v>0</v>
      </c>
      <c r="Q30" s="47"/>
      <c r="R30" s="47">
        <f t="shared" si="20"/>
        <v>0</v>
      </c>
      <c r="S30" s="47">
        <f t="shared" si="21"/>
        <v>0</v>
      </c>
      <c r="T30" s="47"/>
      <c r="U30" s="47">
        <f t="shared" si="22"/>
        <v>0</v>
      </c>
      <c r="V30" s="47"/>
      <c r="W30" s="47">
        <f t="shared" si="23"/>
        <v>0</v>
      </c>
      <c r="X30" s="47"/>
      <c r="Y30" s="47">
        <f t="shared" si="24"/>
        <v>0</v>
      </c>
      <c r="Z30" s="47"/>
      <c r="AA30" s="47">
        <f t="shared" si="25"/>
        <v>0</v>
      </c>
      <c r="AB30" s="47">
        <f t="shared" si="26"/>
        <v>0</v>
      </c>
      <c r="AC30" s="27" t="str">
        <f t="shared" si="27"/>
        <v>ok</v>
      </c>
    </row>
    <row r="31" spans="1:29" x14ac:dyDescent="0.2">
      <c r="A31" s="88">
        <v>355</v>
      </c>
      <c r="B31" s="14" t="s">
        <v>420</v>
      </c>
      <c r="C31" s="14" t="s">
        <v>354</v>
      </c>
      <c r="D31" s="14" t="s">
        <v>391</v>
      </c>
      <c r="F31" s="47">
        <v>0</v>
      </c>
      <c r="G31" s="47"/>
      <c r="H31" s="47">
        <f t="shared" si="14"/>
        <v>0</v>
      </c>
      <c r="I31" s="47">
        <f t="shared" si="15"/>
        <v>0</v>
      </c>
      <c r="J31" s="47"/>
      <c r="K31" s="47">
        <f t="shared" si="16"/>
        <v>0</v>
      </c>
      <c r="L31" s="47"/>
      <c r="M31" s="47">
        <f t="shared" si="17"/>
        <v>0</v>
      </c>
      <c r="N31" s="47"/>
      <c r="O31" s="47">
        <f t="shared" si="18"/>
        <v>0</v>
      </c>
      <c r="P31" s="47">
        <f t="shared" si="19"/>
        <v>0</v>
      </c>
      <c r="Q31" s="47"/>
      <c r="R31" s="47">
        <f t="shared" si="20"/>
        <v>0</v>
      </c>
      <c r="S31" s="47">
        <f t="shared" si="21"/>
        <v>0</v>
      </c>
      <c r="T31" s="47"/>
      <c r="U31" s="47">
        <f t="shared" si="22"/>
        <v>0</v>
      </c>
      <c r="V31" s="47"/>
      <c r="W31" s="47">
        <f t="shared" si="23"/>
        <v>0</v>
      </c>
      <c r="X31" s="47"/>
      <c r="Y31" s="47">
        <f t="shared" si="24"/>
        <v>0</v>
      </c>
      <c r="Z31" s="47"/>
      <c r="AA31" s="47">
        <f t="shared" si="25"/>
        <v>0</v>
      </c>
      <c r="AB31" s="47">
        <f t="shared" si="26"/>
        <v>0</v>
      </c>
      <c r="AC31" s="27" t="str">
        <f t="shared" si="27"/>
        <v>ok</v>
      </c>
    </row>
    <row r="32" spans="1:29" x14ac:dyDescent="0.2">
      <c r="A32" s="88">
        <v>356</v>
      </c>
      <c r="B32" s="14" t="s">
        <v>351</v>
      </c>
      <c r="C32" s="14" t="s">
        <v>355</v>
      </c>
      <c r="D32" s="14" t="s">
        <v>391</v>
      </c>
      <c r="F32" s="47">
        <v>0</v>
      </c>
      <c r="G32" s="47"/>
      <c r="H32" s="47">
        <f t="shared" si="14"/>
        <v>0</v>
      </c>
      <c r="I32" s="47">
        <f t="shared" si="15"/>
        <v>0</v>
      </c>
      <c r="J32" s="47"/>
      <c r="K32" s="47">
        <f t="shared" si="16"/>
        <v>0</v>
      </c>
      <c r="L32" s="47"/>
      <c r="M32" s="47">
        <f t="shared" si="17"/>
        <v>0</v>
      </c>
      <c r="N32" s="47"/>
      <c r="O32" s="47">
        <f t="shared" si="18"/>
        <v>0</v>
      </c>
      <c r="P32" s="47">
        <f t="shared" si="19"/>
        <v>0</v>
      </c>
      <c r="Q32" s="47"/>
      <c r="R32" s="47">
        <f t="shared" si="20"/>
        <v>0</v>
      </c>
      <c r="S32" s="47">
        <f t="shared" si="21"/>
        <v>0</v>
      </c>
      <c r="T32" s="47"/>
      <c r="U32" s="47">
        <f t="shared" si="22"/>
        <v>0</v>
      </c>
      <c r="V32" s="47"/>
      <c r="W32" s="47">
        <f t="shared" si="23"/>
        <v>0</v>
      </c>
      <c r="X32" s="47"/>
      <c r="Y32" s="47">
        <f t="shared" si="24"/>
        <v>0</v>
      </c>
      <c r="Z32" s="47"/>
      <c r="AA32" s="47">
        <f t="shared" si="25"/>
        <v>0</v>
      </c>
      <c r="AB32" s="47">
        <f t="shared" si="26"/>
        <v>0</v>
      </c>
      <c r="AC32" s="27" t="str">
        <f t="shared" si="27"/>
        <v>ok</v>
      </c>
    </row>
    <row r="33" spans="1:29" x14ac:dyDescent="0.2">
      <c r="A33" s="88">
        <v>359</v>
      </c>
      <c r="B33" s="14" t="s">
        <v>422</v>
      </c>
      <c r="C33" s="14" t="s">
        <v>423</v>
      </c>
      <c r="D33" s="14" t="s">
        <v>391</v>
      </c>
      <c r="F33" s="47">
        <v>0</v>
      </c>
      <c r="G33" s="47"/>
      <c r="H33" s="47">
        <f t="shared" si="14"/>
        <v>0</v>
      </c>
      <c r="I33" s="47">
        <f t="shared" si="15"/>
        <v>0</v>
      </c>
      <c r="J33" s="47"/>
      <c r="K33" s="47">
        <f t="shared" si="16"/>
        <v>0</v>
      </c>
      <c r="L33" s="47"/>
      <c r="M33" s="47">
        <f t="shared" si="17"/>
        <v>0</v>
      </c>
      <c r="N33" s="47"/>
      <c r="O33" s="47">
        <f t="shared" si="18"/>
        <v>0</v>
      </c>
      <c r="P33" s="47">
        <f t="shared" si="19"/>
        <v>0</v>
      </c>
      <c r="Q33" s="47"/>
      <c r="R33" s="47">
        <f t="shared" si="20"/>
        <v>0</v>
      </c>
      <c r="S33" s="47">
        <f t="shared" si="21"/>
        <v>0</v>
      </c>
      <c r="T33" s="47"/>
      <c r="U33" s="47">
        <f t="shared" si="22"/>
        <v>0</v>
      </c>
      <c r="V33" s="47"/>
      <c r="W33" s="47">
        <f t="shared" si="23"/>
        <v>0</v>
      </c>
      <c r="X33" s="47"/>
      <c r="Y33" s="47">
        <f t="shared" si="24"/>
        <v>0</v>
      </c>
      <c r="Z33" s="47"/>
      <c r="AA33" s="47">
        <f t="shared" si="25"/>
        <v>0</v>
      </c>
      <c r="AB33" s="47">
        <f t="shared" si="26"/>
        <v>0</v>
      </c>
      <c r="AC33" s="27" t="str">
        <f t="shared" si="27"/>
        <v>ok</v>
      </c>
    </row>
    <row r="34" spans="1:29" x14ac:dyDescent="0.2">
      <c r="Q34" s="14"/>
      <c r="AB34" s="47"/>
      <c r="AC34" s="27"/>
    </row>
    <row r="35" spans="1:29" x14ac:dyDescent="0.2">
      <c r="B35" s="14" t="s">
        <v>359</v>
      </c>
      <c r="C35" s="14" t="s">
        <v>390</v>
      </c>
      <c r="F35" s="87">
        <f>SUM(F27:F34)</f>
        <v>0</v>
      </c>
      <c r="G35" s="87"/>
      <c r="H35" s="87">
        <f t="shared" ref="H35:AA35" si="28">SUM(H27:H34)</f>
        <v>0</v>
      </c>
      <c r="I35" s="87">
        <f t="shared" si="28"/>
        <v>0</v>
      </c>
      <c r="J35" s="87"/>
      <c r="K35" s="87">
        <f t="shared" si="28"/>
        <v>0</v>
      </c>
      <c r="L35" s="87"/>
      <c r="M35" s="87">
        <f t="shared" si="28"/>
        <v>0</v>
      </c>
      <c r="N35" s="87"/>
      <c r="O35" s="87">
        <f t="shared" si="28"/>
        <v>0</v>
      </c>
      <c r="P35" s="87">
        <f t="shared" si="28"/>
        <v>0</v>
      </c>
      <c r="Q35" s="87"/>
      <c r="R35" s="87">
        <f t="shared" si="28"/>
        <v>0</v>
      </c>
      <c r="S35" s="87">
        <f t="shared" si="28"/>
        <v>0</v>
      </c>
      <c r="T35" s="87"/>
      <c r="U35" s="87">
        <f t="shared" si="28"/>
        <v>0</v>
      </c>
      <c r="V35" s="87"/>
      <c r="W35" s="87">
        <f t="shared" si="28"/>
        <v>0</v>
      </c>
      <c r="X35" s="87"/>
      <c r="Y35" s="87">
        <f t="shared" si="28"/>
        <v>0</v>
      </c>
      <c r="Z35" s="87"/>
      <c r="AA35" s="87">
        <f t="shared" si="28"/>
        <v>0</v>
      </c>
      <c r="AB35" s="47">
        <f>SUM(H35:AA35)</f>
        <v>0</v>
      </c>
      <c r="AC35" s="27" t="str">
        <f>IF(ABS(AB35-F35)&lt;1,"ok","err")</f>
        <v>ok</v>
      </c>
    </row>
    <row r="36" spans="1:29" x14ac:dyDescent="0.2">
      <c r="Q36" s="14"/>
      <c r="AC36" s="27"/>
    </row>
    <row r="37" spans="1:29" x14ac:dyDescent="0.2">
      <c r="A37" s="25" t="s">
        <v>366</v>
      </c>
      <c r="Q37" s="14"/>
      <c r="AC37" s="27"/>
    </row>
    <row r="38" spans="1:29" x14ac:dyDescent="0.2">
      <c r="Q38" s="14"/>
      <c r="AC38" s="27"/>
    </row>
    <row r="39" spans="1:29" x14ac:dyDescent="0.2">
      <c r="A39" s="25" t="s">
        <v>21</v>
      </c>
      <c r="Q39" s="14"/>
      <c r="AC39" s="27"/>
    </row>
    <row r="40" spans="1:29" x14ac:dyDescent="0.2">
      <c r="A40" s="88">
        <v>360</v>
      </c>
      <c r="B40" s="14" t="s">
        <v>17</v>
      </c>
      <c r="C40" s="14" t="s">
        <v>18</v>
      </c>
      <c r="D40" s="14" t="s">
        <v>24</v>
      </c>
      <c r="F40" s="62">
        <f>4180.5+109098.33+76299.84+114429</f>
        <v>304007.67</v>
      </c>
      <c r="G40" s="62"/>
      <c r="H40" s="47">
        <f>IF(VLOOKUP($D40,$C$5:$AA$496,6,)=0,0,((VLOOKUP($D40,$C$5:$AA$496,6,)/VLOOKUP($D40,$C$5:$AA$496,4,))*$F63))</f>
        <v>0</v>
      </c>
      <c r="I40" s="47">
        <f>IF(VLOOKUP($D40,$C$5:$AA$496,7,)=0,0,((VLOOKUP($D40,$C$5:$AA$496,7,)/VLOOKUP($D40,$C$5:$AA$496,4,))*$F63))</f>
        <v>0</v>
      </c>
      <c r="J40" s="47"/>
      <c r="K40" s="47">
        <f>IF(VLOOKUP($D40,$C$5:$AA$496,9,)=0,0,((VLOOKUP($D40,$C$5:$AA$496,9,)/VLOOKUP($D40,$C$5:$AA$496,4,))*$F63))</f>
        <v>0</v>
      </c>
      <c r="L40" s="47"/>
      <c r="M40" s="47">
        <f t="shared" ref="M40:M52" si="29">IF(VLOOKUP($D40,$C$5:$AA$496,11,)=0,0,((VLOOKUP($D40,$C$5:$AA$496,11,)/VLOOKUP($D40,$C$5:$AA$496,4,))*$F40))</f>
        <v>304007.67</v>
      </c>
      <c r="N40" s="47"/>
      <c r="O40" s="47">
        <f>IF(VLOOKUP($D40,$C$5:$AA$496,13,)=0,0,((VLOOKUP($D40,$C$5:$AA$496,13,)/VLOOKUP($D40,$C$5:$AA$496,4,))*$F63))</f>
        <v>0</v>
      </c>
      <c r="P40" s="47">
        <f>IF(VLOOKUP($D40,$C$5:$AA$496,14,)=0,0,((VLOOKUP($D40,$C$5:$AA$496,14,)/VLOOKUP($D40,$C$5:$AA$496,4,))*$F63))</f>
        <v>0</v>
      </c>
      <c r="Q40" s="47"/>
      <c r="R40" s="47">
        <f>IF(VLOOKUP($D40,$C$5:$AA$496,16,)=0,0,((VLOOKUP($D40,$C$5:$AA$496,16,)/VLOOKUP($D40,$C$5:$AA$496,4,))*$F63))</f>
        <v>0</v>
      </c>
      <c r="S40" s="47">
        <f>IF(VLOOKUP($D40,$C$5:$AA$496,17,)=0,0,((VLOOKUP($D40,$C$5:$AA$496,17,)/VLOOKUP($D40,$C$5:$AA$496,4,))*$F63))</f>
        <v>0</v>
      </c>
      <c r="T40" s="47"/>
      <c r="U40" s="47">
        <f>IF(VLOOKUP($D40,$C$5:$AA$496,19,)=0,0,((VLOOKUP($D40,$C$5:$AA$496,19,)/VLOOKUP($D40,$C$5:$AA$496,4,))*$F63))</f>
        <v>0</v>
      </c>
      <c r="V40" s="47"/>
      <c r="W40" s="47">
        <f>IF(VLOOKUP($D40,$C$5:$AA$496,21,)=0,0,((VLOOKUP($D40,$C$5:$AA$496,21,)/VLOOKUP($D40,$C$5:$AA$496,4,))*$F63))</f>
        <v>0</v>
      </c>
      <c r="X40" s="47"/>
      <c r="Y40" s="47">
        <f>IF(VLOOKUP($D40,$C$5:$AA$496,23,)=0,0,((VLOOKUP($D40,$C$5:$AA$496,23,)/VLOOKUP($D40,$C$5:$AA$496,4,))*$F63))</f>
        <v>0</v>
      </c>
      <c r="Z40" s="47"/>
      <c r="AA40" s="47">
        <f>IF(VLOOKUP($D40,$C$5:$AA$496,25,)=0,0,((VLOOKUP($D40,$C$5:$AA$496,25,)/VLOOKUP($D40,$C$5:$AA$496,4,))*$F63))</f>
        <v>0</v>
      </c>
      <c r="AB40" s="47">
        <f t="shared" ref="AB40:AB52" si="30">SUM(H40:AA40)</f>
        <v>304007.67</v>
      </c>
      <c r="AC40" s="27" t="str">
        <f>IF(ABS(AB40-F40)&lt;1,"ok","err")</f>
        <v>ok</v>
      </c>
    </row>
    <row r="41" spans="1:29" x14ac:dyDescent="0.2">
      <c r="A41" s="88">
        <v>361</v>
      </c>
      <c r="B41" s="14" t="s">
        <v>53</v>
      </c>
      <c r="C41" s="14" t="s">
        <v>424</v>
      </c>
      <c r="D41" s="14" t="s">
        <v>24</v>
      </c>
      <c r="F41" s="47">
        <v>0</v>
      </c>
      <c r="G41" s="47"/>
      <c r="H41" s="47">
        <f t="shared" ref="H41:H52" si="31">IF(VLOOKUP($D41,$C$5:$AA$496,6,)=0,0,((VLOOKUP($D41,$C$5:$AA$496,6,)/VLOOKUP($D41,$C$5:$AA$496,4,))*$F41))</f>
        <v>0</v>
      </c>
      <c r="I41" s="47">
        <f t="shared" ref="I41:I52" si="32">IF(VLOOKUP($D41,$C$5:$AA$496,7,)=0,0,((VLOOKUP($D41,$C$5:$AA$496,7,)/VLOOKUP($D41,$C$5:$AA$496,4,))*$F41))</f>
        <v>0</v>
      </c>
      <c r="J41" s="47"/>
      <c r="K41" s="47">
        <f t="shared" ref="K41:K52" si="33">IF(VLOOKUP($D41,$C$5:$AA$496,9,)=0,0,((VLOOKUP($D41,$C$5:$AA$496,9,)/VLOOKUP($D41,$C$5:$AA$496,4,))*$F41))</f>
        <v>0</v>
      </c>
      <c r="L41" s="47"/>
      <c r="M41" s="47">
        <f t="shared" si="29"/>
        <v>0</v>
      </c>
      <c r="N41" s="47"/>
      <c r="O41" s="47">
        <f t="shared" ref="O41:O52" si="34">IF(VLOOKUP($D41,$C$5:$AA$496,13,)=0,0,((VLOOKUP($D41,$C$5:$AA$496,13,)/VLOOKUP($D41,$C$5:$AA$496,4,))*$F41))</f>
        <v>0</v>
      </c>
      <c r="P41" s="47">
        <f t="shared" ref="P41:P52" si="35">IF(VLOOKUP($D41,$C$5:$AA$496,14,)=0,0,((VLOOKUP($D41,$C$5:$AA$496,14,)/VLOOKUP($D41,$C$5:$AA$496,4,))*$F41))</f>
        <v>0</v>
      </c>
      <c r="Q41" s="47"/>
      <c r="R41" s="47">
        <f t="shared" ref="R41:R52" si="36">IF(VLOOKUP($D41,$C$5:$AA$496,16,)=0,0,((VLOOKUP($D41,$C$5:$AA$496,16,)/VLOOKUP($D41,$C$5:$AA$496,4,))*$F41))</f>
        <v>0</v>
      </c>
      <c r="S41" s="47">
        <f t="shared" ref="S41:S52" si="37">IF(VLOOKUP($D41,$C$5:$AA$496,17,)=0,0,((VLOOKUP($D41,$C$5:$AA$496,17,)/VLOOKUP($D41,$C$5:$AA$496,4,))*$F41))</f>
        <v>0</v>
      </c>
      <c r="T41" s="47"/>
      <c r="U41" s="47">
        <f t="shared" ref="U41:U52" si="38">IF(VLOOKUP($D41,$C$5:$AA$496,19,)=0,0,((VLOOKUP($D41,$C$5:$AA$496,19,)/VLOOKUP($D41,$C$5:$AA$496,4,))*$F41))</f>
        <v>0</v>
      </c>
      <c r="V41" s="47"/>
      <c r="W41" s="47">
        <f t="shared" ref="W41:W52" si="39">IF(VLOOKUP($D41,$C$5:$AA$496,21,)=0,0,((VLOOKUP($D41,$C$5:$AA$496,21,)/VLOOKUP($D41,$C$5:$AA$496,4,))*$F41))</f>
        <v>0</v>
      </c>
      <c r="X41" s="47"/>
      <c r="Y41" s="47">
        <f t="shared" ref="Y41:Y52" si="40">IF(VLOOKUP($D41,$C$5:$AA$496,23,)=0,0,((VLOOKUP($D41,$C$5:$AA$496,23,)/VLOOKUP($D41,$C$5:$AA$496,4,))*$F41))</f>
        <v>0</v>
      </c>
      <c r="Z41" s="47"/>
      <c r="AA41" s="47">
        <f t="shared" ref="AA41:AA52" si="41">IF(VLOOKUP($D41,$C$5:$AA$496,25,)=0,0,((VLOOKUP($D41,$C$5:$AA$496,25,)/VLOOKUP($D41,$C$5:$AA$496,4,))*$F41))</f>
        <v>0</v>
      </c>
      <c r="AB41" s="47">
        <f t="shared" si="30"/>
        <v>0</v>
      </c>
      <c r="AC41" s="27" t="str">
        <f t="shared" ref="AC41:AC52" si="42">IF(ABS(AB41-F41)&lt;1,"ok","err")</f>
        <v>ok</v>
      </c>
    </row>
    <row r="42" spans="1:29" x14ac:dyDescent="0.2">
      <c r="A42" s="88">
        <v>362</v>
      </c>
      <c r="B42" s="14" t="s">
        <v>22</v>
      </c>
      <c r="C42" s="14" t="s">
        <v>23</v>
      </c>
      <c r="D42" s="14" t="s">
        <v>24</v>
      </c>
      <c r="F42" s="47">
        <v>251911.41</v>
      </c>
      <c r="G42" s="47"/>
      <c r="H42" s="47">
        <f t="shared" si="31"/>
        <v>0</v>
      </c>
      <c r="I42" s="47">
        <f t="shared" si="32"/>
        <v>0</v>
      </c>
      <c r="J42" s="47"/>
      <c r="K42" s="47">
        <f t="shared" si="33"/>
        <v>0</v>
      </c>
      <c r="L42" s="47"/>
      <c r="M42" s="47">
        <f t="shared" si="29"/>
        <v>251911.41</v>
      </c>
      <c r="N42" s="47"/>
      <c r="O42" s="47">
        <f t="shared" si="34"/>
        <v>0</v>
      </c>
      <c r="P42" s="47">
        <f t="shared" si="35"/>
        <v>0</v>
      </c>
      <c r="Q42" s="47"/>
      <c r="R42" s="47">
        <f t="shared" si="36"/>
        <v>0</v>
      </c>
      <c r="S42" s="47">
        <f t="shared" si="37"/>
        <v>0</v>
      </c>
      <c r="T42" s="47"/>
      <c r="U42" s="47">
        <f t="shared" si="38"/>
        <v>0</v>
      </c>
      <c r="V42" s="47"/>
      <c r="W42" s="47">
        <f t="shared" si="39"/>
        <v>0</v>
      </c>
      <c r="X42" s="47"/>
      <c r="Y42" s="47">
        <f t="shared" si="40"/>
        <v>0</v>
      </c>
      <c r="Z42" s="47"/>
      <c r="AA42" s="47">
        <f t="shared" si="41"/>
        <v>0</v>
      </c>
      <c r="AB42" s="47">
        <f t="shared" si="30"/>
        <v>251911.41</v>
      </c>
      <c r="AC42" s="27" t="str">
        <f t="shared" si="42"/>
        <v>ok</v>
      </c>
    </row>
    <row r="43" spans="1:29" x14ac:dyDescent="0.2">
      <c r="A43" s="88">
        <v>364</v>
      </c>
      <c r="B43" s="14" t="s">
        <v>25</v>
      </c>
      <c r="C43" s="14" t="s">
        <v>26</v>
      </c>
      <c r="D43" s="14" t="s">
        <v>27</v>
      </c>
      <c r="F43" s="47">
        <v>42349394.700000003</v>
      </c>
      <c r="G43" s="47"/>
      <c r="H43" s="47">
        <f t="shared" si="31"/>
        <v>0</v>
      </c>
      <c r="I43" s="47">
        <f t="shared" si="32"/>
        <v>0</v>
      </c>
      <c r="J43" s="47"/>
      <c r="K43" s="47">
        <f t="shared" si="33"/>
        <v>0</v>
      </c>
      <c r="L43" s="47"/>
      <c r="M43" s="47">
        <f t="shared" si="29"/>
        <v>0</v>
      </c>
      <c r="N43" s="47"/>
      <c r="O43" s="47">
        <f t="shared" si="34"/>
        <v>17044350.792128444</v>
      </c>
      <c r="P43" s="47">
        <f t="shared" si="35"/>
        <v>25305043.907871559</v>
      </c>
      <c r="Q43" s="47"/>
      <c r="R43" s="47">
        <f t="shared" si="36"/>
        <v>0</v>
      </c>
      <c r="S43" s="47">
        <f t="shared" si="37"/>
        <v>0</v>
      </c>
      <c r="T43" s="47"/>
      <c r="U43" s="47">
        <f t="shared" si="38"/>
        <v>0</v>
      </c>
      <c r="V43" s="47"/>
      <c r="W43" s="47">
        <f t="shared" si="39"/>
        <v>0</v>
      </c>
      <c r="X43" s="47"/>
      <c r="Y43" s="47">
        <f t="shared" si="40"/>
        <v>0</v>
      </c>
      <c r="Z43" s="47"/>
      <c r="AA43" s="47">
        <f t="shared" si="41"/>
        <v>0</v>
      </c>
      <c r="AB43" s="47">
        <f t="shared" si="30"/>
        <v>42349394.700000003</v>
      </c>
      <c r="AC43" s="27" t="str">
        <f t="shared" si="42"/>
        <v>ok</v>
      </c>
    </row>
    <row r="44" spans="1:29" x14ac:dyDescent="0.2">
      <c r="A44" s="88">
        <v>365</v>
      </c>
      <c r="B44" s="14" t="s">
        <v>28</v>
      </c>
      <c r="C44" s="14" t="s">
        <v>29</v>
      </c>
      <c r="D44" s="14" t="s">
        <v>30</v>
      </c>
      <c r="F44" s="47">
        <v>45652367.520000003</v>
      </c>
      <c r="G44" s="47"/>
      <c r="H44" s="47">
        <f t="shared" si="31"/>
        <v>0</v>
      </c>
      <c r="I44" s="47">
        <f t="shared" si="32"/>
        <v>0</v>
      </c>
      <c r="J44" s="47"/>
      <c r="K44" s="47">
        <f t="shared" si="33"/>
        <v>0</v>
      </c>
      <c r="L44" s="47"/>
      <c r="M44" s="47">
        <f t="shared" si="29"/>
        <v>0</v>
      </c>
      <c r="N44" s="47"/>
      <c r="O44" s="47">
        <f t="shared" si="34"/>
        <v>18373697.475823682</v>
      </c>
      <c r="P44" s="47">
        <f t="shared" si="35"/>
        <v>27278670.044176321</v>
      </c>
      <c r="Q44" s="47"/>
      <c r="R44" s="47">
        <f t="shared" si="36"/>
        <v>0</v>
      </c>
      <c r="S44" s="47">
        <f t="shared" si="37"/>
        <v>0</v>
      </c>
      <c r="T44" s="47"/>
      <c r="U44" s="47">
        <f t="shared" si="38"/>
        <v>0</v>
      </c>
      <c r="V44" s="47"/>
      <c r="W44" s="47">
        <f t="shared" si="39"/>
        <v>0</v>
      </c>
      <c r="X44" s="47"/>
      <c r="Y44" s="47">
        <f t="shared" si="40"/>
        <v>0</v>
      </c>
      <c r="Z44" s="47"/>
      <c r="AA44" s="47">
        <f t="shared" si="41"/>
        <v>0</v>
      </c>
      <c r="AB44" s="47">
        <f t="shared" si="30"/>
        <v>45652367.520000003</v>
      </c>
      <c r="AC44" s="27" t="str">
        <f t="shared" si="42"/>
        <v>ok</v>
      </c>
    </row>
    <row r="45" spans="1:29" x14ac:dyDescent="0.2">
      <c r="A45" s="88">
        <v>366</v>
      </c>
      <c r="B45" s="14" t="s">
        <v>31</v>
      </c>
      <c r="C45" s="14" t="s">
        <v>32</v>
      </c>
      <c r="D45" s="14" t="s">
        <v>33</v>
      </c>
      <c r="F45" s="47">
        <v>2816770.05</v>
      </c>
      <c r="G45" s="47"/>
      <c r="H45" s="47">
        <f t="shared" si="31"/>
        <v>0</v>
      </c>
      <c r="I45" s="47">
        <f t="shared" si="32"/>
        <v>0</v>
      </c>
      <c r="J45" s="47"/>
      <c r="K45" s="47">
        <f t="shared" si="33"/>
        <v>0</v>
      </c>
      <c r="L45" s="47"/>
      <c r="M45" s="47">
        <f t="shared" si="29"/>
        <v>0</v>
      </c>
      <c r="N45" s="47"/>
      <c r="O45" s="47">
        <f t="shared" si="34"/>
        <v>341450.2498709269</v>
      </c>
      <c r="P45" s="47">
        <f t="shared" si="35"/>
        <v>2475319.8001290727</v>
      </c>
      <c r="Q45" s="47"/>
      <c r="R45" s="47">
        <f t="shared" si="36"/>
        <v>0</v>
      </c>
      <c r="S45" s="47">
        <f t="shared" si="37"/>
        <v>0</v>
      </c>
      <c r="T45" s="47"/>
      <c r="U45" s="47">
        <f t="shared" si="38"/>
        <v>0</v>
      </c>
      <c r="V45" s="47"/>
      <c r="W45" s="47">
        <f t="shared" si="39"/>
        <v>0</v>
      </c>
      <c r="X45" s="47"/>
      <c r="Y45" s="47">
        <f t="shared" si="40"/>
        <v>0</v>
      </c>
      <c r="Z45" s="47"/>
      <c r="AA45" s="47">
        <f t="shared" si="41"/>
        <v>0</v>
      </c>
      <c r="AB45" s="47">
        <f t="shared" si="30"/>
        <v>2816770.05</v>
      </c>
      <c r="AC45" s="27" t="str">
        <f t="shared" si="42"/>
        <v>ok</v>
      </c>
    </row>
    <row r="46" spans="1:29" x14ac:dyDescent="0.2">
      <c r="A46" s="88">
        <v>367</v>
      </c>
      <c r="B46" s="14" t="s">
        <v>34</v>
      </c>
      <c r="C46" s="14" t="s">
        <v>35</v>
      </c>
      <c r="D46" s="14" t="s">
        <v>33</v>
      </c>
      <c r="F46" s="47">
        <v>8786682.5399999991</v>
      </c>
      <c r="G46" s="47"/>
      <c r="H46" s="47">
        <f t="shared" si="31"/>
        <v>0</v>
      </c>
      <c r="I46" s="47">
        <f t="shared" si="32"/>
        <v>0</v>
      </c>
      <c r="J46" s="47"/>
      <c r="K46" s="47">
        <f t="shared" si="33"/>
        <v>0</v>
      </c>
      <c r="L46" s="47"/>
      <c r="M46" s="47">
        <f t="shared" si="29"/>
        <v>0</v>
      </c>
      <c r="N46" s="47"/>
      <c r="O46" s="47">
        <f t="shared" si="34"/>
        <v>1065125.9760517229</v>
      </c>
      <c r="P46" s="47">
        <f t="shared" si="35"/>
        <v>7721556.5639482765</v>
      </c>
      <c r="Q46" s="47"/>
      <c r="R46" s="47">
        <f t="shared" si="36"/>
        <v>0</v>
      </c>
      <c r="S46" s="47">
        <f t="shared" si="37"/>
        <v>0</v>
      </c>
      <c r="T46" s="47"/>
      <c r="U46" s="47">
        <f t="shared" si="38"/>
        <v>0</v>
      </c>
      <c r="V46" s="47"/>
      <c r="W46" s="47">
        <f t="shared" si="39"/>
        <v>0</v>
      </c>
      <c r="X46" s="47"/>
      <c r="Y46" s="47">
        <f t="shared" si="40"/>
        <v>0</v>
      </c>
      <c r="Z46" s="47"/>
      <c r="AA46" s="47">
        <f t="shared" si="41"/>
        <v>0</v>
      </c>
      <c r="AB46" s="47">
        <f t="shared" si="30"/>
        <v>8786682.5399999991</v>
      </c>
      <c r="AC46" s="27" t="str">
        <f t="shared" si="42"/>
        <v>ok</v>
      </c>
    </row>
    <row r="47" spans="1:29" x14ac:dyDescent="0.2">
      <c r="A47" s="88">
        <v>368</v>
      </c>
      <c r="B47" s="14" t="s">
        <v>36</v>
      </c>
      <c r="C47" s="14" t="s">
        <v>37</v>
      </c>
      <c r="D47" s="14" t="s">
        <v>38</v>
      </c>
      <c r="F47" s="47">
        <v>20872508.68</v>
      </c>
      <c r="G47" s="47"/>
      <c r="H47" s="47">
        <f t="shared" si="31"/>
        <v>0</v>
      </c>
      <c r="I47" s="47">
        <f t="shared" si="32"/>
        <v>0</v>
      </c>
      <c r="J47" s="47"/>
      <c r="K47" s="47">
        <f t="shared" si="33"/>
        <v>0</v>
      </c>
      <c r="L47" s="47"/>
      <c r="M47" s="47">
        <f t="shared" si="29"/>
        <v>0</v>
      </c>
      <c r="N47" s="47"/>
      <c r="O47" s="47">
        <f t="shared" si="34"/>
        <v>4993103.5686361454</v>
      </c>
      <c r="P47" s="47">
        <f t="shared" si="35"/>
        <v>15879405.111363854</v>
      </c>
      <c r="Q47" s="47"/>
      <c r="R47" s="47">
        <f t="shared" si="36"/>
        <v>0</v>
      </c>
      <c r="S47" s="47">
        <f t="shared" si="37"/>
        <v>0</v>
      </c>
      <c r="T47" s="47"/>
      <c r="U47" s="47">
        <f t="shared" si="38"/>
        <v>0</v>
      </c>
      <c r="V47" s="47"/>
      <c r="W47" s="47">
        <f t="shared" si="39"/>
        <v>0</v>
      </c>
      <c r="X47" s="47"/>
      <c r="Y47" s="47">
        <f t="shared" si="40"/>
        <v>0</v>
      </c>
      <c r="Z47" s="47"/>
      <c r="AA47" s="47">
        <f t="shared" si="41"/>
        <v>0</v>
      </c>
      <c r="AB47" s="47">
        <f t="shared" si="30"/>
        <v>20872508.68</v>
      </c>
      <c r="AC47" s="27" t="str">
        <f t="shared" si="42"/>
        <v>ok</v>
      </c>
    </row>
    <row r="48" spans="1:29" x14ac:dyDescent="0.2">
      <c r="A48" s="88">
        <v>369</v>
      </c>
      <c r="B48" s="14" t="s">
        <v>39</v>
      </c>
      <c r="C48" s="14" t="s">
        <v>40</v>
      </c>
      <c r="D48" s="14" t="s">
        <v>41</v>
      </c>
      <c r="F48" s="47">
        <v>16337277.960000001</v>
      </c>
      <c r="G48" s="47"/>
      <c r="H48" s="47">
        <f t="shared" si="31"/>
        <v>0</v>
      </c>
      <c r="I48" s="47">
        <f t="shared" si="32"/>
        <v>0</v>
      </c>
      <c r="J48" s="47"/>
      <c r="K48" s="47">
        <f t="shared" si="33"/>
        <v>0</v>
      </c>
      <c r="L48" s="47"/>
      <c r="M48" s="47">
        <f t="shared" si="29"/>
        <v>0</v>
      </c>
      <c r="N48" s="47"/>
      <c r="O48" s="47">
        <f t="shared" si="34"/>
        <v>0</v>
      </c>
      <c r="P48" s="47">
        <f t="shared" si="35"/>
        <v>0</v>
      </c>
      <c r="Q48" s="47"/>
      <c r="R48" s="47">
        <f t="shared" si="36"/>
        <v>0</v>
      </c>
      <c r="S48" s="47">
        <f t="shared" si="37"/>
        <v>16337277.960000001</v>
      </c>
      <c r="T48" s="47"/>
      <c r="U48" s="47">
        <f t="shared" si="38"/>
        <v>0</v>
      </c>
      <c r="V48" s="47"/>
      <c r="W48" s="47">
        <f t="shared" si="39"/>
        <v>0</v>
      </c>
      <c r="X48" s="47"/>
      <c r="Y48" s="47">
        <f t="shared" si="40"/>
        <v>0</v>
      </c>
      <c r="Z48" s="47"/>
      <c r="AA48" s="47">
        <f t="shared" si="41"/>
        <v>0</v>
      </c>
      <c r="AB48" s="47">
        <f t="shared" si="30"/>
        <v>16337277.960000001</v>
      </c>
      <c r="AC48" s="27" t="str">
        <f t="shared" si="42"/>
        <v>ok</v>
      </c>
    </row>
    <row r="49" spans="1:30" x14ac:dyDescent="0.2">
      <c r="A49" s="88">
        <v>370</v>
      </c>
      <c r="B49" s="14" t="s">
        <v>42</v>
      </c>
      <c r="C49" s="14" t="s">
        <v>43</v>
      </c>
      <c r="D49" s="14" t="s">
        <v>44</v>
      </c>
      <c r="F49" s="47">
        <f>277868.82+6894550.7</f>
        <v>7172419.5200000005</v>
      </c>
      <c r="G49" s="47"/>
      <c r="H49" s="47">
        <f t="shared" si="31"/>
        <v>0</v>
      </c>
      <c r="I49" s="47">
        <f t="shared" si="32"/>
        <v>0</v>
      </c>
      <c r="J49" s="47"/>
      <c r="K49" s="47">
        <f t="shared" si="33"/>
        <v>0</v>
      </c>
      <c r="L49" s="47"/>
      <c r="M49" s="47">
        <f t="shared" si="29"/>
        <v>0</v>
      </c>
      <c r="N49" s="47"/>
      <c r="O49" s="47">
        <f t="shared" si="34"/>
        <v>0</v>
      </c>
      <c r="P49" s="47">
        <f t="shared" si="35"/>
        <v>0</v>
      </c>
      <c r="Q49" s="47"/>
      <c r="R49" s="47">
        <f t="shared" si="36"/>
        <v>0</v>
      </c>
      <c r="S49" s="47">
        <f t="shared" si="37"/>
        <v>0</v>
      </c>
      <c r="T49" s="47"/>
      <c r="U49" s="47">
        <f t="shared" si="38"/>
        <v>7172419.5200000005</v>
      </c>
      <c r="V49" s="47"/>
      <c r="W49" s="47">
        <f t="shared" si="39"/>
        <v>0</v>
      </c>
      <c r="X49" s="47"/>
      <c r="Y49" s="47">
        <f t="shared" si="40"/>
        <v>0</v>
      </c>
      <c r="Z49" s="47"/>
      <c r="AA49" s="47">
        <f t="shared" si="41"/>
        <v>0</v>
      </c>
      <c r="AB49" s="47">
        <f t="shared" si="30"/>
        <v>7172419.5200000005</v>
      </c>
      <c r="AC49" s="27" t="str">
        <f t="shared" si="42"/>
        <v>ok</v>
      </c>
    </row>
    <row r="50" spans="1:30" x14ac:dyDescent="0.2">
      <c r="A50" s="88">
        <v>371</v>
      </c>
      <c r="B50" s="14" t="s">
        <v>45</v>
      </c>
      <c r="C50" s="14" t="s">
        <v>46</v>
      </c>
      <c r="D50" s="14" t="s">
        <v>546</v>
      </c>
      <c r="F50" s="47">
        <v>3935154.81</v>
      </c>
      <c r="G50" s="47"/>
      <c r="H50" s="47">
        <f t="shared" si="31"/>
        <v>0</v>
      </c>
      <c r="I50" s="47">
        <f t="shared" si="32"/>
        <v>0</v>
      </c>
      <c r="J50" s="47"/>
      <c r="K50" s="47">
        <f t="shared" si="33"/>
        <v>0</v>
      </c>
      <c r="L50" s="47"/>
      <c r="M50" s="47">
        <f t="shared" si="29"/>
        <v>0</v>
      </c>
      <c r="N50" s="47"/>
      <c r="O50" s="47">
        <f t="shared" si="34"/>
        <v>0</v>
      </c>
      <c r="P50" s="47">
        <f t="shared" si="35"/>
        <v>0</v>
      </c>
      <c r="Q50" s="47"/>
      <c r="R50" s="47">
        <f t="shared" si="36"/>
        <v>0</v>
      </c>
      <c r="S50" s="47">
        <f t="shared" si="37"/>
        <v>0</v>
      </c>
      <c r="T50" s="47"/>
      <c r="U50" s="47">
        <f t="shared" si="38"/>
        <v>0</v>
      </c>
      <c r="V50" s="47"/>
      <c r="W50" s="47">
        <f t="shared" si="39"/>
        <v>3935154.81</v>
      </c>
      <c r="X50" s="47"/>
      <c r="Y50" s="47">
        <f t="shared" si="40"/>
        <v>0</v>
      </c>
      <c r="Z50" s="47"/>
      <c r="AA50" s="47">
        <f t="shared" si="41"/>
        <v>0</v>
      </c>
      <c r="AB50" s="47">
        <f t="shared" si="30"/>
        <v>3935154.81</v>
      </c>
      <c r="AC50" s="27" t="str">
        <f t="shared" si="42"/>
        <v>ok</v>
      </c>
    </row>
    <row r="51" spans="1:30" x14ac:dyDescent="0.2">
      <c r="A51" s="88">
        <v>372</v>
      </c>
      <c r="B51" s="14" t="s">
        <v>574</v>
      </c>
      <c r="C51" s="14" t="s">
        <v>575</v>
      </c>
      <c r="D51" s="14" t="s">
        <v>546</v>
      </c>
      <c r="F51" s="47">
        <v>0</v>
      </c>
      <c r="G51" s="47"/>
      <c r="H51" s="47">
        <f t="shared" si="31"/>
        <v>0</v>
      </c>
      <c r="I51" s="47">
        <f t="shared" si="32"/>
        <v>0</v>
      </c>
      <c r="J51" s="47"/>
      <c r="K51" s="47">
        <f t="shared" si="33"/>
        <v>0</v>
      </c>
      <c r="L51" s="47"/>
      <c r="M51" s="47">
        <f t="shared" si="29"/>
        <v>0</v>
      </c>
      <c r="N51" s="47"/>
      <c r="O51" s="47">
        <f t="shared" si="34"/>
        <v>0</v>
      </c>
      <c r="P51" s="47">
        <f t="shared" si="35"/>
        <v>0</v>
      </c>
      <c r="Q51" s="47"/>
      <c r="R51" s="47">
        <f t="shared" si="36"/>
        <v>0</v>
      </c>
      <c r="S51" s="47">
        <f t="shared" si="37"/>
        <v>0</v>
      </c>
      <c r="T51" s="47"/>
      <c r="U51" s="47">
        <f t="shared" si="38"/>
        <v>0</v>
      </c>
      <c r="V51" s="47"/>
      <c r="W51" s="47">
        <f t="shared" si="39"/>
        <v>0</v>
      </c>
      <c r="X51" s="47"/>
      <c r="Y51" s="47">
        <f t="shared" si="40"/>
        <v>0</v>
      </c>
      <c r="Z51" s="47"/>
      <c r="AA51" s="47">
        <f t="shared" si="41"/>
        <v>0</v>
      </c>
      <c r="AB51" s="47">
        <f t="shared" si="30"/>
        <v>0</v>
      </c>
      <c r="AC51" s="27" t="str">
        <f t="shared" si="42"/>
        <v>ok</v>
      </c>
    </row>
    <row r="52" spans="1:30" x14ac:dyDescent="0.2">
      <c r="A52" s="88">
        <v>373</v>
      </c>
      <c r="B52" s="14" t="s">
        <v>47</v>
      </c>
      <c r="C52" s="14" t="s">
        <v>48</v>
      </c>
      <c r="D52" s="14" t="s">
        <v>49</v>
      </c>
      <c r="F52" s="47">
        <v>1096322.5600000001</v>
      </c>
      <c r="G52" s="47"/>
      <c r="H52" s="47">
        <f t="shared" si="31"/>
        <v>0</v>
      </c>
      <c r="I52" s="47">
        <f t="shared" si="32"/>
        <v>0</v>
      </c>
      <c r="J52" s="47"/>
      <c r="K52" s="47">
        <f t="shared" si="33"/>
        <v>0</v>
      </c>
      <c r="L52" s="47"/>
      <c r="M52" s="47">
        <f t="shared" si="29"/>
        <v>0</v>
      </c>
      <c r="N52" s="47"/>
      <c r="O52" s="47">
        <f t="shared" si="34"/>
        <v>0</v>
      </c>
      <c r="P52" s="47">
        <f t="shared" si="35"/>
        <v>0</v>
      </c>
      <c r="Q52" s="47"/>
      <c r="R52" s="47">
        <f t="shared" si="36"/>
        <v>0</v>
      </c>
      <c r="S52" s="47">
        <f t="shared" si="37"/>
        <v>0</v>
      </c>
      <c r="T52" s="47"/>
      <c r="U52" s="47">
        <f t="shared" si="38"/>
        <v>0</v>
      </c>
      <c r="V52" s="47"/>
      <c r="W52" s="47">
        <f t="shared" si="39"/>
        <v>1096322.5600000001</v>
      </c>
      <c r="X52" s="47"/>
      <c r="Y52" s="47">
        <f t="shared" si="40"/>
        <v>0</v>
      </c>
      <c r="Z52" s="47"/>
      <c r="AA52" s="47">
        <f t="shared" si="41"/>
        <v>0</v>
      </c>
      <c r="AB52" s="47">
        <f t="shared" si="30"/>
        <v>1096322.5600000001</v>
      </c>
      <c r="AC52" s="27" t="str">
        <f t="shared" si="42"/>
        <v>ok</v>
      </c>
    </row>
    <row r="53" spans="1:30" x14ac:dyDescent="0.2">
      <c r="A53" s="88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27"/>
    </row>
    <row r="54" spans="1:30" x14ac:dyDescent="0.2">
      <c r="B54" s="14" t="s">
        <v>50</v>
      </c>
      <c r="C54" s="14" t="s">
        <v>16</v>
      </c>
      <c r="F54" s="62">
        <f>SUM(F40:F53)</f>
        <v>149574817.42000005</v>
      </c>
      <c r="G54" s="62"/>
      <c r="H54" s="62">
        <f>SUM(H40:H53)</f>
        <v>0</v>
      </c>
      <c r="I54" s="62">
        <f>SUM(I40:I53)</f>
        <v>0</v>
      </c>
      <c r="J54" s="62"/>
      <c r="K54" s="62"/>
      <c r="L54" s="62">
        <f>SUM(L40:L53)</f>
        <v>0</v>
      </c>
      <c r="M54" s="62">
        <f>SUM(M40:M53)</f>
        <v>555919.07999999996</v>
      </c>
      <c r="N54" s="62"/>
      <c r="O54" s="62">
        <f>SUM(O40:O53)</f>
        <v>41817728.062510923</v>
      </c>
      <c r="P54" s="62">
        <f>SUM(P40:P53)</f>
        <v>78659995.427489087</v>
      </c>
      <c r="Q54" s="62"/>
      <c r="R54" s="62">
        <f>SUM(R40:R52)</f>
        <v>0</v>
      </c>
      <c r="S54" s="62">
        <f>SUM(S40:S52)</f>
        <v>16337277.960000001</v>
      </c>
      <c r="T54" s="62"/>
      <c r="U54" s="62">
        <f>SUM(U40:U52)</f>
        <v>7172419.5200000005</v>
      </c>
      <c r="V54" s="62"/>
      <c r="W54" s="62">
        <f>SUM(W40:W52)</f>
        <v>5031477.37</v>
      </c>
      <c r="X54" s="62"/>
      <c r="Y54" s="62">
        <f>SUM(Y40:Y52)</f>
        <v>0</v>
      </c>
      <c r="Z54" s="62"/>
      <c r="AA54" s="62">
        <f>SUM(AA40:AA52)</f>
        <v>0</v>
      </c>
      <c r="AB54" s="47">
        <f>SUM(H54:AA54)</f>
        <v>149574817.42000002</v>
      </c>
      <c r="AC54" s="27" t="str">
        <f>IF(ABS(AB54-F54)&lt;1,"ok","err")</f>
        <v>ok</v>
      </c>
      <c r="AD54" s="33"/>
    </row>
    <row r="55" spans="1:30" x14ac:dyDescent="0.2">
      <c r="Q55" s="14"/>
      <c r="AC55" s="27"/>
      <c r="AD55" s="33"/>
    </row>
    <row r="56" spans="1:30" x14ac:dyDescent="0.2">
      <c r="B56" s="14" t="s">
        <v>752</v>
      </c>
      <c r="C56" s="14" t="s">
        <v>392</v>
      </c>
      <c r="F56" s="87">
        <f t="shared" ref="F56:M56" si="43">F35+F54</f>
        <v>149574817.42000005</v>
      </c>
      <c r="G56" s="87"/>
      <c r="H56" s="87">
        <f t="shared" si="43"/>
        <v>0</v>
      </c>
      <c r="I56" s="87">
        <f t="shared" si="43"/>
        <v>0</v>
      </c>
      <c r="J56" s="87">
        <f t="shared" si="43"/>
        <v>0</v>
      </c>
      <c r="K56" s="87">
        <f t="shared" si="43"/>
        <v>0</v>
      </c>
      <c r="L56" s="87">
        <f t="shared" si="43"/>
        <v>0</v>
      </c>
      <c r="M56" s="87">
        <f t="shared" si="43"/>
        <v>555919.07999999996</v>
      </c>
      <c r="N56" s="87"/>
      <c r="O56" s="87">
        <f t="shared" ref="O56:AA56" si="44">O35+O54</f>
        <v>41817728.062510923</v>
      </c>
      <c r="P56" s="87">
        <f t="shared" si="44"/>
        <v>78659995.427489087</v>
      </c>
      <c r="Q56" s="87">
        <f t="shared" si="44"/>
        <v>0</v>
      </c>
      <c r="R56" s="87">
        <f t="shared" si="44"/>
        <v>0</v>
      </c>
      <c r="S56" s="87">
        <f t="shared" si="44"/>
        <v>16337277.960000001</v>
      </c>
      <c r="T56" s="87">
        <f t="shared" si="44"/>
        <v>0</v>
      </c>
      <c r="U56" s="87">
        <f t="shared" si="44"/>
        <v>7172419.5200000005</v>
      </c>
      <c r="V56" s="87">
        <f t="shared" si="44"/>
        <v>0</v>
      </c>
      <c r="W56" s="87">
        <f t="shared" si="44"/>
        <v>5031477.37</v>
      </c>
      <c r="X56" s="87">
        <f t="shared" si="44"/>
        <v>0</v>
      </c>
      <c r="Y56" s="87">
        <f t="shared" si="44"/>
        <v>0</v>
      </c>
      <c r="Z56" s="87">
        <f t="shared" si="44"/>
        <v>0</v>
      </c>
      <c r="AA56" s="87">
        <f t="shared" si="44"/>
        <v>0</v>
      </c>
      <c r="AB56" s="47">
        <f>SUM(H56:AA56)</f>
        <v>149574817.42000002</v>
      </c>
      <c r="AC56" s="27" t="str">
        <f>IF(ABS(AB56-F56)&lt;1,"ok","err")</f>
        <v>ok</v>
      </c>
      <c r="AD56" s="33"/>
    </row>
    <row r="57" spans="1:30" x14ac:dyDescent="0.2">
      <c r="Q57" s="14"/>
      <c r="AC57" s="27"/>
    </row>
    <row r="58" spans="1:30" x14ac:dyDescent="0.2">
      <c r="B58" s="14" t="s">
        <v>785</v>
      </c>
      <c r="C58" s="14" t="s">
        <v>786</v>
      </c>
      <c r="F58" s="87">
        <f>F56+F24</f>
        <v>149574817.42000005</v>
      </c>
      <c r="G58" s="87"/>
      <c r="H58" s="87">
        <f t="shared" ref="H58:Y58" si="45">H56+H24</f>
        <v>0</v>
      </c>
      <c r="I58" s="87">
        <f t="shared" si="45"/>
        <v>0</v>
      </c>
      <c r="J58" s="87">
        <f t="shared" si="45"/>
        <v>0</v>
      </c>
      <c r="K58" s="87">
        <f t="shared" si="45"/>
        <v>0</v>
      </c>
      <c r="L58" s="87">
        <f t="shared" si="45"/>
        <v>0</v>
      </c>
      <c r="M58" s="87">
        <f t="shared" si="45"/>
        <v>555919.07999999996</v>
      </c>
      <c r="N58" s="87"/>
      <c r="O58" s="87">
        <f t="shared" si="45"/>
        <v>41817728.062510923</v>
      </c>
      <c r="P58" s="87">
        <f t="shared" si="45"/>
        <v>78659995.427489087</v>
      </c>
      <c r="Q58" s="87">
        <f t="shared" si="45"/>
        <v>0</v>
      </c>
      <c r="R58" s="87">
        <f t="shared" si="45"/>
        <v>0</v>
      </c>
      <c r="S58" s="87">
        <f t="shared" si="45"/>
        <v>16337277.960000001</v>
      </c>
      <c r="T58" s="87">
        <f t="shared" si="45"/>
        <v>0</v>
      </c>
      <c r="U58" s="87">
        <f t="shared" si="45"/>
        <v>7172419.5200000005</v>
      </c>
      <c r="V58" s="87">
        <f t="shared" si="45"/>
        <v>0</v>
      </c>
      <c r="W58" s="87">
        <f t="shared" si="45"/>
        <v>5031477.37</v>
      </c>
      <c r="X58" s="87">
        <f t="shared" si="45"/>
        <v>0</v>
      </c>
      <c r="Y58" s="87">
        <f t="shared" si="45"/>
        <v>0</v>
      </c>
      <c r="AA58" s="87">
        <f>AA56+AA24</f>
        <v>0</v>
      </c>
      <c r="AB58" s="47">
        <f>SUM(H58:AA58)</f>
        <v>149574817.42000002</v>
      </c>
      <c r="AC58" s="27" t="str">
        <f>IF(ABS(AB58-F58)&lt;1,"ok","err")</f>
        <v>ok</v>
      </c>
    </row>
    <row r="59" spans="1:30" x14ac:dyDescent="0.2">
      <c r="Q59" s="14"/>
      <c r="AC59" s="27"/>
    </row>
    <row r="60" spans="1:30" x14ac:dyDescent="0.2">
      <c r="A60" s="25" t="s">
        <v>366</v>
      </c>
      <c r="Q60" s="14"/>
      <c r="AC60" s="27"/>
    </row>
    <row r="61" spans="1:30" x14ac:dyDescent="0.2">
      <c r="Q61" s="14"/>
      <c r="AC61" s="27"/>
    </row>
    <row r="62" spans="1:30" x14ac:dyDescent="0.2">
      <c r="A62" s="25" t="s">
        <v>51</v>
      </c>
      <c r="Q62" s="14"/>
      <c r="AC62" s="27"/>
    </row>
    <row r="63" spans="1:30" x14ac:dyDescent="0.2">
      <c r="A63" s="88">
        <v>389</v>
      </c>
      <c r="B63" s="14" t="s">
        <v>17</v>
      </c>
      <c r="C63" s="14" t="s">
        <v>52</v>
      </c>
      <c r="D63" s="14" t="s">
        <v>392</v>
      </c>
      <c r="F63" s="62">
        <v>16614.25</v>
      </c>
      <c r="G63" s="62"/>
      <c r="H63" s="47">
        <f t="shared" ref="H63:H73" si="46">IF(VLOOKUP($D63,$C$5:$AA$496,6,)=0,0,((VLOOKUP($D63,$C$5:$AA$496,6,)/VLOOKUP($D63,$C$5:$AA$496,4,))*$F63))</f>
        <v>0</v>
      </c>
      <c r="I63" s="47">
        <f t="shared" ref="I63:I73" si="47">IF(VLOOKUP($D63,$C$5:$AA$496,7,)=0,0,((VLOOKUP($D63,$C$5:$AA$496,7,)/VLOOKUP($D63,$C$5:$AA$496,4,))*$F63))</f>
        <v>0</v>
      </c>
      <c r="J63" s="47"/>
      <c r="K63" s="47">
        <f t="shared" ref="K63:K73" si="48">IF(VLOOKUP($D63,$C$5:$AA$496,9,)=0,0,((VLOOKUP($D63,$C$5:$AA$496,9,)/VLOOKUP($D63,$C$5:$AA$496,4,))*$F63))</f>
        <v>0</v>
      </c>
      <c r="L63" s="47"/>
      <c r="M63" s="47">
        <f t="shared" ref="M63:M73" si="49">IF(VLOOKUP($D63,$C$5:$AA$496,11,)=0,0,((VLOOKUP($D63,$C$5:$AA$496,11,)/VLOOKUP($D63,$C$5:$AA$496,4,))*$F63))</f>
        <v>61.749556069690414</v>
      </c>
      <c r="N63" s="47"/>
      <c r="O63" s="47">
        <f t="shared" ref="O63:O73" si="50">IF(VLOOKUP($D63,$C$5:$AA$496,13,)=0,0,((VLOOKUP($D63,$C$5:$AA$496,13,)/VLOOKUP($D63,$C$5:$AA$496,4,))*$F63))</f>
        <v>4644.9676519523036</v>
      </c>
      <c r="P63" s="47">
        <f t="shared" ref="P63:P73" si="51">IF(VLOOKUP($D63,$C$5:$AA$496,14,)=0,0,((VLOOKUP($D63,$C$5:$AA$496,14,)/VLOOKUP($D63,$C$5:$AA$496,4,))*$F63))</f>
        <v>8737.2784508337591</v>
      </c>
      <c r="Q63" s="47"/>
      <c r="R63" s="47">
        <f t="shared" ref="R63:R73" si="52">IF(VLOOKUP($D63,$C$5:$AA$496,16,)=0,0,((VLOOKUP($D63,$C$5:$AA$496,16,)/VLOOKUP($D63,$C$5:$AA$496,4,))*$F63))</f>
        <v>0</v>
      </c>
      <c r="S63" s="47">
        <f t="shared" ref="S63:S73" si="53">IF(VLOOKUP($D63,$C$5:$AA$496,17,)=0,0,((VLOOKUP($D63,$C$5:$AA$496,17,)/VLOOKUP($D63,$C$5:$AA$496,4,))*$F63))</f>
        <v>1814.6879603721059</v>
      </c>
      <c r="T63" s="47"/>
      <c r="U63" s="47">
        <f t="shared" ref="U63:U73" si="54">IF(VLOOKUP($D63,$C$5:$AA$496,19,)=0,0,((VLOOKUP($D63,$C$5:$AA$496,19,)/VLOOKUP($D63,$C$5:$AA$496,4,))*$F63))</f>
        <v>796.68739073604388</v>
      </c>
      <c r="V63" s="47"/>
      <c r="W63" s="47">
        <f t="shared" ref="W63:W73" si="55">IF(VLOOKUP($D63,$C$5:$AA$496,21,)=0,0,((VLOOKUP($D63,$C$5:$AA$496,21,)/VLOOKUP($D63,$C$5:$AA$496,4,))*$F63))</f>
        <v>558.87899003609209</v>
      </c>
      <c r="X63" s="47"/>
      <c r="Y63" s="47">
        <f t="shared" ref="Y63:Y73" si="56">IF(VLOOKUP($D63,$C$5:$AA$496,23,)=0,0,((VLOOKUP($D63,$C$5:$AA$496,23,)/VLOOKUP($D63,$C$5:$AA$496,4,))*$F63))</f>
        <v>0</v>
      </c>
      <c r="Z63" s="47"/>
      <c r="AA63" s="47">
        <f t="shared" ref="AA63:AA73" si="57">IF(VLOOKUP($D63,$C$5:$AA$496,25,)=0,0,((VLOOKUP($D63,$C$5:$AA$496,25,)/VLOOKUP($D63,$C$5:$AA$496,4,))*$F63))</f>
        <v>0</v>
      </c>
      <c r="AB63" s="47">
        <f>SUM(H63:AA63)</f>
        <v>16614.249999999996</v>
      </c>
      <c r="AC63" s="27" t="str">
        <f>IF(ABS(AB63-F63)&lt;1,"ok","err")</f>
        <v>ok</v>
      </c>
    </row>
    <row r="64" spans="1:30" x14ac:dyDescent="0.2">
      <c r="A64" s="88">
        <v>390</v>
      </c>
      <c r="B64" s="14" t="s">
        <v>53</v>
      </c>
      <c r="C64" s="14" t="s">
        <v>54</v>
      </c>
      <c r="D64" s="14" t="s">
        <v>392</v>
      </c>
      <c r="F64" s="47">
        <f>819813.63+25442.79+27789.11+119261.32+145180.32+308633.28+26521.9+749922.67+873535.91+620484.21+117473.59+126624.81+27870</f>
        <v>3988553.54</v>
      </c>
      <c r="G64" s="47"/>
      <c r="H64" s="47">
        <f t="shared" si="46"/>
        <v>0</v>
      </c>
      <c r="I64" s="47">
        <f t="shared" si="47"/>
        <v>0</v>
      </c>
      <c r="J64" s="47"/>
      <c r="K64" s="47">
        <f t="shared" si="48"/>
        <v>0</v>
      </c>
      <c r="L64" s="47"/>
      <c r="M64" s="47">
        <f t="shared" si="49"/>
        <v>14824.106442071847</v>
      </c>
      <c r="N64" s="47"/>
      <c r="O64" s="47">
        <f t="shared" si="50"/>
        <v>1115109.1485549964</v>
      </c>
      <c r="P64" s="47">
        <f t="shared" si="51"/>
        <v>2097542.9462683364</v>
      </c>
      <c r="Q64" s="47"/>
      <c r="R64" s="47">
        <f t="shared" si="52"/>
        <v>0</v>
      </c>
      <c r="S64" s="47">
        <f t="shared" si="53"/>
        <v>435648.92115729226</v>
      </c>
      <c r="T64" s="47"/>
      <c r="U64" s="47">
        <f t="shared" si="54"/>
        <v>191259.32934641113</v>
      </c>
      <c r="V64" s="47"/>
      <c r="W64" s="47">
        <f t="shared" si="55"/>
        <v>134169.08823089095</v>
      </c>
      <c r="X64" s="47"/>
      <c r="Y64" s="47">
        <f t="shared" si="56"/>
        <v>0</v>
      </c>
      <c r="Z64" s="47"/>
      <c r="AA64" s="47">
        <f t="shared" si="57"/>
        <v>0</v>
      </c>
      <c r="AB64" s="47">
        <f t="shared" ref="AB64:AB73" si="58">SUM(H64:AA64)</f>
        <v>3988553.5399999986</v>
      </c>
      <c r="AC64" s="27" t="str">
        <f t="shared" ref="AC64:AC73" si="59">IF(ABS(AB64-F64)&lt;1,"ok","err")</f>
        <v>ok</v>
      </c>
    </row>
    <row r="65" spans="1:29" x14ac:dyDescent="0.2">
      <c r="A65" s="88">
        <v>391</v>
      </c>
      <c r="B65" s="14" t="s">
        <v>55</v>
      </c>
      <c r="C65" s="14" t="s">
        <v>56</v>
      </c>
      <c r="D65" s="14" t="s">
        <v>392</v>
      </c>
      <c r="F65" s="47">
        <f>430019.3+1267892.81+629428.75</f>
        <v>2327340.8600000003</v>
      </c>
      <c r="G65" s="47"/>
      <c r="H65" s="47">
        <f t="shared" si="46"/>
        <v>0</v>
      </c>
      <c r="I65" s="47">
        <f t="shared" si="47"/>
        <v>0</v>
      </c>
      <c r="J65" s="47"/>
      <c r="K65" s="47">
        <f t="shared" si="48"/>
        <v>0</v>
      </c>
      <c r="L65" s="47"/>
      <c r="M65" s="47">
        <f t="shared" si="49"/>
        <v>8649.9399568353383</v>
      </c>
      <c r="N65" s="47"/>
      <c r="O65" s="47">
        <f t="shared" si="50"/>
        <v>650671.74321843334</v>
      </c>
      <c r="P65" s="47">
        <f t="shared" si="51"/>
        <v>1223926.7582841786</v>
      </c>
      <c r="Q65" s="47"/>
      <c r="R65" s="47">
        <f t="shared" si="52"/>
        <v>0</v>
      </c>
      <c r="S65" s="47">
        <f t="shared" si="53"/>
        <v>254203.3157274065</v>
      </c>
      <c r="T65" s="47"/>
      <c r="U65" s="47">
        <f t="shared" si="54"/>
        <v>111600.77145262535</v>
      </c>
      <c r="V65" s="47"/>
      <c r="W65" s="47">
        <f t="shared" si="55"/>
        <v>78288.331360520649</v>
      </c>
      <c r="X65" s="47"/>
      <c r="Y65" s="47">
        <f t="shared" si="56"/>
        <v>0</v>
      </c>
      <c r="Z65" s="47"/>
      <c r="AA65" s="47">
        <f t="shared" si="57"/>
        <v>0</v>
      </c>
      <c r="AB65" s="47">
        <f t="shared" si="58"/>
        <v>2327340.86</v>
      </c>
      <c r="AC65" s="27" t="str">
        <f t="shared" si="59"/>
        <v>ok</v>
      </c>
    </row>
    <row r="66" spans="1:29" x14ac:dyDescent="0.2">
      <c r="A66" s="88">
        <v>392</v>
      </c>
      <c r="B66" s="14" t="s">
        <v>57</v>
      </c>
      <c r="C66" s="14" t="s">
        <v>58</v>
      </c>
      <c r="D66" s="14" t="s">
        <v>392</v>
      </c>
      <c r="F66" s="47">
        <v>4526292.45</v>
      </c>
      <c r="G66" s="47"/>
      <c r="H66" s="47">
        <f t="shared" si="46"/>
        <v>0</v>
      </c>
      <c r="I66" s="47">
        <f t="shared" si="47"/>
        <v>0</v>
      </c>
      <c r="J66" s="47"/>
      <c r="K66" s="47">
        <f t="shared" si="48"/>
        <v>0</v>
      </c>
      <c r="L66" s="47"/>
      <c r="M66" s="47">
        <f t="shared" si="49"/>
        <v>16822.700358372564</v>
      </c>
      <c r="N66" s="47"/>
      <c r="O66" s="47">
        <f t="shared" si="50"/>
        <v>1265448.7571528021</v>
      </c>
      <c r="P66" s="47">
        <f t="shared" si="51"/>
        <v>2380334.8020859528</v>
      </c>
      <c r="Q66" s="47"/>
      <c r="R66" s="47">
        <f t="shared" si="52"/>
        <v>0</v>
      </c>
      <c r="S66" s="47">
        <f t="shared" si="53"/>
        <v>494383.34045401763</v>
      </c>
      <c r="T66" s="47"/>
      <c r="U66" s="47">
        <f t="shared" si="54"/>
        <v>217045.01387054819</v>
      </c>
      <c r="V66" s="47"/>
      <c r="W66" s="47">
        <f t="shared" si="55"/>
        <v>152257.83607830561</v>
      </c>
      <c r="X66" s="47"/>
      <c r="Y66" s="47">
        <f t="shared" si="56"/>
        <v>0</v>
      </c>
      <c r="Z66" s="47"/>
      <c r="AA66" s="47">
        <f t="shared" si="57"/>
        <v>0</v>
      </c>
      <c r="AB66" s="47">
        <f t="shared" si="58"/>
        <v>4526292.4499999993</v>
      </c>
      <c r="AC66" s="27" t="str">
        <f t="shared" si="59"/>
        <v>ok</v>
      </c>
    </row>
    <row r="67" spans="1:29" x14ac:dyDescent="0.2">
      <c r="A67" s="88">
        <v>393</v>
      </c>
      <c r="B67" s="14" t="s">
        <v>59</v>
      </c>
      <c r="C67" s="14" t="s">
        <v>60</v>
      </c>
      <c r="D67" s="14" t="s">
        <v>392</v>
      </c>
      <c r="F67" s="47">
        <f>153538.08</f>
        <v>153538.07999999999</v>
      </c>
      <c r="G67" s="47"/>
      <c r="H67" s="47">
        <f t="shared" si="46"/>
        <v>0</v>
      </c>
      <c r="I67" s="47">
        <f t="shared" si="47"/>
        <v>0</v>
      </c>
      <c r="J67" s="47"/>
      <c r="K67" s="47">
        <f t="shared" si="48"/>
        <v>0</v>
      </c>
      <c r="L67" s="47"/>
      <c r="M67" s="47">
        <f t="shared" si="49"/>
        <v>570.64918848534307</v>
      </c>
      <c r="N67" s="47"/>
      <c r="O67" s="47">
        <f t="shared" si="50"/>
        <v>42925.766432000535</v>
      </c>
      <c r="P67" s="47">
        <f t="shared" si="51"/>
        <v>80744.238094791508</v>
      </c>
      <c r="Q67" s="47"/>
      <c r="R67" s="47">
        <f t="shared" si="52"/>
        <v>0</v>
      </c>
      <c r="S67" s="47">
        <f t="shared" si="53"/>
        <v>16770.164481372871</v>
      </c>
      <c r="T67" s="47"/>
      <c r="U67" s="47">
        <f t="shared" si="54"/>
        <v>7362.4660959009261</v>
      </c>
      <c r="V67" s="47"/>
      <c r="W67" s="47">
        <f t="shared" si="55"/>
        <v>5164.7957074487686</v>
      </c>
      <c r="X67" s="47"/>
      <c r="Y67" s="47">
        <f t="shared" si="56"/>
        <v>0</v>
      </c>
      <c r="Z67" s="47"/>
      <c r="AA67" s="47">
        <f t="shared" si="57"/>
        <v>0</v>
      </c>
      <c r="AB67" s="47">
        <f t="shared" si="58"/>
        <v>153538.07999999993</v>
      </c>
      <c r="AC67" s="27" t="str">
        <f t="shared" si="59"/>
        <v>ok</v>
      </c>
    </row>
    <row r="68" spans="1:29" x14ac:dyDescent="0.2">
      <c r="A68" s="88">
        <v>394</v>
      </c>
      <c r="B68" s="14" t="s">
        <v>61</v>
      </c>
      <c r="C68" s="14" t="s">
        <v>62</v>
      </c>
      <c r="D68" s="14" t="s">
        <v>392</v>
      </c>
      <c r="F68" s="47">
        <v>429136.45</v>
      </c>
      <c r="G68" s="47"/>
      <c r="H68" s="47">
        <f t="shared" si="46"/>
        <v>0</v>
      </c>
      <c r="I68" s="47">
        <f t="shared" si="47"/>
        <v>0</v>
      </c>
      <c r="J68" s="47"/>
      <c r="K68" s="47">
        <f t="shared" si="48"/>
        <v>0</v>
      </c>
      <c r="L68" s="47"/>
      <c r="M68" s="47">
        <f t="shared" si="49"/>
        <v>1594.9552511141278</v>
      </c>
      <c r="N68" s="47"/>
      <c r="O68" s="47">
        <f t="shared" si="50"/>
        <v>119976.82281918517</v>
      </c>
      <c r="P68" s="47">
        <f t="shared" si="51"/>
        <v>225678.83937296594</v>
      </c>
      <c r="Q68" s="47"/>
      <c r="R68" s="47">
        <f t="shared" si="52"/>
        <v>0</v>
      </c>
      <c r="S68" s="47">
        <f t="shared" si="53"/>
        <v>46872.338454749763</v>
      </c>
      <c r="T68" s="47"/>
      <c r="U68" s="47">
        <f t="shared" si="54"/>
        <v>20577.973644325128</v>
      </c>
      <c r="V68" s="47"/>
      <c r="W68" s="47">
        <f t="shared" si="55"/>
        <v>14435.520457659775</v>
      </c>
      <c r="X68" s="47"/>
      <c r="Y68" s="47">
        <f t="shared" si="56"/>
        <v>0</v>
      </c>
      <c r="Z68" s="47"/>
      <c r="AA68" s="47">
        <f t="shared" si="57"/>
        <v>0</v>
      </c>
      <c r="AB68" s="47">
        <f t="shared" si="58"/>
        <v>429136.4499999999</v>
      </c>
      <c r="AC68" s="27" t="str">
        <f t="shared" si="59"/>
        <v>ok</v>
      </c>
    </row>
    <row r="69" spans="1:29" x14ac:dyDescent="0.2">
      <c r="A69" s="88">
        <v>395</v>
      </c>
      <c r="B69" s="14" t="s">
        <v>63</v>
      </c>
      <c r="C69" s="14" t="s">
        <v>64</v>
      </c>
      <c r="D69" s="14" t="s">
        <v>392</v>
      </c>
      <c r="F69" s="47">
        <v>187769.9</v>
      </c>
      <c r="G69" s="47"/>
      <c r="H69" s="47">
        <f t="shared" si="46"/>
        <v>0</v>
      </c>
      <c r="I69" s="47">
        <f t="shared" si="47"/>
        <v>0</v>
      </c>
      <c r="J69" s="47"/>
      <c r="K69" s="47">
        <f t="shared" si="48"/>
        <v>0</v>
      </c>
      <c r="L69" s="47"/>
      <c r="M69" s="47">
        <f t="shared" si="49"/>
        <v>697.87730221046161</v>
      </c>
      <c r="N69" s="47"/>
      <c r="O69" s="47">
        <f t="shared" si="50"/>
        <v>52496.207262459568</v>
      </c>
      <c r="P69" s="47">
        <f t="shared" si="51"/>
        <v>98746.431586451989</v>
      </c>
      <c r="Q69" s="47"/>
      <c r="R69" s="47">
        <f t="shared" si="52"/>
        <v>0</v>
      </c>
      <c r="S69" s="47">
        <f t="shared" si="53"/>
        <v>20509.127818004079</v>
      </c>
      <c r="T69" s="47"/>
      <c r="U69" s="47">
        <f t="shared" si="54"/>
        <v>9003.952130837557</v>
      </c>
      <c r="V69" s="47"/>
      <c r="W69" s="47">
        <f t="shared" si="55"/>
        <v>6316.3039000362942</v>
      </c>
      <c r="X69" s="47"/>
      <c r="Y69" s="47">
        <f t="shared" si="56"/>
        <v>0</v>
      </c>
      <c r="Z69" s="47"/>
      <c r="AA69" s="47">
        <f t="shared" si="57"/>
        <v>0</v>
      </c>
      <c r="AB69" s="47">
        <f t="shared" si="58"/>
        <v>187769.89999999997</v>
      </c>
      <c r="AC69" s="27" t="str">
        <f t="shared" si="59"/>
        <v>ok</v>
      </c>
    </row>
    <row r="70" spans="1:29" x14ac:dyDescent="0.2">
      <c r="A70" s="88">
        <v>396</v>
      </c>
      <c r="B70" s="14" t="s">
        <v>65</v>
      </c>
      <c r="C70" s="14" t="s">
        <v>66</v>
      </c>
      <c r="D70" s="14" t="s">
        <v>392</v>
      </c>
      <c r="F70" s="47">
        <v>172264.24</v>
      </c>
      <c r="G70" s="47"/>
      <c r="H70" s="47">
        <f t="shared" si="46"/>
        <v>0</v>
      </c>
      <c r="I70" s="47">
        <f t="shared" si="47"/>
        <v>0</v>
      </c>
      <c r="J70" s="47"/>
      <c r="K70" s="47">
        <f t="shared" si="48"/>
        <v>0</v>
      </c>
      <c r="L70" s="47"/>
      <c r="M70" s="47">
        <f t="shared" si="49"/>
        <v>640.24800076335703</v>
      </c>
      <c r="N70" s="47"/>
      <c r="O70" s="47">
        <f t="shared" si="50"/>
        <v>48161.176242571775</v>
      </c>
      <c r="P70" s="47">
        <f t="shared" si="51"/>
        <v>90592.150232556683</v>
      </c>
      <c r="Q70" s="47"/>
      <c r="R70" s="47">
        <f t="shared" si="52"/>
        <v>0</v>
      </c>
      <c r="S70" s="47">
        <f t="shared" si="53"/>
        <v>18815.525367118644</v>
      </c>
      <c r="T70" s="47"/>
      <c r="U70" s="47">
        <f t="shared" si="54"/>
        <v>8260.423906148495</v>
      </c>
      <c r="V70" s="47"/>
      <c r="W70" s="47">
        <f t="shared" si="55"/>
        <v>5794.7162508409929</v>
      </c>
      <c r="X70" s="47"/>
      <c r="Y70" s="47">
        <f t="shared" si="56"/>
        <v>0</v>
      </c>
      <c r="Z70" s="47"/>
      <c r="AA70" s="47">
        <f t="shared" si="57"/>
        <v>0</v>
      </c>
      <c r="AB70" s="47">
        <f t="shared" si="58"/>
        <v>172264.23999999996</v>
      </c>
      <c r="AC70" s="27" t="str">
        <f t="shared" si="59"/>
        <v>ok</v>
      </c>
    </row>
    <row r="71" spans="1:29" x14ac:dyDescent="0.2">
      <c r="A71" s="88">
        <v>397</v>
      </c>
      <c r="B71" s="14" t="s">
        <v>67</v>
      </c>
      <c r="C71" s="14" t="s">
        <v>68</v>
      </c>
      <c r="D71" s="14" t="s">
        <v>392</v>
      </c>
      <c r="F71" s="47">
        <v>899615.32</v>
      </c>
      <c r="G71" s="47"/>
      <c r="H71" s="47">
        <f t="shared" si="46"/>
        <v>0</v>
      </c>
      <c r="I71" s="47">
        <f t="shared" si="47"/>
        <v>0</v>
      </c>
      <c r="J71" s="47"/>
      <c r="K71" s="47">
        <f t="shared" si="48"/>
        <v>0</v>
      </c>
      <c r="L71" s="47"/>
      <c r="M71" s="47">
        <f t="shared" si="49"/>
        <v>3343.5663146691832</v>
      </c>
      <c r="N71" s="47"/>
      <c r="O71" s="47">
        <f t="shared" si="50"/>
        <v>251512.0490302433</v>
      </c>
      <c r="P71" s="47">
        <f t="shared" si="51"/>
        <v>473099.27017324982</v>
      </c>
      <c r="Q71" s="47"/>
      <c r="R71" s="47">
        <f t="shared" si="52"/>
        <v>0</v>
      </c>
      <c r="S71" s="47">
        <f t="shared" si="53"/>
        <v>98260.2940349579</v>
      </c>
      <c r="T71" s="47"/>
      <c r="U71" s="47">
        <f t="shared" si="54"/>
        <v>43138.401189158169</v>
      </c>
      <c r="V71" s="47"/>
      <c r="W71" s="47">
        <f t="shared" si="55"/>
        <v>30261.739257721278</v>
      </c>
      <c r="X71" s="47"/>
      <c r="Y71" s="47">
        <f t="shared" si="56"/>
        <v>0</v>
      </c>
      <c r="Z71" s="47"/>
      <c r="AA71" s="47">
        <f t="shared" si="57"/>
        <v>0</v>
      </c>
      <c r="AB71" s="47">
        <f t="shared" si="58"/>
        <v>899615.3199999996</v>
      </c>
      <c r="AC71" s="27" t="str">
        <f t="shared" si="59"/>
        <v>ok</v>
      </c>
    </row>
    <row r="72" spans="1:29" x14ac:dyDescent="0.2">
      <c r="A72" s="88">
        <v>398</v>
      </c>
      <c r="B72" s="14" t="s">
        <v>362</v>
      </c>
      <c r="C72" s="14" t="s">
        <v>363</v>
      </c>
      <c r="D72" s="14" t="s">
        <v>392</v>
      </c>
      <c r="F72" s="47">
        <v>942321</v>
      </c>
      <c r="G72" s="47"/>
      <c r="H72" s="47">
        <f t="shared" si="46"/>
        <v>0</v>
      </c>
      <c r="I72" s="47">
        <f t="shared" si="47"/>
        <v>0</v>
      </c>
      <c r="J72" s="47"/>
      <c r="K72" s="47">
        <f t="shared" si="48"/>
        <v>0</v>
      </c>
      <c r="L72" s="47"/>
      <c r="M72" s="47">
        <f t="shared" si="49"/>
        <v>3502.2889041122371</v>
      </c>
      <c r="N72" s="47"/>
      <c r="O72" s="47">
        <f t="shared" si="50"/>
        <v>263451.58901276597</v>
      </c>
      <c r="P72" s="47">
        <f t="shared" si="51"/>
        <v>495557.78726503567</v>
      </c>
      <c r="Q72" s="47"/>
      <c r="R72" s="47">
        <f t="shared" si="52"/>
        <v>0</v>
      </c>
      <c r="S72" s="47">
        <f t="shared" si="53"/>
        <v>102924.81294706672</v>
      </c>
      <c r="T72" s="47"/>
      <c r="U72" s="47">
        <f t="shared" si="54"/>
        <v>45186.226204961378</v>
      </c>
      <c r="V72" s="47"/>
      <c r="W72" s="47">
        <f t="shared" si="55"/>
        <v>31698.295666057769</v>
      </c>
      <c r="X72" s="47"/>
      <c r="Y72" s="47">
        <f t="shared" si="56"/>
        <v>0</v>
      </c>
      <c r="Z72" s="47"/>
      <c r="AA72" s="47">
        <f t="shared" si="57"/>
        <v>0</v>
      </c>
      <c r="AB72" s="47">
        <f t="shared" si="58"/>
        <v>942320.99999999977</v>
      </c>
      <c r="AC72" s="27" t="str">
        <f t="shared" si="59"/>
        <v>ok</v>
      </c>
    </row>
    <row r="73" spans="1:29" x14ac:dyDescent="0.2">
      <c r="A73" s="88">
        <v>399</v>
      </c>
      <c r="B73" s="14" t="s">
        <v>583</v>
      </c>
      <c r="C73" s="14" t="s">
        <v>584</v>
      </c>
      <c r="D73" s="14" t="s">
        <v>392</v>
      </c>
      <c r="F73" s="47">
        <v>0</v>
      </c>
      <c r="G73" s="47"/>
      <c r="H73" s="47">
        <f t="shared" si="46"/>
        <v>0</v>
      </c>
      <c r="I73" s="47">
        <f t="shared" si="47"/>
        <v>0</v>
      </c>
      <c r="J73" s="47"/>
      <c r="K73" s="47">
        <f t="shared" si="48"/>
        <v>0</v>
      </c>
      <c r="L73" s="47"/>
      <c r="M73" s="47">
        <f t="shared" si="49"/>
        <v>0</v>
      </c>
      <c r="N73" s="47"/>
      <c r="O73" s="47">
        <f t="shared" si="50"/>
        <v>0</v>
      </c>
      <c r="P73" s="47">
        <f t="shared" si="51"/>
        <v>0</v>
      </c>
      <c r="Q73" s="47"/>
      <c r="R73" s="47">
        <f t="shared" si="52"/>
        <v>0</v>
      </c>
      <c r="S73" s="47">
        <f t="shared" si="53"/>
        <v>0</v>
      </c>
      <c r="T73" s="47"/>
      <c r="U73" s="47">
        <f t="shared" si="54"/>
        <v>0</v>
      </c>
      <c r="V73" s="47"/>
      <c r="W73" s="47">
        <f t="shared" si="55"/>
        <v>0</v>
      </c>
      <c r="X73" s="47"/>
      <c r="Y73" s="47">
        <f t="shared" si="56"/>
        <v>0</v>
      </c>
      <c r="Z73" s="47"/>
      <c r="AA73" s="47">
        <f t="shared" si="57"/>
        <v>0</v>
      </c>
      <c r="AB73" s="47">
        <f t="shared" si="58"/>
        <v>0</v>
      </c>
      <c r="AC73" s="27" t="str">
        <f t="shared" si="59"/>
        <v>ok</v>
      </c>
    </row>
    <row r="74" spans="1:29" x14ac:dyDescent="0.2">
      <c r="Q74" s="14"/>
      <c r="AB74" s="47"/>
      <c r="AC74" s="27"/>
    </row>
    <row r="75" spans="1:29" x14ac:dyDescent="0.2">
      <c r="B75" s="14" t="s">
        <v>69</v>
      </c>
      <c r="C75" s="14" t="s">
        <v>70</v>
      </c>
      <c r="F75" s="62">
        <f>SUM(F63:F74)</f>
        <v>13643446.090000002</v>
      </c>
      <c r="G75" s="62"/>
      <c r="H75" s="62">
        <f t="shared" ref="H75:W75" si="60">SUM(H63:H74)</f>
        <v>0</v>
      </c>
      <c r="I75" s="62">
        <f t="shared" si="60"/>
        <v>0</v>
      </c>
      <c r="J75" s="62"/>
      <c r="K75" s="62">
        <f>SUM(K63:K74)</f>
        <v>0</v>
      </c>
      <c r="L75" s="62"/>
      <c r="M75" s="62">
        <f t="shared" si="60"/>
        <v>50708.081274704156</v>
      </c>
      <c r="N75" s="62"/>
      <c r="O75" s="62">
        <f t="shared" si="60"/>
        <v>3814398.22737741</v>
      </c>
      <c r="P75" s="62">
        <f t="shared" si="60"/>
        <v>7174960.5018143514</v>
      </c>
      <c r="Q75" s="62"/>
      <c r="R75" s="62">
        <f t="shared" si="60"/>
        <v>0</v>
      </c>
      <c r="S75" s="62">
        <f t="shared" si="60"/>
        <v>1490202.5284023583</v>
      </c>
      <c r="T75" s="62"/>
      <c r="U75" s="62">
        <f t="shared" si="60"/>
        <v>654231.24523165263</v>
      </c>
      <c r="V75" s="62"/>
      <c r="W75" s="62">
        <f t="shared" si="60"/>
        <v>458945.50589951826</v>
      </c>
      <c r="X75" s="62"/>
      <c r="Y75" s="62">
        <f>SUM(Y63:Y74)</f>
        <v>0</v>
      </c>
      <c r="Z75" s="62"/>
      <c r="AA75" s="62">
        <f>SUM(AA63:AA74)</f>
        <v>0</v>
      </c>
      <c r="AB75" s="47">
        <f>SUM(H75:AA75)</f>
        <v>13643446.089999994</v>
      </c>
      <c r="AC75" s="27" t="str">
        <f>IF(ABS(AB75-F75)&lt;1,"ok","err")</f>
        <v>ok</v>
      </c>
    </row>
    <row r="76" spans="1:29" x14ac:dyDescent="0.2">
      <c r="Q76" s="14"/>
      <c r="AB76" s="47"/>
      <c r="AC76" s="27"/>
    </row>
    <row r="77" spans="1:29" hidden="1" x14ac:dyDescent="0.2">
      <c r="A77" s="86">
        <v>106</v>
      </c>
      <c r="B77" s="14" t="s">
        <v>364</v>
      </c>
      <c r="C77" s="14" t="s">
        <v>365</v>
      </c>
      <c r="D77" s="14" t="s">
        <v>392</v>
      </c>
      <c r="F77" s="62">
        <v>0</v>
      </c>
      <c r="G77" s="62"/>
      <c r="H77" s="47">
        <f>IF(VLOOKUP($D77,$C$5:$AA$496,6,)=0,0,((VLOOKUP($D77,$C$5:$AA$496,6,)/VLOOKUP($D77,$C$5:$AA$496,4,))*$F77))</f>
        <v>0</v>
      </c>
      <c r="I77" s="47">
        <f>IF(VLOOKUP($D77,$C$5:$AA$496,7,)=0,0,((VLOOKUP($D77,$C$5:$AA$496,7,)/VLOOKUP($D77,$C$5:$AA$496,4,))*$F77))</f>
        <v>0</v>
      </c>
      <c r="J77" s="47"/>
      <c r="K77" s="47">
        <f>IF(VLOOKUP($D77,$C$5:$AA$496,9,)=0,0,((VLOOKUP($D77,$C$5:$AA$496,9,)/VLOOKUP($D77,$C$5:$AA$496,4,))*$F77))</f>
        <v>0</v>
      </c>
      <c r="L77" s="47"/>
      <c r="M77" s="47">
        <f>IF(VLOOKUP($D77,$C$5:$AA$496,11,)=0,0,((VLOOKUP($D77,$C$5:$AA$496,11,)/VLOOKUP($D77,$C$5:$AA$496,4,))*$F77))</f>
        <v>0</v>
      </c>
      <c r="N77" s="47"/>
      <c r="O77" s="47">
        <f>IF(VLOOKUP($D77,$C$5:$AA$496,13,)=0,0,((VLOOKUP($D77,$C$5:$AA$496,13,)/VLOOKUP($D77,$C$5:$AA$496,4,))*$F77))</f>
        <v>0</v>
      </c>
      <c r="P77" s="47">
        <f>IF(VLOOKUP($D77,$C$5:$AA$496,14,)=0,0,((VLOOKUP($D77,$C$5:$AA$496,14,)/VLOOKUP($D77,$C$5:$AA$496,4,))*$F77))</f>
        <v>0</v>
      </c>
      <c r="Q77" s="47"/>
      <c r="R77" s="47">
        <f>IF(VLOOKUP($D77,$C$5:$AA$496,16,)=0,0,((VLOOKUP($D77,$C$5:$AA$496,16,)/VLOOKUP($D77,$C$5:$AA$496,4,))*$F77))</f>
        <v>0</v>
      </c>
      <c r="S77" s="47">
        <f>IF(VLOOKUP($D77,$C$5:$AA$496,17,)=0,0,((VLOOKUP($D77,$C$5:$AA$496,17,)/VLOOKUP($D77,$C$5:$AA$496,4,))*$F77))</f>
        <v>0</v>
      </c>
      <c r="T77" s="47"/>
      <c r="U77" s="47">
        <f>IF(VLOOKUP($D77,$C$5:$AA$496,19,)=0,0,((VLOOKUP($D77,$C$5:$AA$496,19,)/VLOOKUP($D77,$C$5:$AA$496,4,))*$F77))</f>
        <v>0</v>
      </c>
      <c r="V77" s="47"/>
      <c r="W77" s="47">
        <f>IF(VLOOKUP($D77,$C$5:$AA$496,21,)=0,0,((VLOOKUP($D77,$C$5:$AA$496,21,)/VLOOKUP($D77,$C$5:$AA$496,4,))*$F77))</f>
        <v>0</v>
      </c>
      <c r="X77" s="47"/>
      <c r="Y77" s="47">
        <f>IF(VLOOKUP($D77,$C$5:$AA$496,23,)=0,0,((VLOOKUP($D77,$C$5:$AA$496,23,)/VLOOKUP($D77,$C$5:$AA$496,4,))*$F77))</f>
        <v>0</v>
      </c>
      <c r="Z77" s="47"/>
      <c r="AA77" s="47">
        <f>IF(VLOOKUP($D77,$C$5:$AA$496,25,)=0,0,((VLOOKUP($D77,$C$5:$AA$496,25,)/VLOOKUP($D77,$C$5:$AA$496,4,))*$F77))</f>
        <v>0</v>
      </c>
      <c r="AB77" s="47">
        <f>SUM(H77:AA77)</f>
        <v>0</v>
      </c>
      <c r="AC77" s="27" t="str">
        <f>IF(ABS(AB77-F77)&lt;1,"ok","err")</f>
        <v>ok</v>
      </c>
    </row>
    <row r="78" spans="1:29" hidden="1" x14ac:dyDescent="0.2">
      <c r="A78" s="86">
        <v>102</v>
      </c>
      <c r="B78" s="14" t="s">
        <v>706</v>
      </c>
      <c r="C78" s="14" t="s">
        <v>707</v>
      </c>
      <c r="D78" s="14" t="s">
        <v>16</v>
      </c>
      <c r="F78" s="62">
        <v>0</v>
      </c>
      <c r="G78" s="62"/>
      <c r="H78" s="47">
        <f>IF(VLOOKUP($D78,$C$5:$AA$496,6,)=0,0,((VLOOKUP($D78,$C$5:$AA$496,6,)/VLOOKUP($D78,$C$5:$AA$496,4,))*$F78))</f>
        <v>0</v>
      </c>
      <c r="I78" s="47">
        <f>IF(VLOOKUP($D78,$C$5:$AA$496,7,)=0,0,((VLOOKUP($D78,$C$5:$AA$496,7,)/VLOOKUP($D78,$C$5:$AA$496,4,))*$F78))</f>
        <v>0</v>
      </c>
      <c r="J78" s="47"/>
      <c r="K78" s="47">
        <f>IF(VLOOKUP($D78,$C$5:$AA$496,9,)=0,0,((VLOOKUP($D78,$C$5:$AA$496,9,)/VLOOKUP($D78,$C$5:$AA$496,4,))*$F78))</f>
        <v>0</v>
      </c>
      <c r="L78" s="47"/>
      <c r="M78" s="47">
        <f>IF(VLOOKUP($D78,$C$5:$AA$496,11,)=0,0,((VLOOKUP($D78,$C$5:$AA$496,11,)/VLOOKUP($D78,$C$5:$AA$496,4,))*$F78))</f>
        <v>0</v>
      </c>
      <c r="N78" s="47"/>
      <c r="O78" s="47">
        <f>IF(VLOOKUP($D78,$C$5:$AA$496,13,)=0,0,((VLOOKUP($D78,$C$5:$AA$496,13,)/VLOOKUP($D78,$C$5:$AA$496,4,))*$F78))</f>
        <v>0</v>
      </c>
      <c r="P78" s="47">
        <f>IF(VLOOKUP($D78,$C$5:$AA$496,14,)=0,0,((VLOOKUP($D78,$C$5:$AA$496,14,)/VLOOKUP($D78,$C$5:$AA$496,4,))*$F78))</f>
        <v>0</v>
      </c>
      <c r="Q78" s="47"/>
      <c r="R78" s="47">
        <f>IF(VLOOKUP($D78,$C$5:$AA$496,16,)=0,0,((VLOOKUP($D78,$C$5:$AA$496,16,)/VLOOKUP($D78,$C$5:$AA$496,4,))*$F78))</f>
        <v>0</v>
      </c>
      <c r="S78" s="47">
        <f>IF(VLOOKUP($D78,$C$5:$AA$496,17,)=0,0,((VLOOKUP($D78,$C$5:$AA$496,17,)/VLOOKUP($D78,$C$5:$AA$496,4,))*$F78))</f>
        <v>0</v>
      </c>
      <c r="T78" s="47"/>
      <c r="U78" s="47">
        <f>IF(VLOOKUP($D78,$C$5:$AA$496,19,)=0,0,((VLOOKUP($D78,$C$5:$AA$496,19,)/VLOOKUP($D78,$C$5:$AA$496,4,))*$F78))</f>
        <v>0</v>
      </c>
      <c r="V78" s="47"/>
      <c r="W78" s="47">
        <f>IF(VLOOKUP($D78,$C$5:$AA$496,21,)=0,0,((VLOOKUP($D78,$C$5:$AA$496,21,)/VLOOKUP($D78,$C$5:$AA$496,4,))*$F78))</f>
        <v>0</v>
      </c>
      <c r="X78" s="47"/>
      <c r="Y78" s="47">
        <f>IF(VLOOKUP($D78,$C$5:$AA$496,23,)=0,0,((VLOOKUP($D78,$C$5:$AA$496,23,)/VLOOKUP($D78,$C$5:$AA$496,4,))*$F78))</f>
        <v>0</v>
      </c>
      <c r="Z78" s="47"/>
      <c r="AA78" s="47">
        <f>IF(VLOOKUP($D78,$C$5:$AA$496,25,)=0,0,((VLOOKUP($D78,$C$5:$AA$496,25,)/VLOOKUP($D78,$C$5:$AA$496,4,))*$F78))</f>
        <v>0</v>
      </c>
      <c r="AB78" s="47">
        <f>SUM(H78:AA78)</f>
        <v>0</v>
      </c>
      <c r="AC78" s="27" t="str">
        <f>IF(ABS(AB78-F78)&lt;1,"ok","err")</f>
        <v>ok</v>
      </c>
    </row>
    <row r="79" spans="1:29" hidden="1" x14ac:dyDescent="0.2">
      <c r="Q79" s="14"/>
      <c r="AB79" s="47"/>
      <c r="AC79" s="27"/>
    </row>
    <row r="80" spans="1:29" hidden="1" x14ac:dyDescent="0.2">
      <c r="A80" s="86">
        <v>114</v>
      </c>
      <c r="B80" s="14" t="s">
        <v>831</v>
      </c>
      <c r="D80" s="14" t="s">
        <v>783</v>
      </c>
      <c r="F80" s="62">
        <v>0</v>
      </c>
      <c r="G80" s="62"/>
      <c r="H80" s="47">
        <f>IF(VLOOKUP($D80,$C$5:$AA$496,6,)=0,0,((VLOOKUP($D80,$C$5:$AA$496,6,)/VLOOKUP($D80,$C$5:$AA$496,4,))*$F80))</f>
        <v>0</v>
      </c>
      <c r="I80" s="47">
        <f>IF(VLOOKUP($D80,$C$5:$AA$496,7,)=0,0,((VLOOKUP($D80,$C$5:$AA$496,7,)/VLOOKUP($D80,$C$5:$AA$496,4,))*$F80))</f>
        <v>0</v>
      </c>
      <c r="J80" s="47"/>
      <c r="K80" s="47">
        <f>IF(VLOOKUP($D80,$C$5:$AA$496,9,)=0,0,((VLOOKUP($D80,$C$5:$AA$496,9,)/VLOOKUP($D80,$C$5:$AA$496,4,))*$F80))</f>
        <v>0</v>
      </c>
      <c r="L80" s="47"/>
      <c r="M80" s="47">
        <f>IF(VLOOKUP($D80,$C$5:$AA$496,11,)=0,0,((VLOOKUP($D80,$C$5:$AA$496,11,)/VLOOKUP($D80,$C$5:$AA$496,4,))*$F80))</f>
        <v>0</v>
      </c>
      <c r="N80" s="47"/>
      <c r="O80" s="47">
        <f>IF(VLOOKUP($D80,$C$5:$AA$496,13,)=0,0,((VLOOKUP($D80,$C$5:$AA$496,13,)/VLOOKUP($D80,$C$5:$AA$496,4,))*$F80))</f>
        <v>0</v>
      </c>
      <c r="P80" s="47">
        <f>IF(VLOOKUP($D80,$C$5:$AA$496,14,)=0,0,((VLOOKUP($D80,$C$5:$AA$496,14,)/VLOOKUP($D80,$C$5:$AA$496,4,))*$F80))</f>
        <v>0</v>
      </c>
      <c r="Q80" s="47"/>
      <c r="R80" s="47">
        <f>IF(VLOOKUP($D80,$C$5:$AA$496,16,)=0,0,((VLOOKUP($D80,$C$5:$AA$496,16,)/VLOOKUP($D80,$C$5:$AA$496,4,))*$F80))</f>
        <v>0</v>
      </c>
      <c r="S80" s="47">
        <f>IF(VLOOKUP($D80,$C$5:$AA$496,17,)=0,0,((VLOOKUP($D80,$C$5:$AA$496,17,)/VLOOKUP($D80,$C$5:$AA$496,4,))*$F80))</f>
        <v>0</v>
      </c>
      <c r="T80" s="47"/>
      <c r="U80" s="47">
        <f>IF(VLOOKUP($D80,$C$5:$AA$496,19,)=0,0,((VLOOKUP($D80,$C$5:$AA$496,19,)/VLOOKUP($D80,$C$5:$AA$496,4,))*$F80))</f>
        <v>0</v>
      </c>
      <c r="V80" s="47"/>
      <c r="W80" s="47">
        <f>IF(VLOOKUP($D80,$C$5:$AA$496,21,)=0,0,((VLOOKUP($D80,$C$5:$AA$496,21,)/VLOOKUP($D80,$C$5:$AA$496,4,))*$F80))</f>
        <v>0</v>
      </c>
      <c r="X80" s="47"/>
      <c r="Y80" s="47">
        <f>IF(VLOOKUP($D80,$C$5:$AA$496,23,)=0,0,((VLOOKUP($D80,$C$5:$AA$496,23,)/VLOOKUP($D80,$C$5:$AA$496,4,))*$F80))</f>
        <v>0</v>
      </c>
      <c r="Z80" s="47"/>
      <c r="AA80" s="47">
        <f>IF(VLOOKUP($D80,$C$5:$AA$496,25,)=0,0,((VLOOKUP($D80,$C$5:$AA$496,25,)/VLOOKUP($D80,$C$5:$AA$496,4,))*$F80))</f>
        <v>0</v>
      </c>
      <c r="AB80" s="47">
        <f>SUM(H80:AA80)</f>
        <v>0</v>
      </c>
      <c r="AC80" s="27" t="str">
        <f>IF(ABS(AB80-F80)&lt;1,"ok","err")</f>
        <v>ok</v>
      </c>
    </row>
    <row r="81" spans="1:29" hidden="1" x14ac:dyDescent="0.2">
      <c r="Q81" s="14"/>
      <c r="AB81" s="47"/>
      <c r="AC81" s="27"/>
    </row>
    <row r="82" spans="1:29" x14ac:dyDescent="0.2">
      <c r="B82" s="14" t="s">
        <v>71</v>
      </c>
      <c r="C82" s="14" t="s">
        <v>72</v>
      </c>
      <c r="F82" s="87">
        <f>F12+F24+F35+F54+F75+F77+F78+F80</f>
        <v>163218446.41000006</v>
      </c>
      <c r="G82" s="87"/>
      <c r="H82" s="87">
        <f>H12+H24+H35+H54+H75+H77+H78+H80</f>
        <v>0</v>
      </c>
      <c r="I82" s="87">
        <f>I12+I24+I35+I54+I75+I77+I78+I80</f>
        <v>0</v>
      </c>
      <c r="J82" s="87"/>
      <c r="K82" s="87">
        <f>K12+K24+K35+K54+K75+K77+K78+K80</f>
        <v>0</v>
      </c>
      <c r="L82" s="87"/>
      <c r="M82" s="87">
        <f>M12+M24+M35+M54+M75+M77+M78+M80</f>
        <v>606627.84105223278</v>
      </c>
      <c r="N82" s="87"/>
      <c r="O82" s="87">
        <f>O12+O24+O35+O54+O75+O77+O78+O80</f>
        <v>45632177.424581952</v>
      </c>
      <c r="P82" s="87">
        <f>P12+P24+P35+P54+P75+P77+P78+P80</f>
        <v>85835052.114700228</v>
      </c>
      <c r="Q82" s="87"/>
      <c r="R82" s="87">
        <f>R12+R24+R35+R54+R75+R77+R78+R80</f>
        <v>0</v>
      </c>
      <c r="S82" s="87">
        <f>S12+S24+S35+S54+S75+S77+S78+S80</f>
        <v>17827500.465616375</v>
      </c>
      <c r="T82" s="87"/>
      <c r="U82" s="87">
        <f>U12+U24+U35+U54+U75+U77+U78+U80</f>
        <v>7826659.535662083</v>
      </c>
      <c r="V82" s="87"/>
      <c r="W82" s="87">
        <f>W12+W24+W35+W54+W75+W77+W78+W80</f>
        <v>5490429.0283871293</v>
      </c>
      <c r="X82" s="87"/>
      <c r="Y82" s="87">
        <f>Y12+Y24+Y35+Y54+Y75+Y77+Y78+Y80</f>
        <v>0</v>
      </c>
      <c r="Z82" s="87"/>
      <c r="AA82" s="87">
        <f>AA12+AA24+AA35+AA54+AA75+AA77+AA78+AA80</f>
        <v>0</v>
      </c>
      <c r="AB82" s="47">
        <f>SUM(H82:AA82)</f>
        <v>163218446.41</v>
      </c>
      <c r="AC82" s="27" t="str">
        <f>IF(ABS(AB82-F82)&lt;1,"ok","err")</f>
        <v>ok</v>
      </c>
    </row>
    <row r="83" spans="1:29" x14ac:dyDescent="0.2">
      <c r="D83" s="87"/>
      <c r="F83" s="45"/>
      <c r="G83" s="47"/>
      <c r="AC83" s="27"/>
    </row>
    <row r="84" spans="1:29" x14ac:dyDescent="0.2">
      <c r="A84" s="25" t="s">
        <v>73</v>
      </c>
      <c r="F84" s="47"/>
      <c r="G84" s="47"/>
      <c r="AC84" s="27"/>
    </row>
    <row r="85" spans="1:29" x14ac:dyDescent="0.2">
      <c r="B85" s="14" t="s">
        <v>788</v>
      </c>
      <c r="C85" s="14" t="s">
        <v>553</v>
      </c>
      <c r="D85" s="14" t="s">
        <v>783</v>
      </c>
      <c r="F85" s="62">
        <v>0</v>
      </c>
      <c r="G85" s="62"/>
      <c r="H85" s="47">
        <f>IF(VLOOKUP($D85,$C$5:$AA$496,6,)=0,0,((VLOOKUP($D85,$C$5:$AA$496,6,)/VLOOKUP($D85,$C$5:$AA$496,4,))*$F85))</f>
        <v>0</v>
      </c>
      <c r="I85" s="47">
        <f>IF(VLOOKUP($D85,$C$5:$AA$496,7,)=0,0,((VLOOKUP($D85,$C$5:$AA$496,7,)/VLOOKUP($D85,$C$5:$AA$496,4,))*$F85))</f>
        <v>0</v>
      </c>
      <c r="J85" s="47"/>
      <c r="K85" s="47">
        <f>IF(VLOOKUP($D85,$C$5:$AA$496,9,)=0,0,((VLOOKUP($D85,$C$5:$AA$496,9,)/VLOOKUP($D85,$C$5:$AA$496,4,))*$F85))</f>
        <v>0</v>
      </c>
      <c r="L85" s="47"/>
      <c r="M85" s="47">
        <f>IF(VLOOKUP($D85,$C$5:$AA$496,11,)=0,0,((VLOOKUP($D85,$C$5:$AA$496,11,)/VLOOKUP($D85,$C$5:$AA$496,4,))*$F85))</f>
        <v>0</v>
      </c>
      <c r="N85" s="47"/>
      <c r="O85" s="47">
        <f>IF(VLOOKUP($D85,$C$5:$AA$496,13,)=0,0,((VLOOKUP($D85,$C$5:$AA$496,13,)/VLOOKUP($D85,$C$5:$AA$496,4,))*$F85))</f>
        <v>0</v>
      </c>
      <c r="P85" s="47">
        <f>IF(VLOOKUP($D85,$C$5:$AA$496,14,)=0,0,((VLOOKUP($D85,$C$5:$AA$496,14,)/VLOOKUP($D85,$C$5:$AA$496,4,))*$F85))</f>
        <v>0</v>
      </c>
      <c r="Q85" s="47"/>
      <c r="R85" s="47">
        <f>IF(VLOOKUP($D85,$C$5:$AA$496,16,)=0,0,((VLOOKUP($D85,$C$5:$AA$496,16,)/VLOOKUP($D85,$C$5:$AA$496,4,))*$F85))</f>
        <v>0</v>
      </c>
      <c r="S85" s="47">
        <f>IF(VLOOKUP($D85,$C$5:$AA$496,17,)=0,0,((VLOOKUP($D85,$C$5:$AA$496,17,)/VLOOKUP($D85,$C$5:$AA$496,4,))*$F85))</f>
        <v>0</v>
      </c>
      <c r="T85" s="47"/>
      <c r="U85" s="47">
        <f>IF(VLOOKUP($D85,$C$5:$AA$496,19,)=0,0,((VLOOKUP($D85,$C$5:$AA$496,19,)/VLOOKUP($D85,$C$5:$AA$496,4,))*$F85))</f>
        <v>0</v>
      </c>
      <c r="V85" s="47"/>
      <c r="W85" s="47">
        <f>IF(VLOOKUP($D85,$C$5:$AA$496,21,)=0,0,((VLOOKUP($D85,$C$5:$AA$496,21,)/VLOOKUP($D85,$C$5:$AA$496,4,))*$F85))</f>
        <v>0</v>
      </c>
      <c r="X85" s="47"/>
      <c r="Y85" s="47">
        <f>IF(VLOOKUP($D85,$C$5:$AA$496,23,)=0,0,((VLOOKUP($D85,$C$5:$AA$496,23,)/VLOOKUP($D85,$C$5:$AA$496,4,))*$F85))</f>
        <v>0</v>
      </c>
      <c r="Z85" s="47"/>
      <c r="AA85" s="47">
        <f>IF(VLOOKUP($D85,$C$5:$AA$496,25,)=0,0,((VLOOKUP($D85,$C$5:$AA$496,25,)/VLOOKUP($D85,$C$5:$AA$496,4,))*$F85))</f>
        <v>0</v>
      </c>
      <c r="AB85" s="47">
        <f>SUM(H85:AA85)</f>
        <v>0</v>
      </c>
      <c r="AC85" s="27" t="str">
        <f>IF(ABS(AB85-F85)&lt;1,"ok","err")</f>
        <v>ok</v>
      </c>
    </row>
    <row r="86" spans="1:29" x14ac:dyDescent="0.2">
      <c r="B86" s="14" t="s">
        <v>425</v>
      </c>
      <c r="C86" s="14" t="s">
        <v>554</v>
      </c>
      <c r="D86" s="14" t="s">
        <v>390</v>
      </c>
      <c r="F86" s="47">
        <v>0</v>
      </c>
      <c r="G86" s="47"/>
      <c r="H86" s="47">
        <f>IF(VLOOKUP($D86,$C$5:$AA$496,6,)=0,0,((VLOOKUP($D86,$C$5:$AA$496,6,)/VLOOKUP($D86,$C$5:$AA$496,4,))*$F86))</f>
        <v>0</v>
      </c>
      <c r="I86" s="47">
        <f>IF(VLOOKUP($D86,$C$5:$AA$496,7,)=0,0,((VLOOKUP($D86,$C$5:$AA$496,7,)/VLOOKUP($D86,$C$5:$AA$496,4,))*$F86))</f>
        <v>0</v>
      </c>
      <c r="J86" s="47"/>
      <c r="K86" s="47">
        <f>IF(VLOOKUP($D86,$C$5:$AA$496,9,)=0,0,((VLOOKUP($D86,$C$5:$AA$496,9,)/VLOOKUP($D86,$C$5:$AA$496,4,))*$F86))</f>
        <v>0</v>
      </c>
      <c r="L86" s="47"/>
      <c r="M86" s="47">
        <f>IF(VLOOKUP($D86,$C$5:$AA$496,11,)=0,0,((VLOOKUP($D86,$C$5:$AA$496,11,)/VLOOKUP($D86,$C$5:$AA$496,4,))*$F86))</f>
        <v>0</v>
      </c>
      <c r="N86" s="47"/>
      <c r="O86" s="47">
        <f>IF(VLOOKUP($D86,$C$5:$AA$496,13,)=0,0,((VLOOKUP($D86,$C$5:$AA$496,13,)/VLOOKUP($D86,$C$5:$AA$496,4,))*$F86))</f>
        <v>0</v>
      </c>
      <c r="P86" s="47">
        <f>IF(VLOOKUP($D86,$C$5:$AA$496,14,)=0,0,((VLOOKUP($D86,$C$5:$AA$496,14,)/VLOOKUP($D86,$C$5:$AA$496,4,))*$F86))</f>
        <v>0</v>
      </c>
      <c r="Q86" s="47"/>
      <c r="R86" s="47">
        <f>IF(VLOOKUP($D86,$C$5:$AA$496,16,)=0,0,((VLOOKUP($D86,$C$5:$AA$496,16,)/VLOOKUP($D86,$C$5:$AA$496,4,))*$F86))</f>
        <v>0</v>
      </c>
      <c r="S86" s="47">
        <f>IF(VLOOKUP($D86,$C$5:$AA$496,17,)=0,0,((VLOOKUP($D86,$C$5:$AA$496,17,)/VLOOKUP($D86,$C$5:$AA$496,4,))*$F86))</f>
        <v>0</v>
      </c>
      <c r="T86" s="47"/>
      <c r="U86" s="47">
        <f>IF(VLOOKUP($D86,$C$5:$AA$496,19,)=0,0,((VLOOKUP($D86,$C$5:$AA$496,19,)/VLOOKUP($D86,$C$5:$AA$496,4,))*$F86))</f>
        <v>0</v>
      </c>
      <c r="V86" s="47"/>
      <c r="W86" s="47">
        <f>IF(VLOOKUP($D86,$C$5:$AA$496,21,)=0,0,((VLOOKUP($D86,$C$5:$AA$496,21,)/VLOOKUP($D86,$C$5:$AA$496,4,))*$F86))</f>
        <v>0</v>
      </c>
      <c r="X86" s="47"/>
      <c r="Y86" s="47">
        <f>IF(VLOOKUP($D86,$C$5:$AA$496,23,)=0,0,((VLOOKUP($D86,$C$5:$AA$496,23,)/VLOOKUP($D86,$C$5:$AA$496,4,))*$F86))</f>
        <v>0</v>
      </c>
      <c r="Z86" s="47"/>
      <c r="AA86" s="47">
        <f>IF(VLOOKUP($D86,$C$5:$AA$496,25,)=0,0,((VLOOKUP($D86,$C$5:$AA$496,25,)/VLOOKUP($D86,$C$5:$AA$496,4,))*$F86))</f>
        <v>0</v>
      </c>
      <c r="AB86" s="47">
        <f>SUM(H86:AA86)</f>
        <v>0</v>
      </c>
      <c r="AC86" s="27" t="str">
        <f>IF(ABS(AB86-F86)&lt;1,"ok","err")</f>
        <v>ok</v>
      </c>
    </row>
    <row r="87" spans="1:29" x14ac:dyDescent="0.2">
      <c r="B87" s="14" t="s">
        <v>840</v>
      </c>
      <c r="C87" s="14" t="s">
        <v>555</v>
      </c>
      <c r="D87" s="14" t="s">
        <v>16</v>
      </c>
      <c r="F87" s="47">
        <v>2455646.35</v>
      </c>
      <c r="G87" s="47"/>
      <c r="H87" s="47">
        <f>IF(VLOOKUP($D87,$C$5:$AA$496,6,)=0,0,((VLOOKUP($D87,$C$5:$AA$496,6,)/VLOOKUP($D87,$C$5:$AA$496,4,))*$F87))</f>
        <v>0</v>
      </c>
      <c r="I87" s="47">
        <f>IF(VLOOKUP($D87,$C$5:$AA$496,7,)=0,0,((VLOOKUP($D87,$C$5:$AA$496,7,)/VLOOKUP($D87,$C$5:$AA$496,4,))*$F87))</f>
        <v>0</v>
      </c>
      <c r="J87" s="47"/>
      <c r="K87" s="47">
        <f>IF(VLOOKUP($D87,$C$5:$AA$496,9,)=0,0,((VLOOKUP($D87,$C$5:$AA$496,9,)/VLOOKUP($D87,$C$5:$AA$496,4,))*$F87))</f>
        <v>0</v>
      </c>
      <c r="L87" s="47"/>
      <c r="M87" s="47">
        <f>IF(VLOOKUP($D87,$C$5:$AA$496,11,)=0,0,((VLOOKUP($D87,$C$5:$AA$496,11,)/VLOOKUP($D87,$C$5:$AA$496,4,))*$F87))</f>
        <v>9126.808130168718</v>
      </c>
      <c r="N87" s="47"/>
      <c r="O87" s="47">
        <f>IF(VLOOKUP($D87,$C$5:$AA$496,13,)=0,0,((VLOOKUP($D87,$C$5:$AA$496,13,)/VLOOKUP($D87,$C$5:$AA$496,4,))*$F87))</f>
        <v>686543.04951380566</v>
      </c>
      <c r="P87" s="47">
        <f>IF(VLOOKUP($D87,$C$5:$AA$496,14,)=0,0,((VLOOKUP($D87,$C$5:$AA$496,14,)/VLOOKUP($D87,$C$5:$AA$496,4,))*$F87))</f>
        <v>1291401.4136493418</v>
      </c>
      <c r="Q87" s="47"/>
      <c r="R87" s="47">
        <f>IF(VLOOKUP($D87,$C$5:$AA$496,16,)=0,0,((VLOOKUP($D87,$C$5:$AA$496,16,)/VLOOKUP($D87,$C$5:$AA$496,4,))*$F87))</f>
        <v>0</v>
      </c>
      <c r="S87" s="47">
        <f>IF(VLOOKUP($D87,$C$5:$AA$496,17,)=0,0,((VLOOKUP($D87,$C$5:$AA$496,17,)/VLOOKUP($D87,$C$5:$AA$496,4,))*$F87))</f>
        <v>268217.45587533031</v>
      </c>
      <c r="T87" s="47"/>
      <c r="U87" s="47">
        <f>IF(VLOOKUP($D87,$C$5:$AA$496,19,)=0,0,((VLOOKUP($D87,$C$5:$AA$496,19,)/VLOOKUP($D87,$C$5:$AA$496,4,))*$F87))</f>
        <v>117753.2830643568</v>
      </c>
      <c r="V87" s="47"/>
      <c r="W87" s="47">
        <f>IF(VLOOKUP($D87,$C$5:$AA$496,21,)=0,0,((VLOOKUP($D87,$C$5:$AA$496,21,)/VLOOKUP($D87,$C$5:$AA$496,4,))*$F87))</f>
        <v>82604.339766996156</v>
      </c>
      <c r="X87" s="47"/>
      <c r="Y87" s="47">
        <f>IF(VLOOKUP($D87,$C$5:$AA$496,23,)=0,0,((VLOOKUP($D87,$C$5:$AA$496,23,)/VLOOKUP($D87,$C$5:$AA$496,4,))*$F87))</f>
        <v>0</v>
      </c>
      <c r="Z87" s="47"/>
      <c r="AA87" s="47">
        <f>IF(VLOOKUP($D87,$C$5:$AA$496,25,)=0,0,((VLOOKUP($D87,$C$5:$AA$496,25,)/VLOOKUP($D87,$C$5:$AA$496,4,))*$F87))</f>
        <v>0</v>
      </c>
      <c r="AB87" s="47">
        <f>SUM(H87:AA87)</f>
        <v>2455646.3499999992</v>
      </c>
      <c r="AC87" s="27" t="str">
        <f>IF(ABS(AB87-F87)&lt;1,"ok","err")</f>
        <v>ok</v>
      </c>
    </row>
    <row r="88" spans="1:29" x14ac:dyDescent="0.2">
      <c r="B88" s="14" t="s">
        <v>449</v>
      </c>
      <c r="C88" s="14" t="s">
        <v>556</v>
      </c>
      <c r="D88" s="14" t="s">
        <v>70</v>
      </c>
      <c r="F88" s="47">
        <v>0</v>
      </c>
      <c r="G88" s="47"/>
      <c r="H88" s="47">
        <f>IF(VLOOKUP($D88,$C$5:$AA$496,6,)=0,0,((VLOOKUP($D88,$C$5:$AA$496,6,)/VLOOKUP($D88,$C$5:$AA$496,4,))*$F88))</f>
        <v>0</v>
      </c>
      <c r="I88" s="47">
        <f>IF(VLOOKUP($D88,$C$5:$AA$496,7,)=0,0,((VLOOKUP($D88,$C$5:$AA$496,7,)/VLOOKUP($D88,$C$5:$AA$496,4,))*$F88))</f>
        <v>0</v>
      </c>
      <c r="J88" s="47"/>
      <c r="K88" s="47">
        <f>IF(VLOOKUP($D88,$C$5:$AA$496,9,)=0,0,((VLOOKUP($D88,$C$5:$AA$496,9,)/VLOOKUP($D88,$C$5:$AA$496,4,))*$F88))</f>
        <v>0</v>
      </c>
      <c r="L88" s="47"/>
      <c r="M88" s="47">
        <f>IF(VLOOKUP($D88,$C$5:$AA$496,11,)=0,0,((VLOOKUP($D88,$C$5:$AA$496,11,)/VLOOKUP($D88,$C$5:$AA$496,4,))*$F88))</f>
        <v>0</v>
      </c>
      <c r="N88" s="47"/>
      <c r="O88" s="47">
        <f>IF(VLOOKUP($D88,$C$5:$AA$496,13,)=0,0,((VLOOKUP($D88,$C$5:$AA$496,13,)/VLOOKUP($D88,$C$5:$AA$496,4,))*$F88))</f>
        <v>0</v>
      </c>
      <c r="P88" s="47">
        <f>IF(VLOOKUP($D88,$C$5:$AA$496,14,)=0,0,((VLOOKUP($D88,$C$5:$AA$496,14,)/VLOOKUP($D88,$C$5:$AA$496,4,))*$F88))</f>
        <v>0</v>
      </c>
      <c r="Q88" s="47"/>
      <c r="R88" s="47">
        <f>IF(VLOOKUP($D88,$C$5:$AA$496,16,)=0,0,((VLOOKUP($D88,$C$5:$AA$496,16,)/VLOOKUP($D88,$C$5:$AA$496,4,))*$F88))</f>
        <v>0</v>
      </c>
      <c r="S88" s="47">
        <f>IF(VLOOKUP($D88,$C$5:$AA$496,17,)=0,0,((VLOOKUP($D88,$C$5:$AA$496,17,)/VLOOKUP($D88,$C$5:$AA$496,4,))*$F88))</f>
        <v>0</v>
      </c>
      <c r="T88" s="47"/>
      <c r="U88" s="47">
        <f>IF(VLOOKUP($D88,$C$5:$AA$496,19,)=0,0,((VLOOKUP($D88,$C$5:$AA$496,19,)/VLOOKUP($D88,$C$5:$AA$496,4,))*$F88))</f>
        <v>0</v>
      </c>
      <c r="V88" s="47"/>
      <c r="W88" s="47">
        <f>IF(VLOOKUP($D88,$C$5:$AA$496,21,)=0,0,((VLOOKUP($D88,$C$5:$AA$496,21,)/VLOOKUP($D88,$C$5:$AA$496,4,))*$F88))</f>
        <v>0</v>
      </c>
      <c r="X88" s="47"/>
      <c r="Y88" s="47">
        <f>IF(VLOOKUP($D88,$C$5:$AA$496,23,)=0,0,((VLOOKUP($D88,$C$5:$AA$496,23,)/VLOOKUP($D88,$C$5:$AA$496,4,))*$F88))</f>
        <v>0</v>
      </c>
      <c r="Z88" s="47"/>
      <c r="AA88" s="47">
        <f>IF(VLOOKUP($D88,$C$5:$AA$496,25,)=0,0,((VLOOKUP($D88,$C$5:$AA$496,25,)/VLOOKUP($D88,$C$5:$AA$496,4,))*$F88))</f>
        <v>0</v>
      </c>
      <c r="AB88" s="47">
        <f>SUM(H88:AA88)</f>
        <v>0</v>
      </c>
      <c r="AC88" s="27" t="str">
        <f>IF(ABS(AB88-F88)&lt;1,"ok","err")</f>
        <v>ok</v>
      </c>
    </row>
    <row r="89" spans="1:29" x14ac:dyDescent="0.2">
      <c r="B89" s="14" t="s">
        <v>934</v>
      </c>
      <c r="C89" s="14" t="s">
        <v>557</v>
      </c>
      <c r="D89" s="14" t="s">
        <v>16</v>
      </c>
      <c r="F89" s="47">
        <v>0</v>
      </c>
      <c r="G89" s="47"/>
      <c r="H89" s="47">
        <f>IF(VLOOKUP($D89,$C$5:$AA$496,6,)=0,0,((VLOOKUP($D89,$C$5:$AA$496,6,)/VLOOKUP($D89,$C$5:$AA$496,4,))*$F89))</f>
        <v>0</v>
      </c>
      <c r="I89" s="47">
        <f>IF(VLOOKUP($D89,$C$5:$AA$496,7,)=0,0,((VLOOKUP($D89,$C$5:$AA$496,7,)/VLOOKUP($D89,$C$5:$AA$496,4,))*$F89))</f>
        <v>0</v>
      </c>
      <c r="J89" s="47"/>
      <c r="K89" s="47">
        <f>IF(VLOOKUP($D89,$C$5:$AA$496,9,)=0,0,((VLOOKUP($D89,$C$5:$AA$496,9,)/VLOOKUP($D89,$C$5:$AA$496,4,))*$F89))</f>
        <v>0</v>
      </c>
      <c r="L89" s="47"/>
      <c r="M89" s="47">
        <f>IF(VLOOKUP($D89,$C$5:$AA$496,11,)=0,0,((VLOOKUP($D89,$C$5:$AA$496,11,)/VLOOKUP($D89,$C$5:$AA$496,4,))*$F89))</f>
        <v>0</v>
      </c>
      <c r="N89" s="47"/>
      <c r="O89" s="47">
        <f>IF(VLOOKUP($D89,$C$5:$AA$496,13,)=0,0,((VLOOKUP($D89,$C$5:$AA$496,13,)/VLOOKUP($D89,$C$5:$AA$496,4,))*$F89))</f>
        <v>0</v>
      </c>
      <c r="P89" s="47">
        <f>IF(VLOOKUP($D89,$C$5:$AA$496,14,)=0,0,((VLOOKUP($D89,$C$5:$AA$496,14,)/VLOOKUP($D89,$C$5:$AA$496,4,))*$F89))</f>
        <v>0</v>
      </c>
      <c r="Q89" s="47"/>
      <c r="R89" s="47">
        <f>IF(VLOOKUP($D89,$C$5:$AA$496,16,)=0,0,((VLOOKUP($D89,$C$5:$AA$496,16,)/VLOOKUP($D89,$C$5:$AA$496,4,))*$F89))</f>
        <v>0</v>
      </c>
      <c r="S89" s="47">
        <f>IF(VLOOKUP($D89,$C$5:$AA$496,17,)=0,0,((VLOOKUP($D89,$C$5:$AA$496,17,)/VLOOKUP($D89,$C$5:$AA$496,4,))*$F89))</f>
        <v>0</v>
      </c>
      <c r="T89" s="47"/>
      <c r="U89" s="47">
        <f>IF(VLOOKUP($D89,$C$5:$AA$496,19,)=0,0,((VLOOKUP($D89,$C$5:$AA$496,19,)/VLOOKUP($D89,$C$5:$AA$496,4,))*$F89))</f>
        <v>0</v>
      </c>
      <c r="V89" s="47"/>
      <c r="W89" s="47">
        <f>IF(VLOOKUP($D89,$C$5:$AA$496,21,)=0,0,((VLOOKUP($D89,$C$5:$AA$496,21,)/VLOOKUP($D89,$C$5:$AA$496,4,))*$F89))</f>
        <v>0</v>
      </c>
      <c r="X89" s="47"/>
      <c r="Y89" s="47">
        <f>IF(VLOOKUP($D89,$C$5:$AA$496,23,)=0,0,((VLOOKUP($D89,$C$5:$AA$496,23,)/VLOOKUP($D89,$C$5:$AA$496,4,))*$F89))</f>
        <v>0</v>
      </c>
      <c r="Z89" s="47"/>
      <c r="AA89" s="47">
        <f>IF(VLOOKUP($D89,$C$5:$AA$496,25,)=0,0,((VLOOKUP($D89,$C$5:$AA$496,25,)/VLOOKUP($D89,$C$5:$AA$496,4,))*$F89))</f>
        <v>0</v>
      </c>
      <c r="AB89" s="47">
        <f>SUM(H89:AA89)</f>
        <v>0</v>
      </c>
      <c r="AC89" s="27" t="str">
        <f>IF(ABS(AB89-F89)&lt;1,"ok","err")</f>
        <v>ok</v>
      </c>
    </row>
    <row r="90" spans="1:29" x14ac:dyDescent="0.2">
      <c r="F90" s="47"/>
      <c r="G90" s="47"/>
      <c r="AB90" s="47"/>
      <c r="AC90" s="27"/>
    </row>
    <row r="91" spans="1:29" x14ac:dyDescent="0.2">
      <c r="A91" s="89" t="s">
        <v>74</v>
      </c>
      <c r="C91" s="14" t="s">
        <v>75</v>
      </c>
      <c r="F91" s="62">
        <f>SUM(F85:F89)</f>
        <v>2455646.35</v>
      </c>
      <c r="G91" s="62"/>
      <c r="H91" s="62">
        <f>SUM(H85:H89)</f>
        <v>0</v>
      </c>
      <c r="I91" s="62">
        <f>SUM(I85:I89)</f>
        <v>0</v>
      </c>
      <c r="J91" s="62"/>
      <c r="K91" s="62">
        <f>SUM(K85:K89)</f>
        <v>0</v>
      </c>
      <c r="L91" s="62"/>
      <c r="M91" s="62">
        <f>SUM(M85:M89)</f>
        <v>9126.808130168718</v>
      </c>
      <c r="N91" s="62"/>
      <c r="O91" s="62">
        <f>SUM(O85:O89)</f>
        <v>686543.04951380566</v>
      </c>
      <c r="P91" s="62">
        <f>SUM(P85:P89)</f>
        <v>1291401.4136493418</v>
      </c>
      <c r="Q91" s="62"/>
      <c r="R91" s="62">
        <f>SUM(R85:R89)</f>
        <v>0</v>
      </c>
      <c r="S91" s="62">
        <f>SUM(S85:S89)</f>
        <v>268217.45587533031</v>
      </c>
      <c r="T91" s="62"/>
      <c r="U91" s="62">
        <f>SUM(U85:U89)</f>
        <v>117753.2830643568</v>
      </c>
      <c r="V91" s="62"/>
      <c r="W91" s="62">
        <f>SUM(W85:W89)</f>
        <v>82604.339766996156</v>
      </c>
      <c r="X91" s="62"/>
      <c r="Y91" s="62">
        <f>SUM(Y85:Y89)</f>
        <v>0</v>
      </c>
      <c r="Z91" s="62"/>
      <c r="AA91" s="62">
        <f>SUM(AA85:AA89)</f>
        <v>0</v>
      </c>
      <c r="AB91" s="47">
        <f>SUM(H91:AA91)</f>
        <v>2455646.3499999992</v>
      </c>
      <c r="AC91" s="27" t="str">
        <f>IF(ABS(AB91-F91)&lt;1,"ok","err")</f>
        <v>ok</v>
      </c>
    </row>
    <row r="92" spans="1:29" x14ac:dyDescent="0.2">
      <c r="A92" s="89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47"/>
      <c r="AC92" s="27"/>
    </row>
    <row r="93" spans="1:29" x14ac:dyDescent="0.2">
      <c r="A93" s="13" t="s">
        <v>367</v>
      </c>
      <c r="D93" s="87"/>
      <c r="F93" s="62">
        <f>F82+F91</f>
        <v>165674092.76000005</v>
      </c>
      <c r="G93" s="62"/>
      <c r="H93" s="62">
        <f>H82+H91</f>
        <v>0</v>
      </c>
      <c r="I93" s="62">
        <f>I82+I91</f>
        <v>0</v>
      </c>
      <c r="J93" s="62"/>
      <c r="K93" s="62">
        <f>K82+K91</f>
        <v>0</v>
      </c>
      <c r="L93" s="62"/>
      <c r="M93" s="62">
        <f>M82+M91</f>
        <v>615754.64918240148</v>
      </c>
      <c r="N93" s="62"/>
      <c r="O93" s="62">
        <f>O82+O91</f>
        <v>46318720.474095762</v>
      </c>
      <c r="P93" s="62">
        <f>P82+P91</f>
        <v>87126453.528349563</v>
      </c>
      <c r="Q93" s="62"/>
      <c r="R93" s="62">
        <f>R82+R91</f>
        <v>0</v>
      </c>
      <c r="S93" s="62">
        <f>S82+S91</f>
        <v>18095717.921491705</v>
      </c>
      <c r="T93" s="62"/>
      <c r="U93" s="62">
        <f>U82+U91</f>
        <v>7944412.81872644</v>
      </c>
      <c r="V93" s="62"/>
      <c r="W93" s="62">
        <f>W82+W91</f>
        <v>5573033.3681541253</v>
      </c>
      <c r="X93" s="62"/>
      <c r="Y93" s="62">
        <f>Y82+Y91</f>
        <v>0</v>
      </c>
      <c r="Z93" s="62"/>
      <c r="AA93" s="62">
        <f>AA82+AA91</f>
        <v>0</v>
      </c>
      <c r="AB93" s="47">
        <f>SUM(H93:AA93)</f>
        <v>165674092.76000002</v>
      </c>
      <c r="AC93" s="27" t="str">
        <f>IF(ABS(AB93-F93)&lt;1,"ok","err")</f>
        <v>ok</v>
      </c>
    </row>
    <row r="94" spans="1:29" x14ac:dyDescent="0.2">
      <c r="AC94" s="27"/>
    </row>
    <row r="95" spans="1:29" x14ac:dyDescent="0.2">
      <c r="A95" s="25" t="s">
        <v>76</v>
      </c>
      <c r="F95" s="87"/>
      <c r="G95" s="87"/>
      <c r="AC95" s="27"/>
    </row>
    <row r="96" spans="1:29" x14ac:dyDescent="0.2">
      <c r="AC96" s="27"/>
    </row>
    <row r="97" spans="1:29" x14ac:dyDescent="0.2">
      <c r="A97" s="25" t="s">
        <v>77</v>
      </c>
      <c r="AC97" s="27"/>
    </row>
    <row r="98" spans="1:29" x14ac:dyDescent="0.2">
      <c r="A98" s="14" t="s">
        <v>15</v>
      </c>
      <c r="F98" s="87">
        <f>F82</f>
        <v>163218446.41000006</v>
      </c>
      <c r="G98" s="87"/>
      <c r="H98" s="87">
        <f>H82</f>
        <v>0</v>
      </c>
      <c r="I98" s="87">
        <f>I82</f>
        <v>0</v>
      </c>
      <c r="J98" s="87"/>
      <c r="K98" s="87">
        <f>K82</f>
        <v>0</v>
      </c>
      <c r="L98" s="87"/>
      <c r="M98" s="87">
        <f>M82</f>
        <v>606627.84105223278</v>
      </c>
      <c r="N98" s="87"/>
      <c r="O98" s="87">
        <f>O82</f>
        <v>45632177.424581952</v>
      </c>
      <c r="P98" s="87">
        <f>P82</f>
        <v>85835052.114700228</v>
      </c>
      <c r="Q98" s="87"/>
      <c r="R98" s="87">
        <f>R82</f>
        <v>0</v>
      </c>
      <c r="S98" s="87">
        <f>S82</f>
        <v>17827500.465616375</v>
      </c>
      <c r="T98" s="87"/>
      <c r="U98" s="87">
        <f>U82</f>
        <v>7826659.535662083</v>
      </c>
      <c r="V98" s="87"/>
      <c r="W98" s="87">
        <f>W82</f>
        <v>5490429.0283871293</v>
      </c>
      <c r="X98" s="87"/>
      <c r="Y98" s="87">
        <f>Y82</f>
        <v>0</v>
      </c>
      <c r="Z98" s="87"/>
      <c r="AA98" s="87">
        <f>AA82</f>
        <v>0</v>
      </c>
      <c r="AB98" s="47">
        <f>SUM(H98:AA98)</f>
        <v>163218446.41</v>
      </c>
      <c r="AC98" s="27" t="str">
        <f>IF(ABS(AB98-F98)&lt;1,"ok","err")</f>
        <v>ok</v>
      </c>
    </row>
    <row r="99" spans="1:29" x14ac:dyDescent="0.2">
      <c r="A99" s="14" t="s">
        <v>73</v>
      </c>
      <c r="F99" s="47">
        <f>F91</f>
        <v>2455646.35</v>
      </c>
      <c r="G99" s="47"/>
      <c r="H99" s="45">
        <f>H91</f>
        <v>0</v>
      </c>
      <c r="I99" s="45">
        <f>I91</f>
        <v>0</v>
      </c>
      <c r="J99" s="45"/>
      <c r="K99" s="45">
        <f>K91</f>
        <v>0</v>
      </c>
      <c r="L99" s="45"/>
      <c r="M99" s="45">
        <f>M91</f>
        <v>9126.808130168718</v>
      </c>
      <c r="N99" s="45"/>
      <c r="O99" s="45">
        <f>O91</f>
        <v>686543.04951380566</v>
      </c>
      <c r="P99" s="45">
        <f>P91</f>
        <v>1291401.4136493418</v>
      </c>
      <c r="Q99" s="45"/>
      <c r="R99" s="45">
        <f>R91</f>
        <v>0</v>
      </c>
      <c r="S99" s="45">
        <f>S91</f>
        <v>268217.45587533031</v>
      </c>
      <c r="T99" s="45"/>
      <c r="U99" s="45">
        <f>U91</f>
        <v>117753.2830643568</v>
      </c>
      <c r="V99" s="45"/>
      <c r="W99" s="45">
        <f>W91</f>
        <v>82604.339766996156</v>
      </c>
      <c r="X99" s="45"/>
      <c r="Y99" s="45">
        <f>Y91</f>
        <v>0</v>
      </c>
      <c r="Z99" s="45"/>
      <c r="AA99" s="47">
        <f>AA91</f>
        <v>0</v>
      </c>
      <c r="AB99" s="47">
        <f>SUM(H99:AA99)</f>
        <v>2455646.3499999992</v>
      </c>
      <c r="AC99" s="27" t="str">
        <f>IF(ABS(AB99-F99)&lt;1,"ok","err")</f>
        <v>ok</v>
      </c>
    </row>
    <row r="100" spans="1:29" x14ac:dyDescent="0.2">
      <c r="Q100" s="14"/>
      <c r="AB100" s="47"/>
      <c r="AC100" s="27"/>
    </row>
    <row r="101" spans="1:29" x14ac:dyDescent="0.2">
      <c r="A101" s="89" t="s">
        <v>78</v>
      </c>
      <c r="C101" s="14" t="s">
        <v>79</v>
      </c>
      <c r="F101" s="87">
        <f>F98+F99</f>
        <v>165674092.76000005</v>
      </c>
      <c r="G101" s="87"/>
      <c r="H101" s="87">
        <f t="shared" ref="H101:AA101" si="61">H98+H99</f>
        <v>0</v>
      </c>
      <c r="I101" s="87">
        <f t="shared" si="61"/>
        <v>0</v>
      </c>
      <c r="J101" s="87"/>
      <c r="K101" s="87">
        <f t="shared" si="61"/>
        <v>0</v>
      </c>
      <c r="L101" s="87"/>
      <c r="M101" s="87">
        <f t="shared" si="61"/>
        <v>615754.64918240148</v>
      </c>
      <c r="N101" s="87"/>
      <c r="O101" s="87">
        <f t="shared" si="61"/>
        <v>46318720.474095762</v>
      </c>
      <c r="P101" s="87">
        <f t="shared" si="61"/>
        <v>87126453.528349563</v>
      </c>
      <c r="Q101" s="87"/>
      <c r="R101" s="87">
        <f t="shared" si="61"/>
        <v>0</v>
      </c>
      <c r="S101" s="87">
        <f t="shared" si="61"/>
        <v>18095717.921491705</v>
      </c>
      <c r="T101" s="87"/>
      <c r="U101" s="87">
        <f t="shared" si="61"/>
        <v>7944412.81872644</v>
      </c>
      <c r="V101" s="87"/>
      <c r="W101" s="87">
        <f t="shared" si="61"/>
        <v>5573033.3681541253</v>
      </c>
      <c r="X101" s="87"/>
      <c r="Y101" s="87">
        <f t="shared" si="61"/>
        <v>0</v>
      </c>
      <c r="Z101" s="87"/>
      <c r="AA101" s="87">
        <f t="shared" si="61"/>
        <v>0</v>
      </c>
      <c r="AB101" s="47">
        <f>SUM(H101:AA101)</f>
        <v>165674092.76000002</v>
      </c>
      <c r="AC101" s="27" t="str">
        <f>IF(ABS(AB101-F101)&lt;1,"ok","err")</f>
        <v>ok</v>
      </c>
    </row>
    <row r="102" spans="1:29" x14ac:dyDescent="0.2">
      <c r="Q102" s="14"/>
      <c r="AC102" s="27"/>
    </row>
    <row r="103" spans="1:29" x14ac:dyDescent="0.2">
      <c r="A103" s="25" t="s">
        <v>80</v>
      </c>
      <c r="Q103" s="14"/>
      <c r="AC103" s="27"/>
    </row>
    <row r="104" spans="1:29" x14ac:dyDescent="0.2">
      <c r="A104" s="14" t="s">
        <v>369</v>
      </c>
      <c r="C104" s="14" t="s">
        <v>393</v>
      </c>
      <c r="D104" s="14" t="s">
        <v>79</v>
      </c>
      <c r="F104" s="62">
        <v>0</v>
      </c>
      <c r="G104" s="62"/>
      <c r="H104" s="47">
        <f t="shared" ref="H104:H122" si="62">IF(VLOOKUP($D104,$C$5:$AA$496,6,)=0,0,((VLOOKUP($D104,$C$5:$AA$496,6,)/VLOOKUP($D104,$C$5:$AA$496,4,))*$F104))</f>
        <v>0</v>
      </c>
      <c r="I104" s="47">
        <f t="shared" ref="I104:I122" si="63">IF(VLOOKUP($D104,$C$5:$AA$496,7,)=0,0,((VLOOKUP($D104,$C$5:$AA$496,7,)/VLOOKUP($D104,$C$5:$AA$496,4,))*$F104))</f>
        <v>0</v>
      </c>
      <c r="J104" s="47"/>
      <c r="K104" s="47">
        <f t="shared" ref="K104:K122" si="64">IF(VLOOKUP($D104,$C$5:$AA$496,9,)=0,0,((VLOOKUP($D104,$C$5:$AA$496,9,)/VLOOKUP($D104,$C$5:$AA$496,4,))*$F104))</f>
        <v>0</v>
      </c>
      <c r="L104" s="47"/>
      <c r="M104" s="47">
        <f t="shared" ref="M104:M122" si="65">IF(VLOOKUP($D104,$C$5:$AA$496,11,)=0,0,((VLOOKUP($D104,$C$5:$AA$496,11,)/VLOOKUP($D104,$C$5:$AA$496,4,))*$F104))</f>
        <v>0</v>
      </c>
      <c r="N104" s="47"/>
      <c r="O104" s="47">
        <f t="shared" ref="O104:O122" si="66">IF(VLOOKUP($D104,$C$5:$AA$496,13,)=0,0,((VLOOKUP($D104,$C$5:$AA$496,13,)/VLOOKUP($D104,$C$5:$AA$496,4,))*$F104))</f>
        <v>0</v>
      </c>
      <c r="P104" s="47">
        <f t="shared" ref="P104:P122" si="67">IF(VLOOKUP($D104,$C$5:$AA$496,14,)=0,0,((VLOOKUP($D104,$C$5:$AA$496,14,)/VLOOKUP($D104,$C$5:$AA$496,4,))*$F104))</f>
        <v>0</v>
      </c>
      <c r="Q104" s="47"/>
      <c r="R104" s="47">
        <f t="shared" ref="R104:R122" si="68">IF(VLOOKUP($D104,$C$5:$AA$496,16,)=0,0,((VLOOKUP($D104,$C$5:$AA$496,16,)/VLOOKUP($D104,$C$5:$AA$496,4,))*$F104))</f>
        <v>0</v>
      </c>
      <c r="S104" s="47">
        <f t="shared" ref="S104:S122" si="69">IF(VLOOKUP($D104,$C$5:$AA$496,17,)=0,0,((VLOOKUP($D104,$C$5:$AA$496,17,)/VLOOKUP($D104,$C$5:$AA$496,4,))*$F104))</f>
        <v>0</v>
      </c>
      <c r="T104" s="47"/>
      <c r="U104" s="47">
        <f t="shared" ref="U104:U122" si="70">IF(VLOOKUP($D104,$C$5:$AA$496,19,)=0,0,((VLOOKUP($D104,$C$5:$AA$496,19,)/VLOOKUP($D104,$C$5:$AA$496,4,))*$F104))</f>
        <v>0</v>
      </c>
      <c r="V104" s="47"/>
      <c r="W104" s="47">
        <f t="shared" ref="W104:W122" si="71">IF(VLOOKUP($D104,$C$5:$AA$496,21,)=0,0,((VLOOKUP($D104,$C$5:$AA$496,21,)/VLOOKUP($D104,$C$5:$AA$496,4,))*$F104))</f>
        <v>0</v>
      </c>
      <c r="X104" s="47"/>
      <c r="Y104" s="47">
        <f t="shared" ref="Y104:Y122" si="72">IF(VLOOKUP($D104,$C$5:$AA$496,23,)=0,0,((VLOOKUP($D104,$C$5:$AA$496,23,)/VLOOKUP($D104,$C$5:$AA$496,4,))*$F104))</f>
        <v>0</v>
      </c>
      <c r="Z104" s="47"/>
      <c r="AA104" s="47">
        <f t="shared" ref="AA104:AA122" si="73">IF(VLOOKUP($D104,$C$5:$AA$496,25,)=0,0,((VLOOKUP($D104,$C$5:$AA$496,25,)/VLOOKUP($D104,$C$5:$AA$496,4,))*$F104))</f>
        <v>0</v>
      </c>
      <c r="AB104" s="47">
        <f t="shared" ref="AB104:AB122" si="74">SUM(H104:AA104)</f>
        <v>0</v>
      </c>
      <c r="AC104" s="27" t="str">
        <f t="shared" ref="AC104:AC110" si="75">IF(ABS(AB104-F104)&lt;1,"ok","err")</f>
        <v>ok</v>
      </c>
    </row>
    <row r="105" spans="1:29" x14ac:dyDescent="0.2">
      <c r="A105" s="14" t="s">
        <v>370</v>
      </c>
      <c r="C105" s="14" t="s">
        <v>394</v>
      </c>
      <c r="D105" s="14" t="s">
        <v>16</v>
      </c>
      <c r="F105" s="47">
        <v>-425069.61</v>
      </c>
      <c r="G105" s="47"/>
      <c r="H105" s="47">
        <f t="shared" si="62"/>
        <v>0</v>
      </c>
      <c r="I105" s="47">
        <f t="shared" si="63"/>
        <v>0</v>
      </c>
      <c r="J105" s="47"/>
      <c r="K105" s="47">
        <f t="shared" si="64"/>
        <v>0</v>
      </c>
      <c r="L105" s="47"/>
      <c r="M105" s="47">
        <f t="shared" si="65"/>
        <v>-1579.8401803401559</v>
      </c>
      <c r="N105" s="47"/>
      <c r="O105" s="47">
        <f t="shared" si="66"/>
        <v>-118839.82655118236</v>
      </c>
      <c r="P105" s="47">
        <f t="shared" si="67"/>
        <v>-223540.12631068571</v>
      </c>
      <c r="Q105" s="47"/>
      <c r="R105" s="47">
        <f t="shared" si="68"/>
        <v>0</v>
      </c>
      <c r="S105" s="47">
        <f t="shared" si="69"/>
        <v>-46428.138711471569</v>
      </c>
      <c r="T105" s="47"/>
      <c r="U105" s="47">
        <f t="shared" si="70"/>
        <v>-20382.960318527035</v>
      </c>
      <c r="V105" s="47"/>
      <c r="W105" s="47">
        <f t="shared" si="71"/>
        <v>-14298.717927793041</v>
      </c>
      <c r="X105" s="47"/>
      <c r="Y105" s="47">
        <f t="shared" si="72"/>
        <v>0</v>
      </c>
      <c r="Z105" s="47"/>
      <c r="AA105" s="47">
        <f t="shared" si="73"/>
        <v>0</v>
      </c>
      <c r="AB105" s="47">
        <f t="shared" si="74"/>
        <v>-425069.60999999981</v>
      </c>
      <c r="AC105" s="27" t="str">
        <f t="shared" si="75"/>
        <v>ok</v>
      </c>
    </row>
    <row r="106" spans="1:29" x14ac:dyDescent="0.2">
      <c r="A106" s="14" t="s">
        <v>834</v>
      </c>
      <c r="C106" s="14" t="s">
        <v>839</v>
      </c>
      <c r="D106" s="14" t="s">
        <v>783</v>
      </c>
      <c r="F106" s="47">
        <v>0</v>
      </c>
      <c r="G106" s="47"/>
      <c r="H106" s="47">
        <f t="shared" si="62"/>
        <v>0</v>
      </c>
      <c r="I106" s="47">
        <f t="shared" si="63"/>
        <v>0</v>
      </c>
      <c r="J106" s="47"/>
      <c r="K106" s="47">
        <f t="shared" si="64"/>
        <v>0</v>
      </c>
      <c r="L106" s="47"/>
      <c r="M106" s="47">
        <f t="shared" si="65"/>
        <v>0</v>
      </c>
      <c r="N106" s="47"/>
      <c r="O106" s="47">
        <f t="shared" si="66"/>
        <v>0</v>
      </c>
      <c r="P106" s="47">
        <f t="shared" si="67"/>
        <v>0</v>
      </c>
      <c r="Q106" s="47"/>
      <c r="R106" s="47">
        <f t="shared" si="68"/>
        <v>0</v>
      </c>
      <c r="S106" s="47">
        <f t="shared" si="69"/>
        <v>0</v>
      </c>
      <c r="T106" s="47"/>
      <c r="U106" s="47">
        <f t="shared" si="70"/>
        <v>0</v>
      </c>
      <c r="V106" s="47"/>
      <c r="W106" s="47">
        <f t="shared" si="71"/>
        <v>0</v>
      </c>
      <c r="X106" s="47"/>
      <c r="Y106" s="47">
        <f t="shared" si="72"/>
        <v>0</v>
      </c>
      <c r="Z106" s="47"/>
      <c r="AA106" s="47">
        <f t="shared" si="73"/>
        <v>0</v>
      </c>
      <c r="AB106" s="47">
        <f t="shared" si="74"/>
        <v>0</v>
      </c>
      <c r="AC106" s="27" t="str">
        <f t="shared" si="75"/>
        <v>ok</v>
      </c>
    </row>
    <row r="107" spans="1:29" x14ac:dyDescent="0.2">
      <c r="A107" s="14" t="s">
        <v>368</v>
      </c>
      <c r="C107" s="14" t="s">
        <v>395</v>
      </c>
      <c r="D107" s="14" t="s">
        <v>390</v>
      </c>
      <c r="F107" s="47">
        <v>0</v>
      </c>
      <c r="G107" s="47"/>
      <c r="H107" s="47">
        <f t="shared" si="62"/>
        <v>0</v>
      </c>
      <c r="I107" s="47">
        <f t="shared" si="63"/>
        <v>0</v>
      </c>
      <c r="J107" s="47"/>
      <c r="K107" s="47">
        <f t="shared" si="64"/>
        <v>0</v>
      </c>
      <c r="L107" s="47"/>
      <c r="M107" s="47">
        <f t="shared" si="65"/>
        <v>0</v>
      </c>
      <c r="N107" s="47"/>
      <c r="O107" s="47">
        <f t="shared" si="66"/>
        <v>0</v>
      </c>
      <c r="P107" s="47">
        <f t="shared" si="67"/>
        <v>0</v>
      </c>
      <c r="Q107" s="47"/>
      <c r="R107" s="47">
        <f t="shared" si="68"/>
        <v>0</v>
      </c>
      <c r="S107" s="47">
        <f t="shared" si="69"/>
        <v>0</v>
      </c>
      <c r="T107" s="47"/>
      <c r="U107" s="47">
        <f t="shared" si="70"/>
        <v>0</v>
      </c>
      <c r="V107" s="47"/>
      <c r="W107" s="47">
        <f t="shared" si="71"/>
        <v>0</v>
      </c>
      <c r="X107" s="47"/>
      <c r="Y107" s="47">
        <f t="shared" si="72"/>
        <v>0</v>
      </c>
      <c r="Z107" s="47"/>
      <c r="AA107" s="47">
        <f t="shared" si="73"/>
        <v>0</v>
      </c>
      <c r="AB107" s="47">
        <f t="shared" si="74"/>
        <v>0</v>
      </c>
      <c r="AC107" s="27" t="str">
        <f t="shared" si="75"/>
        <v>ok</v>
      </c>
    </row>
    <row r="108" spans="1:29" x14ac:dyDescent="0.2">
      <c r="A108" s="14" t="s">
        <v>1047</v>
      </c>
      <c r="C108" s="14" t="s">
        <v>448</v>
      </c>
      <c r="D108" s="14" t="s">
        <v>16</v>
      </c>
      <c r="F108" s="47">
        <v>47788945.770000003</v>
      </c>
      <c r="G108" s="47"/>
      <c r="H108" s="47">
        <f t="shared" si="62"/>
        <v>0</v>
      </c>
      <c r="I108" s="47">
        <f t="shared" si="63"/>
        <v>0</v>
      </c>
      <c r="J108" s="47"/>
      <c r="K108" s="47">
        <f t="shared" si="64"/>
        <v>0</v>
      </c>
      <c r="L108" s="47"/>
      <c r="M108" s="47">
        <f t="shared" si="65"/>
        <v>177615.37152360231</v>
      </c>
      <c r="N108" s="47"/>
      <c r="O108" s="47">
        <f t="shared" si="66"/>
        <v>13360705.853261681</v>
      </c>
      <c r="P108" s="47">
        <f t="shared" si="67"/>
        <v>25131758.945741408</v>
      </c>
      <c r="Q108" s="47"/>
      <c r="R108" s="47">
        <f t="shared" si="68"/>
        <v>0</v>
      </c>
      <c r="S108" s="47">
        <f t="shared" si="69"/>
        <v>5219737.5462446082</v>
      </c>
      <c r="T108" s="47"/>
      <c r="U108" s="47">
        <f t="shared" si="70"/>
        <v>2291578.0436389009</v>
      </c>
      <c r="V108" s="47"/>
      <c r="W108" s="47">
        <f t="shared" si="71"/>
        <v>1607550.0095897904</v>
      </c>
      <c r="X108" s="47"/>
      <c r="Y108" s="47">
        <f t="shared" si="72"/>
        <v>0</v>
      </c>
      <c r="Z108" s="47"/>
      <c r="AA108" s="47">
        <f t="shared" si="73"/>
        <v>0</v>
      </c>
      <c r="AB108" s="47">
        <f t="shared" si="74"/>
        <v>47788945.769999988</v>
      </c>
      <c r="AC108" s="27" t="str">
        <f t="shared" si="75"/>
        <v>ok</v>
      </c>
    </row>
    <row r="109" spans="1:29" x14ac:dyDescent="0.2">
      <c r="A109" s="14" t="s">
        <v>426</v>
      </c>
      <c r="C109" s="14" t="s">
        <v>436</v>
      </c>
      <c r="D109" s="14" t="s">
        <v>424</v>
      </c>
      <c r="F109" s="47">
        <v>0</v>
      </c>
      <c r="G109" s="47"/>
      <c r="H109" s="47">
        <f t="shared" si="62"/>
        <v>0</v>
      </c>
      <c r="I109" s="47">
        <f t="shared" si="63"/>
        <v>0</v>
      </c>
      <c r="J109" s="47"/>
      <c r="K109" s="47">
        <f t="shared" si="64"/>
        <v>0</v>
      </c>
      <c r="L109" s="47"/>
      <c r="M109" s="47">
        <f t="shared" si="65"/>
        <v>0</v>
      </c>
      <c r="N109" s="47"/>
      <c r="O109" s="47">
        <f t="shared" si="66"/>
        <v>0</v>
      </c>
      <c r="P109" s="47">
        <f t="shared" si="67"/>
        <v>0</v>
      </c>
      <c r="Q109" s="47"/>
      <c r="R109" s="47">
        <f t="shared" si="68"/>
        <v>0</v>
      </c>
      <c r="S109" s="47">
        <f t="shared" si="69"/>
        <v>0</v>
      </c>
      <c r="T109" s="47"/>
      <c r="U109" s="47">
        <f t="shared" si="70"/>
        <v>0</v>
      </c>
      <c r="V109" s="47"/>
      <c r="W109" s="47">
        <f t="shared" si="71"/>
        <v>0</v>
      </c>
      <c r="X109" s="47"/>
      <c r="Y109" s="47">
        <f t="shared" si="72"/>
        <v>0</v>
      </c>
      <c r="Z109" s="47"/>
      <c r="AA109" s="47">
        <f t="shared" si="73"/>
        <v>0</v>
      </c>
      <c r="AB109" s="47">
        <f t="shared" si="74"/>
        <v>0</v>
      </c>
      <c r="AC109" s="27" t="str">
        <f t="shared" si="75"/>
        <v>ok</v>
      </c>
    </row>
    <row r="110" spans="1:29" x14ac:dyDescent="0.2">
      <c r="A110" s="14" t="s">
        <v>427</v>
      </c>
      <c r="C110" s="14" t="s">
        <v>437</v>
      </c>
      <c r="D110" s="14" t="s">
        <v>23</v>
      </c>
      <c r="F110" s="47">
        <v>0</v>
      </c>
      <c r="G110" s="47"/>
      <c r="H110" s="47">
        <f t="shared" si="62"/>
        <v>0</v>
      </c>
      <c r="I110" s="47">
        <f t="shared" si="63"/>
        <v>0</v>
      </c>
      <c r="J110" s="47"/>
      <c r="K110" s="47">
        <f t="shared" si="64"/>
        <v>0</v>
      </c>
      <c r="L110" s="47"/>
      <c r="M110" s="47">
        <f t="shared" si="65"/>
        <v>0</v>
      </c>
      <c r="N110" s="47"/>
      <c r="O110" s="47">
        <f t="shared" si="66"/>
        <v>0</v>
      </c>
      <c r="P110" s="47">
        <f t="shared" si="67"/>
        <v>0</v>
      </c>
      <c r="Q110" s="47"/>
      <c r="R110" s="47">
        <f t="shared" si="68"/>
        <v>0</v>
      </c>
      <c r="S110" s="47">
        <f t="shared" si="69"/>
        <v>0</v>
      </c>
      <c r="T110" s="47"/>
      <c r="U110" s="47">
        <f t="shared" si="70"/>
        <v>0</v>
      </c>
      <c r="V110" s="47"/>
      <c r="W110" s="47">
        <f t="shared" si="71"/>
        <v>0</v>
      </c>
      <c r="X110" s="47"/>
      <c r="Y110" s="47">
        <f t="shared" si="72"/>
        <v>0</v>
      </c>
      <c r="Z110" s="47"/>
      <c r="AA110" s="47">
        <f t="shared" si="73"/>
        <v>0</v>
      </c>
      <c r="AB110" s="47">
        <f t="shared" si="74"/>
        <v>0</v>
      </c>
      <c r="AC110" s="27" t="str">
        <f t="shared" si="75"/>
        <v>ok</v>
      </c>
    </row>
    <row r="111" spans="1:29" x14ac:dyDescent="0.2">
      <c r="A111" s="14" t="s">
        <v>428</v>
      </c>
      <c r="C111" s="14" t="s">
        <v>438</v>
      </c>
      <c r="D111" s="14" t="s">
        <v>26</v>
      </c>
      <c r="F111" s="47">
        <v>0</v>
      </c>
      <c r="G111" s="47"/>
      <c r="H111" s="47">
        <f t="shared" si="62"/>
        <v>0</v>
      </c>
      <c r="I111" s="47">
        <f t="shared" si="63"/>
        <v>0</v>
      </c>
      <c r="J111" s="47"/>
      <c r="K111" s="47">
        <f t="shared" si="64"/>
        <v>0</v>
      </c>
      <c r="L111" s="47"/>
      <c r="M111" s="47">
        <f t="shared" si="65"/>
        <v>0</v>
      </c>
      <c r="N111" s="47"/>
      <c r="O111" s="47">
        <f t="shared" si="66"/>
        <v>0</v>
      </c>
      <c r="P111" s="47">
        <f t="shared" si="67"/>
        <v>0</v>
      </c>
      <c r="Q111" s="47"/>
      <c r="R111" s="47">
        <f t="shared" si="68"/>
        <v>0</v>
      </c>
      <c r="S111" s="47">
        <f t="shared" si="69"/>
        <v>0</v>
      </c>
      <c r="T111" s="47"/>
      <c r="U111" s="47">
        <f t="shared" si="70"/>
        <v>0</v>
      </c>
      <c r="V111" s="47"/>
      <c r="W111" s="47">
        <f t="shared" si="71"/>
        <v>0</v>
      </c>
      <c r="X111" s="47"/>
      <c r="Y111" s="47">
        <f t="shared" si="72"/>
        <v>0</v>
      </c>
      <c r="Z111" s="47"/>
      <c r="AA111" s="47">
        <f t="shared" si="73"/>
        <v>0</v>
      </c>
      <c r="AB111" s="47">
        <f t="shared" si="74"/>
        <v>0</v>
      </c>
      <c r="AC111" s="27" t="str">
        <f t="shared" ref="AC111:AC119" si="76">IF(ABS(AB111-F111)&lt;1,"ok","err")</f>
        <v>ok</v>
      </c>
    </row>
    <row r="112" spans="1:29" x14ac:dyDescent="0.2">
      <c r="A112" s="14" t="s">
        <v>429</v>
      </c>
      <c r="C112" s="14" t="s">
        <v>439</v>
      </c>
      <c r="D112" s="14" t="s">
        <v>29</v>
      </c>
      <c r="F112" s="47">
        <v>0</v>
      </c>
      <c r="G112" s="47"/>
      <c r="H112" s="47">
        <f t="shared" si="62"/>
        <v>0</v>
      </c>
      <c r="I112" s="47">
        <f t="shared" si="63"/>
        <v>0</v>
      </c>
      <c r="J112" s="47"/>
      <c r="K112" s="47">
        <f t="shared" si="64"/>
        <v>0</v>
      </c>
      <c r="L112" s="47"/>
      <c r="M112" s="47">
        <f t="shared" si="65"/>
        <v>0</v>
      </c>
      <c r="N112" s="47"/>
      <c r="O112" s="47">
        <f t="shared" si="66"/>
        <v>0</v>
      </c>
      <c r="P112" s="47">
        <f t="shared" si="67"/>
        <v>0</v>
      </c>
      <c r="Q112" s="47"/>
      <c r="R112" s="47">
        <f t="shared" si="68"/>
        <v>0</v>
      </c>
      <c r="S112" s="47">
        <f t="shared" si="69"/>
        <v>0</v>
      </c>
      <c r="T112" s="47"/>
      <c r="U112" s="47">
        <f t="shared" si="70"/>
        <v>0</v>
      </c>
      <c r="V112" s="47"/>
      <c r="W112" s="47">
        <f t="shared" si="71"/>
        <v>0</v>
      </c>
      <c r="X112" s="47"/>
      <c r="Y112" s="47">
        <f t="shared" si="72"/>
        <v>0</v>
      </c>
      <c r="Z112" s="47"/>
      <c r="AA112" s="47">
        <f t="shared" si="73"/>
        <v>0</v>
      </c>
      <c r="AB112" s="47">
        <f t="shared" si="74"/>
        <v>0</v>
      </c>
      <c r="AC112" s="27" t="str">
        <f t="shared" si="76"/>
        <v>ok</v>
      </c>
    </row>
    <row r="113" spans="1:29" x14ac:dyDescent="0.2">
      <c r="A113" s="14" t="s">
        <v>447</v>
      </c>
      <c r="C113" s="14" t="s">
        <v>440</v>
      </c>
      <c r="D113" s="14" t="s">
        <v>32</v>
      </c>
      <c r="F113" s="47">
        <v>0</v>
      </c>
      <c r="G113" s="47"/>
      <c r="H113" s="47">
        <f t="shared" si="62"/>
        <v>0</v>
      </c>
      <c r="I113" s="47">
        <f t="shared" si="63"/>
        <v>0</v>
      </c>
      <c r="J113" s="47"/>
      <c r="K113" s="47">
        <f t="shared" si="64"/>
        <v>0</v>
      </c>
      <c r="L113" s="47"/>
      <c r="M113" s="47">
        <f t="shared" si="65"/>
        <v>0</v>
      </c>
      <c r="N113" s="47"/>
      <c r="O113" s="47">
        <f t="shared" si="66"/>
        <v>0</v>
      </c>
      <c r="P113" s="47">
        <f t="shared" si="67"/>
        <v>0</v>
      </c>
      <c r="Q113" s="47"/>
      <c r="R113" s="47">
        <f t="shared" si="68"/>
        <v>0</v>
      </c>
      <c r="S113" s="47">
        <f t="shared" si="69"/>
        <v>0</v>
      </c>
      <c r="T113" s="47"/>
      <c r="U113" s="47">
        <f t="shared" si="70"/>
        <v>0</v>
      </c>
      <c r="V113" s="47"/>
      <c r="W113" s="47">
        <f t="shared" si="71"/>
        <v>0</v>
      </c>
      <c r="X113" s="47"/>
      <c r="Y113" s="47">
        <f t="shared" si="72"/>
        <v>0</v>
      </c>
      <c r="Z113" s="47"/>
      <c r="AA113" s="47">
        <f t="shared" si="73"/>
        <v>0</v>
      </c>
      <c r="AB113" s="47">
        <f t="shared" si="74"/>
        <v>0</v>
      </c>
      <c r="AC113" s="27" t="str">
        <f t="shared" si="76"/>
        <v>ok</v>
      </c>
    </row>
    <row r="114" spans="1:29" x14ac:dyDescent="0.2">
      <c r="A114" s="14" t="s">
        <v>430</v>
      </c>
      <c r="C114" s="14" t="s">
        <v>441</v>
      </c>
      <c r="D114" s="14" t="s">
        <v>35</v>
      </c>
      <c r="F114" s="47">
        <v>0</v>
      </c>
      <c r="G114" s="47"/>
      <c r="H114" s="47">
        <f t="shared" si="62"/>
        <v>0</v>
      </c>
      <c r="I114" s="47">
        <f t="shared" si="63"/>
        <v>0</v>
      </c>
      <c r="J114" s="47"/>
      <c r="K114" s="47">
        <f t="shared" si="64"/>
        <v>0</v>
      </c>
      <c r="L114" s="47"/>
      <c r="M114" s="47">
        <f t="shared" si="65"/>
        <v>0</v>
      </c>
      <c r="N114" s="47"/>
      <c r="O114" s="47">
        <f t="shared" si="66"/>
        <v>0</v>
      </c>
      <c r="P114" s="47">
        <f t="shared" si="67"/>
        <v>0</v>
      </c>
      <c r="Q114" s="47"/>
      <c r="R114" s="47">
        <f t="shared" si="68"/>
        <v>0</v>
      </c>
      <c r="S114" s="47">
        <f t="shared" si="69"/>
        <v>0</v>
      </c>
      <c r="T114" s="47"/>
      <c r="U114" s="47">
        <f t="shared" si="70"/>
        <v>0</v>
      </c>
      <c r="V114" s="47"/>
      <c r="W114" s="47">
        <f t="shared" si="71"/>
        <v>0</v>
      </c>
      <c r="X114" s="47"/>
      <c r="Y114" s="47">
        <f t="shared" si="72"/>
        <v>0</v>
      </c>
      <c r="Z114" s="47"/>
      <c r="AA114" s="47">
        <f t="shared" si="73"/>
        <v>0</v>
      </c>
      <c r="AB114" s="47">
        <f t="shared" si="74"/>
        <v>0</v>
      </c>
      <c r="AC114" s="27" t="str">
        <f t="shared" si="76"/>
        <v>ok</v>
      </c>
    </row>
    <row r="115" spans="1:29" x14ac:dyDescent="0.2">
      <c r="A115" s="14" t="s">
        <v>431</v>
      </c>
      <c r="C115" s="14" t="s">
        <v>442</v>
      </c>
      <c r="D115" s="14" t="s">
        <v>37</v>
      </c>
      <c r="F115" s="47">
        <v>0</v>
      </c>
      <c r="G115" s="47"/>
      <c r="H115" s="47">
        <f t="shared" si="62"/>
        <v>0</v>
      </c>
      <c r="I115" s="47">
        <f t="shared" si="63"/>
        <v>0</v>
      </c>
      <c r="J115" s="47"/>
      <c r="K115" s="47">
        <f t="shared" si="64"/>
        <v>0</v>
      </c>
      <c r="L115" s="47"/>
      <c r="M115" s="47">
        <f t="shared" si="65"/>
        <v>0</v>
      </c>
      <c r="N115" s="47"/>
      <c r="O115" s="47">
        <f t="shared" si="66"/>
        <v>0</v>
      </c>
      <c r="P115" s="47">
        <f t="shared" si="67"/>
        <v>0</v>
      </c>
      <c r="Q115" s="47"/>
      <c r="R115" s="47">
        <f t="shared" si="68"/>
        <v>0</v>
      </c>
      <c r="S115" s="47">
        <f t="shared" si="69"/>
        <v>0</v>
      </c>
      <c r="T115" s="47"/>
      <c r="U115" s="47">
        <f t="shared" si="70"/>
        <v>0</v>
      </c>
      <c r="V115" s="47"/>
      <c r="W115" s="47">
        <f t="shared" si="71"/>
        <v>0</v>
      </c>
      <c r="X115" s="47"/>
      <c r="Y115" s="47">
        <f t="shared" si="72"/>
        <v>0</v>
      </c>
      <c r="Z115" s="47"/>
      <c r="AA115" s="47">
        <f t="shared" si="73"/>
        <v>0</v>
      </c>
      <c r="AB115" s="47">
        <f t="shared" si="74"/>
        <v>0</v>
      </c>
      <c r="AC115" s="27" t="str">
        <f>IF(ABS(AB115-F115)&lt;1,"ok","err")</f>
        <v>ok</v>
      </c>
    </row>
    <row r="116" spans="1:29" x14ac:dyDescent="0.2">
      <c r="A116" s="14" t="s">
        <v>432</v>
      </c>
      <c r="C116" s="14" t="s">
        <v>443</v>
      </c>
      <c r="D116" s="14" t="s">
        <v>40</v>
      </c>
      <c r="F116" s="47">
        <v>0</v>
      </c>
      <c r="G116" s="47"/>
      <c r="H116" s="47">
        <f t="shared" si="62"/>
        <v>0</v>
      </c>
      <c r="I116" s="47">
        <f t="shared" si="63"/>
        <v>0</v>
      </c>
      <c r="J116" s="47"/>
      <c r="K116" s="47">
        <f t="shared" si="64"/>
        <v>0</v>
      </c>
      <c r="L116" s="47"/>
      <c r="M116" s="47">
        <f t="shared" si="65"/>
        <v>0</v>
      </c>
      <c r="N116" s="47"/>
      <c r="O116" s="47">
        <f t="shared" si="66"/>
        <v>0</v>
      </c>
      <c r="P116" s="47">
        <f t="shared" si="67"/>
        <v>0</v>
      </c>
      <c r="Q116" s="47"/>
      <c r="R116" s="47">
        <f t="shared" si="68"/>
        <v>0</v>
      </c>
      <c r="S116" s="47">
        <f t="shared" si="69"/>
        <v>0</v>
      </c>
      <c r="T116" s="47"/>
      <c r="U116" s="47">
        <f t="shared" si="70"/>
        <v>0</v>
      </c>
      <c r="V116" s="47"/>
      <c r="W116" s="47">
        <f t="shared" si="71"/>
        <v>0</v>
      </c>
      <c r="X116" s="47"/>
      <c r="Y116" s="47">
        <f t="shared" si="72"/>
        <v>0</v>
      </c>
      <c r="Z116" s="47"/>
      <c r="AA116" s="47">
        <f t="shared" si="73"/>
        <v>0</v>
      </c>
      <c r="AB116" s="47">
        <f t="shared" si="74"/>
        <v>0</v>
      </c>
      <c r="AC116" s="27" t="str">
        <f t="shared" si="76"/>
        <v>ok</v>
      </c>
    </row>
    <row r="117" spans="1:29" x14ac:dyDescent="0.2">
      <c r="A117" s="14" t="s">
        <v>433</v>
      </c>
      <c r="C117" s="14" t="s">
        <v>444</v>
      </c>
      <c r="D117" s="14" t="s">
        <v>43</v>
      </c>
      <c r="F117" s="47">
        <v>0</v>
      </c>
      <c r="G117" s="47"/>
      <c r="H117" s="47">
        <f t="shared" si="62"/>
        <v>0</v>
      </c>
      <c r="I117" s="47">
        <f t="shared" si="63"/>
        <v>0</v>
      </c>
      <c r="J117" s="47"/>
      <c r="K117" s="47">
        <f t="shared" si="64"/>
        <v>0</v>
      </c>
      <c r="L117" s="47"/>
      <c r="M117" s="47">
        <f t="shared" si="65"/>
        <v>0</v>
      </c>
      <c r="N117" s="47"/>
      <c r="O117" s="47">
        <f t="shared" si="66"/>
        <v>0</v>
      </c>
      <c r="P117" s="47">
        <f t="shared" si="67"/>
        <v>0</v>
      </c>
      <c r="Q117" s="47"/>
      <c r="R117" s="47">
        <f t="shared" si="68"/>
        <v>0</v>
      </c>
      <c r="S117" s="47">
        <f t="shared" si="69"/>
        <v>0</v>
      </c>
      <c r="T117" s="47"/>
      <c r="U117" s="47">
        <f t="shared" si="70"/>
        <v>0</v>
      </c>
      <c r="V117" s="47"/>
      <c r="W117" s="47">
        <f t="shared" si="71"/>
        <v>0</v>
      </c>
      <c r="X117" s="47"/>
      <c r="Y117" s="47">
        <f t="shared" si="72"/>
        <v>0</v>
      </c>
      <c r="Z117" s="47"/>
      <c r="AA117" s="47">
        <f t="shared" si="73"/>
        <v>0</v>
      </c>
      <c r="AB117" s="47">
        <f t="shared" si="74"/>
        <v>0</v>
      </c>
      <c r="AC117" s="27" t="str">
        <f t="shared" si="76"/>
        <v>ok</v>
      </c>
    </row>
    <row r="118" spans="1:29" x14ac:dyDescent="0.2">
      <c r="A118" s="14" t="s">
        <v>434</v>
      </c>
      <c r="C118" s="14" t="s">
        <v>445</v>
      </c>
      <c r="D118" s="14" t="s">
        <v>46</v>
      </c>
      <c r="F118" s="47">
        <v>0</v>
      </c>
      <c r="G118" s="47"/>
      <c r="H118" s="47">
        <f t="shared" si="62"/>
        <v>0</v>
      </c>
      <c r="I118" s="47">
        <f t="shared" si="63"/>
        <v>0</v>
      </c>
      <c r="J118" s="47"/>
      <c r="K118" s="47">
        <f t="shared" si="64"/>
        <v>0</v>
      </c>
      <c r="L118" s="47"/>
      <c r="M118" s="47">
        <f t="shared" si="65"/>
        <v>0</v>
      </c>
      <c r="N118" s="47"/>
      <c r="O118" s="47">
        <f t="shared" si="66"/>
        <v>0</v>
      </c>
      <c r="P118" s="47">
        <f t="shared" si="67"/>
        <v>0</v>
      </c>
      <c r="Q118" s="47"/>
      <c r="R118" s="47">
        <f t="shared" si="68"/>
        <v>0</v>
      </c>
      <c r="S118" s="47">
        <f t="shared" si="69"/>
        <v>0</v>
      </c>
      <c r="T118" s="47"/>
      <c r="U118" s="47">
        <f t="shared" si="70"/>
        <v>0</v>
      </c>
      <c r="V118" s="47"/>
      <c r="W118" s="47">
        <f t="shared" si="71"/>
        <v>0</v>
      </c>
      <c r="X118" s="47"/>
      <c r="Y118" s="47">
        <f t="shared" si="72"/>
        <v>0</v>
      </c>
      <c r="Z118" s="47"/>
      <c r="AA118" s="47">
        <f t="shared" si="73"/>
        <v>0</v>
      </c>
      <c r="AB118" s="47">
        <f t="shared" si="74"/>
        <v>0</v>
      </c>
      <c r="AC118" s="27" t="str">
        <f t="shared" si="76"/>
        <v>ok</v>
      </c>
    </row>
    <row r="119" spans="1:29" x14ac:dyDescent="0.2">
      <c r="A119" s="14" t="s">
        <v>435</v>
      </c>
      <c r="C119" s="14" t="s">
        <v>446</v>
      </c>
      <c r="D119" s="14" t="s">
        <v>48</v>
      </c>
      <c r="F119" s="47">
        <v>0</v>
      </c>
      <c r="G119" s="47"/>
      <c r="H119" s="47">
        <f t="shared" si="62"/>
        <v>0</v>
      </c>
      <c r="I119" s="47">
        <f t="shared" si="63"/>
        <v>0</v>
      </c>
      <c r="J119" s="47"/>
      <c r="K119" s="47">
        <f t="shared" si="64"/>
        <v>0</v>
      </c>
      <c r="L119" s="47"/>
      <c r="M119" s="47">
        <f t="shared" si="65"/>
        <v>0</v>
      </c>
      <c r="N119" s="47"/>
      <c r="O119" s="47">
        <f t="shared" si="66"/>
        <v>0</v>
      </c>
      <c r="P119" s="47">
        <f t="shared" si="67"/>
        <v>0</v>
      </c>
      <c r="Q119" s="47"/>
      <c r="R119" s="47">
        <f t="shared" si="68"/>
        <v>0</v>
      </c>
      <c r="S119" s="47">
        <f t="shared" si="69"/>
        <v>0</v>
      </c>
      <c r="T119" s="47"/>
      <c r="U119" s="47">
        <f t="shared" si="70"/>
        <v>0</v>
      </c>
      <c r="V119" s="47"/>
      <c r="W119" s="47">
        <f t="shared" si="71"/>
        <v>0</v>
      </c>
      <c r="X119" s="47"/>
      <c r="Y119" s="47">
        <f t="shared" si="72"/>
        <v>0</v>
      </c>
      <c r="Z119" s="47"/>
      <c r="AA119" s="47">
        <f t="shared" si="73"/>
        <v>0</v>
      </c>
      <c r="AB119" s="47">
        <f t="shared" si="74"/>
        <v>0</v>
      </c>
      <c r="AC119" s="27" t="str">
        <f t="shared" si="76"/>
        <v>ok</v>
      </c>
    </row>
    <row r="120" spans="1:29" x14ac:dyDescent="0.2">
      <c r="A120" s="14" t="s">
        <v>836</v>
      </c>
      <c r="D120" s="14" t="s">
        <v>70</v>
      </c>
      <c r="F120" s="47">
        <v>0</v>
      </c>
      <c r="G120" s="47"/>
      <c r="H120" s="47">
        <f t="shared" si="62"/>
        <v>0</v>
      </c>
      <c r="I120" s="47">
        <f t="shared" si="63"/>
        <v>0</v>
      </c>
      <c r="J120" s="47"/>
      <c r="K120" s="47">
        <f t="shared" si="64"/>
        <v>0</v>
      </c>
      <c r="L120" s="47"/>
      <c r="M120" s="47">
        <f t="shared" si="65"/>
        <v>0</v>
      </c>
      <c r="N120" s="47"/>
      <c r="O120" s="47">
        <f t="shared" si="66"/>
        <v>0</v>
      </c>
      <c r="P120" s="47">
        <f t="shared" si="67"/>
        <v>0</v>
      </c>
      <c r="Q120" s="47"/>
      <c r="R120" s="47">
        <f t="shared" si="68"/>
        <v>0</v>
      </c>
      <c r="S120" s="47">
        <f t="shared" si="69"/>
        <v>0</v>
      </c>
      <c r="T120" s="47"/>
      <c r="U120" s="47">
        <f t="shared" si="70"/>
        <v>0</v>
      </c>
      <c r="V120" s="47"/>
      <c r="W120" s="47">
        <f t="shared" si="71"/>
        <v>0</v>
      </c>
      <c r="X120" s="47"/>
      <c r="Y120" s="47">
        <f t="shared" si="72"/>
        <v>0</v>
      </c>
      <c r="Z120" s="47"/>
      <c r="AA120" s="47">
        <f t="shared" si="73"/>
        <v>0</v>
      </c>
      <c r="AB120" s="47">
        <f t="shared" si="74"/>
        <v>0</v>
      </c>
      <c r="AC120" s="27" t="str">
        <f>IF(ABS(AB120-F120)&lt;1,"ok","err")</f>
        <v>ok</v>
      </c>
    </row>
    <row r="121" spans="1:29" x14ac:dyDescent="0.2">
      <c r="A121" s="166" t="s">
        <v>837</v>
      </c>
      <c r="D121" s="14" t="s">
        <v>70</v>
      </c>
      <c r="F121" s="47">
        <v>0</v>
      </c>
      <c r="G121" s="47"/>
      <c r="H121" s="47">
        <f t="shared" si="62"/>
        <v>0</v>
      </c>
      <c r="I121" s="47">
        <f t="shared" si="63"/>
        <v>0</v>
      </c>
      <c r="J121" s="47"/>
      <c r="K121" s="47">
        <f t="shared" si="64"/>
        <v>0</v>
      </c>
      <c r="L121" s="47"/>
      <c r="M121" s="47">
        <f t="shared" si="65"/>
        <v>0</v>
      </c>
      <c r="N121" s="47"/>
      <c r="O121" s="47">
        <f t="shared" si="66"/>
        <v>0</v>
      </c>
      <c r="P121" s="47">
        <f t="shared" si="67"/>
        <v>0</v>
      </c>
      <c r="Q121" s="47"/>
      <c r="R121" s="47">
        <f t="shared" si="68"/>
        <v>0</v>
      </c>
      <c r="S121" s="47">
        <f t="shared" si="69"/>
        <v>0</v>
      </c>
      <c r="T121" s="47"/>
      <c r="U121" s="47">
        <f t="shared" si="70"/>
        <v>0</v>
      </c>
      <c r="V121" s="47"/>
      <c r="W121" s="47">
        <f t="shared" si="71"/>
        <v>0</v>
      </c>
      <c r="X121" s="47"/>
      <c r="Y121" s="47">
        <f t="shared" si="72"/>
        <v>0</v>
      </c>
      <c r="Z121" s="47"/>
      <c r="AA121" s="47">
        <f t="shared" si="73"/>
        <v>0</v>
      </c>
      <c r="AB121" s="47">
        <f t="shared" si="74"/>
        <v>0</v>
      </c>
      <c r="AC121" s="27" t="str">
        <f>IF(ABS(AB121-F121)&lt;1,"ok","err")</f>
        <v>ok</v>
      </c>
    </row>
    <row r="122" spans="1:29" x14ac:dyDescent="0.2">
      <c r="A122" s="14" t="s">
        <v>838</v>
      </c>
      <c r="D122" s="14" t="s">
        <v>70</v>
      </c>
      <c r="F122" s="47">
        <f>2064613+2058112+2934478+123181+363387+135474+163986+759022+667698</f>
        <v>9269951</v>
      </c>
      <c r="G122" s="47"/>
      <c r="H122" s="47">
        <f t="shared" si="62"/>
        <v>0</v>
      </c>
      <c r="I122" s="47">
        <f t="shared" si="63"/>
        <v>0</v>
      </c>
      <c r="J122" s="47"/>
      <c r="K122" s="47">
        <f t="shared" si="64"/>
        <v>0</v>
      </c>
      <c r="L122" s="47"/>
      <c r="M122" s="47">
        <f t="shared" si="65"/>
        <v>34453.27709874251</v>
      </c>
      <c r="N122" s="47"/>
      <c r="O122" s="47">
        <f t="shared" si="66"/>
        <v>2591668.1481368644</v>
      </c>
      <c r="P122" s="47">
        <f t="shared" si="67"/>
        <v>4874980.4001134466</v>
      </c>
      <c r="Q122" s="47"/>
      <c r="R122" s="47">
        <f t="shared" si="68"/>
        <v>0</v>
      </c>
      <c r="S122" s="47">
        <f t="shared" si="69"/>
        <v>1012508.4474435716</v>
      </c>
      <c r="T122" s="47"/>
      <c r="U122" s="47">
        <f t="shared" si="70"/>
        <v>444513.17841256649</v>
      </c>
      <c r="V122" s="47"/>
      <c r="W122" s="47">
        <f t="shared" si="71"/>
        <v>311827.54879480344</v>
      </c>
      <c r="X122" s="47"/>
      <c r="Y122" s="47">
        <f t="shared" si="72"/>
        <v>0</v>
      </c>
      <c r="Z122" s="47"/>
      <c r="AA122" s="47">
        <f t="shared" si="73"/>
        <v>0</v>
      </c>
      <c r="AB122" s="47">
        <f t="shared" si="74"/>
        <v>9269950.9999999944</v>
      </c>
      <c r="AC122" s="27" t="str">
        <f>IF(ABS(AB122-F122)&lt;1,"ok","err")</f>
        <v>ok</v>
      </c>
    </row>
    <row r="123" spans="1:29" x14ac:dyDescent="0.2">
      <c r="Q123" s="14"/>
      <c r="AB123" s="47"/>
      <c r="AC123" s="27"/>
    </row>
    <row r="124" spans="1:29" x14ac:dyDescent="0.2">
      <c r="A124" s="14" t="s">
        <v>835</v>
      </c>
      <c r="C124" s="14" t="s">
        <v>82</v>
      </c>
      <c r="F124" s="87">
        <f>SUM(F104:F122)</f>
        <v>56633827.160000004</v>
      </c>
      <c r="G124" s="87"/>
      <c r="H124" s="87">
        <f>SUM(H104:H122)</f>
        <v>0</v>
      </c>
      <c r="I124" s="87">
        <f>SUM(I104:I122)</f>
        <v>0</v>
      </c>
      <c r="J124" s="87"/>
      <c r="K124" s="87">
        <f>SUM(K104:K122)</f>
        <v>0</v>
      </c>
      <c r="L124" s="87"/>
      <c r="M124" s="87">
        <f>SUM(M104:M122)</f>
        <v>210488.80844200467</v>
      </c>
      <c r="N124" s="87"/>
      <c r="O124" s="87">
        <f>SUM(O104:O122)</f>
        <v>15833534.174847364</v>
      </c>
      <c r="P124" s="87">
        <f>SUM(P104:P122)</f>
        <v>29783199.219544165</v>
      </c>
      <c r="Q124" s="87"/>
      <c r="R124" s="87">
        <f>SUM(R104:R122)</f>
        <v>0</v>
      </c>
      <c r="S124" s="87">
        <f>SUM(S104:S122)</f>
        <v>6185817.854976709</v>
      </c>
      <c r="T124" s="87"/>
      <c r="U124" s="87">
        <f>SUM(U104:U122)</f>
        <v>2715708.2617329401</v>
      </c>
      <c r="V124" s="87"/>
      <c r="W124" s="87">
        <f>SUM(W104:W122)</f>
        <v>1905078.8404568008</v>
      </c>
      <c r="X124" s="87"/>
      <c r="Y124" s="87">
        <f>SUM(Y104:Y122)</f>
        <v>0</v>
      </c>
      <c r="Z124" s="87"/>
      <c r="AA124" s="87">
        <f>SUM(AA104:AA122)</f>
        <v>0</v>
      </c>
      <c r="AB124" s="47">
        <f>SUM(H124:AA124)</f>
        <v>56633827.159999982</v>
      </c>
      <c r="AC124" s="27" t="str">
        <f>IF(ABS(AB124-F124)&lt;1,"ok","err")</f>
        <v>ok</v>
      </c>
    </row>
    <row r="125" spans="1:29" x14ac:dyDescent="0.2">
      <c r="D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47"/>
      <c r="AC125" s="27"/>
    </row>
    <row r="126" spans="1:29" x14ac:dyDescent="0.2">
      <c r="A126" s="25" t="s">
        <v>83</v>
      </c>
      <c r="C126" s="14" t="s">
        <v>84</v>
      </c>
      <c r="F126" s="87">
        <f>F101-F124</f>
        <v>109040265.60000005</v>
      </c>
      <c r="G126" s="87"/>
      <c r="H126" s="87">
        <f>H101-H124</f>
        <v>0</v>
      </c>
      <c r="I126" s="87">
        <f>I101-I124</f>
        <v>0</v>
      </c>
      <c r="J126" s="87"/>
      <c r="K126" s="87">
        <f>K101-K124</f>
        <v>0</v>
      </c>
      <c r="L126" s="87"/>
      <c r="M126" s="87">
        <f>M101-M124</f>
        <v>405265.84074039682</v>
      </c>
      <c r="N126" s="87"/>
      <c r="O126" s="87">
        <f>O101-O124</f>
        <v>30485186.299248397</v>
      </c>
      <c r="P126" s="87">
        <f>P101-P124</f>
        <v>57343254.308805399</v>
      </c>
      <c r="Q126" s="87"/>
      <c r="R126" s="87">
        <f>R101-R124</f>
        <v>0</v>
      </c>
      <c r="S126" s="87">
        <f>S101-S124</f>
        <v>11909900.066514995</v>
      </c>
      <c r="T126" s="87"/>
      <c r="U126" s="87">
        <f>U101-U124</f>
        <v>5228704.5569934994</v>
      </c>
      <c r="V126" s="87"/>
      <c r="W126" s="87">
        <f>W101-W124</f>
        <v>3667954.5276973248</v>
      </c>
      <c r="X126" s="87"/>
      <c r="Y126" s="87">
        <f>Y101-Y124</f>
        <v>0</v>
      </c>
      <c r="Z126" s="87"/>
      <c r="AA126" s="87">
        <f>AA101-AA124</f>
        <v>0</v>
      </c>
      <c r="AB126" s="47">
        <f>SUM(H126:AA126)</f>
        <v>109040265.60000001</v>
      </c>
      <c r="AC126" s="27" t="str">
        <f>IF(ABS(AB126-F126)&lt;1,"ok","err")</f>
        <v>ok</v>
      </c>
    </row>
    <row r="127" spans="1:29" x14ac:dyDescent="0.2">
      <c r="Q127" s="14"/>
      <c r="AC127" s="27"/>
    </row>
    <row r="128" spans="1:29" x14ac:dyDescent="0.2">
      <c r="A128" s="25" t="s">
        <v>85</v>
      </c>
      <c r="Q128" s="14"/>
      <c r="AC128" s="27"/>
    </row>
    <row r="129" spans="1:29" x14ac:dyDescent="0.2">
      <c r="A129" s="14" t="s">
        <v>413</v>
      </c>
      <c r="C129" s="14" t="s">
        <v>87</v>
      </c>
      <c r="D129" s="14" t="s">
        <v>88</v>
      </c>
      <c r="F129" s="62">
        <f>0.125*(F285-F180)</f>
        <v>1373514.2299999995</v>
      </c>
      <c r="G129" s="62"/>
      <c r="H129" s="62">
        <f>0.125*(H285-H180)</f>
        <v>0</v>
      </c>
      <c r="I129" s="62">
        <f>0.125*(I285-I180)</f>
        <v>0</v>
      </c>
      <c r="J129" s="62"/>
      <c r="K129" s="62">
        <f>0.125*(K285-K180)</f>
        <v>0</v>
      </c>
      <c r="L129" s="62"/>
      <c r="M129" s="62">
        <f>0.125*(M285-M180)</f>
        <v>2154.313701359526</v>
      </c>
      <c r="N129" s="62"/>
      <c r="O129" s="62">
        <f>0.125*(O285-O180)</f>
        <v>361595.79154863412</v>
      </c>
      <c r="P129" s="62">
        <f>0.125*(P285-P180)</f>
        <v>613615.58297956025</v>
      </c>
      <c r="Q129" s="62"/>
      <c r="R129" s="62">
        <f>0.125*(R285-R180)</f>
        <v>0</v>
      </c>
      <c r="S129" s="62">
        <f>0.125*(S285-S180)</f>
        <v>42570.525908670141</v>
      </c>
      <c r="T129" s="62"/>
      <c r="U129" s="62">
        <f>0.125*(U285-U180)</f>
        <v>72460.968665949113</v>
      </c>
      <c r="V129" s="62"/>
      <c r="W129" s="62">
        <f>0.125*(W285-W180)</f>
        <v>7557.9415453728343</v>
      </c>
      <c r="X129" s="62"/>
      <c r="Y129" s="62">
        <f>0.125*(Y285-Y180)</f>
        <v>272237.21089039539</v>
      </c>
      <c r="Z129" s="62"/>
      <c r="AA129" s="62">
        <f>0.125*(AA285-AA180)</f>
        <v>1321.8947600585484</v>
      </c>
      <c r="AB129" s="47">
        <f>SUM(H129:AA129)</f>
        <v>1373514.2299999997</v>
      </c>
      <c r="AC129" s="27" t="str">
        <f>IF(ABS(AB129-F129)&lt;1,"ok","err")</f>
        <v>ok</v>
      </c>
    </row>
    <row r="130" spans="1:29" x14ac:dyDescent="0.2">
      <c r="A130" s="14" t="s">
        <v>963</v>
      </c>
      <c r="C130" s="14" t="s">
        <v>396</v>
      </c>
      <c r="D130" s="14" t="s">
        <v>72</v>
      </c>
      <c r="F130" s="47">
        <v>1244509.9830769233</v>
      </c>
      <c r="G130" s="47"/>
      <c r="H130" s="47">
        <f>IF(VLOOKUP($D130,$C$5:$AA$496,6,)=0,0,((VLOOKUP($D130,$C$5:$AA$496,6,)/VLOOKUP($D130,$C$5:$AA$496,4,))*$F130))</f>
        <v>0</v>
      </c>
      <c r="I130" s="47">
        <f>IF(VLOOKUP($D130,$C$5:$AA$496,7,)=0,0,((VLOOKUP($D130,$C$5:$AA$496,7,)/VLOOKUP($D130,$C$5:$AA$496,4,))*$F130))</f>
        <v>0</v>
      </c>
      <c r="J130" s="47"/>
      <c r="K130" s="47">
        <f>IF(VLOOKUP($D130,$C$5:$AA$496,9,)=0,0,((VLOOKUP($D130,$C$5:$AA$496,9,)/VLOOKUP($D130,$C$5:$AA$496,4,))*$F130))</f>
        <v>0</v>
      </c>
      <c r="L130" s="47"/>
      <c r="M130" s="47">
        <f>IF(VLOOKUP($D130,$C$5:$AA$496,11,)=0,0,((VLOOKUP($D130,$C$5:$AA$496,11,)/VLOOKUP($D130,$C$5:$AA$496,4,))*$F130))</f>
        <v>4625.423295020717</v>
      </c>
      <c r="N130" s="47"/>
      <c r="O130" s="47">
        <f>IF(VLOOKUP($D130,$C$5:$AA$496,13,)=0,0,((VLOOKUP($D130,$C$5:$AA$496,13,)/VLOOKUP($D130,$C$5:$AA$496,4,))*$F130))</f>
        <v>347936.7780022581</v>
      </c>
      <c r="P130" s="47">
        <f>IF(VLOOKUP($D130,$C$5:$AA$496,14,)=0,0,((VLOOKUP($D130,$C$5:$AA$496,14,)/VLOOKUP($D130,$C$5:$AA$496,4,))*$F130))</f>
        <v>654476.14288851374</v>
      </c>
      <c r="Q130" s="47"/>
      <c r="R130" s="47">
        <f>IF(VLOOKUP($D130,$C$5:$AA$496,16,)=0,0,((VLOOKUP($D130,$C$5:$AA$496,16,)/VLOOKUP($D130,$C$5:$AA$496,4,))*$F130))</f>
        <v>0</v>
      </c>
      <c r="S130" s="47">
        <f>IF(VLOOKUP($D130,$C$5:$AA$496,17,)=0,0,((VLOOKUP($D130,$C$5:$AA$496,17,)/VLOOKUP($D130,$C$5:$AA$496,4,))*$F130))</f>
        <v>135931.34103872193</v>
      </c>
      <c r="T130" s="47"/>
      <c r="U130" s="47">
        <f>IF(VLOOKUP($D130,$C$5:$AA$496,19,)=0,0,((VLOOKUP($D130,$C$5:$AA$496,19,)/VLOOKUP($D130,$C$5:$AA$496,4,))*$F130))</f>
        <v>59676.808231639232</v>
      </c>
      <c r="V130" s="47"/>
      <c r="W130" s="47">
        <f>IF(VLOOKUP($D130,$C$5:$AA$496,21,)=0,0,((VLOOKUP($D130,$C$5:$AA$496,21,)/VLOOKUP($D130,$C$5:$AA$496,4,))*$F130))</f>
        <v>41863.489620769222</v>
      </c>
      <c r="X130" s="47"/>
      <c r="Y130" s="47">
        <f>IF(VLOOKUP($D130,$C$5:$AA$496,23,)=0,0,((VLOOKUP($D130,$C$5:$AA$496,23,)/VLOOKUP($D130,$C$5:$AA$496,4,))*$F130))</f>
        <v>0</v>
      </c>
      <c r="Z130" s="47"/>
      <c r="AA130" s="47">
        <f>IF(VLOOKUP($D130,$C$5:$AA$496,25,)=0,0,((VLOOKUP($D130,$C$5:$AA$496,25,)/VLOOKUP($D130,$C$5:$AA$496,4,))*$F130))</f>
        <v>0</v>
      </c>
      <c r="AB130" s="47">
        <f>SUM(H130:AA130)</f>
        <v>1244509.9830769228</v>
      </c>
      <c r="AC130" s="27" t="str">
        <f>IF(ABS(AB130-F130)&lt;1,"ok","err")</f>
        <v>ok</v>
      </c>
    </row>
    <row r="131" spans="1:29" x14ac:dyDescent="0.2">
      <c r="A131" s="14" t="s">
        <v>964</v>
      </c>
      <c r="C131" s="14" t="s">
        <v>89</v>
      </c>
      <c r="D131" s="14" t="s">
        <v>72</v>
      </c>
      <c r="F131" s="47">
        <v>128265.73846153847</v>
      </c>
      <c r="G131" s="47"/>
      <c r="H131" s="47">
        <f>IF(VLOOKUP($D131,$C$5:$AA$496,6,)=0,0,((VLOOKUP($D131,$C$5:$AA$496,6,)/VLOOKUP($D131,$C$5:$AA$496,4,))*$F131))</f>
        <v>0</v>
      </c>
      <c r="I131" s="47">
        <f>IF(VLOOKUP($D131,$C$5:$AA$496,7,)=0,0,((VLOOKUP($D131,$C$5:$AA$496,7,)/VLOOKUP($D131,$C$5:$AA$496,4,))*$F131))</f>
        <v>0</v>
      </c>
      <c r="J131" s="47"/>
      <c r="K131" s="47">
        <f>IF(VLOOKUP($D131,$C$5:$AA$496,9,)=0,0,((VLOOKUP($D131,$C$5:$AA$496,9,)/VLOOKUP($D131,$C$5:$AA$496,4,))*$F131))</f>
        <v>0</v>
      </c>
      <c r="L131" s="47"/>
      <c r="M131" s="47">
        <f>IF(VLOOKUP($D131,$C$5:$AA$496,11,)=0,0,((VLOOKUP($D131,$C$5:$AA$496,11,)/VLOOKUP($D131,$C$5:$AA$496,4,))*$F131))</f>
        <v>476.72043029032397</v>
      </c>
      <c r="N131" s="47"/>
      <c r="O131" s="47">
        <f>IF(VLOOKUP($D131,$C$5:$AA$496,13,)=0,0,((VLOOKUP($D131,$C$5:$AA$496,13,)/VLOOKUP($D131,$C$5:$AA$496,4,))*$F131))</f>
        <v>35860.192666393035</v>
      </c>
      <c r="P131" s="47">
        <f>IF(VLOOKUP($D131,$C$5:$AA$496,14,)=0,0,((VLOOKUP($D131,$C$5:$AA$496,14,)/VLOOKUP($D131,$C$5:$AA$496,4,))*$F131))</f>
        <v>67453.750403435537</v>
      </c>
      <c r="Q131" s="47"/>
      <c r="R131" s="47">
        <f>IF(VLOOKUP($D131,$C$5:$AA$496,16,)=0,0,((VLOOKUP($D131,$C$5:$AA$496,16,)/VLOOKUP($D131,$C$5:$AA$496,4,))*$F131))</f>
        <v>0</v>
      </c>
      <c r="S131" s="47">
        <f>IF(VLOOKUP($D131,$C$5:$AA$496,17,)=0,0,((VLOOKUP($D131,$C$5:$AA$496,17,)/VLOOKUP($D131,$C$5:$AA$496,4,))*$F131))</f>
        <v>14009.798294499675</v>
      </c>
      <c r="T131" s="47"/>
      <c r="U131" s="47">
        <f>IF(VLOOKUP($D131,$C$5:$AA$496,19,)=0,0,((VLOOKUP($D131,$C$5:$AA$496,19,)/VLOOKUP($D131,$C$5:$AA$496,4,))*$F131))</f>
        <v>6150.6054438662541</v>
      </c>
      <c r="V131" s="47"/>
      <c r="W131" s="47">
        <f>IF(VLOOKUP($D131,$C$5:$AA$496,21,)=0,0,((VLOOKUP($D131,$C$5:$AA$496,21,)/VLOOKUP($D131,$C$5:$AA$496,4,))*$F131))</f>
        <v>4314.6712230535932</v>
      </c>
      <c r="X131" s="47"/>
      <c r="Y131" s="47">
        <f>IF(VLOOKUP($D131,$C$5:$AA$496,23,)=0,0,((VLOOKUP($D131,$C$5:$AA$496,23,)/VLOOKUP($D131,$C$5:$AA$496,4,))*$F131))</f>
        <v>0</v>
      </c>
      <c r="Z131" s="47"/>
      <c r="AA131" s="47">
        <f>IF(VLOOKUP($D131,$C$5:$AA$496,25,)=0,0,((VLOOKUP($D131,$C$5:$AA$496,25,)/VLOOKUP($D131,$C$5:$AA$496,4,))*$F131))</f>
        <v>0</v>
      </c>
      <c r="AB131" s="47">
        <f>SUM(H131:AA131)</f>
        <v>128265.73846153842</v>
      </c>
      <c r="AC131" s="27" t="str">
        <f>IF(ABS(AB131-F131)&lt;1,"ok","err")</f>
        <v>ok</v>
      </c>
    </row>
    <row r="132" spans="1:29" x14ac:dyDescent="0.2">
      <c r="Q132" s="14"/>
      <c r="AB132" s="47"/>
      <c r="AC132" s="27"/>
    </row>
    <row r="133" spans="1:29" x14ac:dyDescent="0.2">
      <c r="A133" s="90" t="s">
        <v>90</v>
      </c>
      <c r="C133" s="14" t="s">
        <v>91</v>
      </c>
      <c r="F133" s="87">
        <f>SUM(F129:F132)</f>
        <v>2746289.9515384617</v>
      </c>
      <c r="G133" s="87"/>
      <c r="H133" s="87">
        <f t="shared" ref="H133:W133" si="77">SUM(H129:H132)</f>
        <v>0</v>
      </c>
      <c r="I133" s="87">
        <f t="shared" si="77"/>
        <v>0</v>
      </c>
      <c r="J133" s="87"/>
      <c r="K133" s="87">
        <f t="shared" si="77"/>
        <v>0</v>
      </c>
      <c r="L133" s="87"/>
      <c r="M133" s="87">
        <f t="shared" si="77"/>
        <v>7256.4574266705667</v>
      </c>
      <c r="N133" s="87"/>
      <c r="O133" s="87">
        <f t="shared" si="77"/>
        <v>745392.76221728523</v>
      </c>
      <c r="P133" s="87">
        <f t="shared" si="77"/>
        <v>1335545.4762715094</v>
      </c>
      <c r="Q133" s="87"/>
      <c r="R133" s="87">
        <f t="shared" si="77"/>
        <v>0</v>
      </c>
      <c r="S133" s="87">
        <f t="shared" si="77"/>
        <v>192511.66524189172</v>
      </c>
      <c r="T133" s="87"/>
      <c r="U133" s="87">
        <f t="shared" si="77"/>
        <v>138288.38234145459</v>
      </c>
      <c r="V133" s="87"/>
      <c r="W133" s="87">
        <f t="shared" si="77"/>
        <v>53736.10238919565</v>
      </c>
      <c r="X133" s="87"/>
      <c r="Y133" s="87">
        <f>SUM(Y129:Y132)</f>
        <v>272237.21089039539</v>
      </c>
      <c r="Z133" s="87"/>
      <c r="AA133" s="87">
        <f>SUM(AA129:AA132)</f>
        <v>1321.8947600585484</v>
      </c>
      <c r="AB133" s="47">
        <f>SUM(H133:AA133)</f>
        <v>2746289.9515384613</v>
      </c>
      <c r="AC133" s="27" t="str">
        <f>IF(ABS(AB133-F133)&lt;1,"ok","err")</f>
        <v>ok</v>
      </c>
    </row>
    <row r="134" spans="1:29" x14ac:dyDescent="0.2">
      <c r="Q134" s="14"/>
      <c r="AC134" s="27"/>
    </row>
    <row r="135" spans="1:29" hidden="1" x14ac:dyDescent="0.2">
      <c r="A135" s="25" t="s">
        <v>935</v>
      </c>
      <c r="Q135" s="14"/>
      <c r="AC135" s="27"/>
    </row>
    <row r="136" spans="1:29" hidden="1" x14ac:dyDescent="0.2">
      <c r="A136" s="30">
        <v>1</v>
      </c>
      <c r="C136" s="14" t="s">
        <v>936</v>
      </c>
      <c r="D136" s="14" t="s">
        <v>16</v>
      </c>
      <c r="F136" s="62">
        <v>0</v>
      </c>
      <c r="G136" s="62"/>
      <c r="H136" s="47">
        <f>IF(VLOOKUP($D136,$C$5:$AA$496,6,)=0,0,((VLOOKUP($D136,$C$5:$AA$496,6,)/VLOOKUP($D136,$C$5:$AA$496,4,))*$F136))</f>
        <v>0</v>
      </c>
      <c r="I136" s="47">
        <f>IF(VLOOKUP($D136,$C$5:$AA$496,7,)=0,0,((VLOOKUP($D136,$C$5:$AA$496,7,)/VLOOKUP($D136,$C$5:$AA$496,4,))*$F136))</f>
        <v>0</v>
      </c>
      <c r="J136" s="47"/>
      <c r="K136" s="47">
        <f>IF(VLOOKUP($D136,$C$5:$AA$496,9,)=0,0,((VLOOKUP($D136,$C$5:$AA$496,9,)/VLOOKUP($D136,$C$5:$AA$496,4,))*$F136))</f>
        <v>0</v>
      </c>
      <c r="L136" s="47"/>
      <c r="M136" s="47">
        <f>IF(VLOOKUP($D136,$C$5:$AA$496,11,)=0,0,((VLOOKUP($D136,$C$5:$AA$496,11,)/VLOOKUP($D136,$C$5:$AA$496,4,))*$F136))</f>
        <v>0</v>
      </c>
      <c r="N136" s="47"/>
      <c r="O136" s="47">
        <f>IF(VLOOKUP($D136,$C$5:$AA$496,13,)=0,0,((VLOOKUP($D136,$C$5:$AA$496,13,)/VLOOKUP($D136,$C$5:$AA$496,4,))*$F136))</f>
        <v>0</v>
      </c>
      <c r="P136" s="47">
        <f>IF(VLOOKUP($D136,$C$5:$AA$496,14,)=0,0,((VLOOKUP($D136,$C$5:$AA$496,14,)/VLOOKUP($D136,$C$5:$AA$496,4,))*$F136))</f>
        <v>0</v>
      </c>
      <c r="Q136" s="47"/>
      <c r="R136" s="47">
        <f>IF(VLOOKUP($D136,$C$5:$AA$496,16,)=0,0,((VLOOKUP($D136,$C$5:$AA$496,16,)/VLOOKUP($D136,$C$5:$AA$496,4,))*$F136))</f>
        <v>0</v>
      </c>
      <c r="S136" s="47">
        <f>IF(VLOOKUP($D136,$C$5:$AA$496,17,)=0,0,((VLOOKUP($D136,$C$5:$AA$496,17,)/VLOOKUP($D136,$C$5:$AA$496,4,))*$F136))</f>
        <v>0</v>
      </c>
      <c r="T136" s="47"/>
      <c r="U136" s="47">
        <f>IF(VLOOKUP($D136,$C$5:$AA$496,19,)=0,0,((VLOOKUP($D136,$C$5:$AA$496,19,)/VLOOKUP($D136,$C$5:$AA$496,4,))*$F136))</f>
        <v>0</v>
      </c>
      <c r="V136" s="47"/>
      <c r="W136" s="47">
        <f>IF(VLOOKUP($D136,$C$5:$AA$496,21,)=0,0,((VLOOKUP($D136,$C$5:$AA$496,21,)/VLOOKUP($D136,$C$5:$AA$496,4,))*$F136))</f>
        <v>0</v>
      </c>
      <c r="X136" s="47"/>
      <c r="Y136" s="47">
        <f>IF(VLOOKUP($D136,$C$5:$AA$496,23,)=0,0,((VLOOKUP($D136,$C$5:$AA$496,23,)/VLOOKUP($D136,$C$5:$AA$496,4,))*$F136))</f>
        <v>0</v>
      </c>
      <c r="Z136" s="47"/>
      <c r="AA136" s="47">
        <f>IF(VLOOKUP($D136,$C$5:$AA$496,25,)=0,0,((VLOOKUP($D136,$C$5:$AA$496,25,)/VLOOKUP($D136,$C$5:$AA$496,4,))*$F136))</f>
        <v>0</v>
      </c>
      <c r="AB136" s="47">
        <f>SUM(H136:AA136)</f>
        <v>0</v>
      </c>
      <c r="AC136" s="27" t="str">
        <f>IF(ABS(AB136-F136)&lt;1,"ok","err")</f>
        <v>ok</v>
      </c>
    </row>
    <row r="137" spans="1:29" hidden="1" x14ac:dyDescent="0.2">
      <c r="A137" s="30">
        <v>2</v>
      </c>
      <c r="C137" s="14" t="s">
        <v>937</v>
      </c>
      <c r="D137" s="14" t="s">
        <v>16</v>
      </c>
      <c r="F137" s="62">
        <v>0</v>
      </c>
      <c r="G137" s="62"/>
      <c r="H137" s="47">
        <f>IF(VLOOKUP($D137,$C$5:$AA$496,6,)=0,0,((VLOOKUP($D137,$C$5:$AA$496,6,)/VLOOKUP($D137,$C$5:$AA$496,4,))*$F137))</f>
        <v>0</v>
      </c>
      <c r="I137" s="47">
        <f>IF(VLOOKUP($D137,$C$5:$AA$496,7,)=0,0,((VLOOKUP($D137,$C$5:$AA$496,7,)/VLOOKUP($D137,$C$5:$AA$496,4,))*$F137))</f>
        <v>0</v>
      </c>
      <c r="J137" s="47"/>
      <c r="K137" s="47">
        <f>IF(VLOOKUP($D137,$C$5:$AA$496,9,)=0,0,((VLOOKUP($D137,$C$5:$AA$496,9,)/VLOOKUP($D137,$C$5:$AA$496,4,))*$F137))</f>
        <v>0</v>
      </c>
      <c r="L137" s="47"/>
      <c r="M137" s="47">
        <f>IF(VLOOKUP($D137,$C$5:$AA$496,11,)=0,0,((VLOOKUP($D137,$C$5:$AA$496,11,)/VLOOKUP($D137,$C$5:$AA$496,4,))*$F137))</f>
        <v>0</v>
      </c>
      <c r="N137" s="47"/>
      <c r="O137" s="47">
        <f>IF(VLOOKUP($D137,$C$5:$AA$496,13,)=0,0,((VLOOKUP($D137,$C$5:$AA$496,13,)/VLOOKUP($D137,$C$5:$AA$496,4,))*$F137))</f>
        <v>0</v>
      </c>
      <c r="P137" s="47">
        <f>IF(VLOOKUP($D137,$C$5:$AA$496,14,)=0,0,((VLOOKUP($D137,$C$5:$AA$496,14,)/VLOOKUP($D137,$C$5:$AA$496,4,))*$F137))</f>
        <v>0</v>
      </c>
      <c r="Q137" s="47"/>
      <c r="R137" s="47">
        <f>IF(VLOOKUP($D137,$C$5:$AA$496,16,)=0,0,((VLOOKUP($D137,$C$5:$AA$496,16,)/VLOOKUP($D137,$C$5:$AA$496,4,))*$F137))</f>
        <v>0</v>
      </c>
      <c r="S137" s="47">
        <f>IF(VLOOKUP($D137,$C$5:$AA$496,17,)=0,0,((VLOOKUP($D137,$C$5:$AA$496,17,)/VLOOKUP($D137,$C$5:$AA$496,4,))*$F137))</f>
        <v>0</v>
      </c>
      <c r="T137" s="47"/>
      <c r="U137" s="47">
        <f>IF(VLOOKUP($D137,$C$5:$AA$496,19,)=0,0,((VLOOKUP($D137,$C$5:$AA$496,19,)/VLOOKUP($D137,$C$5:$AA$496,4,))*$F137))</f>
        <v>0</v>
      </c>
      <c r="V137" s="47"/>
      <c r="W137" s="47">
        <f>IF(VLOOKUP($D137,$C$5:$AA$496,21,)=0,0,((VLOOKUP($D137,$C$5:$AA$496,21,)/VLOOKUP($D137,$C$5:$AA$496,4,))*$F137))</f>
        <v>0</v>
      </c>
      <c r="X137" s="47"/>
      <c r="Y137" s="47">
        <f>IF(VLOOKUP($D137,$C$5:$AA$496,23,)=0,0,((VLOOKUP($D137,$C$5:$AA$496,23,)/VLOOKUP($D137,$C$5:$AA$496,4,))*$F137))</f>
        <v>0</v>
      </c>
      <c r="Z137" s="47"/>
      <c r="AA137" s="47">
        <f>IF(VLOOKUP($D137,$C$5:$AA$496,25,)=0,0,((VLOOKUP($D137,$C$5:$AA$496,25,)/VLOOKUP($D137,$C$5:$AA$496,4,))*$F137))</f>
        <v>0</v>
      </c>
      <c r="AB137" s="47">
        <f>SUM(H137:AA137)</f>
        <v>0</v>
      </c>
      <c r="AC137" s="27" t="str">
        <f>IF(ABS(AB137-F137)&lt;1,"ok","err")</f>
        <v>ok</v>
      </c>
    </row>
    <row r="138" spans="1:29" hidden="1" x14ac:dyDescent="0.2">
      <c r="A138" s="30">
        <v>3</v>
      </c>
      <c r="C138" s="14" t="s">
        <v>938</v>
      </c>
      <c r="D138" s="14" t="s">
        <v>16</v>
      </c>
      <c r="F138" s="62">
        <v>0</v>
      </c>
      <c r="G138" s="62"/>
      <c r="H138" s="47">
        <f>IF(VLOOKUP($D138,$C$5:$AA$496,6,)=0,0,((VLOOKUP($D138,$C$5:$AA$496,6,)/VLOOKUP($D138,$C$5:$AA$496,4,))*$F138))</f>
        <v>0</v>
      </c>
      <c r="I138" s="47">
        <f>IF(VLOOKUP($D138,$C$5:$AA$496,7,)=0,0,((VLOOKUP($D138,$C$5:$AA$496,7,)/VLOOKUP($D138,$C$5:$AA$496,4,))*$F138))</f>
        <v>0</v>
      </c>
      <c r="J138" s="47"/>
      <c r="K138" s="47">
        <f>IF(VLOOKUP($D138,$C$5:$AA$496,9,)=0,0,((VLOOKUP($D138,$C$5:$AA$496,9,)/VLOOKUP($D138,$C$5:$AA$496,4,))*$F138))</f>
        <v>0</v>
      </c>
      <c r="L138" s="47"/>
      <c r="M138" s="47">
        <f>IF(VLOOKUP($D138,$C$5:$AA$496,11,)=0,0,((VLOOKUP($D138,$C$5:$AA$496,11,)/VLOOKUP($D138,$C$5:$AA$496,4,))*$F138))</f>
        <v>0</v>
      </c>
      <c r="N138" s="47"/>
      <c r="O138" s="47">
        <f>IF(VLOOKUP($D138,$C$5:$AA$496,13,)=0,0,((VLOOKUP($D138,$C$5:$AA$496,13,)/VLOOKUP($D138,$C$5:$AA$496,4,))*$F138))</f>
        <v>0</v>
      </c>
      <c r="P138" s="47">
        <f>IF(VLOOKUP($D138,$C$5:$AA$496,14,)=0,0,((VLOOKUP($D138,$C$5:$AA$496,14,)/VLOOKUP($D138,$C$5:$AA$496,4,))*$F138))</f>
        <v>0</v>
      </c>
      <c r="Q138" s="47"/>
      <c r="R138" s="47">
        <f>IF(VLOOKUP($D138,$C$5:$AA$496,16,)=0,0,((VLOOKUP($D138,$C$5:$AA$496,16,)/VLOOKUP($D138,$C$5:$AA$496,4,))*$F138))</f>
        <v>0</v>
      </c>
      <c r="S138" s="47">
        <f>IF(VLOOKUP($D138,$C$5:$AA$496,17,)=0,0,((VLOOKUP($D138,$C$5:$AA$496,17,)/VLOOKUP($D138,$C$5:$AA$496,4,))*$F138))</f>
        <v>0</v>
      </c>
      <c r="T138" s="47"/>
      <c r="U138" s="47">
        <f>IF(VLOOKUP($D138,$C$5:$AA$496,19,)=0,0,((VLOOKUP($D138,$C$5:$AA$496,19,)/VLOOKUP($D138,$C$5:$AA$496,4,))*$F138))</f>
        <v>0</v>
      </c>
      <c r="V138" s="47"/>
      <c r="W138" s="47">
        <f>IF(VLOOKUP($D138,$C$5:$AA$496,21,)=0,0,((VLOOKUP($D138,$C$5:$AA$496,21,)/VLOOKUP($D138,$C$5:$AA$496,4,))*$F138))</f>
        <v>0</v>
      </c>
      <c r="X138" s="47"/>
      <c r="Y138" s="47">
        <f>IF(VLOOKUP($D138,$C$5:$AA$496,23,)=0,0,((VLOOKUP($D138,$C$5:$AA$496,23,)/VLOOKUP($D138,$C$5:$AA$496,4,))*$F138))</f>
        <v>0</v>
      </c>
      <c r="Z138" s="47"/>
      <c r="AA138" s="47">
        <f>IF(VLOOKUP($D138,$C$5:$AA$496,25,)=0,0,((VLOOKUP($D138,$C$5:$AA$496,25,)/VLOOKUP($D138,$C$5:$AA$496,4,))*$F138))</f>
        <v>0</v>
      </c>
      <c r="AB138" s="47">
        <f>SUM(H138:AA138)</f>
        <v>0</v>
      </c>
      <c r="AC138" s="27" t="str">
        <f>IF(ABS(AB138-F138)&lt;1,"ok","err")</f>
        <v>ok</v>
      </c>
    </row>
    <row r="139" spans="1:29" hidden="1" x14ac:dyDescent="0.2">
      <c r="A139" s="30">
        <v>4</v>
      </c>
      <c r="C139" s="14" t="s">
        <v>939</v>
      </c>
      <c r="D139" s="14" t="s">
        <v>16</v>
      </c>
      <c r="F139" s="62">
        <v>0</v>
      </c>
      <c r="G139" s="62"/>
      <c r="H139" s="47">
        <f>IF(VLOOKUP($D139,$C$5:$AA$496,6,)=0,0,((VLOOKUP($D139,$C$5:$AA$496,6,)/VLOOKUP($D139,$C$5:$AA$496,4,))*$F139))</f>
        <v>0</v>
      </c>
      <c r="I139" s="47">
        <f>IF(VLOOKUP($D139,$C$5:$AA$496,7,)=0,0,((VLOOKUP($D139,$C$5:$AA$496,7,)/VLOOKUP($D139,$C$5:$AA$496,4,))*$F139))</f>
        <v>0</v>
      </c>
      <c r="J139" s="47"/>
      <c r="K139" s="47">
        <f>IF(VLOOKUP($D139,$C$5:$AA$496,9,)=0,0,((VLOOKUP($D139,$C$5:$AA$496,9,)/VLOOKUP($D139,$C$5:$AA$496,4,))*$F139))</f>
        <v>0</v>
      </c>
      <c r="L139" s="47"/>
      <c r="M139" s="47">
        <f>IF(VLOOKUP($D139,$C$5:$AA$496,11,)=0,0,((VLOOKUP($D139,$C$5:$AA$496,11,)/VLOOKUP($D139,$C$5:$AA$496,4,))*$F139))</f>
        <v>0</v>
      </c>
      <c r="N139" s="47"/>
      <c r="O139" s="47">
        <f>IF(VLOOKUP($D139,$C$5:$AA$496,13,)=0,0,((VLOOKUP($D139,$C$5:$AA$496,13,)/VLOOKUP($D139,$C$5:$AA$496,4,))*$F139))</f>
        <v>0</v>
      </c>
      <c r="P139" s="47">
        <f>IF(VLOOKUP($D139,$C$5:$AA$496,14,)=0,0,((VLOOKUP($D139,$C$5:$AA$496,14,)/VLOOKUP($D139,$C$5:$AA$496,4,))*$F139))</f>
        <v>0</v>
      </c>
      <c r="Q139" s="47"/>
      <c r="R139" s="47">
        <f>IF(VLOOKUP($D139,$C$5:$AA$496,16,)=0,0,((VLOOKUP($D139,$C$5:$AA$496,16,)/VLOOKUP($D139,$C$5:$AA$496,4,))*$F139))</f>
        <v>0</v>
      </c>
      <c r="S139" s="47">
        <f>IF(VLOOKUP($D139,$C$5:$AA$496,17,)=0,0,((VLOOKUP($D139,$C$5:$AA$496,17,)/VLOOKUP($D139,$C$5:$AA$496,4,))*$F139))</f>
        <v>0</v>
      </c>
      <c r="T139" s="47"/>
      <c r="U139" s="47">
        <f>IF(VLOOKUP($D139,$C$5:$AA$496,19,)=0,0,((VLOOKUP($D139,$C$5:$AA$496,19,)/VLOOKUP($D139,$C$5:$AA$496,4,))*$F139))</f>
        <v>0</v>
      </c>
      <c r="V139" s="47"/>
      <c r="W139" s="47">
        <f>IF(VLOOKUP($D139,$C$5:$AA$496,21,)=0,0,((VLOOKUP($D139,$C$5:$AA$496,21,)/VLOOKUP($D139,$C$5:$AA$496,4,))*$F139))</f>
        <v>0</v>
      </c>
      <c r="X139" s="47"/>
      <c r="Y139" s="47">
        <f>IF(VLOOKUP($D139,$C$5:$AA$496,23,)=0,0,((VLOOKUP($D139,$C$5:$AA$496,23,)/VLOOKUP($D139,$C$5:$AA$496,4,))*$F139))</f>
        <v>0</v>
      </c>
      <c r="Z139" s="47"/>
      <c r="AA139" s="47">
        <f>IF(VLOOKUP($D139,$C$5:$AA$496,25,)=0,0,((VLOOKUP($D139,$C$5:$AA$496,25,)/VLOOKUP($D139,$C$5:$AA$496,4,))*$F139))</f>
        <v>0</v>
      </c>
      <c r="AB139" s="47">
        <f>SUM(H139:AA139)</f>
        <v>0</v>
      </c>
      <c r="AC139" s="27" t="str">
        <f>IF(ABS(AB139-F139)&lt;1,"ok","err")</f>
        <v>ok</v>
      </c>
    </row>
    <row r="140" spans="1:29" hidden="1" x14ac:dyDescent="0.2">
      <c r="F140" s="62"/>
      <c r="G140" s="62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27"/>
    </row>
    <row r="141" spans="1:29" hidden="1" x14ac:dyDescent="0.2">
      <c r="A141" s="14" t="s">
        <v>940</v>
      </c>
      <c r="F141" s="87">
        <v>0</v>
      </c>
      <c r="G141" s="87"/>
      <c r="H141" s="87">
        <f>SUM(H136:H139)</f>
        <v>0</v>
      </c>
      <c r="I141" s="87">
        <f>SUM(I136:I139)</f>
        <v>0</v>
      </c>
      <c r="J141" s="87"/>
      <c r="K141" s="87">
        <f>SUM(K136:K139)</f>
        <v>0</v>
      </c>
      <c r="L141" s="87"/>
      <c r="M141" s="87">
        <f>SUM(M136:M139)</f>
        <v>0</v>
      </c>
      <c r="N141" s="87"/>
      <c r="O141" s="87">
        <f>SUM(O136:O139)</f>
        <v>0</v>
      </c>
      <c r="P141" s="87">
        <f>SUM(P136:P139)</f>
        <v>0</v>
      </c>
      <c r="Q141" s="87"/>
      <c r="R141" s="87">
        <f>SUM(R136:R139)</f>
        <v>0</v>
      </c>
      <c r="S141" s="87">
        <f>SUM(S136:S139)</f>
        <v>0</v>
      </c>
      <c r="T141" s="87"/>
      <c r="U141" s="87">
        <f>SUM(U136:U139)</f>
        <v>0</v>
      </c>
      <c r="V141" s="87"/>
      <c r="W141" s="87">
        <f>SUM(W136:W139)</f>
        <v>0</v>
      </c>
      <c r="X141" s="87"/>
      <c r="Y141" s="87">
        <f>SUM(Y136:Y139)</f>
        <v>0</v>
      </c>
      <c r="Z141" s="87"/>
      <c r="AA141" s="87">
        <f>SUM(AA136:AA139)</f>
        <v>0</v>
      </c>
      <c r="AB141" s="47">
        <f>SUM(H141:AA141)</f>
        <v>0</v>
      </c>
      <c r="AC141" s="27" t="str">
        <f>IF(ABS(AB141-F141)&lt;1,"ok","err")</f>
        <v>ok</v>
      </c>
    </row>
    <row r="142" spans="1:29" x14ac:dyDescent="0.2">
      <c r="A142" s="14" t="s">
        <v>92</v>
      </c>
      <c r="C142" s="14" t="s">
        <v>93</v>
      </c>
      <c r="D142" s="14" t="s">
        <v>72</v>
      </c>
      <c r="F142" s="62">
        <v>966930</v>
      </c>
      <c r="G142" s="62"/>
      <c r="H142" s="47">
        <f>IF(VLOOKUP($D142,$C$5:$AA$496,6,)=0,0,((VLOOKUP($D142,$C$5:$AA$496,6,)/VLOOKUP($D142,$C$5:$AA$496,4,))*$F142))</f>
        <v>0</v>
      </c>
      <c r="I142" s="47">
        <f>IF(VLOOKUP($D142,$C$5:$AA$496,7,)=0,0,((VLOOKUP($D142,$C$5:$AA$496,7,)/VLOOKUP($D142,$C$5:$AA$496,4,))*$F142))</f>
        <v>0</v>
      </c>
      <c r="J142" s="47"/>
      <c r="K142" s="47">
        <f>IF(VLOOKUP($D142,$C$5:$AA$496,9,)=0,0,((VLOOKUP($D142,$C$5:$AA$496,9,)/VLOOKUP($D142,$C$5:$AA$496,4,))*$F142))</f>
        <v>0</v>
      </c>
      <c r="L142" s="47"/>
      <c r="M142" s="47">
        <f>IF(VLOOKUP($D142,$C$5:$AA$496,11,)=0,0,((VLOOKUP($D142,$C$5:$AA$496,11,)/VLOOKUP($D142,$C$5:$AA$496,4,))*$F142))</f>
        <v>3593.7522458411154</v>
      </c>
      <c r="N142" s="47"/>
      <c r="O142" s="47">
        <f>IF(VLOOKUP($D142,$C$5:$AA$496,13,)=0,0,((VLOOKUP($D142,$C$5:$AA$496,13,)/VLOOKUP($D142,$C$5:$AA$496,4,))*$F142))</f>
        <v>270331.70752229204</v>
      </c>
      <c r="P142" s="47">
        <f>IF(VLOOKUP($D142,$C$5:$AA$496,14,)=0,0,((VLOOKUP($D142,$C$5:$AA$496,14,)/VLOOKUP($D142,$C$5:$AA$496,4,))*$F142))</f>
        <v>508499.4298547745</v>
      </c>
      <c r="Q142" s="47"/>
      <c r="R142" s="47">
        <f>IF(VLOOKUP($D142,$C$5:$AA$496,16,)=0,0,((VLOOKUP($D142,$C$5:$AA$496,16,)/VLOOKUP($D142,$C$5:$AA$496,4,))*$F142))</f>
        <v>0</v>
      </c>
      <c r="S142" s="47">
        <f>IF(VLOOKUP($D142,$C$5:$AA$496,17,)=0,0,((VLOOKUP($D142,$C$5:$AA$496,17,)/VLOOKUP($D142,$C$5:$AA$496,4,))*$F142))</f>
        <v>105612.72579397808</v>
      </c>
      <c r="T142" s="47"/>
      <c r="U142" s="47">
        <f>IF(VLOOKUP($D142,$C$5:$AA$496,19,)=0,0,((VLOOKUP($D142,$C$5:$AA$496,19,)/VLOOKUP($D142,$C$5:$AA$496,4,))*$F142))</f>
        <v>46366.278268618982</v>
      </c>
      <c r="V142" s="47"/>
      <c r="W142" s="47">
        <f>IF(VLOOKUP($D142,$C$5:$AA$496,21,)=0,0,((VLOOKUP($D142,$C$5:$AA$496,21,)/VLOOKUP($D142,$C$5:$AA$496,4,))*$F142))</f>
        <v>32526.106314495002</v>
      </c>
      <c r="X142" s="47"/>
      <c r="Y142" s="47">
        <f>IF(VLOOKUP($D142,$C$5:$AA$496,23,)=0,0,((VLOOKUP($D142,$C$5:$AA$496,23,)/VLOOKUP($D142,$C$5:$AA$496,4,))*$F142))</f>
        <v>0</v>
      </c>
      <c r="Z142" s="47"/>
      <c r="AA142" s="47">
        <f>IF(VLOOKUP($D142,$C$5:$AA$496,25,)=0,0,((VLOOKUP($D142,$C$5:$AA$496,25,)/VLOOKUP($D142,$C$5:$AA$496,4,))*$F142))</f>
        <v>0</v>
      </c>
      <c r="AB142" s="47">
        <f>SUM(H142:AA142)</f>
        <v>966929.99999999965</v>
      </c>
      <c r="AC142" s="27" t="str">
        <f>IF(ABS(AB142-F142)&lt;1,"ok","err")</f>
        <v>ok</v>
      </c>
    </row>
    <row r="143" spans="1:29" x14ac:dyDescent="0.2">
      <c r="F143" s="62"/>
      <c r="G143" s="62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27"/>
    </row>
    <row r="144" spans="1:29" x14ac:dyDescent="0.2">
      <c r="A144" s="13" t="s">
        <v>94</v>
      </c>
      <c r="C144" s="14" t="s">
        <v>95</v>
      </c>
      <c r="F144" s="87">
        <f>F126+F133-F142</f>
        <v>110819625.55153851</v>
      </c>
      <c r="G144" s="87"/>
      <c r="H144" s="87">
        <f>H126+H133-H142</f>
        <v>0</v>
      </c>
      <c r="I144" s="87">
        <f>I126+I133-I142</f>
        <v>0</v>
      </c>
      <c r="J144" s="87"/>
      <c r="K144" s="87">
        <f>K126+K133-K142</f>
        <v>0</v>
      </c>
      <c r="L144" s="87"/>
      <c r="M144" s="87">
        <f>M126+M133-M142</f>
        <v>408928.54592122626</v>
      </c>
      <c r="N144" s="87"/>
      <c r="O144" s="87">
        <f>O126+O133-O142</f>
        <v>30960247.353943393</v>
      </c>
      <c r="P144" s="87">
        <f>P126+P133-P142</f>
        <v>58170300.355222136</v>
      </c>
      <c r="Q144" s="87"/>
      <c r="R144" s="87">
        <f>R126+R133-R142</f>
        <v>0</v>
      </c>
      <c r="S144" s="87">
        <f>S126+S133-S142</f>
        <v>11996799.005962908</v>
      </c>
      <c r="T144" s="87"/>
      <c r="U144" s="87">
        <f>U126+U133-U142</f>
        <v>5320626.6610663347</v>
      </c>
      <c r="V144" s="87"/>
      <c r="W144" s="87">
        <f>W126+W133-W142</f>
        <v>3689164.523772025</v>
      </c>
      <c r="X144" s="87"/>
      <c r="Y144" s="87">
        <f>Y126+Y133-Y142</f>
        <v>272237.21089039539</v>
      </c>
      <c r="Z144" s="87"/>
      <c r="AA144" s="87">
        <f>AA126+AA133-AA142</f>
        <v>1321.8947600585484</v>
      </c>
      <c r="AB144" s="47">
        <f>SUM(H144:AA144)</f>
        <v>110819625.55153848</v>
      </c>
      <c r="AC144" s="27" t="str">
        <f>IF(ABS(AB144-F144)&lt;1,"ok","err")</f>
        <v>ok</v>
      </c>
    </row>
    <row r="145" spans="1:29" x14ac:dyDescent="0.2">
      <c r="Q145" s="14"/>
      <c r="AC145" s="27"/>
    </row>
    <row r="146" spans="1:29" x14ac:dyDescent="0.2">
      <c r="A146" s="25" t="s">
        <v>86</v>
      </c>
      <c r="Q146" s="14"/>
      <c r="AC146" s="27"/>
    </row>
    <row r="147" spans="1:29" x14ac:dyDescent="0.2">
      <c r="A147" s="25"/>
      <c r="Q147" s="14"/>
      <c r="AC147" s="27"/>
    </row>
    <row r="148" spans="1:29" x14ac:dyDescent="0.2">
      <c r="A148" s="13" t="s">
        <v>789</v>
      </c>
      <c r="Q148" s="14"/>
      <c r="AC148" s="27"/>
    </row>
    <row r="149" spans="1:29" x14ac:dyDescent="0.2">
      <c r="A149" s="14">
        <v>500</v>
      </c>
      <c r="B149" s="14" t="s">
        <v>794</v>
      </c>
      <c r="C149" s="14" t="s">
        <v>807</v>
      </c>
      <c r="D149" s="14" t="s">
        <v>783</v>
      </c>
      <c r="F149" s="62">
        <v>0</v>
      </c>
      <c r="G149" s="62"/>
      <c r="H149" s="47">
        <f t="shared" ref="H149:H157" si="78">IF(VLOOKUP($D149,$C$5:$AA$496,6,)=0,0,((VLOOKUP($D149,$C$5:$AA$496,6,)/VLOOKUP($D149,$C$5:$AA$496,4,))*$F149))</f>
        <v>0</v>
      </c>
      <c r="I149" s="47">
        <f t="shared" ref="I149:I157" si="79">IF(VLOOKUP($D149,$C$5:$AA$496,7,)=0,0,((VLOOKUP($D149,$C$5:$AA$496,7,)/VLOOKUP($D149,$C$5:$AA$496,4,))*$F149))</f>
        <v>0</v>
      </c>
      <c r="J149" s="47"/>
      <c r="K149" s="47">
        <f t="shared" ref="K149:K157" si="80">IF(VLOOKUP($D149,$C$5:$AA$496,9,)=0,0,((VLOOKUP($D149,$C$5:$AA$496,9,)/VLOOKUP($D149,$C$5:$AA$496,4,))*$F149))</f>
        <v>0</v>
      </c>
      <c r="L149" s="47"/>
      <c r="M149" s="47">
        <f t="shared" ref="M149:M157" si="81">IF(VLOOKUP($D149,$C$5:$AA$496,11,)=0,0,((VLOOKUP($D149,$C$5:$AA$496,11,)/VLOOKUP($D149,$C$5:$AA$496,4,))*$F149))</f>
        <v>0</v>
      </c>
      <c r="N149" s="47"/>
      <c r="O149" s="47">
        <f t="shared" ref="O149:O157" si="82">IF(VLOOKUP($D149,$C$5:$AA$496,13,)=0,0,((VLOOKUP($D149,$C$5:$AA$496,13,)/VLOOKUP($D149,$C$5:$AA$496,4,))*$F149))</f>
        <v>0</v>
      </c>
      <c r="P149" s="47">
        <f t="shared" ref="P149:P157" si="83">IF(VLOOKUP($D149,$C$5:$AA$496,14,)=0,0,((VLOOKUP($D149,$C$5:$AA$496,14,)/VLOOKUP($D149,$C$5:$AA$496,4,))*$F149))</f>
        <v>0</v>
      </c>
      <c r="Q149" s="47"/>
      <c r="R149" s="47">
        <f t="shared" ref="R149:R157" si="84">IF(VLOOKUP($D149,$C$5:$AA$496,16,)=0,0,((VLOOKUP($D149,$C$5:$AA$496,16,)/VLOOKUP($D149,$C$5:$AA$496,4,))*$F149))</f>
        <v>0</v>
      </c>
      <c r="S149" s="47">
        <f t="shared" ref="S149:S157" si="85">IF(VLOOKUP($D149,$C$5:$AA$496,17,)=0,0,((VLOOKUP($D149,$C$5:$AA$496,17,)/VLOOKUP($D149,$C$5:$AA$496,4,))*$F149))</f>
        <v>0</v>
      </c>
      <c r="T149" s="47"/>
      <c r="U149" s="47">
        <f t="shared" ref="U149:U157" si="86">IF(VLOOKUP($D149,$C$5:$AA$496,19,)=0,0,((VLOOKUP($D149,$C$5:$AA$496,19,)/VLOOKUP($D149,$C$5:$AA$496,4,))*$F149))</f>
        <v>0</v>
      </c>
      <c r="V149" s="47"/>
      <c r="W149" s="47">
        <f t="shared" ref="W149:W157" si="87">IF(VLOOKUP($D149,$C$5:$AA$496,21,)=0,0,((VLOOKUP($D149,$C$5:$AA$496,21,)/VLOOKUP($D149,$C$5:$AA$496,4,))*$F149))</f>
        <v>0</v>
      </c>
      <c r="X149" s="47"/>
      <c r="Y149" s="47">
        <f t="shared" ref="Y149:Y157" si="88">IF(VLOOKUP($D149,$C$5:$AA$496,23,)=0,0,((VLOOKUP($D149,$C$5:$AA$496,23,)/VLOOKUP($D149,$C$5:$AA$496,4,))*$F149))</f>
        <v>0</v>
      </c>
      <c r="Z149" s="47"/>
      <c r="AA149" s="47">
        <f t="shared" ref="AA149:AA157" si="89">IF(VLOOKUP($D149,$C$5:$AA$496,25,)=0,0,((VLOOKUP($D149,$C$5:$AA$496,25,)/VLOOKUP($D149,$C$5:$AA$496,4,))*$F149))</f>
        <v>0</v>
      </c>
      <c r="AB149" s="47">
        <f t="shared" ref="AB149:AB157" si="90">SUM(H149:AA149)</f>
        <v>0</v>
      </c>
      <c r="AC149" s="27" t="str">
        <f t="shared" ref="AC149:AC157" si="91">IF(ABS(AB149-F149)&lt;1,"ok","err")</f>
        <v>ok</v>
      </c>
    </row>
    <row r="150" spans="1:29" x14ac:dyDescent="0.2">
      <c r="A150" s="14">
        <v>501</v>
      </c>
      <c r="B150" s="14" t="s">
        <v>795</v>
      </c>
      <c r="C150" s="14" t="s">
        <v>808</v>
      </c>
      <c r="D150" s="14" t="s">
        <v>787</v>
      </c>
      <c r="F150" s="47">
        <v>0</v>
      </c>
      <c r="G150" s="47"/>
      <c r="H150" s="47">
        <f t="shared" si="78"/>
        <v>0</v>
      </c>
      <c r="I150" s="47">
        <f t="shared" si="79"/>
        <v>0</v>
      </c>
      <c r="J150" s="47"/>
      <c r="K150" s="47">
        <f t="shared" si="80"/>
        <v>0</v>
      </c>
      <c r="L150" s="47"/>
      <c r="M150" s="47">
        <f t="shared" si="81"/>
        <v>0</v>
      </c>
      <c r="N150" s="47"/>
      <c r="O150" s="47">
        <f t="shared" si="82"/>
        <v>0</v>
      </c>
      <c r="P150" s="47">
        <f t="shared" si="83"/>
        <v>0</v>
      </c>
      <c r="Q150" s="47"/>
      <c r="R150" s="47">
        <f t="shared" si="84"/>
        <v>0</v>
      </c>
      <c r="S150" s="47">
        <f t="shared" si="85"/>
        <v>0</v>
      </c>
      <c r="T150" s="47"/>
      <c r="U150" s="47">
        <f t="shared" si="86"/>
        <v>0</v>
      </c>
      <c r="V150" s="47"/>
      <c r="W150" s="47">
        <f t="shared" si="87"/>
        <v>0</v>
      </c>
      <c r="X150" s="47"/>
      <c r="Y150" s="47">
        <f t="shared" si="88"/>
        <v>0</v>
      </c>
      <c r="Z150" s="47"/>
      <c r="AA150" s="47">
        <f t="shared" si="89"/>
        <v>0</v>
      </c>
      <c r="AB150" s="47">
        <f t="shared" si="90"/>
        <v>0</v>
      </c>
      <c r="AC150" s="27" t="str">
        <f t="shared" si="91"/>
        <v>ok</v>
      </c>
    </row>
    <row r="151" spans="1:29" x14ac:dyDescent="0.2">
      <c r="A151" s="14">
        <v>502</v>
      </c>
      <c r="B151" s="14" t="s">
        <v>796</v>
      </c>
      <c r="C151" s="14" t="s">
        <v>809</v>
      </c>
      <c r="D151" s="14" t="s">
        <v>552</v>
      </c>
      <c r="F151" s="47">
        <v>0</v>
      </c>
      <c r="G151" s="47"/>
      <c r="H151" s="47">
        <f t="shared" si="78"/>
        <v>0</v>
      </c>
      <c r="I151" s="47">
        <f t="shared" si="79"/>
        <v>0</v>
      </c>
      <c r="J151" s="47"/>
      <c r="K151" s="47">
        <f t="shared" si="80"/>
        <v>0</v>
      </c>
      <c r="L151" s="47"/>
      <c r="M151" s="47">
        <f t="shared" si="81"/>
        <v>0</v>
      </c>
      <c r="N151" s="47"/>
      <c r="O151" s="47">
        <f t="shared" si="82"/>
        <v>0</v>
      </c>
      <c r="P151" s="47">
        <f t="shared" si="83"/>
        <v>0</v>
      </c>
      <c r="Q151" s="47"/>
      <c r="R151" s="47">
        <f t="shared" si="84"/>
        <v>0</v>
      </c>
      <c r="S151" s="47">
        <f t="shared" si="85"/>
        <v>0</v>
      </c>
      <c r="T151" s="47"/>
      <c r="U151" s="47">
        <f t="shared" si="86"/>
        <v>0</v>
      </c>
      <c r="V151" s="47"/>
      <c r="W151" s="47">
        <f t="shared" si="87"/>
        <v>0</v>
      </c>
      <c r="X151" s="47"/>
      <c r="Y151" s="47">
        <f t="shared" si="88"/>
        <v>0</v>
      </c>
      <c r="Z151" s="47"/>
      <c r="AA151" s="47">
        <f t="shared" si="89"/>
        <v>0</v>
      </c>
      <c r="AB151" s="47">
        <f t="shared" si="90"/>
        <v>0</v>
      </c>
      <c r="AC151" s="27" t="str">
        <f t="shared" si="91"/>
        <v>ok</v>
      </c>
    </row>
    <row r="152" spans="1:29" x14ac:dyDescent="0.2">
      <c r="A152" s="14">
        <v>503</v>
      </c>
      <c r="B152" s="14" t="s">
        <v>797</v>
      </c>
      <c r="C152" s="14" t="s">
        <v>810</v>
      </c>
      <c r="D152" s="14" t="s">
        <v>552</v>
      </c>
      <c r="F152" s="47">
        <v>0</v>
      </c>
      <c r="G152" s="47"/>
      <c r="H152" s="47">
        <f t="shared" si="78"/>
        <v>0</v>
      </c>
      <c r="I152" s="47">
        <f t="shared" si="79"/>
        <v>0</v>
      </c>
      <c r="J152" s="47"/>
      <c r="K152" s="47">
        <f t="shared" si="80"/>
        <v>0</v>
      </c>
      <c r="L152" s="47"/>
      <c r="M152" s="47">
        <f t="shared" si="81"/>
        <v>0</v>
      </c>
      <c r="N152" s="47"/>
      <c r="O152" s="47">
        <f t="shared" si="82"/>
        <v>0</v>
      </c>
      <c r="P152" s="47">
        <f t="shared" si="83"/>
        <v>0</v>
      </c>
      <c r="Q152" s="47"/>
      <c r="R152" s="47">
        <f t="shared" si="84"/>
        <v>0</v>
      </c>
      <c r="S152" s="47">
        <f t="shared" si="85"/>
        <v>0</v>
      </c>
      <c r="T152" s="47"/>
      <c r="U152" s="47">
        <f t="shared" si="86"/>
        <v>0</v>
      </c>
      <c r="V152" s="47"/>
      <c r="W152" s="47">
        <f t="shared" si="87"/>
        <v>0</v>
      </c>
      <c r="X152" s="47"/>
      <c r="Y152" s="47">
        <f t="shared" si="88"/>
        <v>0</v>
      </c>
      <c r="Z152" s="47"/>
      <c r="AA152" s="47">
        <f t="shared" si="89"/>
        <v>0</v>
      </c>
      <c r="AB152" s="47">
        <f t="shared" si="90"/>
        <v>0</v>
      </c>
      <c r="AC152" s="27" t="str">
        <f t="shared" si="91"/>
        <v>ok</v>
      </c>
    </row>
    <row r="153" spans="1:29" x14ac:dyDescent="0.2">
      <c r="A153" s="14">
        <v>504</v>
      </c>
      <c r="B153" s="14" t="s">
        <v>798</v>
      </c>
      <c r="C153" s="14" t="s">
        <v>811</v>
      </c>
      <c r="D153" s="14" t="s">
        <v>552</v>
      </c>
      <c r="F153" s="47">
        <v>0</v>
      </c>
      <c r="G153" s="47"/>
      <c r="H153" s="47">
        <f t="shared" si="78"/>
        <v>0</v>
      </c>
      <c r="I153" s="47">
        <f t="shared" si="79"/>
        <v>0</v>
      </c>
      <c r="J153" s="47"/>
      <c r="K153" s="47">
        <f t="shared" si="80"/>
        <v>0</v>
      </c>
      <c r="L153" s="47"/>
      <c r="M153" s="47">
        <f t="shared" si="81"/>
        <v>0</v>
      </c>
      <c r="N153" s="47"/>
      <c r="O153" s="47">
        <f t="shared" si="82"/>
        <v>0</v>
      </c>
      <c r="P153" s="47">
        <f t="shared" si="83"/>
        <v>0</v>
      </c>
      <c r="Q153" s="47"/>
      <c r="R153" s="47">
        <f t="shared" si="84"/>
        <v>0</v>
      </c>
      <c r="S153" s="47">
        <f t="shared" si="85"/>
        <v>0</v>
      </c>
      <c r="T153" s="47"/>
      <c r="U153" s="47">
        <f t="shared" si="86"/>
        <v>0</v>
      </c>
      <c r="V153" s="47"/>
      <c r="W153" s="47">
        <f t="shared" si="87"/>
        <v>0</v>
      </c>
      <c r="X153" s="47"/>
      <c r="Y153" s="47">
        <f t="shared" si="88"/>
        <v>0</v>
      </c>
      <c r="Z153" s="47"/>
      <c r="AA153" s="47">
        <f t="shared" si="89"/>
        <v>0</v>
      </c>
      <c r="AB153" s="47">
        <f t="shared" si="90"/>
        <v>0</v>
      </c>
      <c r="AC153" s="27" t="str">
        <f t="shared" si="91"/>
        <v>ok</v>
      </c>
    </row>
    <row r="154" spans="1:29" x14ac:dyDescent="0.2">
      <c r="A154" s="14">
        <v>505</v>
      </c>
      <c r="B154" s="14" t="s">
        <v>799</v>
      </c>
      <c r="C154" s="14" t="s">
        <v>812</v>
      </c>
      <c r="D154" s="14" t="s">
        <v>552</v>
      </c>
      <c r="F154" s="47">
        <v>0</v>
      </c>
      <c r="G154" s="47"/>
      <c r="H154" s="47">
        <f t="shared" si="78"/>
        <v>0</v>
      </c>
      <c r="I154" s="47">
        <f t="shared" si="79"/>
        <v>0</v>
      </c>
      <c r="J154" s="47"/>
      <c r="K154" s="47">
        <f t="shared" si="80"/>
        <v>0</v>
      </c>
      <c r="L154" s="47"/>
      <c r="M154" s="47">
        <f t="shared" si="81"/>
        <v>0</v>
      </c>
      <c r="N154" s="47"/>
      <c r="O154" s="47">
        <f t="shared" si="82"/>
        <v>0</v>
      </c>
      <c r="P154" s="47">
        <f t="shared" si="83"/>
        <v>0</v>
      </c>
      <c r="Q154" s="47"/>
      <c r="R154" s="47">
        <f t="shared" si="84"/>
        <v>0</v>
      </c>
      <c r="S154" s="47">
        <f t="shared" si="85"/>
        <v>0</v>
      </c>
      <c r="T154" s="47"/>
      <c r="U154" s="47">
        <f t="shared" si="86"/>
        <v>0</v>
      </c>
      <c r="V154" s="47"/>
      <c r="W154" s="47">
        <f t="shared" si="87"/>
        <v>0</v>
      </c>
      <c r="X154" s="47"/>
      <c r="Y154" s="47">
        <f t="shared" si="88"/>
        <v>0</v>
      </c>
      <c r="Z154" s="47"/>
      <c r="AA154" s="47">
        <f t="shared" si="89"/>
        <v>0</v>
      </c>
      <c r="AB154" s="47">
        <f t="shared" si="90"/>
        <v>0</v>
      </c>
      <c r="AC154" s="27" t="str">
        <f t="shared" si="91"/>
        <v>ok</v>
      </c>
    </row>
    <row r="155" spans="1:29" x14ac:dyDescent="0.2">
      <c r="A155" s="14">
        <v>506</v>
      </c>
      <c r="B155" s="14" t="s">
        <v>800</v>
      </c>
      <c r="C155" s="14" t="s">
        <v>813</v>
      </c>
      <c r="D155" s="14" t="s">
        <v>552</v>
      </c>
      <c r="F155" s="47">
        <v>0</v>
      </c>
      <c r="G155" s="47"/>
      <c r="H155" s="47">
        <f t="shared" si="78"/>
        <v>0</v>
      </c>
      <c r="I155" s="47">
        <f t="shared" si="79"/>
        <v>0</v>
      </c>
      <c r="J155" s="47"/>
      <c r="K155" s="47">
        <f t="shared" si="80"/>
        <v>0</v>
      </c>
      <c r="L155" s="47"/>
      <c r="M155" s="47">
        <f t="shared" si="81"/>
        <v>0</v>
      </c>
      <c r="N155" s="47"/>
      <c r="O155" s="47">
        <f t="shared" si="82"/>
        <v>0</v>
      </c>
      <c r="P155" s="47">
        <f t="shared" si="83"/>
        <v>0</v>
      </c>
      <c r="Q155" s="47"/>
      <c r="R155" s="47">
        <f t="shared" si="84"/>
        <v>0</v>
      </c>
      <c r="S155" s="47">
        <f t="shared" si="85"/>
        <v>0</v>
      </c>
      <c r="T155" s="47"/>
      <c r="U155" s="47">
        <f t="shared" si="86"/>
        <v>0</v>
      </c>
      <c r="V155" s="47"/>
      <c r="W155" s="47">
        <f t="shared" si="87"/>
        <v>0</v>
      </c>
      <c r="X155" s="47"/>
      <c r="Y155" s="47">
        <f t="shared" si="88"/>
        <v>0</v>
      </c>
      <c r="Z155" s="47"/>
      <c r="AA155" s="47">
        <f t="shared" si="89"/>
        <v>0</v>
      </c>
      <c r="AB155" s="47">
        <f t="shared" si="90"/>
        <v>0</v>
      </c>
      <c r="AC155" s="27" t="str">
        <f t="shared" si="91"/>
        <v>ok</v>
      </c>
    </row>
    <row r="156" spans="1:29" x14ac:dyDescent="0.2">
      <c r="A156" s="14">
        <v>507</v>
      </c>
      <c r="B156" s="14" t="s">
        <v>115</v>
      </c>
      <c r="C156" s="14" t="s">
        <v>814</v>
      </c>
      <c r="D156" s="14" t="s">
        <v>552</v>
      </c>
      <c r="F156" s="47">
        <v>0</v>
      </c>
      <c r="G156" s="47"/>
      <c r="H156" s="47">
        <f t="shared" si="78"/>
        <v>0</v>
      </c>
      <c r="I156" s="47">
        <f t="shared" si="79"/>
        <v>0</v>
      </c>
      <c r="J156" s="47"/>
      <c r="K156" s="47">
        <f t="shared" si="80"/>
        <v>0</v>
      </c>
      <c r="L156" s="47"/>
      <c r="M156" s="47">
        <f t="shared" si="81"/>
        <v>0</v>
      </c>
      <c r="N156" s="47"/>
      <c r="O156" s="47">
        <f t="shared" si="82"/>
        <v>0</v>
      </c>
      <c r="P156" s="47">
        <f t="shared" si="83"/>
        <v>0</v>
      </c>
      <c r="Q156" s="47"/>
      <c r="R156" s="47">
        <f t="shared" si="84"/>
        <v>0</v>
      </c>
      <c r="S156" s="47">
        <f t="shared" si="85"/>
        <v>0</v>
      </c>
      <c r="T156" s="47"/>
      <c r="U156" s="47">
        <f t="shared" si="86"/>
        <v>0</v>
      </c>
      <c r="V156" s="47"/>
      <c r="W156" s="47">
        <f t="shared" si="87"/>
        <v>0</v>
      </c>
      <c r="X156" s="47"/>
      <c r="Y156" s="47">
        <f t="shared" si="88"/>
        <v>0</v>
      </c>
      <c r="Z156" s="47"/>
      <c r="AA156" s="47">
        <f t="shared" si="89"/>
        <v>0</v>
      </c>
      <c r="AB156" s="47">
        <f t="shared" si="90"/>
        <v>0</v>
      </c>
      <c r="AC156" s="27" t="str">
        <f t="shared" si="91"/>
        <v>ok</v>
      </c>
    </row>
    <row r="157" spans="1:29" x14ac:dyDescent="0.2">
      <c r="A157" s="14">
        <v>509</v>
      </c>
      <c r="B157" s="14" t="s">
        <v>801</v>
      </c>
      <c r="C157" s="14" t="s">
        <v>815</v>
      </c>
      <c r="D157" s="14" t="s">
        <v>787</v>
      </c>
      <c r="F157" s="47">
        <v>0</v>
      </c>
      <c r="G157" s="47"/>
      <c r="H157" s="47">
        <f t="shared" si="78"/>
        <v>0</v>
      </c>
      <c r="I157" s="47">
        <f t="shared" si="79"/>
        <v>0</v>
      </c>
      <c r="J157" s="47"/>
      <c r="K157" s="47">
        <f t="shared" si="80"/>
        <v>0</v>
      </c>
      <c r="L157" s="47"/>
      <c r="M157" s="47">
        <f t="shared" si="81"/>
        <v>0</v>
      </c>
      <c r="N157" s="47"/>
      <c r="O157" s="47">
        <f t="shared" si="82"/>
        <v>0</v>
      </c>
      <c r="P157" s="47">
        <f t="shared" si="83"/>
        <v>0</v>
      </c>
      <c r="Q157" s="47"/>
      <c r="R157" s="47">
        <f t="shared" si="84"/>
        <v>0</v>
      </c>
      <c r="S157" s="47">
        <f t="shared" si="85"/>
        <v>0</v>
      </c>
      <c r="T157" s="47"/>
      <c r="U157" s="47">
        <f t="shared" si="86"/>
        <v>0</v>
      </c>
      <c r="V157" s="47"/>
      <c r="W157" s="47">
        <f t="shared" si="87"/>
        <v>0</v>
      </c>
      <c r="X157" s="47"/>
      <c r="Y157" s="47">
        <f t="shared" si="88"/>
        <v>0</v>
      </c>
      <c r="Z157" s="47"/>
      <c r="AA157" s="47">
        <f t="shared" si="89"/>
        <v>0</v>
      </c>
      <c r="AB157" s="47">
        <f t="shared" si="90"/>
        <v>0</v>
      </c>
      <c r="AC157" s="27" t="str">
        <f t="shared" si="91"/>
        <v>ok</v>
      </c>
    </row>
    <row r="158" spans="1:29" x14ac:dyDescent="0.2"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C158" s="27"/>
    </row>
    <row r="159" spans="1:29" x14ac:dyDescent="0.2">
      <c r="A159" s="14" t="s">
        <v>793</v>
      </c>
      <c r="C159" s="14" t="s">
        <v>816</v>
      </c>
      <c r="F159" s="62">
        <f>SUM(F149:F158)</f>
        <v>0</v>
      </c>
      <c r="G159" s="62"/>
      <c r="H159" s="62">
        <f>SUM(H149:H158)</f>
        <v>0</v>
      </c>
      <c r="I159" s="62">
        <f>SUM(I149:I158)</f>
        <v>0</v>
      </c>
      <c r="J159" s="62"/>
      <c r="K159" s="62">
        <f>SUM(K149:K158)</f>
        <v>0</v>
      </c>
      <c r="L159" s="62"/>
      <c r="M159" s="62">
        <f>SUM(M149:M158)</f>
        <v>0</v>
      </c>
      <c r="N159" s="62"/>
      <c r="O159" s="62">
        <f>SUM(O149:O158)</f>
        <v>0</v>
      </c>
      <c r="P159" s="62">
        <f>SUM(P149:P158)</f>
        <v>0</v>
      </c>
      <c r="Q159" s="62"/>
      <c r="R159" s="62">
        <f>SUM(R149:R158)</f>
        <v>0</v>
      </c>
      <c r="S159" s="62">
        <f>SUM(S149:S158)</f>
        <v>0</v>
      </c>
      <c r="T159" s="62"/>
      <c r="U159" s="62">
        <f>SUM(U149:U158)</f>
        <v>0</v>
      </c>
      <c r="V159" s="62"/>
      <c r="W159" s="62">
        <f>SUM(W149:W158)</f>
        <v>0</v>
      </c>
      <c r="X159" s="62"/>
      <c r="Y159" s="62">
        <f>SUM(Y149:Y158)</f>
        <v>0</v>
      </c>
      <c r="Z159" s="62"/>
      <c r="AA159" s="62">
        <f>SUM(AA149:AA158)</f>
        <v>0</v>
      </c>
      <c r="AB159" s="47">
        <f>SUM(H159:AA159)</f>
        <v>0</v>
      </c>
      <c r="AC159" s="27" t="str">
        <f>IF(ABS(AB159-F159)&lt;1,"ok","err")</f>
        <v>ok</v>
      </c>
    </row>
    <row r="160" spans="1:29" x14ac:dyDescent="0.2">
      <c r="A160" s="13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C160" s="27"/>
    </row>
    <row r="161" spans="1:29" x14ac:dyDescent="0.2">
      <c r="A161" s="13" t="s">
        <v>790</v>
      </c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C161" s="27"/>
    </row>
    <row r="162" spans="1:29" x14ac:dyDescent="0.2">
      <c r="A162" s="14">
        <v>510</v>
      </c>
      <c r="B162" s="14" t="s">
        <v>802</v>
      </c>
      <c r="C162" s="14" t="s">
        <v>818</v>
      </c>
      <c r="D162" s="14" t="s">
        <v>787</v>
      </c>
      <c r="F162" s="62">
        <v>0</v>
      </c>
      <c r="G162" s="62"/>
      <c r="H162" s="47">
        <f>IF(VLOOKUP($D162,$C$5:$AA$496,6,)=0,0,((VLOOKUP($D162,$C$5:$AA$496,6,)/VLOOKUP($D162,$C$5:$AA$496,4,))*$F162))</f>
        <v>0</v>
      </c>
      <c r="I162" s="47">
        <f>IF(VLOOKUP($D162,$C$5:$AA$496,7,)=0,0,((VLOOKUP($D162,$C$5:$AA$496,7,)/VLOOKUP($D162,$C$5:$AA$496,4,))*$F162))</f>
        <v>0</v>
      </c>
      <c r="J162" s="47"/>
      <c r="K162" s="47">
        <f>IF(VLOOKUP($D162,$C$5:$AA$496,9,)=0,0,((VLOOKUP($D162,$C$5:$AA$496,9,)/VLOOKUP($D162,$C$5:$AA$496,4,))*$F162))</f>
        <v>0</v>
      </c>
      <c r="L162" s="47"/>
      <c r="M162" s="47">
        <f>IF(VLOOKUP($D162,$C$5:$AA$496,11,)=0,0,((VLOOKUP($D162,$C$5:$AA$496,11,)/VLOOKUP($D162,$C$5:$AA$496,4,))*$F162))</f>
        <v>0</v>
      </c>
      <c r="N162" s="47"/>
      <c r="O162" s="47">
        <f>IF(VLOOKUP($D162,$C$5:$AA$496,13,)=0,0,((VLOOKUP($D162,$C$5:$AA$496,13,)/VLOOKUP($D162,$C$5:$AA$496,4,))*$F162))</f>
        <v>0</v>
      </c>
      <c r="P162" s="47">
        <f>IF(VLOOKUP($D162,$C$5:$AA$496,14,)=0,0,((VLOOKUP($D162,$C$5:$AA$496,14,)/VLOOKUP($D162,$C$5:$AA$496,4,))*$F162))</f>
        <v>0</v>
      </c>
      <c r="Q162" s="47"/>
      <c r="R162" s="47">
        <f>IF(VLOOKUP($D162,$C$5:$AA$496,16,)=0,0,((VLOOKUP($D162,$C$5:$AA$496,16,)/VLOOKUP($D162,$C$5:$AA$496,4,))*$F162))</f>
        <v>0</v>
      </c>
      <c r="S162" s="47">
        <f>IF(VLOOKUP($D162,$C$5:$AA$496,17,)=0,0,((VLOOKUP($D162,$C$5:$AA$496,17,)/VLOOKUP($D162,$C$5:$AA$496,4,))*$F162))</f>
        <v>0</v>
      </c>
      <c r="T162" s="47"/>
      <c r="U162" s="47">
        <f>IF(VLOOKUP($D162,$C$5:$AA$496,19,)=0,0,((VLOOKUP($D162,$C$5:$AA$496,19,)/VLOOKUP($D162,$C$5:$AA$496,4,))*$F162))</f>
        <v>0</v>
      </c>
      <c r="V162" s="47"/>
      <c r="W162" s="47">
        <f>IF(VLOOKUP($D162,$C$5:$AA$496,21,)=0,0,((VLOOKUP($D162,$C$5:$AA$496,21,)/VLOOKUP($D162,$C$5:$AA$496,4,))*$F162))</f>
        <v>0</v>
      </c>
      <c r="X162" s="47"/>
      <c r="Y162" s="47">
        <f>IF(VLOOKUP($D162,$C$5:$AA$496,23,)=0,0,((VLOOKUP($D162,$C$5:$AA$496,23,)/VLOOKUP($D162,$C$5:$AA$496,4,))*$F162))</f>
        <v>0</v>
      </c>
      <c r="Z162" s="47"/>
      <c r="AA162" s="47">
        <f>IF(VLOOKUP($D162,$C$5:$AA$496,25,)=0,0,((VLOOKUP($D162,$C$5:$AA$496,25,)/VLOOKUP($D162,$C$5:$AA$496,4,))*$F162))</f>
        <v>0</v>
      </c>
      <c r="AB162" s="47">
        <f>SUM(H162:AA162)</f>
        <v>0</v>
      </c>
      <c r="AC162" s="27" t="str">
        <f>IF(ABS(AB162-F162)&lt;1,"ok","err")</f>
        <v>ok</v>
      </c>
    </row>
    <row r="163" spans="1:29" x14ac:dyDescent="0.2">
      <c r="A163" s="14">
        <v>511</v>
      </c>
      <c r="B163" s="14" t="s">
        <v>803</v>
      </c>
      <c r="C163" s="14" t="s">
        <v>819</v>
      </c>
      <c r="D163" s="14" t="s">
        <v>552</v>
      </c>
      <c r="F163" s="47">
        <v>0</v>
      </c>
      <c r="G163" s="47"/>
      <c r="H163" s="47">
        <f>IF(VLOOKUP($D163,$C$5:$AA$496,6,)=0,0,((VLOOKUP($D163,$C$5:$AA$496,6,)/VLOOKUP($D163,$C$5:$AA$496,4,))*$F163))</f>
        <v>0</v>
      </c>
      <c r="I163" s="47">
        <f>IF(VLOOKUP($D163,$C$5:$AA$496,7,)=0,0,((VLOOKUP($D163,$C$5:$AA$496,7,)/VLOOKUP($D163,$C$5:$AA$496,4,))*$F163))</f>
        <v>0</v>
      </c>
      <c r="J163" s="47"/>
      <c r="K163" s="47">
        <f>IF(VLOOKUP($D163,$C$5:$AA$496,9,)=0,0,((VLOOKUP($D163,$C$5:$AA$496,9,)/VLOOKUP($D163,$C$5:$AA$496,4,))*$F163))</f>
        <v>0</v>
      </c>
      <c r="L163" s="47"/>
      <c r="M163" s="47">
        <f>IF(VLOOKUP($D163,$C$5:$AA$496,11,)=0,0,((VLOOKUP($D163,$C$5:$AA$496,11,)/VLOOKUP($D163,$C$5:$AA$496,4,))*$F163))</f>
        <v>0</v>
      </c>
      <c r="N163" s="47"/>
      <c r="O163" s="47">
        <f>IF(VLOOKUP($D163,$C$5:$AA$496,13,)=0,0,((VLOOKUP($D163,$C$5:$AA$496,13,)/VLOOKUP($D163,$C$5:$AA$496,4,))*$F163))</f>
        <v>0</v>
      </c>
      <c r="P163" s="47">
        <f>IF(VLOOKUP($D163,$C$5:$AA$496,14,)=0,0,((VLOOKUP($D163,$C$5:$AA$496,14,)/VLOOKUP($D163,$C$5:$AA$496,4,))*$F163))</f>
        <v>0</v>
      </c>
      <c r="Q163" s="47"/>
      <c r="R163" s="47">
        <f>IF(VLOOKUP($D163,$C$5:$AA$496,16,)=0,0,((VLOOKUP($D163,$C$5:$AA$496,16,)/VLOOKUP($D163,$C$5:$AA$496,4,))*$F163))</f>
        <v>0</v>
      </c>
      <c r="S163" s="47">
        <f>IF(VLOOKUP($D163,$C$5:$AA$496,17,)=0,0,((VLOOKUP($D163,$C$5:$AA$496,17,)/VLOOKUP($D163,$C$5:$AA$496,4,))*$F163))</f>
        <v>0</v>
      </c>
      <c r="T163" s="47"/>
      <c r="U163" s="47">
        <f>IF(VLOOKUP($D163,$C$5:$AA$496,19,)=0,0,((VLOOKUP($D163,$C$5:$AA$496,19,)/VLOOKUP($D163,$C$5:$AA$496,4,))*$F163))</f>
        <v>0</v>
      </c>
      <c r="V163" s="47"/>
      <c r="W163" s="47">
        <f>IF(VLOOKUP($D163,$C$5:$AA$496,21,)=0,0,((VLOOKUP($D163,$C$5:$AA$496,21,)/VLOOKUP($D163,$C$5:$AA$496,4,))*$F163))</f>
        <v>0</v>
      </c>
      <c r="X163" s="47"/>
      <c r="Y163" s="47">
        <f>IF(VLOOKUP($D163,$C$5:$AA$496,23,)=0,0,((VLOOKUP($D163,$C$5:$AA$496,23,)/VLOOKUP($D163,$C$5:$AA$496,4,))*$F163))</f>
        <v>0</v>
      </c>
      <c r="Z163" s="47"/>
      <c r="AA163" s="47">
        <f>IF(VLOOKUP($D163,$C$5:$AA$496,25,)=0,0,((VLOOKUP($D163,$C$5:$AA$496,25,)/VLOOKUP($D163,$C$5:$AA$496,4,))*$F163))</f>
        <v>0</v>
      </c>
      <c r="AB163" s="47">
        <f>SUM(H163:AA163)</f>
        <v>0</v>
      </c>
      <c r="AC163" s="27" t="str">
        <f>IF(ABS(AB163-F163)&lt;1,"ok","err")</f>
        <v>ok</v>
      </c>
    </row>
    <row r="164" spans="1:29" x14ac:dyDescent="0.2">
      <c r="A164" s="14">
        <v>512</v>
      </c>
      <c r="B164" s="14" t="s">
        <v>804</v>
      </c>
      <c r="C164" s="14" t="s">
        <v>820</v>
      </c>
      <c r="D164" s="14" t="s">
        <v>787</v>
      </c>
      <c r="F164" s="47">
        <v>0</v>
      </c>
      <c r="G164" s="47"/>
      <c r="H164" s="47">
        <f>IF(VLOOKUP($D164,$C$5:$AA$496,6,)=0,0,((VLOOKUP($D164,$C$5:$AA$496,6,)/VLOOKUP($D164,$C$5:$AA$496,4,))*$F164))</f>
        <v>0</v>
      </c>
      <c r="I164" s="47">
        <f>IF(VLOOKUP($D164,$C$5:$AA$496,7,)=0,0,((VLOOKUP($D164,$C$5:$AA$496,7,)/VLOOKUP($D164,$C$5:$AA$496,4,))*$F164))</f>
        <v>0</v>
      </c>
      <c r="J164" s="47"/>
      <c r="K164" s="47">
        <f>IF(VLOOKUP($D164,$C$5:$AA$496,9,)=0,0,((VLOOKUP($D164,$C$5:$AA$496,9,)/VLOOKUP($D164,$C$5:$AA$496,4,))*$F164))</f>
        <v>0</v>
      </c>
      <c r="L164" s="47"/>
      <c r="M164" s="47">
        <f>IF(VLOOKUP($D164,$C$5:$AA$496,11,)=0,0,((VLOOKUP($D164,$C$5:$AA$496,11,)/VLOOKUP($D164,$C$5:$AA$496,4,))*$F164))</f>
        <v>0</v>
      </c>
      <c r="N164" s="47"/>
      <c r="O164" s="47">
        <f>IF(VLOOKUP($D164,$C$5:$AA$496,13,)=0,0,((VLOOKUP($D164,$C$5:$AA$496,13,)/VLOOKUP($D164,$C$5:$AA$496,4,))*$F164))</f>
        <v>0</v>
      </c>
      <c r="P164" s="47">
        <f>IF(VLOOKUP($D164,$C$5:$AA$496,14,)=0,0,((VLOOKUP($D164,$C$5:$AA$496,14,)/VLOOKUP($D164,$C$5:$AA$496,4,))*$F164))</f>
        <v>0</v>
      </c>
      <c r="Q164" s="47"/>
      <c r="R164" s="47">
        <f>IF(VLOOKUP($D164,$C$5:$AA$496,16,)=0,0,((VLOOKUP($D164,$C$5:$AA$496,16,)/VLOOKUP($D164,$C$5:$AA$496,4,))*$F164))</f>
        <v>0</v>
      </c>
      <c r="S164" s="47">
        <f>IF(VLOOKUP($D164,$C$5:$AA$496,17,)=0,0,((VLOOKUP($D164,$C$5:$AA$496,17,)/VLOOKUP($D164,$C$5:$AA$496,4,))*$F164))</f>
        <v>0</v>
      </c>
      <c r="T164" s="47"/>
      <c r="U164" s="47">
        <f>IF(VLOOKUP($D164,$C$5:$AA$496,19,)=0,0,((VLOOKUP($D164,$C$5:$AA$496,19,)/VLOOKUP($D164,$C$5:$AA$496,4,))*$F164))</f>
        <v>0</v>
      </c>
      <c r="V164" s="47"/>
      <c r="W164" s="47">
        <f>IF(VLOOKUP($D164,$C$5:$AA$496,21,)=0,0,((VLOOKUP($D164,$C$5:$AA$496,21,)/VLOOKUP($D164,$C$5:$AA$496,4,))*$F164))</f>
        <v>0</v>
      </c>
      <c r="X164" s="47"/>
      <c r="Y164" s="47">
        <f>IF(VLOOKUP($D164,$C$5:$AA$496,23,)=0,0,((VLOOKUP($D164,$C$5:$AA$496,23,)/VLOOKUP($D164,$C$5:$AA$496,4,))*$F164))</f>
        <v>0</v>
      </c>
      <c r="Z164" s="47"/>
      <c r="AA164" s="47">
        <f>IF(VLOOKUP($D164,$C$5:$AA$496,25,)=0,0,((VLOOKUP($D164,$C$5:$AA$496,25,)/VLOOKUP($D164,$C$5:$AA$496,4,))*$F164))</f>
        <v>0</v>
      </c>
      <c r="AB164" s="47">
        <f>SUM(H164:AA164)</f>
        <v>0</v>
      </c>
      <c r="AC164" s="27" t="str">
        <f>IF(ABS(AB164-F164)&lt;1,"ok","err")</f>
        <v>ok</v>
      </c>
    </row>
    <row r="165" spans="1:29" x14ac:dyDescent="0.2">
      <c r="A165" s="14">
        <v>513</v>
      </c>
      <c r="B165" s="14" t="s">
        <v>805</v>
      </c>
      <c r="C165" s="14" t="s">
        <v>821</v>
      </c>
      <c r="D165" s="14" t="s">
        <v>787</v>
      </c>
      <c r="F165" s="47">
        <v>0</v>
      </c>
      <c r="G165" s="47"/>
      <c r="H165" s="47">
        <f>IF(VLOOKUP($D165,$C$5:$AA$496,6,)=0,0,((VLOOKUP($D165,$C$5:$AA$496,6,)/VLOOKUP($D165,$C$5:$AA$496,4,))*$F165))</f>
        <v>0</v>
      </c>
      <c r="I165" s="47">
        <f>IF(VLOOKUP($D165,$C$5:$AA$496,7,)=0,0,((VLOOKUP($D165,$C$5:$AA$496,7,)/VLOOKUP($D165,$C$5:$AA$496,4,))*$F165))</f>
        <v>0</v>
      </c>
      <c r="J165" s="47"/>
      <c r="K165" s="47">
        <f>IF(VLOOKUP($D165,$C$5:$AA$496,9,)=0,0,((VLOOKUP($D165,$C$5:$AA$496,9,)/VLOOKUP($D165,$C$5:$AA$496,4,))*$F165))</f>
        <v>0</v>
      </c>
      <c r="L165" s="47"/>
      <c r="M165" s="47">
        <f>IF(VLOOKUP($D165,$C$5:$AA$496,11,)=0,0,((VLOOKUP($D165,$C$5:$AA$496,11,)/VLOOKUP($D165,$C$5:$AA$496,4,))*$F165))</f>
        <v>0</v>
      </c>
      <c r="N165" s="47"/>
      <c r="O165" s="47">
        <f>IF(VLOOKUP($D165,$C$5:$AA$496,13,)=0,0,((VLOOKUP($D165,$C$5:$AA$496,13,)/VLOOKUP($D165,$C$5:$AA$496,4,))*$F165))</f>
        <v>0</v>
      </c>
      <c r="P165" s="47">
        <f>IF(VLOOKUP($D165,$C$5:$AA$496,14,)=0,0,((VLOOKUP($D165,$C$5:$AA$496,14,)/VLOOKUP($D165,$C$5:$AA$496,4,))*$F165))</f>
        <v>0</v>
      </c>
      <c r="Q165" s="47"/>
      <c r="R165" s="47">
        <f>IF(VLOOKUP($D165,$C$5:$AA$496,16,)=0,0,((VLOOKUP($D165,$C$5:$AA$496,16,)/VLOOKUP($D165,$C$5:$AA$496,4,))*$F165))</f>
        <v>0</v>
      </c>
      <c r="S165" s="47">
        <f>IF(VLOOKUP($D165,$C$5:$AA$496,17,)=0,0,((VLOOKUP($D165,$C$5:$AA$496,17,)/VLOOKUP($D165,$C$5:$AA$496,4,))*$F165))</f>
        <v>0</v>
      </c>
      <c r="T165" s="47"/>
      <c r="U165" s="47">
        <f>IF(VLOOKUP($D165,$C$5:$AA$496,19,)=0,0,((VLOOKUP($D165,$C$5:$AA$496,19,)/VLOOKUP($D165,$C$5:$AA$496,4,))*$F165))</f>
        <v>0</v>
      </c>
      <c r="V165" s="47"/>
      <c r="W165" s="47">
        <f>IF(VLOOKUP($D165,$C$5:$AA$496,21,)=0,0,((VLOOKUP($D165,$C$5:$AA$496,21,)/VLOOKUP($D165,$C$5:$AA$496,4,))*$F165))</f>
        <v>0</v>
      </c>
      <c r="X165" s="47"/>
      <c r="Y165" s="47">
        <f>IF(VLOOKUP($D165,$C$5:$AA$496,23,)=0,0,((VLOOKUP($D165,$C$5:$AA$496,23,)/VLOOKUP($D165,$C$5:$AA$496,4,))*$F165))</f>
        <v>0</v>
      </c>
      <c r="Z165" s="47"/>
      <c r="AA165" s="47">
        <f>IF(VLOOKUP($D165,$C$5:$AA$496,25,)=0,0,((VLOOKUP($D165,$C$5:$AA$496,25,)/VLOOKUP($D165,$C$5:$AA$496,4,))*$F165))</f>
        <v>0</v>
      </c>
      <c r="AB165" s="47">
        <f>SUM(H165:AA165)</f>
        <v>0</v>
      </c>
      <c r="AC165" s="27" t="str">
        <f>IF(ABS(AB165-F165)&lt;1,"ok","err")</f>
        <v>ok</v>
      </c>
    </row>
    <row r="166" spans="1:29" x14ac:dyDescent="0.2">
      <c r="A166" s="14">
        <v>514</v>
      </c>
      <c r="B166" s="14" t="s">
        <v>806</v>
      </c>
      <c r="C166" s="14" t="s">
        <v>822</v>
      </c>
      <c r="D166" s="14" t="s">
        <v>552</v>
      </c>
      <c r="F166" s="47">
        <v>0</v>
      </c>
      <c r="G166" s="47"/>
      <c r="H166" s="47">
        <f>IF(VLOOKUP($D166,$C$5:$AA$496,6,)=0,0,((VLOOKUP($D166,$C$5:$AA$496,6,)/VLOOKUP($D166,$C$5:$AA$496,4,))*$F166))</f>
        <v>0</v>
      </c>
      <c r="I166" s="47">
        <f>IF(VLOOKUP($D166,$C$5:$AA$496,7,)=0,0,((VLOOKUP($D166,$C$5:$AA$496,7,)/VLOOKUP($D166,$C$5:$AA$496,4,))*$F166))</f>
        <v>0</v>
      </c>
      <c r="J166" s="47"/>
      <c r="K166" s="47">
        <f>IF(VLOOKUP($D166,$C$5:$AA$496,9,)=0,0,((VLOOKUP($D166,$C$5:$AA$496,9,)/VLOOKUP($D166,$C$5:$AA$496,4,))*$F166))</f>
        <v>0</v>
      </c>
      <c r="L166" s="47"/>
      <c r="M166" s="47">
        <f>IF(VLOOKUP($D166,$C$5:$AA$496,11,)=0,0,((VLOOKUP($D166,$C$5:$AA$496,11,)/VLOOKUP($D166,$C$5:$AA$496,4,))*$F166))</f>
        <v>0</v>
      </c>
      <c r="N166" s="47"/>
      <c r="O166" s="47">
        <f>IF(VLOOKUP($D166,$C$5:$AA$496,13,)=0,0,((VLOOKUP($D166,$C$5:$AA$496,13,)/VLOOKUP($D166,$C$5:$AA$496,4,))*$F166))</f>
        <v>0</v>
      </c>
      <c r="P166" s="47">
        <f>IF(VLOOKUP($D166,$C$5:$AA$496,14,)=0,0,((VLOOKUP($D166,$C$5:$AA$496,14,)/VLOOKUP($D166,$C$5:$AA$496,4,))*$F166))</f>
        <v>0</v>
      </c>
      <c r="Q166" s="47"/>
      <c r="R166" s="47">
        <f>IF(VLOOKUP($D166,$C$5:$AA$496,16,)=0,0,((VLOOKUP($D166,$C$5:$AA$496,16,)/VLOOKUP($D166,$C$5:$AA$496,4,))*$F166))</f>
        <v>0</v>
      </c>
      <c r="S166" s="47">
        <f>IF(VLOOKUP($D166,$C$5:$AA$496,17,)=0,0,((VLOOKUP($D166,$C$5:$AA$496,17,)/VLOOKUP($D166,$C$5:$AA$496,4,))*$F166))</f>
        <v>0</v>
      </c>
      <c r="T166" s="47"/>
      <c r="U166" s="47">
        <f>IF(VLOOKUP($D166,$C$5:$AA$496,19,)=0,0,((VLOOKUP($D166,$C$5:$AA$496,19,)/VLOOKUP($D166,$C$5:$AA$496,4,))*$F166))</f>
        <v>0</v>
      </c>
      <c r="V166" s="47"/>
      <c r="W166" s="47">
        <f>IF(VLOOKUP($D166,$C$5:$AA$496,21,)=0,0,((VLOOKUP($D166,$C$5:$AA$496,21,)/VLOOKUP($D166,$C$5:$AA$496,4,))*$F166))</f>
        <v>0</v>
      </c>
      <c r="X166" s="47"/>
      <c r="Y166" s="47">
        <f>IF(VLOOKUP($D166,$C$5:$AA$496,23,)=0,0,((VLOOKUP($D166,$C$5:$AA$496,23,)/VLOOKUP($D166,$C$5:$AA$496,4,))*$F166))</f>
        <v>0</v>
      </c>
      <c r="Z166" s="47"/>
      <c r="AA166" s="47">
        <f>IF(VLOOKUP($D166,$C$5:$AA$496,25,)=0,0,((VLOOKUP($D166,$C$5:$AA$496,25,)/VLOOKUP($D166,$C$5:$AA$496,4,))*$F166))</f>
        <v>0</v>
      </c>
      <c r="AB166" s="47">
        <f>SUM(H166:AA166)</f>
        <v>0</v>
      </c>
      <c r="AC166" s="27" t="str">
        <f>IF(ABS(AB166-F166)&lt;1,"ok","err")</f>
        <v>ok</v>
      </c>
    </row>
    <row r="167" spans="1:29" x14ac:dyDescent="0.2"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27"/>
    </row>
    <row r="168" spans="1:29" x14ac:dyDescent="0.2">
      <c r="A168" s="14" t="s">
        <v>791</v>
      </c>
      <c r="C168" s="14" t="s">
        <v>817</v>
      </c>
      <c r="F168" s="62">
        <f>SUM(F162:F167)</f>
        <v>0</v>
      </c>
      <c r="G168" s="62"/>
      <c r="H168" s="62">
        <f>SUM(H162:H167)</f>
        <v>0</v>
      </c>
      <c r="I168" s="62">
        <f>SUM(I162:I167)</f>
        <v>0</v>
      </c>
      <c r="J168" s="62"/>
      <c r="K168" s="62">
        <f>SUM(K162:K167)</f>
        <v>0</v>
      </c>
      <c r="L168" s="62"/>
      <c r="M168" s="62">
        <f>SUM(M162:M167)</f>
        <v>0</v>
      </c>
      <c r="N168" s="62"/>
      <c r="O168" s="62">
        <f>SUM(O162:O167)</f>
        <v>0</v>
      </c>
      <c r="P168" s="62">
        <f>SUM(P162:P167)</f>
        <v>0</v>
      </c>
      <c r="Q168" s="62"/>
      <c r="R168" s="62">
        <f>SUM(R162:R167)</f>
        <v>0</v>
      </c>
      <c r="S168" s="62">
        <f>SUM(S162:S167)</f>
        <v>0</v>
      </c>
      <c r="T168" s="62"/>
      <c r="U168" s="62">
        <f>SUM(U162:U167)</f>
        <v>0</v>
      </c>
      <c r="V168" s="62"/>
      <c r="W168" s="62">
        <f>SUM(W162:W167)</f>
        <v>0</v>
      </c>
      <c r="X168" s="62"/>
      <c r="Y168" s="62">
        <f>SUM(Y162:Y167)</f>
        <v>0</v>
      </c>
      <c r="Z168" s="62"/>
      <c r="AA168" s="62">
        <f>SUM(AA162:AA167)</f>
        <v>0</v>
      </c>
      <c r="AB168" s="47">
        <f>SUM(H168:AA168)</f>
        <v>0</v>
      </c>
      <c r="AC168" s="27" t="str">
        <f>IF(ABS(AB168-F168)&lt;1,"ok","err")</f>
        <v>ok</v>
      </c>
    </row>
    <row r="169" spans="1:29" x14ac:dyDescent="0.2"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C169" s="27"/>
    </row>
    <row r="170" spans="1:29" x14ac:dyDescent="0.2">
      <c r="A170" s="14" t="s">
        <v>792</v>
      </c>
      <c r="C170" s="14" t="s">
        <v>825</v>
      </c>
      <c r="F170" s="47">
        <f>F159+F168</f>
        <v>0</v>
      </c>
      <c r="G170" s="47"/>
      <c r="H170" s="47">
        <f>H159+H168</f>
        <v>0</v>
      </c>
      <c r="I170" s="47">
        <f>I159+I168</f>
        <v>0</v>
      </c>
      <c r="J170" s="47"/>
      <c r="K170" s="47">
        <f>K159+K168</f>
        <v>0</v>
      </c>
      <c r="L170" s="47"/>
      <c r="M170" s="47">
        <f>M159+M168</f>
        <v>0</v>
      </c>
      <c r="N170" s="47"/>
      <c r="O170" s="47">
        <f>O159+O168</f>
        <v>0</v>
      </c>
      <c r="P170" s="47">
        <f>P159+P168</f>
        <v>0</v>
      </c>
      <c r="Q170" s="47"/>
      <c r="R170" s="47">
        <f>R159+R168</f>
        <v>0</v>
      </c>
      <c r="S170" s="47">
        <f>S159+S168</f>
        <v>0</v>
      </c>
      <c r="T170" s="47"/>
      <c r="U170" s="47">
        <f>U159+U168</f>
        <v>0</v>
      </c>
      <c r="V170" s="47"/>
      <c r="W170" s="47">
        <f>W159+W168</f>
        <v>0</v>
      </c>
      <c r="X170" s="47"/>
      <c r="Y170" s="47">
        <f>Y159+Y168</f>
        <v>0</v>
      </c>
      <c r="Z170" s="47"/>
      <c r="AA170" s="47">
        <f>AA159+AA168</f>
        <v>0</v>
      </c>
      <c r="AB170" s="47">
        <f>SUM(H170:AA170)</f>
        <v>0</v>
      </c>
      <c r="AC170" s="27" t="str">
        <f>IF(ABS(AB170-F170)&lt;1,"ok","err")</f>
        <v>ok</v>
      </c>
    </row>
    <row r="171" spans="1:29" x14ac:dyDescent="0.2"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C171" s="27"/>
    </row>
    <row r="172" spans="1:29" x14ac:dyDescent="0.2">
      <c r="A172" s="25" t="s">
        <v>136</v>
      </c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C172" s="27"/>
    </row>
    <row r="173" spans="1:29" x14ac:dyDescent="0.2"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C173" s="27"/>
    </row>
    <row r="174" spans="1:29" x14ac:dyDescent="0.2">
      <c r="A174" s="13" t="s">
        <v>96</v>
      </c>
      <c r="H174" s="62"/>
      <c r="I174" s="62"/>
      <c r="Q174" s="14"/>
      <c r="AC174" s="27"/>
    </row>
    <row r="175" spans="1:29" x14ac:dyDescent="0.2">
      <c r="A175" s="14">
        <v>555</v>
      </c>
      <c r="B175" s="14" t="s">
        <v>379</v>
      </c>
      <c r="C175" s="14" t="s">
        <v>397</v>
      </c>
      <c r="D175" s="14" t="s">
        <v>97</v>
      </c>
      <c r="F175" s="62">
        <v>39166969</v>
      </c>
      <c r="G175" s="62"/>
      <c r="H175" s="62">
        <f>IF(VLOOKUP($D175,$C$5:$AA$496,6,)=0,0,((VLOOKUP($D175,$C$5:$AA$496,6,)/VLOOKUP($D175,$C$5:$AA$496,4,))*$F175))</f>
        <v>11589879.04854697</v>
      </c>
      <c r="I175" s="62">
        <f>IF(VLOOKUP($D175,$C$5:$AA$496,7,)=0,0,((VLOOKUP($D175,$C$5:$AA$496,7,)/VLOOKUP($D175,$C$5:$AA$496,4,))*$F175))</f>
        <v>27577089.951453038</v>
      </c>
      <c r="J175" s="47"/>
      <c r="K175" s="47">
        <f>IF(VLOOKUP($D175,$C$5:$AA$496,9,)=0,0,((VLOOKUP($D175,$C$5:$AA$496,9,)/VLOOKUP($D175,$C$5:$AA$496,4,))*$F175))</f>
        <v>0</v>
      </c>
      <c r="L175" s="47"/>
      <c r="M175" s="47">
        <f>IF(VLOOKUP($D175,$C$5:$AA$496,11,)=0,0,((VLOOKUP($D175,$C$5:$AA$496,11,)/VLOOKUP($D175,$C$5:$AA$496,4,))*$F175))</f>
        <v>0</v>
      </c>
      <c r="N175" s="47"/>
      <c r="O175" s="47">
        <f>IF(VLOOKUP($D175,$C$5:$AA$496,13,)=0,0,((VLOOKUP($D175,$C$5:$AA$496,13,)/VLOOKUP($D175,$C$5:$AA$496,4,))*$F175))</f>
        <v>0</v>
      </c>
      <c r="P175" s="47">
        <f>IF(VLOOKUP($D175,$C$5:$AA$496,14,)=0,0,((VLOOKUP($D175,$C$5:$AA$496,14,)/VLOOKUP($D175,$C$5:$AA$496,4,))*$F175))</f>
        <v>0</v>
      </c>
      <c r="Q175" s="47"/>
      <c r="R175" s="47">
        <f>IF(VLOOKUP($D175,$C$5:$AA$496,16,)=0,0,((VLOOKUP($D175,$C$5:$AA$496,16,)/VLOOKUP($D175,$C$5:$AA$496,4,))*$F175))</f>
        <v>0</v>
      </c>
      <c r="S175" s="47">
        <f>IF(VLOOKUP($D175,$C$5:$AA$496,17,)=0,0,((VLOOKUP($D175,$C$5:$AA$496,17,)/VLOOKUP($D175,$C$5:$AA$496,4,))*$F175))</f>
        <v>0</v>
      </c>
      <c r="T175" s="47"/>
      <c r="U175" s="47">
        <f>IF(VLOOKUP($D175,$C$5:$AA$496,19,)=0,0,((VLOOKUP($D175,$C$5:$AA$496,19,)/VLOOKUP($D175,$C$5:$AA$496,4,))*$F175))</f>
        <v>0</v>
      </c>
      <c r="V175" s="47"/>
      <c r="W175" s="47">
        <f>IF(VLOOKUP($D175,$C$5:$AA$496,21,)=0,0,((VLOOKUP($D175,$C$5:$AA$496,21,)/VLOOKUP($D175,$C$5:$AA$496,4,))*$F175))</f>
        <v>0</v>
      </c>
      <c r="X175" s="47"/>
      <c r="Y175" s="47">
        <f>IF(VLOOKUP($D175,$C$5:$AA$496,23,)=0,0,((VLOOKUP($D175,$C$5:$AA$496,23,)/VLOOKUP($D175,$C$5:$AA$496,4,))*$F175))</f>
        <v>0</v>
      </c>
      <c r="Z175" s="47"/>
      <c r="AA175" s="47">
        <f>IF(VLOOKUP($D175,$C$5:$AA$496,25,)=0,0,((VLOOKUP($D175,$C$5:$AA$496,25,)/VLOOKUP($D175,$C$5:$AA$496,4,))*$F175))</f>
        <v>0</v>
      </c>
      <c r="AB175" s="47">
        <f>SUM(H175:AA175)</f>
        <v>39166969.000000007</v>
      </c>
      <c r="AC175" s="27" t="str">
        <f>IF(ABS(AB175-F175)&lt;1,"ok","err")</f>
        <v>ok</v>
      </c>
    </row>
    <row r="176" spans="1:29" x14ac:dyDescent="0.2">
      <c r="A176" s="14">
        <v>556</v>
      </c>
      <c r="B176" s="14" t="s">
        <v>911</v>
      </c>
      <c r="C176" s="14" t="s">
        <v>912</v>
      </c>
      <c r="D176" s="14" t="s">
        <v>97</v>
      </c>
      <c r="F176" s="47">
        <v>0</v>
      </c>
      <c r="G176" s="47"/>
      <c r="H176" s="47">
        <f>IF(VLOOKUP($D176,$C$5:$AA$496,6,)=0,0,((VLOOKUP($D176,$C$5:$AA$496,6,)/VLOOKUP($D176,$C$5:$AA$496,4,))*$F176))</f>
        <v>0</v>
      </c>
      <c r="I176" s="47">
        <f>IF(VLOOKUP($D176,$C$5:$AA$496,7,)=0,0,((VLOOKUP($D176,$C$5:$AA$496,7,)/VLOOKUP($D176,$C$5:$AA$496,4,))*$F176))</f>
        <v>0</v>
      </c>
      <c r="J176" s="47"/>
      <c r="K176" s="47">
        <f>IF(VLOOKUP($D176,$C$5:$AA$496,9,)=0,0,((VLOOKUP($D176,$C$5:$AA$496,9,)/VLOOKUP($D176,$C$5:$AA$496,4,))*$F176))</f>
        <v>0</v>
      </c>
      <c r="L176" s="47"/>
      <c r="M176" s="47">
        <f>IF(VLOOKUP($D176,$C$5:$AA$496,11,)=0,0,((VLOOKUP($D176,$C$5:$AA$496,11,)/VLOOKUP($D176,$C$5:$AA$496,4,))*$F176))</f>
        <v>0</v>
      </c>
      <c r="N176" s="47"/>
      <c r="O176" s="47">
        <f>IF(VLOOKUP($D176,$C$5:$AA$496,13,)=0,0,((VLOOKUP($D176,$C$5:$AA$496,13,)/VLOOKUP($D176,$C$5:$AA$496,4,))*$F176))</f>
        <v>0</v>
      </c>
      <c r="P176" s="47">
        <f>IF(VLOOKUP($D176,$C$5:$AA$496,14,)=0,0,((VLOOKUP($D176,$C$5:$AA$496,14,)/VLOOKUP($D176,$C$5:$AA$496,4,))*$F176))</f>
        <v>0</v>
      </c>
      <c r="Q176" s="47"/>
      <c r="R176" s="47">
        <f>IF(VLOOKUP($D176,$C$5:$AA$496,16,)=0,0,((VLOOKUP($D176,$C$5:$AA$496,16,)/VLOOKUP($D176,$C$5:$AA$496,4,))*$F176))</f>
        <v>0</v>
      </c>
      <c r="S176" s="47">
        <f>IF(VLOOKUP($D176,$C$5:$AA$496,17,)=0,0,((VLOOKUP($D176,$C$5:$AA$496,17,)/VLOOKUP($D176,$C$5:$AA$496,4,))*$F176))</f>
        <v>0</v>
      </c>
      <c r="T176" s="47"/>
      <c r="U176" s="47">
        <f>IF(VLOOKUP($D176,$C$5:$AA$496,19,)=0,0,((VLOOKUP($D176,$C$5:$AA$496,19,)/VLOOKUP($D176,$C$5:$AA$496,4,))*$F176))</f>
        <v>0</v>
      </c>
      <c r="V176" s="47"/>
      <c r="W176" s="47">
        <f>IF(VLOOKUP($D176,$C$5:$AA$496,21,)=0,0,((VLOOKUP($D176,$C$5:$AA$496,21,)/VLOOKUP($D176,$C$5:$AA$496,4,))*$F176))</f>
        <v>0</v>
      </c>
      <c r="X176" s="47"/>
      <c r="Y176" s="47">
        <f>IF(VLOOKUP($D176,$C$5:$AA$496,23,)=0,0,((VLOOKUP($D176,$C$5:$AA$496,23,)/VLOOKUP($D176,$C$5:$AA$496,4,))*$F176))</f>
        <v>0</v>
      </c>
      <c r="Z176" s="47"/>
      <c r="AA176" s="47">
        <f>IF(VLOOKUP($D176,$C$5:$AA$496,25,)=0,0,((VLOOKUP($D176,$C$5:$AA$496,25,)/VLOOKUP($D176,$C$5:$AA$496,4,))*$F176))</f>
        <v>0</v>
      </c>
      <c r="AB176" s="47">
        <f>SUM(H176:AA176)</f>
        <v>0</v>
      </c>
      <c r="AC176" s="27" t="str">
        <f>IF(ABS(AB176-F176)&lt;1,"ok","err")</f>
        <v>ok</v>
      </c>
    </row>
    <row r="177" spans="1:29" x14ac:dyDescent="0.2">
      <c r="A177" s="14">
        <v>557</v>
      </c>
      <c r="B177" s="14" t="s">
        <v>398</v>
      </c>
      <c r="C177" s="14" t="s">
        <v>400</v>
      </c>
      <c r="D177" s="14" t="s">
        <v>97</v>
      </c>
      <c r="F177" s="47">
        <v>0</v>
      </c>
      <c r="G177" s="47"/>
      <c r="H177" s="47">
        <f>IF(VLOOKUP($D177,$C$5:$AA$496,6,)=0,0,((VLOOKUP($D177,$C$5:$AA$496,6,)/VLOOKUP($D177,$C$5:$AA$496,4,))*$F177))</f>
        <v>0</v>
      </c>
      <c r="I177" s="47">
        <f>IF(VLOOKUP($D177,$C$5:$AA$496,7,)=0,0,((VLOOKUP($D177,$C$5:$AA$496,7,)/VLOOKUP($D177,$C$5:$AA$496,4,))*$F177))</f>
        <v>0</v>
      </c>
      <c r="J177" s="47"/>
      <c r="K177" s="47">
        <f>IF(VLOOKUP($D177,$C$5:$AA$496,9,)=0,0,((VLOOKUP($D177,$C$5:$AA$496,9,)/VLOOKUP($D177,$C$5:$AA$496,4,))*$F177))</f>
        <v>0</v>
      </c>
      <c r="L177" s="47"/>
      <c r="M177" s="47">
        <f>IF(VLOOKUP($D177,$C$5:$AA$496,11,)=0,0,((VLOOKUP($D177,$C$5:$AA$496,11,)/VLOOKUP($D177,$C$5:$AA$496,4,))*$F177))</f>
        <v>0</v>
      </c>
      <c r="N177" s="47"/>
      <c r="O177" s="47">
        <f>IF(VLOOKUP($D177,$C$5:$AA$496,13,)=0,0,((VLOOKUP($D177,$C$5:$AA$496,13,)/VLOOKUP($D177,$C$5:$AA$496,4,))*$F177))</f>
        <v>0</v>
      </c>
      <c r="P177" s="47">
        <f>IF(VLOOKUP($D177,$C$5:$AA$496,14,)=0,0,((VLOOKUP($D177,$C$5:$AA$496,14,)/VLOOKUP($D177,$C$5:$AA$496,4,))*$F177))</f>
        <v>0</v>
      </c>
      <c r="Q177" s="47"/>
      <c r="R177" s="47">
        <f>IF(VLOOKUP($D177,$C$5:$AA$496,16,)=0,0,((VLOOKUP($D177,$C$5:$AA$496,16,)/VLOOKUP($D177,$C$5:$AA$496,4,))*$F177))</f>
        <v>0</v>
      </c>
      <c r="S177" s="47">
        <f>IF(VLOOKUP($D177,$C$5:$AA$496,17,)=0,0,((VLOOKUP($D177,$C$5:$AA$496,17,)/VLOOKUP($D177,$C$5:$AA$496,4,))*$F177))</f>
        <v>0</v>
      </c>
      <c r="T177" s="47"/>
      <c r="U177" s="47">
        <f>IF(VLOOKUP($D177,$C$5:$AA$496,19,)=0,0,((VLOOKUP($D177,$C$5:$AA$496,19,)/VLOOKUP($D177,$C$5:$AA$496,4,))*$F177))</f>
        <v>0</v>
      </c>
      <c r="V177" s="47"/>
      <c r="W177" s="47">
        <f>IF(VLOOKUP($D177,$C$5:$AA$496,21,)=0,0,((VLOOKUP($D177,$C$5:$AA$496,21,)/VLOOKUP($D177,$C$5:$AA$496,4,))*$F177))</f>
        <v>0</v>
      </c>
      <c r="X177" s="47"/>
      <c r="Y177" s="47">
        <f>IF(VLOOKUP($D177,$C$5:$AA$496,23,)=0,0,((VLOOKUP($D177,$C$5:$AA$496,23,)/VLOOKUP($D177,$C$5:$AA$496,4,))*$F177))</f>
        <v>0</v>
      </c>
      <c r="Z177" s="47"/>
      <c r="AA177" s="47">
        <f>IF(VLOOKUP($D177,$C$5:$AA$496,25,)=0,0,((VLOOKUP($D177,$C$5:$AA$496,25,)/VLOOKUP($D177,$C$5:$AA$496,4,))*$F177))</f>
        <v>0</v>
      </c>
      <c r="AB177" s="47">
        <f>SUM(H177:AA177)</f>
        <v>0</v>
      </c>
      <c r="AC177" s="27" t="str">
        <f>IF(ABS(AB177-F177)&lt;1,"ok","err")</f>
        <v>ok</v>
      </c>
    </row>
    <row r="178" spans="1:29" x14ac:dyDescent="0.2">
      <c r="A178" s="14">
        <v>559</v>
      </c>
      <c r="B178" s="14" t="s">
        <v>832</v>
      </c>
      <c r="C178" s="14" t="s">
        <v>833</v>
      </c>
      <c r="D178" s="14" t="s">
        <v>97</v>
      </c>
      <c r="F178" s="47">
        <v>0</v>
      </c>
      <c r="G178" s="47"/>
      <c r="H178" s="47">
        <f>IF(VLOOKUP($D178,$C$5:$AA$496,6,)=0,0,((VLOOKUP($D178,$C$5:$AA$496,6,)/VLOOKUP($D178,$C$5:$AA$496,4,))*$F178))</f>
        <v>0</v>
      </c>
      <c r="I178" s="47">
        <f>IF(VLOOKUP($D178,$C$5:$AA$496,7,)=0,0,((VLOOKUP($D178,$C$5:$AA$496,7,)/VLOOKUP($D178,$C$5:$AA$496,4,))*$F178))</f>
        <v>0</v>
      </c>
      <c r="J178" s="47"/>
      <c r="K178" s="47">
        <f>IF(VLOOKUP($D178,$C$5:$AA$496,9,)=0,0,((VLOOKUP($D178,$C$5:$AA$496,9,)/VLOOKUP($D178,$C$5:$AA$496,4,))*$F178))</f>
        <v>0</v>
      </c>
      <c r="L178" s="47"/>
      <c r="M178" s="47">
        <f>IF(VLOOKUP($D178,$C$5:$AA$496,11,)=0,0,((VLOOKUP($D178,$C$5:$AA$496,11,)/VLOOKUP($D178,$C$5:$AA$496,4,))*$F178))</f>
        <v>0</v>
      </c>
      <c r="N178" s="47"/>
      <c r="O178" s="47">
        <f>IF(VLOOKUP($D178,$C$5:$AA$496,13,)=0,0,((VLOOKUP($D178,$C$5:$AA$496,13,)/VLOOKUP($D178,$C$5:$AA$496,4,))*$F178))</f>
        <v>0</v>
      </c>
      <c r="P178" s="47">
        <f>IF(VLOOKUP($D178,$C$5:$AA$496,14,)=0,0,((VLOOKUP($D178,$C$5:$AA$496,14,)/VLOOKUP($D178,$C$5:$AA$496,4,))*$F178))</f>
        <v>0</v>
      </c>
      <c r="Q178" s="47"/>
      <c r="R178" s="47">
        <f>IF(VLOOKUP($D178,$C$5:$AA$496,16,)=0,0,((VLOOKUP($D178,$C$5:$AA$496,16,)/VLOOKUP($D178,$C$5:$AA$496,4,))*$F178))</f>
        <v>0</v>
      </c>
      <c r="S178" s="47">
        <f>IF(VLOOKUP($D178,$C$5:$AA$496,17,)=0,0,((VLOOKUP($D178,$C$5:$AA$496,17,)/VLOOKUP($D178,$C$5:$AA$496,4,))*$F178))</f>
        <v>0</v>
      </c>
      <c r="T178" s="47"/>
      <c r="U178" s="47">
        <f>IF(VLOOKUP($D178,$C$5:$AA$496,19,)=0,0,((VLOOKUP($D178,$C$5:$AA$496,19,)/VLOOKUP($D178,$C$5:$AA$496,4,))*$F178))</f>
        <v>0</v>
      </c>
      <c r="V178" s="47"/>
      <c r="W178" s="47">
        <f>IF(VLOOKUP($D178,$C$5:$AA$496,21,)=0,0,((VLOOKUP($D178,$C$5:$AA$496,21,)/VLOOKUP($D178,$C$5:$AA$496,4,))*$F178))</f>
        <v>0</v>
      </c>
      <c r="X178" s="47"/>
      <c r="Y178" s="47">
        <f>IF(VLOOKUP($D178,$C$5:$AA$496,23,)=0,0,((VLOOKUP($D178,$C$5:$AA$496,23,)/VLOOKUP($D178,$C$5:$AA$496,4,))*$F178))</f>
        <v>0</v>
      </c>
      <c r="Z178" s="47"/>
      <c r="AA178" s="47">
        <f>IF(VLOOKUP($D178,$C$5:$AA$496,25,)=0,0,((VLOOKUP($D178,$C$5:$AA$496,25,)/VLOOKUP($D178,$C$5:$AA$496,4,))*$F178))</f>
        <v>0</v>
      </c>
      <c r="AB178" s="47">
        <f>SUM(H178:AA178)</f>
        <v>0</v>
      </c>
      <c r="AC178" s="27" t="str">
        <f>IF(ABS(AB178-F178)&lt;1,"ok","err")</f>
        <v>ok</v>
      </c>
    </row>
    <row r="179" spans="1:29" x14ac:dyDescent="0.2"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47"/>
      <c r="AC179" s="27"/>
    </row>
    <row r="180" spans="1:29" x14ac:dyDescent="0.2">
      <c r="A180" s="14" t="s">
        <v>399</v>
      </c>
      <c r="C180" s="14" t="s">
        <v>401</v>
      </c>
      <c r="F180" s="62">
        <f>SUM(F175:F179)</f>
        <v>39166969</v>
      </c>
      <c r="G180" s="62"/>
      <c r="H180" s="62">
        <f>SUM(H175:H179)</f>
        <v>11589879.04854697</v>
      </c>
      <c r="I180" s="62">
        <f t="shared" ref="I180:AA180" si="92">SUM(I175:I179)</f>
        <v>27577089.951453038</v>
      </c>
      <c r="J180" s="62"/>
      <c r="K180" s="62">
        <f t="shared" si="92"/>
        <v>0</v>
      </c>
      <c r="L180" s="62"/>
      <c r="M180" s="62">
        <f t="shared" si="92"/>
        <v>0</v>
      </c>
      <c r="N180" s="62"/>
      <c r="O180" s="62">
        <f t="shared" si="92"/>
        <v>0</v>
      </c>
      <c r="P180" s="62">
        <f t="shared" si="92"/>
        <v>0</v>
      </c>
      <c r="Q180" s="62"/>
      <c r="R180" s="62">
        <f t="shared" si="92"/>
        <v>0</v>
      </c>
      <c r="S180" s="62">
        <f t="shared" si="92"/>
        <v>0</v>
      </c>
      <c r="T180" s="62"/>
      <c r="U180" s="62">
        <f t="shared" si="92"/>
        <v>0</v>
      </c>
      <c r="V180" s="62"/>
      <c r="W180" s="62">
        <f t="shared" si="92"/>
        <v>0</v>
      </c>
      <c r="X180" s="62"/>
      <c r="Y180" s="62">
        <f t="shared" si="92"/>
        <v>0</v>
      </c>
      <c r="Z180" s="62"/>
      <c r="AA180" s="62">
        <f t="shared" si="92"/>
        <v>0</v>
      </c>
      <c r="AB180" s="47">
        <f>SUM(H180:AA180)</f>
        <v>39166969.000000007</v>
      </c>
      <c r="AC180" s="27" t="str">
        <f>IF(ABS(AB180-F180)&lt;1,"ok","err")</f>
        <v>ok</v>
      </c>
    </row>
    <row r="181" spans="1:29" x14ac:dyDescent="0.2"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47"/>
      <c r="AC181" s="27"/>
    </row>
    <row r="182" spans="1:29" x14ac:dyDescent="0.2">
      <c r="A182" s="13" t="s">
        <v>371</v>
      </c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47"/>
      <c r="AC182" s="27"/>
    </row>
    <row r="183" spans="1:29" x14ac:dyDescent="0.2">
      <c r="A183" s="14">
        <v>560</v>
      </c>
      <c r="B183" s="14" t="s">
        <v>374</v>
      </c>
      <c r="C183" s="14" t="s">
        <v>403</v>
      </c>
      <c r="D183" s="14" t="s">
        <v>390</v>
      </c>
      <c r="F183" s="62">
        <v>0</v>
      </c>
      <c r="G183" s="62"/>
      <c r="H183" s="47">
        <f t="shared" ref="H183:H197" si="93">IF((VLOOKUP($D183,$C$5:$AA$496,6,)=0),0,((VLOOKUP($D183,$C$5:$AA$496,6,)/VLOOKUP($D183,$C$5:$AA$496,4,))*$F183))</f>
        <v>0</v>
      </c>
      <c r="I183" s="47">
        <f t="shared" ref="I183:I197" si="94">IF((VLOOKUP($D183,$C$5:$AA$496,7,)=0),0,((VLOOKUP($D183,$C$5:$AA$496,7,)/VLOOKUP($D183,$C$5:$AA$496,4,))*$F183))</f>
        <v>0</v>
      </c>
      <c r="J183" s="47"/>
      <c r="K183" s="47">
        <f t="shared" ref="K183:K197" si="95">IF((VLOOKUP($D183,$C$5:$AA$496,9,)=0),0,((VLOOKUP($D183,$C$5:$AA$496,9,)/VLOOKUP($D183,$C$5:$AA$496,4,))*$F183))</f>
        <v>0</v>
      </c>
      <c r="L183" s="47"/>
      <c r="M183" s="47">
        <f t="shared" ref="M183:M197" si="96">IF((VLOOKUP($D183,$C$5:$AA$496,11,)=0),0,((VLOOKUP($D183,$C$5:$AA$496,11,)/VLOOKUP($D183,$C$5:$AA$496,4,))*$F183))</f>
        <v>0</v>
      </c>
      <c r="N183" s="47"/>
      <c r="O183" s="47">
        <f t="shared" ref="O183:O197" si="97">IF((VLOOKUP($D183,$C$5:$AA$496,13,)=0),0,((VLOOKUP($D183,$C$5:$AA$496,13,)/VLOOKUP($D183,$C$5:$AA$496,4,))*$F183))</f>
        <v>0</v>
      </c>
      <c r="P183" s="47">
        <f t="shared" ref="P183:P197" si="98">IF((VLOOKUP($D183,$C$5:$AA$496,14,)=0),0,((VLOOKUP($D183,$C$5:$AA$496,14,)/VLOOKUP($D183,$C$5:$AA$496,4,))*$F183))</f>
        <v>0</v>
      </c>
      <c r="Q183" s="47"/>
      <c r="R183" s="47">
        <f t="shared" ref="R183:R197" si="99">IF((VLOOKUP($D183,$C$5:$AA$496,16,)=0),0,((VLOOKUP($D183,$C$5:$AA$496,16,)/VLOOKUP($D183,$C$5:$AA$496,4,))*$F183))</f>
        <v>0</v>
      </c>
      <c r="S183" s="47">
        <f t="shared" ref="S183:S197" si="100">IF((VLOOKUP($D183,$C$5:$AA$496,17,)=0),0,((VLOOKUP($D183,$C$5:$AA$496,17,)/VLOOKUP($D183,$C$5:$AA$496,4,))*$F183))</f>
        <v>0</v>
      </c>
      <c r="T183" s="47"/>
      <c r="U183" s="47">
        <f t="shared" ref="U183:U197" si="101">IF((VLOOKUP($D183,$C$5:$AA$496,19,)=0),0,((VLOOKUP($D183,$C$5:$AA$496,19,)/VLOOKUP($D183,$C$5:$AA$496,4,))*$F183))</f>
        <v>0</v>
      </c>
      <c r="V183" s="47"/>
      <c r="W183" s="47">
        <f t="shared" ref="W183:W197" si="102">IF((VLOOKUP($D183,$C$5:$AA$496,21,)=0),0,((VLOOKUP($D183,$C$5:$AA$496,21,)/VLOOKUP($D183,$C$5:$AA$496,4,))*$F183))</f>
        <v>0</v>
      </c>
      <c r="X183" s="47"/>
      <c r="Y183" s="47">
        <f t="shared" ref="Y183:Y197" si="103">IF((VLOOKUP($D183,$C$5:$AA$496,23,)=0),0,((VLOOKUP($D183,$C$5:$AA$496,23,)/VLOOKUP($D183,$C$5:$AA$496,4,))*$F183))</f>
        <v>0</v>
      </c>
      <c r="Z183" s="47"/>
      <c r="AA183" s="47">
        <f t="shared" ref="AA183:AA197" si="104">IF((VLOOKUP($D183,$C$5:$AA$496,25,)=0),0,((VLOOKUP($D183,$C$5:$AA$496,25,)/VLOOKUP($D183,$C$5:$AA$496,4,))*$F183))</f>
        <v>0</v>
      </c>
      <c r="AB183" s="47">
        <f t="shared" ref="AB183:AB197" si="105">SUM(H183:AA183)</f>
        <v>0</v>
      </c>
      <c r="AC183" s="27" t="str">
        <f t="shared" ref="AC183:AC197" si="106">IF(ABS(AB183-F183)&lt;1,"ok","err")</f>
        <v>ok</v>
      </c>
    </row>
    <row r="184" spans="1:29" x14ac:dyDescent="0.2">
      <c r="A184" s="14">
        <v>561</v>
      </c>
      <c r="B184" s="14" t="s">
        <v>101</v>
      </c>
      <c r="C184" s="14" t="s">
        <v>404</v>
      </c>
      <c r="D184" s="14" t="s">
        <v>390</v>
      </c>
      <c r="F184" s="47">
        <v>0</v>
      </c>
      <c r="G184" s="47"/>
      <c r="H184" s="47">
        <f t="shared" si="93"/>
        <v>0</v>
      </c>
      <c r="I184" s="47">
        <f t="shared" si="94"/>
        <v>0</v>
      </c>
      <c r="J184" s="47"/>
      <c r="K184" s="47">
        <f t="shared" si="95"/>
        <v>0</v>
      </c>
      <c r="L184" s="47"/>
      <c r="M184" s="47">
        <f t="shared" si="96"/>
        <v>0</v>
      </c>
      <c r="N184" s="47"/>
      <c r="O184" s="47">
        <f t="shared" si="97"/>
        <v>0</v>
      </c>
      <c r="P184" s="47">
        <f t="shared" si="98"/>
        <v>0</v>
      </c>
      <c r="Q184" s="47"/>
      <c r="R184" s="47">
        <f t="shared" si="99"/>
        <v>0</v>
      </c>
      <c r="S184" s="47">
        <f t="shared" si="100"/>
        <v>0</v>
      </c>
      <c r="T184" s="47"/>
      <c r="U184" s="47">
        <f t="shared" si="101"/>
        <v>0</v>
      </c>
      <c r="V184" s="47"/>
      <c r="W184" s="47">
        <f t="shared" si="102"/>
        <v>0</v>
      </c>
      <c r="X184" s="47"/>
      <c r="Y184" s="47">
        <f t="shared" si="103"/>
        <v>0</v>
      </c>
      <c r="Z184" s="47"/>
      <c r="AA184" s="47">
        <f t="shared" si="104"/>
        <v>0</v>
      </c>
      <c r="AB184" s="47">
        <f t="shared" si="105"/>
        <v>0</v>
      </c>
      <c r="AC184" s="27" t="str">
        <f t="shared" si="106"/>
        <v>ok</v>
      </c>
    </row>
    <row r="185" spans="1:29" x14ac:dyDescent="0.2">
      <c r="A185" s="14">
        <v>562</v>
      </c>
      <c r="B185" s="14" t="s">
        <v>372</v>
      </c>
      <c r="C185" s="14" t="s">
        <v>405</v>
      </c>
      <c r="D185" s="14" t="s">
        <v>390</v>
      </c>
      <c r="F185" s="47">
        <v>0</v>
      </c>
      <c r="G185" s="47"/>
      <c r="H185" s="47">
        <f t="shared" si="93"/>
        <v>0</v>
      </c>
      <c r="I185" s="47">
        <f t="shared" si="94"/>
        <v>0</v>
      </c>
      <c r="J185" s="47"/>
      <c r="K185" s="47">
        <f t="shared" si="95"/>
        <v>0</v>
      </c>
      <c r="L185" s="47"/>
      <c r="M185" s="47">
        <f t="shared" si="96"/>
        <v>0</v>
      </c>
      <c r="N185" s="47"/>
      <c r="O185" s="47">
        <f t="shared" si="97"/>
        <v>0</v>
      </c>
      <c r="P185" s="47">
        <f t="shared" si="98"/>
        <v>0</v>
      </c>
      <c r="Q185" s="47"/>
      <c r="R185" s="47">
        <f t="shared" si="99"/>
        <v>0</v>
      </c>
      <c r="S185" s="47">
        <f t="shared" si="100"/>
        <v>0</v>
      </c>
      <c r="T185" s="47"/>
      <c r="U185" s="47">
        <f t="shared" si="101"/>
        <v>0</v>
      </c>
      <c r="V185" s="47"/>
      <c r="W185" s="47">
        <f t="shared" si="102"/>
        <v>0</v>
      </c>
      <c r="X185" s="47"/>
      <c r="Y185" s="47">
        <f t="shared" si="103"/>
        <v>0</v>
      </c>
      <c r="Z185" s="47"/>
      <c r="AA185" s="47">
        <f t="shared" si="104"/>
        <v>0</v>
      </c>
      <c r="AB185" s="47">
        <f t="shared" si="105"/>
        <v>0</v>
      </c>
      <c r="AC185" s="27" t="str">
        <f t="shared" si="106"/>
        <v>ok</v>
      </c>
    </row>
    <row r="186" spans="1:29" x14ac:dyDescent="0.2">
      <c r="A186" s="14">
        <v>563</v>
      </c>
      <c r="B186" s="14" t="s">
        <v>103</v>
      </c>
      <c r="C186" s="14" t="s">
        <v>406</v>
      </c>
      <c r="D186" s="14" t="s">
        <v>390</v>
      </c>
      <c r="F186" s="47">
        <v>0</v>
      </c>
      <c r="G186" s="47"/>
      <c r="H186" s="47">
        <f t="shared" si="93"/>
        <v>0</v>
      </c>
      <c r="I186" s="47">
        <f t="shared" si="94"/>
        <v>0</v>
      </c>
      <c r="J186" s="47"/>
      <c r="K186" s="47">
        <f t="shared" si="95"/>
        <v>0</v>
      </c>
      <c r="L186" s="47"/>
      <c r="M186" s="47">
        <f t="shared" si="96"/>
        <v>0</v>
      </c>
      <c r="N186" s="47"/>
      <c r="O186" s="47">
        <f t="shared" si="97"/>
        <v>0</v>
      </c>
      <c r="P186" s="47">
        <f t="shared" si="98"/>
        <v>0</v>
      </c>
      <c r="Q186" s="47"/>
      <c r="R186" s="47">
        <f t="shared" si="99"/>
        <v>0</v>
      </c>
      <c r="S186" s="47">
        <f t="shared" si="100"/>
        <v>0</v>
      </c>
      <c r="T186" s="47"/>
      <c r="U186" s="47">
        <f t="shared" si="101"/>
        <v>0</v>
      </c>
      <c r="V186" s="47"/>
      <c r="W186" s="47">
        <f t="shared" si="102"/>
        <v>0</v>
      </c>
      <c r="X186" s="47"/>
      <c r="Y186" s="47">
        <f t="shared" si="103"/>
        <v>0</v>
      </c>
      <c r="Z186" s="47"/>
      <c r="AA186" s="47">
        <f t="shared" si="104"/>
        <v>0</v>
      </c>
      <c r="AB186" s="47">
        <f t="shared" si="105"/>
        <v>0</v>
      </c>
      <c r="AC186" s="27" t="str">
        <f t="shared" si="106"/>
        <v>ok</v>
      </c>
    </row>
    <row r="187" spans="1:29" x14ac:dyDescent="0.2">
      <c r="A187" s="14">
        <v>564</v>
      </c>
      <c r="B187" s="14" t="s">
        <v>105</v>
      </c>
      <c r="C187" s="14" t="s">
        <v>914</v>
      </c>
      <c r="D187" s="14" t="s">
        <v>390</v>
      </c>
      <c r="F187" s="47">
        <v>0</v>
      </c>
      <c r="G187" s="47"/>
      <c r="H187" s="47">
        <f t="shared" si="93"/>
        <v>0</v>
      </c>
      <c r="I187" s="47">
        <f t="shared" si="94"/>
        <v>0</v>
      </c>
      <c r="J187" s="47"/>
      <c r="K187" s="47">
        <f t="shared" si="95"/>
        <v>0</v>
      </c>
      <c r="L187" s="47"/>
      <c r="M187" s="47">
        <f t="shared" si="96"/>
        <v>0</v>
      </c>
      <c r="N187" s="47"/>
      <c r="O187" s="47">
        <f t="shared" si="97"/>
        <v>0</v>
      </c>
      <c r="P187" s="47">
        <f t="shared" si="98"/>
        <v>0</v>
      </c>
      <c r="Q187" s="47"/>
      <c r="R187" s="47">
        <f t="shared" si="99"/>
        <v>0</v>
      </c>
      <c r="S187" s="47">
        <f t="shared" si="100"/>
        <v>0</v>
      </c>
      <c r="T187" s="47"/>
      <c r="U187" s="47">
        <f t="shared" si="101"/>
        <v>0</v>
      </c>
      <c r="V187" s="47"/>
      <c r="W187" s="47">
        <f t="shared" si="102"/>
        <v>0</v>
      </c>
      <c r="X187" s="47"/>
      <c r="Y187" s="47">
        <f t="shared" si="103"/>
        <v>0</v>
      </c>
      <c r="Z187" s="47"/>
      <c r="AA187" s="47">
        <f t="shared" si="104"/>
        <v>0</v>
      </c>
      <c r="AB187" s="47">
        <f>SUM(H187:AA187)</f>
        <v>0</v>
      </c>
      <c r="AC187" s="27" t="str">
        <f>IF(ABS(AB187-F187)&lt;1,"ok","err")</f>
        <v>ok</v>
      </c>
    </row>
    <row r="188" spans="1:29" x14ac:dyDescent="0.2">
      <c r="A188" s="14">
        <v>565</v>
      </c>
      <c r="B188" s="14" t="s">
        <v>913</v>
      </c>
      <c r="C188" s="14" t="s">
        <v>915</v>
      </c>
      <c r="D188" s="14" t="s">
        <v>390</v>
      </c>
      <c r="F188" s="47">
        <v>0</v>
      </c>
      <c r="G188" s="47"/>
      <c r="H188" s="47">
        <f t="shared" si="93"/>
        <v>0</v>
      </c>
      <c r="I188" s="47">
        <f t="shared" si="94"/>
        <v>0</v>
      </c>
      <c r="J188" s="47"/>
      <c r="K188" s="47">
        <f t="shared" si="95"/>
        <v>0</v>
      </c>
      <c r="L188" s="47"/>
      <c r="M188" s="47">
        <f t="shared" si="96"/>
        <v>0</v>
      </c>
      <c r="N188" s="47"/>
      <c r="O188" s="47">
        <f t="shared" si="97"/>
        <v>0</v>
      </c>
      <c r="P188" s="47">
        <f t="shared" si="98"/>
        <v>0</v>
      </c>
      <c r="Q188" s="47"/>
      <c r="R188" s="47">
        <f t="shared" si="99"/>
        <v>0</v>
      </c>
      <c r="S188" s="47">
        <f t="shared" si="100"/>
        <v>0</v>
      </c>
      <c r="T188" s="47"/>
      <c r="U188" s="47">
        <f t="shared" si="101"/>
        <v>0</v>
      </c>
      <c r="V188" s="47"/>
      <c r="W188" s="47">
        <f t="shared" si="102"/>
        <v>0</v>
      </c>
      <c r="X188" s="47"/>
      <c r="Y188" s="47">
        <f t="shared" si="103"/>
        <v>0</v>
      </c>
      <c r="Z188" s="47"/>
      <c r="AA188" s="47">
        <f t="shared" si="104"/>
        <v>0</v>
      </c>
      <c r="AB188" s="47">
        <f>SUM(H188:AA188)</f>
        <v>0</v>
      </c>
      <c r="AC188" s="27" t="str">
        <f>IF(ABS(AB188-F188)&lt;1,"ok","err")</f>
        <v>ok</v>
      </c>
    </row>
    <row r="189" spans="1:29" x14ac:dyDescent="0.2">
      <c r="A189" s="14">
        <v>566</v>
      </c>
      <c r="B189" s="14" t="s">
        <v>585</v>
      </c>
      <c r="C189" s="14" t="s">
        <v>586</v>
      </c>
      <c r="D189" s="14" t="s">
        <v>390</v>
      </c>
      <c r="F189" s="47">
        <v>0</v>
      </c>
      <c r="G189" s="47"/>
      <c r="H189" s="47">
        <f t="shared" si="93"/>
        <v>0</v>
      </c>
      <c r="I189" s="47">
        <f t="shared" si="94"/>
        <v>0</v>
      </c>
      <c r="J189" s="47"/>
      <c r="K189" s="47">
        <f t="shared" si="95"/>
        <v>0</v>
      </c>
      <c r="L189" s="47"/>
      <c r="M189" s="47">
        <f t="shared" si="96"/>
        <v>0</v>
      </c>
      <c r="N189" s="47"/>
      <c r="O189" s="47">
        <f t="shared" si="97"/>
        <v>0</v>
      </c>
      <c r="P189" s="47">
        <f t="shared" si="98"/>
        <v>0</v>
      </c>
      <c r="Q189" s="47"/>
      <c r="R189" s="47">
        <f t="shared" si="99"/>
        <v>0</v>
      </c>
      <c r="S189" s="47">
        <f t="shared" si="100"/>
        <v>0</v>
      </c>
      <c r="T189" s="47"/>
      <c r="U189" s="47">
        <f t="shared" si="101"/>
        <v>0</v>
      </c>
      <c r="V189" s="47"/>
      <c r="W189" s="47">
        <f t="shared" si="102"/>
        <v>0</v>
      </c>
      <c r="X189" s="47"/>
      <c r="Y189" s="47">
        <f t="shared" si="103"/>
        <v>0</v>
      </c>
      <c r="Z189" s="47"/>
      <c r="AA189" s="47">
        <f t="shared" si="104"/>
        <v>0</v>
      </c>
      <c r="AB189" s="47">
        <f>SUM(H189:AA189)</f>
        <v>0</v>
      </c>
      <c r="AC189" s="27" t="str">
        <f>IF(ABS(AB189-F189)&lt;1,"ok","err")</f>
        <v>ok</v>
      </c>
    </row>
    <row r="190" spans="1:29" x14ac:dyDescent="0.2">
      <c r="A190" s="14">
        <v>567</v>
      </c>
      <c r="B190" s="14" t="s">
        <v>115</v>
      </c>
      <c r="C190" s="14" t="s">
        <v>916</v>
      </c>
      <c r="D190" s="14" t="s">
        <v>390</v>
      </c>
      <c r="F190" s="47">
        <v>0</v>
      </c>
      <c r="G190" s="47"/>
      <c r="H190" s="47">
        <f t="shared" si="93"/>
        <v>0</v>
      </c>
      <c r="I190" s="47">
        <f t="shared" si="94"/>
        <v>0</v>
      </c>
      <c r="J190" s="47"/>
      <c r="K190" s="47">
        <f t="shared" si="95"/>
        <v>0</v>
      </c>
      <c r="L190" s="47"/>
      <c r="M190" s="47">
        <f t="shared" si="96"/>
        <v>0</v>
      </c>
      <c r="N190" s="47"/>
      <c r="O190" s="47">
        <f t="shared" si="97"/>
        <v>0</v>
      </c>
      <c r="P190" s="47">
        <f t="shared" si="98"/>
        <v>0</v>
      </c>
      <c r="Q190" s="47"/>
      <c r="R190" s="47">
        <f t="shared" si="99"/>
        <v>0</v>
      </c>
      <c r="S190" s="47">
        <f t="shared" si="100"/>
        <v>0</v>
      </c>
      <c r="T190" s="47"/>
      <c r="U190" s="47">
        <f t="shared" si="101"/>
        <v>0</v>
      </c>
      <c r="V190" s="47"/>
      <c r="W190" s="47">
        <f t="shared" si="102"/>
        <v>0</v>
      </c>
      <c r="X190" s="47"/>
      <c r="Y190" s="47">
        <f t="shared" si="103"/>
        <v>0</v>
      </c>
      <c r="Z190" s="47"/>
      <c r="AA190" s="47">
        <f t="shared" si="104"/>
        <v>0</v>
      </c>
      <c r="AB190" s="47">
        <f>SUM(H190:AA190)</f>
        <v>0</v>
      </c>
      <c r="AC190" s="27" t="str">
        <f>IF(ABS(AB190-F190)&lt;1,"ok","err")</f>
        <v>ok</v>
      </c>
    </row>
    <row r="191" spans="1:29" x14ac:dyDescent="0.2">
      <c r="A191" s="14">
        <v>568</v>
      </c>
      <c r="B191" s="14" t="s">
        <v>917</v>
      </c>
      <c r="C191" s="14" t="s">
        <v>407</v>
      </c>
      <c r="D191" s="14" t="s">
        <v>390</v>
      </c>
      <c r="F191" s="47">
        <v>0</v>
      </c>
      <c r="G191" s="47"/>
      <c r="H191" s="47">
        <f t="shared" si="93"/>
        <v>0</v>
      </c>
      <c r="I191" s="47">
        <f t="shared" si="94"/>
        <v>0</v>
      </c>
      <c r="J191" s="47"/>
      <c r="K191" s="47">
        <f t="shared" si="95"/>
        <v>0</v>
      </c>
      <c r="L191" s="47"/>
      <c r="M191" s="47">
        <f t="shared" si="96"/>
        <v>0</v>
      </c>
      <c r="N191" s="47"/>
      <c r="O191" s="47">
        <f t="shared" si="97"/>
        <v>0</v>
      </c>
      <c r="P191" s="47">
        <f t="shared" si="98"/>
        <v>0</v>
      </c>
      <c r="Q191" s="47"/>
      <c r="R191" s="47">
        <f t="shared" si="99"/>
        <v>0</v>
      </c>
      <c r="S191" s="47">
        <f t="shared" si="100"/>
        <v>0</v>
      </c>
      <c r="T191" s="47"/>
      <c r="U191" s="47">
        <f t="shared" si="101"/>
        <v>0</v>
      </c>
      <c r="V191" s="47"/>
      <c r="W191" s="47">
        <f t="shared" si="102"/>
        <v>0</v>
      </c>
      <c r="X191" s="47"/>
      <c r="Y191" s="47">
        <f t="shared" si="103"/>
        <v>0</v>
      </c>
      <c r="Z191" s="47"/>
      <c r="AA191" s="47">
        <f t="shared" si="104"/>
        <v>0</v>
      </c>
      <c r="AB191" s="47">
        <f>SUM(H191:AA191)</f>
        <v>0</v>
      </c>
      <c r="AC191" s="27" t="str">
        <f>IF(ABS(AB191-F191)&lt;1,"ok","err")</f>
        <v>ok</v>
      </c>
    </row>
    <row r="192" spans="1:29" x14ac:dyDescent="0.2">
      <c r="A192" s="14">
        <v>569</v>
      </c>
      <c r="B192" s="14" t="s">
        <v>803</v>
      </c>
      <c r="C192" s="14" t="s">
        <v>918</v>
      </c>
      <c r="D192" s="14" t="s">
        <v>390</v>
      </c>
      <c r="F192" s="47">
        <v>0</v>
      </c>
      <c r="G192" s="47"/>
      <c r="H192" s="47">
        <f t="shared" si="93"/>
        <v>0</v>
      </c>
      <c r="I192" s="47">
        <f t="shared" si="94"/>
        <v>0</v>
      </c>
      <c r="J192" s="47"/>
      <c r="K192" s="47">
        <f t="shared" si="95"/>
        <v>0</v>
      </c>
      <c r="L192" s="47"/>
      <c r="M192" s="47">
        <f t="shared" si="96"/>
        <v>0</v>
      </c>
      <c r="N192" s="47"/>
      <c r="O192" s="47">
        <f t="shared" si="97"/>
        <v>0</v>
      </c>
      <c r="P192" s="47">
        <f t="shared" si="98"/>
        <v>0</v>
      </c>
      <c r="Q192" s="47"/>
      <c r="R192" s="47">
        <f t="shared" si="99"/>
        <v>0</v>
      </c>
      <c r="S192" s="47">
        <f t="shared" si="100"/>
        <v>0</v>
      </c>
      <c r="T192" s="47"/>
      <c r="U192" s="47">
        <f t="shared" si="101"/>
        <v>0</v>
      </c>
      <c r="V192" s="47"/>
      <c r="W192" s="47">
        <f t="shared" si="102"/>
        <v>0</v>
      </c>
      <c r="X192" s="47"/>
      <c r="Y192" s="47">
        <f t="shared" si="103"/>
        <v>0</v>
      </c>
      <c r="Z192" s="47"/>
      <c r="AA192" s="47">
        <f t="shared" si="104"/>
        <v>0</v>
      </c>
      <c r="AB192" s="47">
        <f t="shared" si="105"/>
        <v>0</v>
      </c>
      <c r="AC192" s="27" t="str">
        <f t="shared" si="106"/>
        <v>ok</v>
      </c>
    </row>
    <row r="193" spans="1:29" x14ac:dyDescent="0.2">
      <c r="A193" s="14">
        <v>570</v>
      </c>
      <c r="B193" s="14" t="s">
        <v>375</v>
      </c>
      <c r="C193" s="14" t="s">
        <v>408</v>
      </c>
      <c r="D193" s="14" t="s">
        <v>390</v>
      </c>
      <c r="F193" s="47">
        <v>0</v>
      </c>
      <c r="G193" s="47"/>
      <c r="H193" s="47">
        <f t="shared" si="93"/>
        <v>0</v>
      </c>
      <c r="I193" s="47">
        <f t="shared" si="94"/>
        <v>0</v>
      </c>
      <c r="J193" s="47"/>
      <c r="K193" s="47">
        <f t="shared" si="95"/>
        <v>0</v>
      </c>
      <c r="L193" s="47"/>
      <c r="M193" s="47">
        <f t="shared" si="96"/>
        <v>0</v>
      </c>
      <c r="N193" s="47"/>
      <c r="O193" s="47">
        <f t="shared" si="97"/>
        <v>0</v>
      </c>
      <c r="P193" s="47">
        <f t="shared" si="98"/>
        <v>0</v>
      </c>
      <c r="Q193" s="47"/>
      <c r="R193" s="47">
        <f t="shared" si="99"/>
        <v>0</v>
      </c>
      <c r="S193" s="47">
        <f t="shared" si="100"/>
        <v>0</v>
      </c>
      <c r="T193" s="47"/>
      <c r="U193" s="47">
        <f t="shared" si="101"/>
        <v>0</v>
      </c>
      <c r="V193" s="47"/>
      <c r="W193" s="47">
        <f t="shared" si="102"/>
        <v>0</v>
      </c>
      <c r="X193" s="47"/>
      <c r="Y193" s="47">
        <f t="shared" si="103"/>
        <v>0</v>
      </c>
      <c r="Z193" s="47"/>
      <c r="AA193" s="47">
        <f t="shared" si="104"/>
        <v>0</v>
      </c>
      <c r="AB193" s="47">
        <f t="shared" si="105"/>
        <v>0</v>
      </c>
      <c r="AC193" s="27" t="str">
        <f t="shared" si="106"/>
        <v>ok</v>
      </c>
    </row>
    <row r="194" spans="1:29" x14ac:dyDescent="0.2">
      <c r="A194" s="14">
        <v>571</v>
      </c>
      <c r="B194" s="14" t="s">
        <v>376</v>
      </c>
      <c r="C194" s="14" t="s">
        <v>409</v>
      </c>
      <c r="D194" s="14" t="s">
        <v>390</v>
      </c>
      <c r="F194" s="47">
        <v>0</v>
      </c>
      <c r="G194" s="47"/>
      <c r="H194" s="47">
        <f t="shared" si="93"/>
        <v>0</v>
      </c>
      <c r="I194" s="47">
        <f t="shared" si="94"/>
        <v>0</v>
      </c>
      <c r="J194" s="47"/>
      <c r="K194" s="47">
        <f t="shared" si="95"/>
        <v>0</v>
      </c>
      <c r="L194" s="47"/>
      <c r="M194" s="47">
        <f t="shared" si="96"/>
        <v>0</v>
      </c>
      <c r="N194" s="47"/>
      <c r="O194" s="47">
        <f t="shared" si="97"/>
        <v>0</v>
      </c>
      <c r="P194" s="47">
        <f t="shared" si="98"/>
        <v>0</v>
      </c>
      <c r="Q194" s="47"/>
      <c r="R194" s="47">
        <f t="shared" si="99"/>
        <v>0</v>
      </c>
      <c r="S194" s="47">
        <f t="shared" si="100"/>
        <v>0</v>
      </c>
      <c r="T194" s="47"/>
      <c r="U194" s="47">
        <f t="shared" si="101"/>
        <v>0</v>
      </c>
      <c r="V194" s="47"/>
      <c r="W194" s="47">
        <f t="shared" si="102"/>
        <v>0</v>
      </c>
      <c r="X194" s="47"/>
      <c r="Y194" s="47">
        <f t="shared" si="103"/>
        <v>0</v>
      </c>
      <c r="Z194" s="47"/>
      <c r="AA194" s="47">
        <f t="shared" si="104"/>
        <v>0</v>
      </c>
      <c r="AB194" s="47">
        <f t="shared" si="105"/>
        <v>0</v>
      </c>
      <c r="AC194" s="27" t="str">
        <f t="shared" si="106"/>
        <v>ok</v>
      </c>
    </row>
    <row r="195" spans="1:29" x14ac:dyDescent="0.2">
      <c r="A195" s="14">
        <v>572</v>
      </c>
      <c r="B195" s="14" t="s">
        <v>924</v>
      </c>
      <c r="C195" s="14" t="s">
        <v>921</v>
      </c>
      <c r="D195" s="14" t="s">
        <v>390</v>
      </c>
      <c r="F195" s="47">
        <v>0</v>
      </c>
      <c r="G195" s="47"/>
      <c r="H195" s="47">
        <f t="shared" si="93"/>
        <v>0</v>
      </c>
      <c r="I195" s="47">
        <f t="shared" si="94"/>
        <v>0</v>
      </c>
      <c r="J195" s="47"/>
      <c r="K195" s="47">
        <f t="shared" si="95"/>
        <v>0</v>
      </c>
      <c r="L195" s="47"/>
      <c r="M195" s="47">
        <f t="shared" si="96"/>
        <v>0</v>
      </c>
      <c r="N195" s="47"/>
      <c r="O195" s="47">
        <f t="shared" si="97"/>
        <v>0</v>
      </c>
      <c r="P195" s="47">
        <f t="shared" si="98"/>
        <v>0</v>
      </c>
      <c r="Q195" s="47"/>
      <c r="R195" s="47">
        <f t="shared" si="99"/>
        <v>0</v>
      </c>
      <c r="S195" s="47">
        <f t="shared" si="100"/>
        <v>0</v>
      </c>
      <c r="T195" s="47"/>
      <c r="U195" s="47">
        <f t="shared" si="101"/>
        <v>0</v>
      </c>
      <c r="V195" s="47"/>
      <c r="W195" s="47">
        <f t="shared" si="102"/>
        <v>0</v>
      </c>
      <c r="X195" s="47"/>
      <c r="Y195" s="47">
        <f t="shared" si="103"/>
        <v>0</v>
      </c>
      <c r="Z195" s="47"/>
      <c r="AA195" s="47">
        <f t="shared" si="104"/>
        <v>0</v>
      </c>
      <c r="AB195" s="47">
        <f>SUM(H195:AA195)</f>
        <v>0</v>
      </c>
      <c r="AC195" s="27" t="str">
        <f>IF(ABS(AB195-F195)&lt;1,"ok","err")</f>
        <v>ok</v>
      </c>
    </row>
    <row r="196" spans="1:29" x14ac:dyDescent="0.2">
      <c r="A196" s="14">
        <v>573</v>
      </c>
      <c r="B196" s="14" t="s">
        <v>919</v>
      </c>
      <c r="C196" s="14" t="s">
        <v>922</v>
      </c>
      <c r="D196" s="14" t="s">
        <v>390</v>
      </c>
      <c r="F196" s="47">
        <v>0</v>
      </c>
      <c r="G196" s="47"/>
      <c r="H196" s="47">
        <f t="shared" si="93"/>
        <v>0</v>
      </c>
      <c r="I196" s="47">
        <f t="shared" si="94"/>
        <v>0</v>
      </c>
      <c r="J196" s="47"/>
      <c r="K196" s="47">
        <f t="shared" si="95"/>
        <v>0</v>
      </c>
      <c r="L196" s="47"/>
      <c r="M196" s="47">
        <f t="shared" si="96"/>
        <v>0</v>
      </c>
      <c r="N196" s="47"/>
      <c r="O196" s="47">
        <f t="shared" si="97"/>
        <v>0</v>
      </c>
      <c r="P196" s="47">
        <f t="shared" si="98"/>
        <v>0</v>
      </c>
      <c r="Q196" s="47"/>
      <c r="R196" s="47">
        <f t="shared" si="99"/>
        <v>0</v>
      </c>
      <c r="S196" s="47">
        <f t="shared" si="100"/>
        <v>0</v>
      </c>
      <c r="T196" s="47"/>
      <c r="U196" s="47">
        <f t="shared" si="101"/>
        <v>0</v>
      </c>
      <c r="V196" s="47"/>
      <c r="W196" s="47">
        <f t="shared" si="102"/>
        <v>0</v>
      </c>
      <c r="X196" s="47"/>
      <c r="Y196" s="47">
        <f t="shared" si="103"/>
        <v>0</v>
      </c>
      <c r="Z196" s="47"/>
      <c r="AA196" s="47">
        <f t="shared" si="104"/>
        <v>0</v>
      </c>
      <c r="AB196" s="47">
        <f>SUM(H196:AA196)</f>
        <v>0</v>
      </c>
      <c r="AC196" s="27" t="str">
        <f>IF(ABS(AB196-F196)&lt;1,"ok","err")</f>
        <v>ok</v>
      </c>
    </row>
    <row r="197" spans="1:29" x14ac:dyDescent="0.2">
      <c r="A197" s="14">
        <v>574</v>
      </c>
      <c r="B197" s="14" t="s">
        <v>920</v>
      </c>
      <c r="C197" s="14" t="s">
        <v>923</v>
      </c>
      <c r="D197" s="14" t="s">
        <v>390</v>
      </c>
      <c r="F197" s="47">
        <v>0</v>
      </c>
      <c r="G197" s="47"/>
      <c r="H197" s="47">
        <f t="shared" si="93"/>
        <v>0</v>
      </c>
      <c r="I197" s="47">
        <f t="shared" si="94"/>
        <v>0</v>
      </c>
      <c r="J197" s="47"/>
      <c r="K197" s="47">
        <f t="shared" si="95"/>
        <v>0</v>
      </c>
      <c r="L197" s="47"/>
      <c r="M197" s="47">
        <f t="shared" si="96"/>
        <v>0</v>
      </c>
      <c r="N197" s="47"/>
      <c r="O197" s="47">
        <f t="shared" si="97"/>
        <v>0</v>
      </c>
      <c r="P197" s="47">
        <f t="shared" si="98"/>
        <v>0</v>
      </c>
      <c r="Q197" s="47"/>
      <c r="R197" s="47">
        <f t="shared" si="99"/>
        <v>0</v>
      </c>
      <c r="S197" s="47">
        <f t="shared" si="100"/>
        <v>0</v>
      </c>
      <c r="T197" s="47"/>
      <c r="U197" s="47">
        <f t="shared" si="101"/>
        <v>0</v>
      </c>
      <c r="V197" s="47"/>
      <c r="W197" s="47">
        <f t="shared" si="102"/>
        <v>0</v>
      </c>
      <c r="X197" s="47"/>
      <c r="Y197" s="47">
        <f t="shared" si="103"/>
        <v>0</v>
      </c>
      <c r="Z197" s="47"/>
      <c r="AA197" s="47">
        <f t="shared" si="104"/>
        <v>0</v>
      </c>
      <c r="AB197" s="47">
        <f t="shared" si="105"/>
        <v>0</v>
      </c>
      <c r="AC197" s="27" t="str">
        <f t="shared" si="106"/>
        <v>ok</v>
      </c>
    </row>
    <row r="198" spans="1:29" x14ac:dyDescent="0.2"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47"/>
      <c r="AC198" s="27"/>
    </row>
    <row r="199" spans="1:29" x14ac:dyDescent="0.2">
      <c r="A199" s="14" t="s">
        <v>377</v>
      </c>
      <c r="F199" s="87">
        <f>SUM(F183:F197)</f>
        <v>0</v>
      </c>
      <c r="G199" s="87"/>
      <c r="H199" s="87">
        <f t="shared" ref="H199:AA199" si="107">SUM(H183:H197)</f>
        <v>0</v>
      </c>
      <c r="I199" s="87">
        <f t="shared" si="107"/>
        <v>0</v>
      </c>
      <c r="J199" s="87"/>
      <c r="K199" s="87">
        <f t="shared" si="107"/>
        <v>0</v>
      </c>
      <c r="L199" s="87"/>
      <c r="M199" s="87">
        <f t="shared" si="107"/>
        <v>0</v>
      </c>
      <c r="N199" s="87"/>
      <c r="O199" s="87">
        <f t="shared" si="107"/>
        <v>0</v>
      </c>
      <c r="P199" s="87">
        <f t="shared" si="107"/>
        <v>0</v>
      </c>
      <c r="Q199" s="87"/>
      <c r="R199" s="87">
        <f t="shared" si="107"/>
        <v>0</v>
      </c>
      <c r="S199" s="87">
        <f t="shared" si="107"/>
        <v>0</v>
      </c>
      <c r="T199" s="87"/>
      <c r="U199" s="87">
        <f t="shared" si="107"/>
        <v>0</v>
      </c>
      <c r="V199" s="87"/>
      <c r="W199" s="87">
        <f t="shared" si="107"/>
        <v>0</v>
      </c>
      <c r="X199" s="87"/>
      <c r="Y199" s="87">
        <f t="shared" si="107"/>
        <v>0</v>
      </c>
      <c r="Z199" s="87"/>
      <c r="AA199" s="87">
        <f t="shared" si="107"/>
        <v>0</v>
      </c>
      <c r="AB199" s="62">
        <f>SUM(H199:AA199)</f>
        <v>0</v>
      </c>
      <c r="AC199" s="27" t="str">
        <f>IF(ABS(AB199-F199)&lt;1,"ok","err")</f>
        <v>ok</v>
      </c>
    </row>
    <row r="200" spans="1:29" x14ac:dyDescent="0.2">
      <c r="B200" s="87"/>
      <c r="Q200" s="14"/>
      <c r="AC200" s="27"/>
    </row>
    <row r="201" spans="1:29" x14ac:dyDescent="0.2">
      <c r="A201" s="13" t="s">
        <v>98</v>
      </c>
      <c r="Q201" s="14"/>
      <c r="AC201" s="27"/>
    </row>
    <row r="202" spans="1:29" x14ac:dyDescent="0.2">
      <c r="A202" s="14">
        <v>580</v>
      </c>
      <c r="B202" s="14" t="s">
        <v>99</v>
      </c>
      <c r="C202" s="14" t="s">
        <v>100</v>
      </c>
      <c r="D202" s="14" t="s">
        <v>16</v>
      </c>
      <c r="F202" s="62">
        <v>89687.85</v>
      </c>
      <c r="G202" s="62"/>
      <c r="H202" s="47">
        <f t="shared" ref="H202:H213" si="108">IF(VLOOKUP($D202,$C$5:$AA$496,6,)=0,0,((VLOOKUP($D202,$C$5:$AA$496,6,)/VLOOKUP($D202,$C$5:$AA$496,4,))*$F202))</f>
        <v>0</v>
      </c>
      <c r="I202" s="47">
        <f t="shared" ref="I202:I213" si="109">IF(VLOOKUP($D202,$C$5:$AA$496,7,)=0,0,((VLOOKUP($D202,$C$5:$AA$496,7,)/VLOOKUP($D202,$C$5:$AA$496,4,))*$F202))</f>
        <v>0</v>
      </c>
      <c r="J202" s="47"/>
      <c r="K202" s="47">
        <f t="shared" ref="K202:K213" si="110">IF(VLOOKUP($D202,$C$5:$AA$496,9,)=0,0,((VLOOKUP($D202,$C$5:$AA$496,9,)/VLOOKUP($D202,$C$5:$AA$496,4,))*$F202))</f>
        <v>0</v>
      </c>
      <c r="L202" s="47"/>
      <c r="M202" s="47">
        <f t="shared" ref="M202:M213" si="111">IF(VLOOKUP($D202,$C$5:$AA$496,11,)=0,0,((VLOOKUP($D202,$C$5:$AA$496,11,)/VLOOKUP($D202,$C$5:$AA$496,4,))*$F202))</f>
        <v>333.33944790435822</v>
      </c>
      <c r="N202" s="47"/>
      <c r="O202" s="47">
        <f t="shared" ref="O202:O213" si="112">IF(VLOOKUP($D202,$C$5:$AA$496,13,)=0,0,((VLOOKUP($D202,$C$5:$AA$496,13,)/VLOOKUP($D202,$C$5:$AA$496,4,))*$F202))</f>
        <v>25074.689620244695</v>
      </c>
      <c r="P202" s="47">
        <f t="shared" ref="P202:P213" si="113">IF(VLOOKUP($D202,$C$5:$AA$496,14,)=0,0,((VLOOKUP($D202,$C$5:$AA$496,14,)/VLOOKUP($D202,$C$5:$AA$496,4,))*$F202))</f>
        <v>47166.000217079352</v>
      </c>
      <c r="Q202" s="47"/>
      <c r="R202" s="47">
        <f t="shared" ref="R202:R213" si="114">IF(VLOOKUP($D202,$C$5:$AA$496,16,)=0,0,((VLOOKUP($D202,$C$5:$AA$496,16,)/VLOOKUP($D202,$C$5:$AA$496,4,))*$F202))</f>
        <v>0</v>
      </c>
      <c r="S202" s="47">
        <f t="shared" ref="S202:S213" si="115">IF(VLOOKUP($D202,$C$5:$AA$496,17,)=0,0,((VLOOKUP($D202,$C$5:$AA$496,17,)/VLOOKUP($D202,$C$5:$AA$496,4,))*$F202))</f>
        <v>9796.1365446324326</v>
      </c>
      <c r="T202" s="47"/>
      <c r="U202" s="47">
        <f t="shared" ref="U202:U213" si="116">IF(VLOOKUP($D202,$C$5:$AA$496,19,)=0,0,((VLOOKUP($D202,$C$5:$AA$496,19,)/VLOOKUP($D202,$C$5:$AA$496,4,))*$F202))</f>
        <v>4300.7165052425298</v>
      </c>
      <c r="V202" s="47"/>
      <c r="W202" s="47">
        <f t="shared" ref="W202:W213" si="117">IF(VLOOKUP($D202,$C$5:$AA$496,21,)=0,0,((VLOOKUP($D202,$C$5:$AA$496,21,)/VLOOKUP($D202,$C$5:$AA$496,4,))*$F202))</f>
        <v>3016.967664896611</v>
      </c>
      <c r="X202" s="47"/>
      <c r="Y202" s="47">
        <f t="shared" ref="Y202:Y213" si="118">IF(VLOOKUP($D202,$C$5:$AA$496,23,)=0,0,((VLOOKUP($D202,$C$5:$AA$496,23,)/VLOOKUP($D202,$C$5:$AA$496,4,))*$F202))</f>
        <v>0</v>
      </c>
      <c r="Z202" s="47"/>
      <c r="AA202" s="47">
        <f t="shared" ref="AA202:AA213" si="119">IF(VLOOKUP($D202,$C$5:$AA$496,25,)=0,0,((VLOOKUP($D202,$C$5:$AA$496,25,)/VLOOKUP($D202,$C$5:$AA$496,4,))*$F202))</f>
        <v>0</v>
      </c>
      <c r="AB202" s="47">
        <f t="shared" ref="AB202:AB213" si="120">SUM(H202:AA202)</f>
        <v>89687.849999999977</v>
      </c>
      <c r="AC202" s="27" t="str">
        <f t="shared" ref="AC202:AC213" si="121">IF(ABS(AB202-F202)&lt;1,"ok","err")</f>
        <v>ok</v>
      </c>
    </row>
    <row r="203" spans="1:29" x14ac:dyDescent="0.2">
      <c r="A203" s="14">
        <v>581</v>
      </c>
      <c r="B203" s="14" t="s">
        <v>101</v>
      </c>
      <c r="C203" s="14" t="s">
        <v>102</v>
      </c>
      <c r="D203" s="14" t="s">
        <v>23</v>
      </c>
      <c r="F203" s="47">
        <v>0</v>
      </c>
      <c r="G203" s="47"/>
      <c r="H203" s="47">
        <f t="shared" si="108"/>
        <v>0</v>
      </c>
      <c r="I203" s="47">
        <f t="shared" si="109"/>
        <v>0</v>
      </c>
      <c r="J203" s="47"/>
      <c r="K203" s="47">
        <f t="shared" si="110"/>
        <v>0</v>
      </c>
      <c r="L203" s="47"/>
      <c r="M203" s="47">
        <f t="shared" si="111"/>
        <v>0</v>
      </c>
      <c r="N203" s="47"/>
      <c r="O203" s="47">
        <f t="shared" si="112"/>
        <v>0</v>
      </c>
      <c r="P203" s="47">
        <f t="shared" si="113"/>
        <v>0</v>
      </c>
      <c r="Q203" s="47"/>
      <c r="R203" s="47">
        <f t="shared" si="114"/>
        <v>0</v>
      </c>
      <c r="S203" s="47">
        <f t="shared" si="115"/>
        <v>0</v>
      </c>
      <c r="T203" s="47"/>
      <c r="U203" s="47">
        <f t="shared" si="116"/>
        <v>0</v>
      </c>
      <c r="V203" s="47"/>
      <c r="W203" s="47">
        <f t="shared" si="117"/>
        <v>0</v>
      </c>
      <c r="X203" s="47"/>
      <c r="Y203" s="47">
        <f t="shared" si="118"/>
        <v>0</v>
      </c>
      <c r="Z203" s="47"/>
      <c r="AA203" s="47">
        <f t="shared" si="119"/>
        <v>0</v>
      </c>
      <c r="AB203" s="47">
        <f t="shared" si="120"/>
        <v>0</v>
      </c>
      <c r="AC203" s="27" t="str">
        <f t="shared" si="121"/>
        <v>ok</v>
      </c>
    </row>
    <row r="204" spans="1:29" x14ac:dyDescent="0.2">
      <c r="A204" s="14">
        <v>582</v>
      </c>
      <c r="B204" s="14" t="s">
        <v>372</v>
      </c>
      <c r="C204" s="14" t="s">
        <v>378</v>
      </c>
      <c r="D204" s="14" t="s">
        <v>23</v>
      </c>
      <c r="F204" s="47">
        <v>0</v>
      </c>
      <c r="G204" s="47"/>
      <c r="H204" s="47">
        <f t="shared" si="108"/>
        <v>0</v>
      </c>
      <c r="I204" s="47">
        <f t="shared" si="109"/>
        <v>0</v>
      </c>
      <c r="J204" s="47"/>
      <c r="K204" s="47">
        <f t="shared" si="110"/>
        <v>0</v>
      </c>
      <c r="L204" s="47"/>
      <c r="M204" s="47">
        <f t="shared" si="111"/>
        <v>0</v>
      </c>
      <c r="N204" s="47"/>
      <c r="O204" s="47">
        <f t="shared" si="112"/>
        <v>0</v>
      </c>
      <c r="P204" s="47">
        <f t="shared" si="113"/>
        <v>0</v>
      </c>
      <c r="Q204" s="47"/>
      <c r="R204" s="47">
        <f t="shared" si="114"/>
        <v>0</v>
      </c>
      <c r="S204" s="47">
        <f t="shared" si="115"/>
        <v>0</v>
      </c>
      <c r="T204" s="47"/>
      <c r="U204" s="47">
        <f t="shared" si="116"/>
        <v>0</v>
      </c>
      <c r="V204" s="47"/>
      <c r="W204" s="47">
        <f t="shared" si="117"/>
        <v>0</v>
      </c>
      <c r="X204" s="47"/>
      <c r="Y204" s="47">
        <f t="shared" si="118"/>
        <v>0</v>
      </c>
      <c r="Z204" s="47"/>
      <c r="AA204" s="47">
        <f t="shared" si="119"/>
        <v>0</v>
      </c>
      <c r="AB204" s="47">
        <f t="shared" si="120"/>
        <v>0</v>
      </c>
      <c r="AC204" s="27" t="str">
        <f t="shared" si="121"/>
        <v>ok</v>
      </c>
    </row>
    <row r="205" spans="1:29" x14ac:dyDescent="0.2">
      <c r="A205" s="14">
        <v>583</v>
      </c>
      <c r="B205" s="14" t="s">
        <v>103</v>
      </c>
      <c r="C205" s="14" t="s">
        <v>104</v>
      </c>
      <c r="D205" s="14" t="s">
        <v>29</v>
      </c>
      <c r="F205" s="47">
        <f>661213.85+865.91+4901.39+52005.84+129344.28</f>
        <v>848331.27</v>
      </c>
      <c r="G205" s="47"/>
      <c r="H205" s="47">
        <f t="shared" si="108"/>
        <v>0</v>
      </c>
      <c r="I205" s="47">
        <f t="shared" si="109"/>
        <v>0</v>
      </c>
      <c r="J205" s="47"/>
      <c r="K205" s="47">
        <f t="shared" si="110"/>
        <v>0</v>
      </c>
      <c r="L205" s="47"/>
      <c r="M205" s="47">
        <f t="shared" si="111"/>
        <v>0</v>
      </c>
      <c r="N205" s="47"/>
      <c r="O205" s="47">
        <f t="shared" si="112"/>
        <v>341427.68406113313</v>
      </c>
      <c r="P205" s="47">
        <f t="shared" si="113"/>
        <v>506903.58593886689</v>
      </c>
      <c r="Q205" s="47"/>
      <c r="R205" s="47">
        <f t="shared" si="114"/>
        <v>0</v>
      </c>
      <c r="S205" s="47">
        <f t="shared" si="115"/>
        <v>0</v>
      </c>
      <c r="T205" s="47"/>
      <c r="U205" s="47">
        <f t="shared" si="116"/>
        <v>0</v>
      </c>
      <c r="V205" s="47"/>
      <c r="W205" s="47">
        <f t="shared" si="117"/>
        <v>0</v>
      </c>
      <c r="X205" s="47"/>
      <c r="Y205" s="47">
        <f t="shared" si="118"/>
        <v>0</v>
      </c>
      <c r="Z205" s="47"/>
      <c r="AA205" s="47">
        <f t="shared" si="119"/>
        <v>0</v>
      </c>
      <c r="AB205" s="47">
        <f t="shared" si="120"/>
        <v>848331.27</v>
      </c>
      <c r="AC205" s="27" t="str">
        <f t="shared" si="121"/>
        <v>ok</v>
      </c>
    </row>
    <row r="206" spans="1:29" x14ac:dyDescent="0.2">
      <c r="A206" s="14">
        <v>584</v>
      </c>
      <c r="B206" s="14" t="s">
        <v>105</v>
      </c>
      <c r="C206" s="14" t="s">
        <v>106</v>
      </c>
      <c r="D206" s="14" t="s">
        <v>35</v>
      </c>
      <c r="F206" s="47">
        <v>86970.79</v>
      </c>
      <c r="G206" s="47"/>
      <c r="H206" s="47">
        <f t="shared" si="108"/>
        <v>0</v>
      </c>
      <c r="I206" s="47">
        <f t="shared" si="109"/>
        <v>0</v>
      </c>
      <c r="J206" s="47"/>
      <c r="K206" s="47">
        <f t="shared" si="110"/>
        <v>0</v>
      </c>
      <c r="L206" s="47"/>
      <c r="M206" s="47">
        <f t="shared" si="111"/>
        <v>0</v>
      </c>
      <c r="N206" s="47"/>
      <c r="O206" s="47">
        <f t="shared" si="112"/>
        <v>10542.641908938185</v>
      </c>
      <c r="P206" s="47">
        <f t="shared" si="113"/>
        <v>76428.148091061812</v>
      </c>
      <c r="Q206" s="47"/>
      <c r="R206" s="47">
        <f t="shared" si="114"/>
        <v>0</v>
      </c>
      <c r="S206" s="47">
        <f t="shared" si="115"/>
        <v>0</v>
      </c>
      <c r="T206" s="47"/>
      <c r="U206" s="47">
        <f t="shared" si="116"/>
        <v>0</v>
      </c>
      <c r="V206" s="47"/>
      <c r="W206" s="47">
        <f t="shared" si="117"/>
        <v>0</v>
      </c>
      <c r="X206" s="47"/>
      <c r="Y206" s="47">
        <f t="shared" si="118"/>
        <v>0</v>
      </c>
      <c r="Z206" s="47"/>
      <c r="AA206" s="47">
        <f t="shared" si="119"/>
        <v>0</v>
      </c>
      <c r="AB206" s="47">
        <f t="shared" si="120"/>
        <v>86970.79</v>
      </c>
      <c r="AC206" s="27" t="str">
        <f t="shared" si="121"/>
        <v>ok</v>
      </c>
    </row>
    <row r="207" spans="1:29" x14ac:dyDescent="0.2">
      <c r="A207" s="14">
        <v>585</v>
      </c>
      <c r="B207" s="14" t="s">
        <v>107</v>
      </c>
      <c r="C207" s="14" t="s">
        <v>108</v>
      </c>
      <c r="D207" s="14" t="s">
        <v>46</v>
      </c>
      <c r="F207" s="47">
        <v>7901.15</v>
      </c>
      <c r="G207" s="47"/>
      <c r="H207" s="47">
        <f t="shared" si="108"/>
        <v>0</v>
      </c>
      <c r="I207" s="47">
        <f t="shared" si="109"/>
        <v>0</v>
      </c>
      <c r="J207" s="47"/>
      <c r="K207" s="47">
        <f t="shared" si="110"/>
        <v>0</v>
      </c>
      <c r="L207" s="47"/>
      <c r="M207" s="47">
        <f t="shared" si="111"/>
        <v>0</v>
      </c>
      <c r="N207" s="47"/>
      <c r="O207" s="47">
        <f t="shared" si="112"/>
        <v>0</v>
      </c>
      <c r="P207" s="47">
        <f t="shared" si="113"/>
        <v>0</v>
      </c>
      <c r="Q207" s="47"/>
      <c r="R207" s="47">
        <f t="shared" si="114"/>
        <v>0</v>
      </c>
      <c r="S207" s="47">
        <f t="shared" si="115"/>
        <v>0</v>
      </c>
      <c r="T207" s="47"/>
      <c r="U207" s="47">
        <f t="shared" si="116"/>
        <v>0</v>
      </c>
      <c r="V207" s="47"/>
      <c r="W207" s="47">
        <f t="shared" si="117"/>
        <v>7901.15</v>
      </c>
      <c r="X207" s="47"/>
      <c r="Y207" s="47">
        <f t="shared" si="118"/>
        <v>0</v>
      </c>
      <c r="Z207" s="47"/>
      <c r="AA207" s="47">
        <f t="shared" si="119"/>
        <v>0</v>
      </c>
      <c r="AB207" s="47">
        <f t="shared" si="120"/>
        <v>7901.15</v>
      </c>
      <c r="AC207" s="27" t="str">
        <f t="shared" si="121"/>
        <v>ok</v>
      </c>
    </row>
    <row r="208" spans="1:29" x14ac:dyDescent="0.2">
      <c r="A208" s="14">
        <v>586</v>
      </c>
      <c r="B208" s="14" t="s">
        <v>109</v>
      </c>
      <c r="C208" s="14" t="s">
        <v>110</v>
      </c>
      <c r="D208" s="14" t="s">
        <v>43</v>
      </c>
      <c r="F208" s="47">
        <f>383048.61+16752.69</f>
        <v>399801.3</v>
      </c>
      <c r="G208" s="47"/>
      <c r="H208" s="47">
        <f t="shared" si="108"/>
        <v>0</v>
      </c>
      <c r="I208" s="47">
        <f t="shared" si="109"/>
        <v>0</v>
      </c>
      <c r="J208" s="47"/>
      <c r="K208" s="47">
        <f t="shared" si="110"/>
        <v>0</v>
      </c>
      <c r="L208" s="47"/>
      <c r="M208" s="47">
        <f t="shared" si="111"/>
        <v>0</v>
      </c>
      <c r="N208" s="47"/>
      <c r="O208" s="47">
        <f t="shared" si="112"/>
        <v>0</v>
      </c>
      <c r="P208" s="47">
        <f t="shared" si="113"/>
        <v>0</v>
      </c>
      <c r="Q208" s="47"/>
      <c r="R208" s="47">
        <f t="shared" si="114"/>
        <v>0</v>
      </c>
      <c r="S208" s="47">
        <f t="shared" si="115"/>
        <v>0</v>
      </c>
      <c r="T208" s="47"/>
      <c r="U208" s="47">
        <f t="shared" si="116"/>
        <v>399801.3</v>
      </c>
      <c r="V208" s="47"/>
      <c r="W208" s="47">
        <f t="shared" si="117"/>
        <v>0</v>
      </c>
      <c r="X208" s="47"/>
      <c r="Y208" s="47">
        <f t="shared" si="118"/>
        <v>0</v>
      </c>
      <c r="Z208" s="47"/>
      <c r="AA208" s="47">
        <f t="shared" si="119"/>
        <v>0</v>
      </c>
      <c r="AB208" s="47">
        <f t="shared" si="120"/>
        <v>399801.3</v>
      </c>
      <c r="AC208" s="27" t="str">
        <f t="shared" si="121"/>
        <v>ok</v>
      </c>
    </row>
    <row r="209" spans="1:29" x14ac:dyDescent="0.2">
      <c r="A209" s="14">
        <v>586</v>
      </c>
      <c r="B209" s="14" t="s">
        <v>450</v>
      </c>
      <c r="C209" s="14" t="s">
        <v>451</v>
      </c>
      <c r="D209" s="14" t="s">
        <v>471</v>
      </c>
      <c r="F209" s="47">
        <v>0</v>
      </c>
      <c r="G209" s="47"/>
      <c r="H209" s="47">
        <f t="shared" si="108"/>
        <v>0</v>
      </c>
      <c r="I209" s="47">
        <f t="shared" si="109"/>
        <v>0</v>
      </c>
      <c r="J209" s="47"/>
      <c r="K209" s="47">
        <f t="shared" si="110"/>
        <v>0</v>
      </c>
      <c r="L209" s="47"/>
      <c r="M209" s="47">
        <f t="shared" si="111"/>
        <v>0</v>
      </c>
      <c r="N209" s="47"/>
      <c r="O209" s="47">
        <f t="shared" si="112"/>
        <v>0</v>
      </c>
      <c r="P209" s="47">
        <f t="shared" si="113"/>
        <v>0</v>
      </c>
      <c r="Q209" s="47"/>
      <c r="R209" s="47">
        <f t="shared" si="114"/>
        <v>0</v>
      </c>
      <c r="S209" s="47">
        <f t="shared" si="115"/>
        <v>0</v>
      </c>
      <c r="T209" s="47"/>
      <c r="U209" s="47">
        <f t="shared" si="116"/>
        <v>0</v>
      </c>
      <c r="V209" s="47"/>
      <c r="W209" s="47">
        <f t="shared" si="117"/>
        <v>0</v>
      </c>
      <c r="X209" s="47"/>
      <c r="Y209" s="47">
        <f t="shared" si="118"/>
        <v>0</v>
      </c>
      <c r="Z209" s="47"/>
      <c r="AA209" s="47">
        <f t="shared" si="119"/>
        <v>0</v>
      </c>
      <c r="AB209" s="47">
        <f t="shared" si="120"/>
        <v>0</v>
      </c>
      <c r="AC209" s="27" t="str">
        <f t="shared" si="121"/>
        <v>ok</v>
      </c>
    </row>
    <row r="210" spans="1:29" x14ac:dyDescent="0.2">
      <c r="A210" s="14">
        <v>587</v>
      </c>
      <c r="B210" s="14" t="s">
        <v>111</v>
      </c>
      <c r="C210" s="14" t="s">
        <v>112</v>
      </c>
      <c r="D210" s="14" t="s">
        <v>40</v>
      </c>
      <c r="F210" s="47">
        <v>152246.79999999999</v>
      </c>
      <c r="G210" s="47"/>
      <c r="H210" s="47">
        <f t="shared" si="108"/>
        <v>0</v>
      </c>
      <c r="I210" s="47">
        <f t="shared" si="109"/>
        <v>0</v>
      </c>
      <c r="J210" s="47"/>
      <c r="K210" s="47">
        <f t="shared" si="110"/>
        <v>0</v>
      </c>
      <c r="L210" s="47"/>
      <c r="M210" s="47">
        <f t="shared" si="111"/>
        <v>0</v>
      </c>
      <c r="N210" s="47"/>
      <c r="O210" s="47">
        <f t="shared" si="112"/>
        <v>0</v>
      </c>
      <c r="P210" s="47">
        <f t="shared" si="113"/>
        <v>0</v>
      </c>
      <c r="Q210" s="47"/>
      <c r="R210" s="47">
        <f t="shared" si="114"/>
        <v>0</v>
      </c>
      <c r="S210" s="47">
        <f t="shared" si="115"/>
        <v>152246.79999999999</v>
      </c>
      <c r="T210" s="47"/>
      <c r="U210" s="47">
        <f t="shared" si="116"/>
        <v>0</v>
      </c>
      <c r="V210" s="47"/>
      <c r="W210" s="47">
        <f t="shared" si="117"/>
        <v>0</v>
      </c>
      <c r="X210" s="47"/>
      <c r="Y210" s="47">
        <f t="shared" si="118"/>
        <v>0</v>
      </c>
      <c r="Z210" s="47"/>
      <c r="AA210" s="47">
        <f t="shared" si="119"/>
        <v>0</v>
      </c>
      <c r="AB210" s="47">
        <f t="shared" si="120"/>
        <v>152246.79999999999</v>
      </c>
      <c r="AC210" s="27" t="str">
        <f t="shared" si="121"/>
        <v>ok</v>
      </c>
    </row>
    <row r="211" spans="1:29" x14ac:dyDescent="0.2">
      <c r="A211" s="14">
        <v>588</v>
      </c>
      <c r="B211" s="14" t="s">
        <v>113</v>
      </c>
      <c r="C211" s="14" t="s">
        <v>114</v>
      </c>
      <c r="D211" s="14" t="s">
        <v>16</v>
      </c>
      <c r="F211" s="47">
        <f>344970.8+82206.14+52647.34+83955.83</f>
        <v>563780.11</v>
      </c>
      <c r="G211" s="47"/>
      <c r="H211" s="47">
        <f t="shared" si="108"/>
        <v>0</v>
      </c>
      <c r="I211" s="47">
        <f t="shared" si="109"/>
        <v>0</v>
      </c>
      <c r="J211" s="47"/>
      <c r="K211" s="47">
        <f t="shared" si="110"/>
        <v>0</v>
      </c>
      <c r="L211" s="47"/>
      <c r="M211" s="47">
        <f t="shared" si="111"/>
        <v>2095.3802617284096</v>
      </c>
      <c r="N211" s="47"/>
      <c r="O211" s="47">
        <f t="shared" si="112"/>
        <v>157620.13775909905</v>
      </c>
      <c r="P211" s="47">
        <f t="shared" si="113"/>
        <v>296486.67897206836</v>
      </c>
      <c r="Q211" s="47"/>
      <c r="R211" s="47">
        <f t="shared" si="114"/>
        <v>0</v>
      </c>
      <c r="S211" s="47">
        <f t="shared" si="115"/>
        <v>61578.763887281188</v>
      </c>
      <c r="T211" s="47"/>
      <c r="U211" s="47">
        <f t="shared" si="116"/>
        <v>27034.413517599638</v>
      </c>
      <c r="V211" s="47"/>
      <c r="W211" s="47">
        <f t="shared" si="117"/>
        <v>18964.735602223205</v>
      </c>
      <c r="X211" s="47"/>
      <c r="Y211" s="47">
        <f t="shared" si="118"/>
        <v>0</v>
      </c>
      <c r="Z211" s="47"/>
      <c r="AA211" s="47">
        <f t="shared" si="119"/>
        <v>0</v>
      </c>
      <c r="AB211" s="47">
        <f t="shared" si="120"/>
        <v>563780.10999999987</v>
      </c>
      <c r="AC211" s="27" t="str">
        <f t="shared" si="121"/>
        <v>ok</v>
      </c>
    </row>
    <row r="212" spans="1:29" x14ac:dyDescent="0.2">
      <c r="A212" s="14">
        <v>588</v>
      </c>
      <c r="B212" s="14" t="s">
        <v>709</v>
      </c>
      <c r="C212" s="14" t="s">
        <v>550</v>
      </c>
      <c r="D212" s="14" t="s">
        <v>551</v>
      </c>
      <c r="F212" s="47">
        <f>106508.02+547.5+61328.68</f>
        <v>168384.2</v>
      </c>
      <c r="G212" s="47"/>
      <c r="H212" s="47">
        <f t="shared" si="108"/>
        <v>0</v>
      </c>
      <c r="I212" s="47">
        <f t="shared" si="109"/>
        <v>0</v>
      </c>
      <c r="J212" s="47"/>
      <c r="K212" s="47">
        <f t="shared" si="110"/>
        <v>0</v>
      </c>
      <c r="L212" s="47"/>
      <c r="M212" s="47">
        <f t="shared" si="111"/>
        <v>0</v>
      </c>
      <c r="N212" s="47"/>
      <c r="O212" s="47">
        <f t="shared" si="112"/>
        <v>0</v>
      </c>
      <c r="P212" s="47">
        <f t="shared" si="113"/>
        <v>168384.2</v>
      </c>
      <c r="Q212" s="47"/>
      <c r="R212" s="47">
        <f t="shared" si="114"/>
        <v>0</v>
      </c>
      <c r="S212" s="47">
        <f t="shared" si="115"/>
        <v>0</v>
      </c>
      <c r="T212" s="47"/>
      <c r="U212" s="47">
        <f t="shared" si="116"/>
        <v>0</v>
      </c>
      <c r="V212" s="47"/>
      <c r="W212" s="47">
        <f t="shared" si="117"/>
        <v>0</v>
      </c>
      <c r="X212" s="47"/>
      <c r="Y212" s="47">
        <f t="shared" si="118"/>
        <v>0</v>
      </c>
      <c r="Z212" s="47"/>
      <c r="AA212" s="47">
        <f t="shared" si="119"/>
        <v>0</v>
      </c>
      <c r="AB212" s="47">
        <f t="shared" si="120"/>
        <v>168384.2</v>
      </c>
      <c r="AC212" s="27" t="str">
        <f t="shared" si="121"/>
        <v>ok</v>
      </c>
    </row>
    <row r="213" spans="1:29" x14ac:dyDescent="0.2">
      <c r="A213" s="14">
        <v>589</v>
      </c>
      <c r="B213" s="14" t="s">
        <v>115</v>
      </c>
      <c r="C213" s="14" t="s">
        <v>116</v>
      </c>
      <c r="D213" s="14" t="s">
        <v>16</v>
      </c>
      <c r="F213" s="47">
        <v>36634.44</v>
      </c>
      <c r="G213" s="47"/>
      <c r="H213" s="47">
        <f t="shared" si="108"/>
        <v>0</v>
      </c>
      <c r="I213" s="47">
        <f t="shared" si="109"/>
        <v>0</v>
      </c>
      <c r="J213" s="47"/>
      <c r="K213" s="47">
        <f t="shared" si="110"/>
        <v>0</v>
      </c>
      <c r="L213" s="47"/>
      <c r="M213" s="47">
        <f t="shared" si="111"/>
        <v>136.15784082108487</v>
      </c>
      <c r="N213" s="47"/>
      <c r="O213" s="47">
        <f t="shared" si="112"/>
        <v>10242.158914629765</v>
      </c>
      <c r="P213" s="47">
        <f t="shared" si="113"/>
        <v>19265.70884453781</v>
      </c>
      <c r="Q213" s="47"/>
      <c r="R213" s="47">
        <f t="shared" si="114"/>
        <v>0</v>
      </c>
      <c r="S213" s="47">
        <f t="shared" si="115"/>
        <v>4001.3890005852986</v>
      </c>
      <c r="T213" s="47"/>
      <c r="U213" s="47">
        <f t="shared" si="116"/>
        <v>1756.6965956739641</v>
      </c>
      <c r="V213" s="47"/>
      <c r="W213" s="47">
        <f t="shared" si="117"/>
        <v>1232.328803752069</v>
      </c>
      <c r="X213" s="47"/>
      <c r="Y213" s="47">
        <f t="shared" si="118"/>
        <v>0</v>
      </c>
      <c r="Z213" s="47"/>
      <c r="AA213" s="47">
        <f t="shared" si="119"/>
        <v>0</v>
      </c>
      <c r="AB213" s="47">
        <f t="shared" si="120"/>
        <v>36634.439999999988</v>
      </c>
      <c r="AC213" s="27" t="str">
        <f t="shared" si="121"/>
        <v>ok</v>
      </c>
    </row>
    <row r="214" spans="1:29" x14ac:dyDescent="0.2"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C214" s="27"/>
    </row>
    <row r="215" spans="1:29" x14ac:dyDescent="0.2">
      <c r="A215" s="14" t="s">
        <v>117</v>
      </c>
      <c r="C215" s="14" t="s">
        <v>118</v>
      </c>
      <c r="F215" s="62">
        <f>SUM(F202:F214)</f>
        <v>2353737.91</v>
      </c>
      <c r="G215" s="62"/>
      <c r="H215" s="62">
        <f t="shared" ref="H215:AA215" si="122">SUM(H202:H214)</f>
        <v>0</v>
      </c>
      <c r="I215" s="62">
        <f t="shared" si="122"/>
        <v>0</v>
      </c>
      <c r="J215" s="62"/>
      <c r="K215" s="62">
        <f t="shared" si="122"/>
        <v>0</v>
      </c>
      <c r="L215" s="62"/>
      <c r="M215" s="62">
        <f t="shared" si="122"/>
        <v>2564.8775504538526</v>
      </c>
      <c r="N215" s="62"/>
      <c r="O215" s="62">
        <f t="shared" si="122"/>
        <v>544907.31226404477</v>
      </c>
      <c r="P215" s="62">
        <f t="shared" si="122"/>
        <v>1114634.3220636144</v>
      </c>
      <c r="Q215" s="62"/>
      <c r="R215" s="62">
        <f t="shared" si="122"/>
        <v>0</v>
      </c>
      <c r="S215" s="62">
        <f t="shared" si="122"/>
        <v>227623.08943249891</v>
      </c>
      <c r="T215" s="62"/>
      <c r="U215" s="62">
        <f t="shared" si="122"/>
        <v>432893.12661851611</v>
      </c>
      <c r="V215" s="62"/>
      <c r="W215" s="62">
        <f t="shared" si="122"/>
        <v>31115.182070871884</v>
      </c>
      <c r="X215" s="62"/>
      <c r="Y215" s="62">
        <f t="shared" si="122"/>
        <v>0</v>
      </c>
      <c r="Z215" s="62"/>
      <c r="AA215" s="62">
        <f t="shared" si="122"/>
        <v>0</v>
      </c>
      <c r="AB215" s="47">
        <f>SUM(H215:AA215)</f>
        <v>2353737.9099999997</v>
      </c>
      <c r="AC215" s="27" t="str">
        <f>IF(ABS(AB215-F215)&lt;1,"ok","err")</f>
        <v>ok</v>
      </c>
    </row>
    <row r="216" spans="1:29" x14ac:dyDescent="0.2"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47"/>
      <c r="AC216" s="27"/>
    </row>
    <row r="217" spans="1:29" x14ac:dyDescent="0.2">
      <c r="A217" s="25" t="s">
        <v>136</v>
      </c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C217" s="27"/>
    </row>
    <row r="218" spans="1:29" x14ac:dyDescent="0.2"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C218" s="27"/>
    </row>
    <row r="219" spans="1:29" x14ac:dyDescent="0.2">
      <c r="A219" s="13" t="s">
        <v>119</v>
      </c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C219" s="27"/>
    </row>
    <row r="220" spans="1:29" x14ac:dyDescent="0.2">
      <c r="A220" s="14">
        <v>590</v>
      </c>
      <c r="B220" s="14" t="s">
        <v>120</v>
      </c>
      <c r="C220" s="14" t="s">
        <v>121</v>
      </c>
      <c r="D220" s="14" t="s">
        <v>16</v>
      </c>
      <c r="F220" s="62">
        <v>213893.85</v>
      </c>
      <c r="G220" s="62"/>
      <c r="H220" s="47">
        <f t="shared" ref="H220:H227" si="123">IF(VLOOKUP($D220,$C$5:$AA$496,6,)=0,0,((VLOOKUP($D220,$C$5:$AA$496,6,)/VLOOKUP($D220,$C$5:$AA$496,4,))*$F220))</f>
        <v>0</v>
      </c>
      <c r="I220" s="47">
        <f t="shared" ref="I220:I227" si="124">IF(VLOOKUP($D220,$C$5:$AA$496,7,)=0,0,((VLOOKUP($D220,$C$5:$AA$496,7,)/VLOOKUP($D220,$C$5:$AA$496,4,))*$F220))</f>
        <v>0</v>
      </c>
      <c r="J220" s="47"/>
      <c r="K220" s="47">
        <f t="shared" ref="K220:K227" si="125">IF(VLOOKUP($D220,$C$5:$AA$496,9,)=0,0,((VLOOKUP($D220,$C$5:$AA$496,9,)/VLOOKUP($D220,$C$5:$AA$496,4,))*$F220))</f>
        <v>0</v>
      </c>
      <c r="L220" s="47"/>
      <c r="M220" s="47">
        <f t="shared" ref="M220:M227" si="126">IF(VLOOKUP($D220,$C$5:$AA$496,11,)=0,0,((VLOOKUP($D220,$C$5:$AA$496,11,)/VLOOKUP($D220,$C$5:$AA$496,4,))*$F220))</f>
        <v>794.97120144074825</v>
      </c>
      <c r="N220" s="47"/>
      <c r="O220" s="47">
        <f t="shared" ref="O220:O227" si="127">IF(VLOOKUP($D220,$C$5:$AA$496,13,)=0,0,((VLOOKUP($D220,$C$5:$AA$496,13,)/VLOOKUP($D220,$C$5:$AA$496,4,))*$F220))</f>
        <v>59799.871447795616</v>
      </c>
      <c r="P220" s="47">
        <f t="shared" ref="P220:P227" si="128">IF(VLOOKUP($D220,$C$5:$AA$496,14,)=0,0,((VLOOKUP($D220,$C$5:$AA$496,14,)/VLOOKUP($D220,$C$5:$AA$496,4,))*$F220))</f>
        <v>112484.77219079215</v>
      </c>
      <c r="Q220" s="47"/>
      <c r="R220" s="47">
        <f t="shared" ref="R220:R227" si="129">IF(VLOOKUP($D220,$C$5:$AA$496,16,)=0,0,((VLOOKUP($D220,$C$5:$AA$496,16,)/VLOOKUP($D220,$C$5:$AA$496,4,))*$F220))</f>
        <v>0</v>
      </c>
      <c r="S220" s="47">
        <f t="shared" ref="S220:S227" si="130">IF(VLOOKUP($D220,$C$5:$AA$496,17,)=0,0,((VLOOKUP($D220,$C$5:$AA$496,17,)/VLOOKUP($D220,$C$5:$AA$496,4,))*$F220))</f>
        <v>23362.510759898109</v>
      </c>
      <c r="T220" s="47"/>
      <c r="U220" s="47">
        <f t="shared" ref="U220:U227" si="131">IF(VLOOKUP($D220,$C$5:$AA$496,19,)=0,0,((VLOOKUP($D220,$C$5:$AA$496,19,)/VLOOKUP($D220,$C$5:$AA$496,4,))*$F220))</f>
        <v>10256.649156656891</v>
      </c>
      <c r="V220" s="47"/>
      <c r="W220" s="47">
        <f t="shared" ref="W220:W227" si="132">IF(VLOOKUP($D220,$C$5:$AA$496,21,)=0,0,((VLOOKUP($D220,$C$5:$AA$496,21,)/VLOOKUP($D220,$C$5:$AA$496,4,))*$F220))</f>
        <v>7195.0752434164269</v>
      </c>
      <c r="X220" s="47"/>
      <c r="Y220" s="47">
        <f t="shared" ref="Y220:Y227" si="133">IF(VLOOKUP($D220,$C$5:$AA$496,23,)=0,0,((VLOOKUP($D220,$C$5:$AA$496,23,)/VLOOKUP($D220,$C$5:$AA$496,4,))*$F220))</f>
        <v>0</v>
      </c>
      <c r="Z220" s="47"/>
      <c r="AA220" s="47">
        <f t="shared" ref="AA220:AA227" si="134">IF(VLOOKUP($D220,$C$5:$AA$496,25,)=0,0,((VLOOKUP($D220,$C$5:$AA$496,25,)/VLOOKUP($D220,$C$5:$AA$496,4,))*$F220))</f>
        <v>0</v>
      </c>
      <c r="AB220" s="47">
        <f t="shared" ref="AB220:AB227" si="135">SUM(H220:AA220)</f>
        <v>213893.84999999995</v>
      </c>
      <c r="AC220" s="27" t="str">
        <f t="shared" ref="AC220:AC227" si="136">IF(ABS(AB220-F220)&lt;1,"ok","err")</f>
        <v>ok</v>
      </c>
    </row>
    <row r="221" spans="1:29" x14ac:dyDescent="0.2">
      <c r="A221" s="14">
        <v>592</v>
      </c>
      <c r="B221" s="14" t="s">
        <v>122</v>
      </c>
      <c r="C221" s="14" t="s">
        <v>123</v>
      </c>
      <c r="D221" s="14" t="s">
        <v>23</v>
      </c>
      <c r="F221" s="47">
        <v>10138.209999999999</v>
      </c>
      <c r="G221" s="47"/>
      <c r="H221" s="47">
        <f t="shared" si="123"/>
        <v>0</v>
      </c>
      <c r="I221" s="47">
        <f t="shared" si="124"/>
        <v>0</v>
      </c>
      <c r="J221" s="47"/>
      <c r="K221" s="47">
        <f t="shared" si="125"/>
        <v>0</v>
      </c>
      <c r="L221" s="47"/>
      <c r="M221" s="47">
        <f t="shared" si="126"/>
        <v>10138.209999999999</v>
      </c>
      <c r="N221" s="47"/>
      <c r="O221" s="47">
        <f t="shared" si="127"/>
        <v>0</v>
      </c>
      <c r="P221" s="47">
        <f t="shared" si="128"/>
        <v>0</v>
      </c>
      <c r="Q221" s="47"/>
      <c r="R221" s="47">
        <f t="shared" si="129"/>
        <v>0</v>
      </c>
      <c r="S221" s="47">
        <f t="shared" si="130"/>
        <v>0</v>
      </c>
      <c r="T221" s="47"/>
      <c r="U221" s="47">
        <f t="shared" si="131"/>
        <v>0</v>
      </c>
      <c r="V221" s="47"/>
      <c r="W221" s="47">
        <f t="shared" si="132"/>
        <v>0</v>
      </c>
      <c r="X221" s="47"/>
      <c r="Y221" s="47">
        <f t="shared" si="133"/>
        <v>0</v>
      </c>
      <c r="Z221" s="47"/>
      <c r="AA221" s="47">
        <f t="shared" si="134"/>
        <v>0</v>
      </c>
      <c r="AB221" s="47">
        <f t="shared" si="135"/>
        <v>10138.209999999999</v>
      </c>
      <c r="AC221" s="27" t="str">
        <f t="shared" si="136"/>
        <v>ok</v>
      </c>
    </row>
    <row r="222" spans="1:29" x14ac:dyDescent="0.2">
      <c r="A222" s="14">
        <v>593</v>
      </c>
      <c r="B222" s="14" t="s">
        <v>124</v>
      </c>
      <c r="C222" s="14" t="s">
        <v>125</v>
      </c>
      <c r="D222" s="14" t="s">
        <v>29</v>
      </c>
      <c r="F222" s="47">
        <f>583768.47+1271465.08+2295+9584.94+57869.7+1670+37749.41+124579.6+182025.48+1463023.2+176448.7+38447.16+203128.48+4653.64+142605.19+22664.89</f>
        <v>4321978.9400000004</v>
      </c>
      <c r="G222" s="47"/>
      <c r="H222" s="47">
        <f t="shared" si="123"/>
        <v>0</v>
      </c>
      <c r="I222" s="47">
        <f t="shared" si="124"/>
        <v>0</v>
      </c>
      <c r="J222" s="47"/>
      <c r="K222" s="47">
        <f t="shared" si="125"/>
        <v>0</v>
      </c>
      <c r="L222" s="47"/>
      <c r="M222" s="47">
        <f t="shared" si="126"/>
        <v>0</v>
      </c>
      <c r="N222" s="47"/>
      <c r="O222" s="47">
        <f t="shared" si="127"/>
        <v>1739465.833960348</v>
      </c>
      <c r="P222" s="47">
        <f t="shared" si="128"/>
        <v>2582513.1060396521</v>
      </c>
      <c r="Q222" s="47"/>
      <c r="R222" s="47">
        <f t="shared" si="129"/>
        <v>0</v>
      </c>
      <c r="S222" s="47">
        <f t="shared" si="130"/>
        <v>0</v>
      </c>
      <c r="T222" s="47"/>
      <c r="U222" s="47">
        <f t="shared" si="131"/>
        <v>0</v>
      </c>
      <c r="V222" s="47"/>
      <c r="W222" s="47">
        <f t="shared" si="132"/>
        <v>0</v>
      </c>
      <c r="X222" s="47"/>
      <c r="Y222" s="47">
        <f t="shared" si="133"/>
        <v>0</v>
      </c>
      <c r="Z222" s="47"/>
      <c r="AA222" s="47">
        <f t="shared" si="134"/>
        <v>0</v>
      </c>
      <c r="AB222" s="47">
        <f t="shared" si="135"/>
        <v>4321978.9400000004</v>
      </c>
      <c r="AC222" s="27" t="str">
        <f t="shared" si="136"/>
        <v>ok</v>
      </c>
    </row>
    <row r="223" spans="1:29" x14ac:dyDescent="0.2">
      <c r="A223" s="14">
        <v>594</v>
      </c>
      <c r="B223" s="14" t="s">
        <v>126</v>
      </c>
      <c r="C223" s="14" t="s">
        <v>127</v>
      </c>
      <c r="D223" s="14" t="s">
        <v>35</v>
      </c>
      <c r="F223" s="47">
        <f>13920+142949.46+25874.52</f>
        <v>182743.97999999998</v>
      </c>
      <c r="G223" s="47"/>
      <c r="H223" s="47">
        <f t="shared" si="123"/>
        <v>0</v>
      </c>
      <c r="I223" s="47">
        <f t="shared" si="124"/>
        <v>0</v>
      </c>
      <c r="J223" s="47"/>
      <c r="K223" s="47">
        <f t="shared" si="125"/>
        <v>0</v>
      </c>
      <c r="L223" s="47"/>
      <c r="M223" s="47">
        <f t="shared" si="126"/>
        <v>0</v>
      </c>
      <c r="N223" s="47"/>
      <c r="O223" s="47">
        <f t="shared" si="127"/>
        <v>22152.315072154244</v>
      </c>
      <c r="P223" s="47">
        <f t="shared" si="128"/>
        <v>160591.66492784573</v>
      </c>
      <c r="Q223" s="47"/>
      <c r="R223" s="47">
        <f t="shared" si="129"/>
        <v>0</v>
      </c>
      <c r="S223" s="47">
        <f t="shared" si="130"/>
        <v>0</v>
      </c>
      <c r="T223" s="47"/>
      <c r="U223" s="47">
        <f t="shared" si="131"/>
        <v>0</v>
      </c>
      <c r="V223" s="47"/>
      <c r="W223" s="47">
        <f t="shared" si="132"/>
        <v>0</v>
      </c>
      <c r="X223" s="47"/>
      <c r="Y223" s="47">
        <f t="shared" si="133"/>
        <v>0</v>
      </c>
      <c r="Z223" s="47"/>
      <c r="AA223" s="47">
        <f t="shared" si="134"/>
        <v>0</v>
      </c>
      <c r="AB223" s="47">
        <f t="shared" si="135"/>
        <v>182743.97999999998</v>
      </c>
      <c r="AC223" s="27" t="str">
        <f t="shared" si="136"/>
        <v>ok</v>
      </c>
    </row>
    <row r="224" spans="1:29" x14ac:dyDescent="0.2">
      <c r="A224" s="14">
        <v>595</v>
      </c>
      <c r="B224" s="14" t="s">
        <v>128</v>
      </c>
      <c r="C224" s="14" t="s">
        <v>129</v>
      </c>
      <c r="D224" s="14" t="s">
        <v>37</v>
      </c>
      <c r="F224" s="47">
        <v>82500.289999999994</v>
      </c>
      <c r="G224" s="47"/>
      <c r="H224" s="47">
        <f t="shared" si="123"/>
        <v>0</v>
      </c>
      <c r="I224" s="47">
        <f t="shared" si="124"/>
        <v>0</v>
      </c>
      <c r="J224" s="47"/>
      <c r="K224" s="47">
        <f t="shared" si="125"/>
        <v>0</v>
      </c>
      <c r="L224" s="47"/>
      <c r="M224" s="47">
        <f t="shared" si="126"/>
        <v>0</v>
      </c>
      <c r="N224" s="47"/>
      <c r="O224" s="47">
        <f t="shared" si="127"/>
        <v>19735.648394159245</v>
      </c>
      <c r="P224" s="47">
        <f t="shared" si="128"/>
        <v>62764.641605840749</v>
      </c>
      <c r="Q224" s="47"/>
      <c r="R224" s="47">
        <f t="shared" si="129"/>
        <v>0</v>
      </c>
      <c r="S224" s="47">
        <f t="shared" si="130"/>
        <v>0</v>
      </c>
      <c r="T224" s="47"/>
      <c r="U224" s="47">
        <f t="shared" si="131"/>
        <v>0</v>
      </c>
      <c r="V224" s="47"/>
      <c r="W224" s="47">
        <f t="shared" si="132"/>
        <v>0</v>
      </c>
      <c r="X224" s="47"/>
      <c r="Y224" s="47">
        <f t="shared" si="133"/>
        <v>0</v>
      </c>
      <c r="Z224" s="47"/>
      <c r="AA224" s="47">
        <f t="shared" si="134"/>
        <v>0</v>
      </c>
      <c r="AB224" s="47">
        <f t="shared" si="135"/>
        <v>82500.289999999994</v>
      </c>
      <c r="AC224" s="27" t="str">
        <f t="shared" si="136"/>
        <v>ok</v>
      </c>
    </row>
    <row r="225" spans="1:29" x14ac:dyDescent="0.2">
      <c r="A225" s="14">
        <v>596</v>
      </c>
      <c r="B225" s="14" t="s">
        <v>380</v>
      </c>
      <c r="C225" s="14" t="s">
        <v>381</v>
      </c>
      <c r="D225" s="14" t="s">
        <v>48</v>
      </c>
      <c r="F225" s="47"/>
      <c r="G225" s="47"/>
      <c r="H225" s="47">
        <f t="shared" si="123"/>
        <v>0</v>
      </c>
      <c r="I225" s="47">
        <f t="shared" si="124"/>
        <v>0</v>
      </c>
      <c r="J225" s="47"/>
      <c r="K225" s="47">
        <f t="shared" si="125"/>
        <v>0</v>
      </c>
      <c r="L225" s="47"/>
      <c r="M225" s="47">
        <f t="shared" si="126"/>
        <v>0</v>
      </c>
      <c r="N225" s="47"/>
      <c r="O225" s="47">
        <f t="shared" si="127"/>
        <v>0</v>
      </c>
      <c r="P225" s="47">
        <f t="shared" si="128"/>
        <v>0</v>
      </c>
      <c r="Q225" s="47"/>
      <c r="R225" s="47">
        <f t="shared" si="129"/>
        <v>0</v>
      </c>
      <c r="S225" s="47">
        <f t="shared" si="130"/>
        <v>0</v>
      </c>
      <c r="T225" s="47"/>
      <c r="U225" s="47">
        <f t="shared" si="131"/>
        <v>0</v>
      </c>
      <c r="V225" s="47"/>
      <c r="W225" s="47">
        <f t="shared" si="132"/>
        <v>0</v>
      </c>
      <c r="X225" s="47"/>
      <c r="Y225" s="47">
        <f t="shared" si="133"/>
        <v>0</v>
      </c>
      <c r="Z225" s="47"/>
      <c r="AA225" s="47">
        <f t="shared" si="134"/>
        <v>0</v>
      </c>
      <c r="AB225" s="47">
        <f t="shared" si="135"/>
        <v>0</v>
      </c>
      <c r="AC225" s="27" t="str">
        <f t="shared" si="136"/>
        <v>ok</v>
      </c>
    </row>
    <row r="226" spans="1:29" x14ac:dyDescent="0.2">
      <c r="A226" s="14">
        <v>597</v>
      </c>
      <c r="B226" s="14" t="s">
        <v>130</v>
      </c>
      <c r="C226" s="14" t="s">
        <v>131</v>
      </c>
      <c r="D226" s="14" t="s">
        <v>43</v>
      </c>
      <c r="F226" s="47">
        <f>1074+29254.65</f>
        <v>30328.65</v>
      </c>
      <c r="G226" s="47"/>
      <c r="H226" s="47"/>
      <c r="I226" s="47">
        <f t="shared" si="124"/>
        <v>0</v>
      </c>
      <c r="J226" s="47"/>
      <c r="K226" s="47">
        <f t="shared" si="125"/>
        <v>0</v>
      </c>
      <c r="L226" s="47"/>
      <c r="M226" s="47">
        <f t="shared" si="126"/>
        <v>0</v>
      </c>
      <c r="N226" s="47"/>
      <c r="O226" s="47">
        <f t="shared" si="127"/>
        <v>0</v>
      </c>
      <c r="P226" s="47">
        <f t="shared" si="128"/>
        <v>0</v>
      </c>
      <c r="Q226" s="47"/>
      <c r="R226" s="47">
        <f t="shared" si="129"/>
        <v>0</v>
      </c>
      <c r="S226" s="47">
        <f t="shared" si="130"/>
        <v>0</v>
      </c>
      <c r="T226" s="47"/>
      <c r="U226" s="47">
        <f t="shared" si="131"/>
        <v>30328.65</v>
      </c>
      <c r="V226" s="47"/>
      <c r="W226" s="47">
        <f t="shared" si="132"/>
        <v>0</v>
      </c>
      <c r="X226" s="47"/>
      <c r="Y226" s="47">
        <f t="shared" si="133"/>
        <v>0</v>
      </c>
      <c r="Z226" s="47"/>
      <c r="AA226" s="47">
        <f t="shared" si="134"/>
        <v>0</v>
      </c>
      <c r="AB226" s="47">
        <f t="shared" si="135"/>
        <v>30328.65</v>
      </c>
      <c r="AC226" s="27" t="str">
        <f t="shared" si="136"/>
        <v>ok</v>
      </c>
    </row>
    <row r="227" spans="1:29" x14ac:dyDescent="0.2">
      <c r="A227" s="14">
        <v>598</v>
      </c>
      <c r="B227" s="14" t="s">
        <v>384</v>
      </c>
      <c r="C227" s="14" t="s">
        <v>132</v>
      </c>
      <c r="D227" s="14" t="s">
        <v>16</v>
      </c>
      <c r="F227" s="47">
        <v>6368.69</v>
      </c>
      <c r="G227" s="47"/>
      <c r="H227" s="47">
        <f t="shared" si="123"/>
        <v>0</v>
      </c>
      <c r="I227" s="47">
        <f t="shared" si="124"/>
        <v>0</v>
      </c>
      <c r="J227" s="47"/>
      <c r="K227" s="47">
        <f t="shared" si="125"/>
        <v>0</v>
      </c>
      <c r="L227" s="47"/>
      <c r="M227" s="47">
        <f t="shared" si="126"/>
        <v>23.670269813291398</v>
      </c>
      <c r="N227" s="47"/>
      <c r="O227" s="47">
        <f t="shared" si="127"/>
        <v>1780.5413446476437</v>
      </c>
      <c r="P227" s="47">
        <f t="shared" si="128"/>
        <v>3349.2344160609387</v>
      </c>
      <c r="Q227" s="47"/>
      <c r="R227" s="47">
        <f t="shared" si="129"/>
        <v>0</v>
      </c>
      <c r="S227" s="47">
        <f t="shared" si="130"/>
        <v>695.61882518574271</v>
      </c>
      <c r="T227" s="47"/>
      <c r="U227" s="47">
        <f t="shared" si="131"/>
        <v>305.3917581899114</v>
      </c>
      <c r="V227" s="47"/>
      <c r="W227" s="47">
        <f t="shared" si="132"/>
        <v>214.23338610246981</v>
      </c>
      <c r="X227" s="47"/>
      <c r="Y227" s="47">
        <f t="shared" si="133"/>
        <v>0</v>
      </c>
      <c r="Z227" s="47"/>
      <c r="AA227" s="47">
        <f t="shared" si="134"/>
        <v>0</v>
      </c>
      <c r="AB227" s="47">
        <f t="shared" si="135"/>
        <v>6368.6899999999978</v>
      </c>
      <c r="AC227" s="27" t="str">
        <f t="shared" si="136"/>
        <v>ok</v>
      </c>
    </row>
    <row r="228" spans="1:29" x14ac:dyDescent="0.2"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27"/>
    </row>
    <row r="229" spans="1:29" x14ac:dyDescent="0.2">
      <c r="A229" s="14" t="s">
        <v>133</v>
      </c>
      <c r="C229" s="14" t="s">
        <v>134</v>
      </c>
      <c r="F229" s="62">
        <f t="shared" ref="F229:M229" si="137">SUM(F220:F228)</f>
        <v>4847952.6100000013</v>
      </c>
      <c r="G229" s="62"/>
      <c r="H229" s="62">
        <f t="shared" si="137"/>
        <v>0</v>
      </c>
      <c r="I229" s="62">
        <f t="shared" si="137"/>
        <v>0</v>
      </c>
      <c r="J229" s="62"/>
      <c r="K229" s="62">
        <f t="shared" si="137"/>
        <v>0</v>
      </c>
      <c r="L229" s="62"/>
      <c r="M229" s="62">
        <f t="shared" si="137"/>
        <v>10956.85147125404</v>
      </c>
      <c r="N229" s="62"/>
      <c r="O229" s="62">
        <f t="shared" ref="O229:AA229" si="138">SUM(O220:O228)</f>
        <v>1842934.2102191045</v>
      </c>
      <c r="P229" s="62">
        <f t="shared" si="138"/>
        <v>2921703.4191801916</v>
      </c>
      <c r="Q229" s="62"/>
      <c r="R229" s="62">
        <f t="shared" si="138"/>
        <v>0</v>
      </c>
      <c r="S229" s="62">
        <f t="shared" si="138"/>
        <v>24058.129585083851</v>
      </c>
      <c r="T229" s="62"/>
      <c r="U229" s="62">
        <f t="shared" si="138"/>
        <v>40890.690914846811</v>
      </c>
      <c r="V229" s="62"/>
      <c r="W229" s="62">
        <f t="shared" si="138"/>
        <v>7409.3086295188969</v>
      </c>
      <c r="X229" s="62"/>
      <c r="Y229" s="62">
        <f t="shared" si="138"/>
        <v>0</v>
      </c>
      <c r="Z229" s="62"/>
      <c r="AA229" s="62">
        <f t="shared" si="138"/>
        <v>0</v>
      </c>
      <c r="AB229" s="47">
        <f>SUM(H229:AA229)</f>
        <v>4847952.6100000003</v>
      </c>
      <c r="AC229" s="27" t="str">
        <f>IF(ABS(AB229-F229)&lt;1,"ok","err")</f>
        <v>ok</v>
      </c>
    </row>
    <row r="230" spans="1:29" x14ac:dyDescent="0.2">
      <c r="D230" s="33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C230" s="27"/>
    </row>
    <row r="231" spans="1:29" x14ac:dyDescent="0.2">
      <c r="A231" s="14" t="s">
        <v>382</v>
      </c>
      <c r="F231" s="47">
        <f>F215+F229</f>
        <v>7201690.5200000014</v>
      </c>
      <c r="G231" s="47"/>
      <c r="H231" s="47">
        <f>H215+H229</f>
        <v>0</v>
      </c>
      <c r="I231" s="47">
        <f>I215+I229</f>
        <v>0</v>
      </c>
      <c r="J231" s="47"/>
      <c r="K231" s="47">
        <f>K215+K229</f>
        <v>0</v>
      </c>
      <c r="L231" s="47"/>
      <c r="M231" s="47">
        <f>M215+M229</f>
        <v>13521.729021707892</v>
      </c>
      <c r="N231" s="47"/>
      <c r="O231" s="47">
        <f>O215+O229</f>
        <v>2387841.5224831495</v>
      </c>
      <c r="P231" s="47">
        <f>P215+P229</f>
        <v>4036337.7412438057</v>
      </c>
      <c r="Q231" s="47"/>
      <c r="R231" s="47">
        <f>R215+R229</f>
        <v>0</v>
      </c>
      <c r="S231" s="47">
        <f>S215+S229</f>
        <v>251681.21901758277</v>
      </c>
      <c r="T231" s="47"/>
      <c r="U231" s="47">
        <f>U215+U229</f>
        <v>473783.81753336289</v>
      </c>
      <c r="V231" s="47"/>
      <c r="W231" s="47">
        <f>W215+W229</f>
        <v>38524.490700390779</v>
      </c>
      <c r="X231" s="47"/>
      <c r="Y231" s="47">
        <f>Y215+Y229</f>
        <v>0</v>
      </c>
      <c r="Z231" s="47"/>
      <c r="AA231" s="47">
        <f>AA215+AA229</f>
        <v>0</v>
      </c>
      <c r="AB231" s="47">
        <f>SUM(H231:AA231)</f>
        <v>7201690.5199999996</v>
      </c>
      <c r="AC231" s="27" t="str">
        <f>IF(ABS(AB231-F231)&lt;1,"ok","err")</f>
        <v>ok</v>
      </c>
    </row>
    <row r="232" spans="1:29" x14ac:dyDescent="0.2"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C232" s="27"/>
    </row>
    <row r="233" spans="1:29" x14ac:dyDescent="0.2">
      <c r="A233" s="14" t="s">
        <v>383</v>
      </c>
      <c r="F233" s="47">
        <f>F231+F199</f>
        <v>7201690.5200000014</v>
      </c>
      <c r="G233" s="47"/>
      <c r="H233" s="47">
        <f>H231+H199</f>
        <v>0</v>
      </c>
      <c r="I233" s="47">
        <f>I231+I199</f>
        <v>0</v>
      </c>
      <c r="J233" s="47"/>
      <c r="K233" s="47">
        <f>K231+K199</f>
        <v>0</v>
      </c>
      <c r="L233" s="47"/>
      <c r="M233" s="47">
        <f>M231+M199</f>
        <v>13521.729021707892</v>
      </c>
      <c r="N233" s="47"/>
      <c r="O233" s="47">
        <f>O231+O199</f>
        <v>2387841.5224831495</v>
      </c>
      <c r="P233" s="47">
        <f>P231+P199</f>
        <v>4036337.7412438057</v>
      </c>
      <c r="Q233" s="47"/>
      <c r="R233" s="47">
        <f>R231+R199</f>
        <v>0</v>
      </c>
      <c r="S233" s="47">
        <f>S231+S199</f>
        <v>251681.21901758277</v>
      </c>
      <c r="T233" s="47"/>
      <c r="U233" s="47">
        <f>U231+U199</f>
        <v>473783.81753336289</v>
      </c>
      <c r="V233" s="47"/>
      <c r="W233" s="47">
        <f>W231+W199</f>
        <v>38524.490700390779</v>
      </c>
      <c r="X233" s="47"/>
      <c r="Y233" s="47">
        <f>Y231+Y199</f>
        <v>0</v>
      </c>
      <c r="Z233" s="47"/>
      <c r="AA233" s="47">
        <f>AA231+AA199</f>
        <v>0</v>
      </c>
      <c r="AB233" s="47">
        <f>SUM(H233:AA233)</f>
        <v>7201690.5199999996</v>
      </c>
      <c r="AC233" s="27" t="str">
        <f>IF(ABS(AB233-F233)&lt;1,"ok","err")</f>
        <v>ok</v>
      </c>
    </row>
    <row r="234" spans="1:29" x14ac:dyDescent="0.2"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C234" s="27"/>
    </row>
    <row r="235" spans="1:29" x14ac:dyDescent="0.2">
      <c r="A235" s="14" t="s">
        <v>827</v>
      </c>
      <c r="F235" s="47">
        <f>F170+F199+F231</f>
        <v>7201690.5200000014</v>
      </c>
      <c r="G235" s="47"/>
      <c r="H235" s="47">
        <f>H170+H199+H231</f>
        <v>0</v>
      </c>
      <c r="I235" s="47">
        <f>I170+I199+I231</f>
        <v>0</v>
      </c>
      <c r="J235" s="47"/>
      <c r="K235" s="47">
        <f>K170+K199+K231</f>
        <v>0</v>
      </c>
      <c r="L235" s="47"/>
      <c r="M235" s="47">
        <f>M170+M199+M231</f>
        <v>13521.729021707892</v>
      </c>
      <c r="N235" s="47"/>
      <c r="O235" s="47">
        <f>O170+O199+O231</f>
        <v>2387841.5224831495</v>
      </c>
      <c r="P235" s="47">
        <f>P170+P199+P231</f>
        <v>4036337.7412438057</v>
      </c>
      <c r="Q235" s="47"/>
      <c r="R235" s="47">
        <f>R170+R199+R231</f>
        <v>0</v>
      </c>
      <c r="S235" s="47">
        <f>S170+S199+S231</f>
        <v>251681.21901758277</v>
      </c>
      <c r="T235" s="47"/>
      <c r="U235" s="47">
        <f>U170+U199+U231</f>
        <v>473783.81753336289</v>
      </c>
      <c r="V235" s="47"/>
      <c r="W235" s="47">
        <f>W170+W199+W231</f>
        <v>38524.490700390779</v>
      </c>
      <c r="X235" s="47"/>
      <c r="Y235" s="47">
        <f>Y170+Y199+Y231</f>
        <v>0</v>
      </c>
      <c r="Z235" s="47"/>
      <c r="AA235" s="47">
        <f>AA170+AA199+AA231</f>
        <v>0</v>
      </c>
      <c r="AB235" s="47">
        <f>SUM(H235:AA235)</f>
        <v>7201690.5199999996</v>
      </c>
      <c r="AC235" s="27" t="str">
        <f>IF(ABS(AB235-F235)&lt;1,"ok","err")</f>
        <v>ok</v>
      </c>
    </row>
    <row r="236" spans="1:29" x14ac:dyDescent="0.2"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C236" s="27"/>
    </row>
    <row r="237" spans="1:29" x14ac:dyDescent="0.2">
      <c r="A237" s="14" t="s">
        <v>826</v>
      </c>
      <c r="C237" s="14" t="s">
        <v>135</v>
      </c>
      <c r="F237" s="62">
        <f>F231+F199+F180+F170</f>
        <v>46368659.520000003</v>
      </c>
      <c r="G237" s="62"/>
      <c r="H237" s="62">
        <f>H231+H199+H180+H170</f>
        <v>11589879.04854697</v>
      </c>
      <c r="I237" s="62">
        <f>I231+I199+I180+I170</f>
        <v>27577089.951453038</v>
      </c>
      <c r="J237" s="62"/>
      <c r="K237" s="62">
        <f>K231+K199+K180+K170</f>
        <v>0</v>
      </c>
      <c r="L237" s="62"/>
      <c r="M237" s="62">
        <f>M231+M199+M180+M170</f>
        <v>13521.729021707892</v>
      </c>
      <c r="N237" s="62"/>
      <c r="O237" s="62">
        <f>O231+O199+O180+O170</f>
        <v>2387841.5224831495</v>
      </c>
      <c r="P237" s="62">
        <f>P231+P199+P180+P170</f>
        <v>4036337.7412438057</v>
      </c>
      <c r="Q237" s="62"/>
      <c r="R237" s="62">
        <f>R231+R199+R180+R170</f>
        <v>0</v>
      </c>
      <c r="S237" s="62">
        <f>S231+S199+S180+S170</f>
        <v>251681.21901758277</v>
      </c>
      <c r="T237" s="62"/>
      <c r="U237" s="62">
        <f>U231+U199+U180+U170</f>
        <v>473783.81753336289</v>
      </c>
      <c r="V237" s="62"/>
      <c r="W237" s="62">
        <f>W231+W199+W180+W170</f>
        <v>38524.490700390779</v>
      </c>
      <c r="X237" s="62"/>
      <c r="Y237" s="62">
        <f>Y231+Y199+Y180+Y170</f>
        <v>0</v>
      </c>
      <c r="Z237" s="62"/>
      <c r="AA237" s="62">
        <f>AA231+AA199+AA180+AA170</f>
        <v>0</v>
      </c>
      <c r="AB237" s="47">
        <f>SUM(H237:AA237)</f>
        <v>46368659.520000003</v>
      </c>
      <c r="AC237" s="27" t="str">
        <f>IF(ABS(AB237-F237)&lt;1,"ok","err")</f>
        <v>ok</v>
      </c>
    </row>
    <row r="238" spans="1:29" x14ac:dyDescent="0.2">
      <c r="A238" s="13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C238" s="27"/>
    </row>
    <row r="239" spans="1:29" x14ac:dyDescent="0.2">
      <c r="A239" s="13" t="s">
        <v>137</v>
      </c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C239" s="27"/>
    </row>
    <row r="240" spans="1:29" x14ac:dyDescent="0.2">
      <c r="A240" s="14">
        <v>901</v>
      </c>
      <c r="B240" s="14" t="s">
        <v>138</v>
      </c>
      <c r="C240" s="14" t="s">
        <v>139</v>
      </c>
      <c r="D240" s="14" t="s">
        <v>140</v>
      </c>
      <c r="F240" s="62">
        <v>114759.45</v>
      </c>
      <c r="G240" s="62"/>
      <c r="H240" s="47">
        <f>IF(VLOOKUP($D240,$C$5:$AA$496,6,)=0,0,((VLOOKUP($D240,$C$5:$AA$496,6,)/VLOOKUP($D240,$C$5:$AA$496,4,))*$F240))</f>
        <v>0</v>
      </c>
      <c r="I240" s="47">
        <f>IF(VLOOKUP($D240,$C$5:$AA$496,7,)=0,0,((VLOOKUP($D240,$C$5:$AA$496,7,)/VLOOKUP($D240,$C$5:$AA$496,4,))*$F240))</f>
        <v>0</v>
      </c>
      <c r="J240" s="47"/>
      <c r="K240" s="47">
        <f>IF(VLOOKUP($D240,$C$5:$AA$496,9,)=0,0,((VLOOKUP($D240,$C$5:$AA$496,9,)/VLOOKUP($D240,$C$5:$AA$496,4,))*$F240))</f>
        <v>0</v>
      </c>
      <c r="L240" s="47"/>
      <c r="M240" s="47">
        <f>IF(VLOOKUP($D240,$C$5:$AA$496,11,)=0,0,((VLOOKUP($D240,$C$5:$AA$496,11,)/VLOOKUP($D240,$C$5:$AA$496,4,))*$F240))</f>
        <v>0</v>
      </c>
      <c r="N240" s="47"/>
      <c r="O240" s="47">
        <f>IF(VLOOKUP($D240,$C$5:$AA$496,13,)=0,0,((VLOOKUP($D240,$C$5:$AA$496,13,)/VLOOKUP($D240,$C$5:$AA$496,4,))*$F240))</f>
        <v>0</v>
      </c>
      <c r="P240" s="47">
        <f>IF(VLOOKUP($D240,$C$5:$AA$496,14,)=0,0,((VLOOKUP($D240,$C$5:$AA$496,14,)/VLOOKUP($D240,$C$5:$AA$496,4,))*$F240))</f>
        <v>0</v>
      </c>
      <c r="Q240" s="47"/>
      <c r="R240" s="47">
        <f>IF(VLOOKUP($D240,$C$5:$AA$496,16,)=0,0,((VLOOKUP($D240,$C$5:$AA$496,16,)/VLOOKUP($D240,$C$5:$AA$496,4,))*$F240))</f>
        <v>0</v>
      </c>
      <c r="S240" s="47">
        <f>IF(VLOOKUP($D240,$C$5:$AA$496,17,)=0,0,((VLOOKUP($D240,$C$5:$AA$496,17,)/VLOOKUP($D240,$C$5:$AA$496,4,))*$F240))</f>
        <v>0</v>
      </c>
      <c r="T240" s="47"/>
      <c r="U240" s="47">
        <f>IF(VLOOKUP($D240,$C$5:$AA$496,19,)=0,0,((VLOOKUP($D240,$C$5:$AA$496,19,)/VLOOKUP($D240,$C$5:$AA$496,4,))*$F240))</f>
        <v>0</v>
      </c>
      <c r="V240" s="47"/>
      <c r="W240" s="47">
        <f>IF(VLOOKUP($D240,$C$5:$AA$496,21,)=0,0,((VLOOKUP($D240,$C$5:$AA$496,21,)/VLOOKUP($D240,$C$5:$AA$496,4,))*$F240))</f>
        <v>0</v>
      </c>
      <c r="X240" s="47"/>
      <c r="Y240" s="47">
        <f>IF(VLOOKUP($D240,$C$5:$AA$496,23,)=0,0,((VLOOKUP($D240,$C$5:$AA$496,23,)/VLOOKUP($D240,$C$5:$AA$496,4,))*$F240))</f>
        <v>114759.45</v>
      </c>
      <c r="Z240" s="47"/>
      <c r="AA240" s="47">
        <f>IF(VLOOKUP($D240,$C$5:$AA$496,25,)=0,0,((VLOOKUP($D240,$C$5:$AA$496,25,)/VLOOKUP($D240,$C$5:$AA$496,4,))*$F240))</f>
        <v>0</v>
      </c>
      <c r="AB240" s="47">
        <f>SUM(H240:AA240)</f>
        <v>114759.45</v>
      </c>
      <c r="AC240" s="27" t="str">
        <f>IF(ABS(AB240-F240)&lt;1,"ok","err")</f>
        <v>ok</v>
      </c>
    </row>
    <row r="241" spans="1:29" x14ac:dyDescent="0.2">
      <c r="A241" s="14">
        <v>902</v>
      </c>
      <c r="B241" s="14" t="s">
        <v>141</v>
      </c>
      <c r="C241" s="14" t="s">
        <v>142</v>
      </c>
      <c r="D241" s="14" t="s">
        <v>140</v>
      </c>
      <c r="F241" s="47">
        <f>50253.93+87690.53</f>
        <v>137944.46</v>
      </c>
      <c r="G241" s="47"/>
      <c r="H241" s="47">
        <f>IF(VLOOKUP($D241,$C$5:$AA$496,6,)=0,0,((VLOOKUP($D241,$C$5:$AA$496,6,)/VLOOKUP($D241,$C$5:$AA$496,4,))*$F241))</f>
        <v>0</v>
      </c>
      <c r="I241" s="47">
        <f>IF(VLOOKUP($D241,$C$5:$AA$496,7,)=0,0,((VLOOKUP($D241,$C$5:$AA$496,7,)/VLOOKUP($D241,$C$5:$AA$496,4,))*$F241))</f>
        <v>0</v>
      </c>
      <c r="J241" s="47"/>
      <c r="K241" s="47">
        <f>IF(VLOOKUP($D241,$C$5:$AA$496,9,)=0,0,((VLOOKUP($D241,$C$5:$AA$496,9,)/VLOOKUP($D241,$C$5:$AA$496,4,))*$F241))</f>
        <v>0</v>
      </c>
      <c r="L241" s="47"/>
      <c r="M241" s="47">
        <f>IF(VLOOKUP($D241,$C$5:$AA$496,11,)=0,0,((VLOOKUP($D241,$C$5:$AA$496,11,)/VLOOKUP($D241,$C$5:$AA$496,4,))*$F241))</f>
        <v>0</v>
      </c>
      <c r="N241" s="47"/>
      <c r="O241" s="47">
        <f>IF(VLOOKUP($D241,$C$5:$AA$496,13,)=0,0,((VLOOKUP($D241,$C$5:$AA$496,13,)/VLOOKUP($D241,$C$5:$AA$496,4,))*$F241))</f>
        <v>0</v>
      </c>
      <c r="P241" s="47">
        <f>IF(VLOOKUP($D241,$C$5:$AA$496,14,)=0,0,((VLOOKUP($D241,$C$5:$AA$496,14,)/VLOOKUP($D241,$C$5:$AA$496,4,))*$F241))</f>
        <v>0</v>
      </c>
      <c r="Q241" s="47"/>
      <c r="R241" s="47">
        <f>IF(VLOOKUP($D241,$C$5:$AA$496,16,)=0,0,((VLOOKUP($D241,$C$5:$AA$496,16,)/VLOOKUP($D241,$C$5:$AA$496,4,))*$F241))</f>
        <v>0</v>
      </c>
      <c r="S241" s="47">
        <f>IF(VLOOKUP($D241,$C$5:$AA$496,17,)=0,0,((VLOOKUP($D241,$C$5:$AA$496,17,)/VLOOKUP($D241,$C$5:$AA$496,4,))*$F241))</f>
        <v>0</v>
      </c>
      <c r="T241" s="47"/>
      <c r="U241" s="47">
        <f>IF(VLOOKUP($D241,$C$5:$AA$496,19,)=0,0,((VLOOKUP($D241,$C$5:$AA$496,19,)/VLOOKUP($D241,$C$5:$AA$496,4,))*$F241))</f>
        <v>0</v>
      </c>
      <c r="V241" s="47"/>
      <c r="W241" s="47">
        <f>IF(VLOOKUP($D241,$C$5:$AA$496,21,)=0,0,((VLOOKUP($D241,$C$5:$AA$496,21,)/VLOOKUP($D241,$C$5:$AA$496,4,))*$F241))</f>
        <v>0</v>
      </c>
      <c r="X241" s="47"/>
      <c r="Y241" s="47">
        <f>IF(VLOOKUP($D241,$C$5:$AA$496,23,)=0,0,((VLOOKUP($D241,$C$5:$AA$496,23,)/VLOOKUP($D241,$C$5:$AA$496,4,))*$F241))</f>
        <v>137944.46</v>
      </c>
      <c r="Z241" s="47"/>
      <c r="AA241" s="47">
        <f>IF(VLOOKUP($D241,$C$5:$AA$496,25,)=0,0,((VLOOKUP($D241,$C$5:$AA$496,25,)/VLOOKUP($D241,$C$5:$AA$496,4,))*$F241))</f>
        <v>0</v>
      </c>
      <c r="AB241" s="47">
        <f>SUM(H241:AA241)</f>
        <v>137944.46</v>
      </c>
      <c r="AC241" s="27" t="str">
        <f>IF(ABS(AB241-F241)&lt;1,"ok","err")</f>
        <v>ok</v>
      </c>
    </row>
    <row r="242" spans="1:29" x14ac:dyDescent="0.2">
      <c r="A242" s="14">
        <v>903</v>
      </c>
      <c r="B242" s="14" t="s">
        <v>452</v>
      </c>
      <c r="C242" s="14" t="s">
        <v>143</v>
      </c>
      <c r="D242" s="14" t="s">
        <v>140</v>
      </c>
      <c r="F242" s="47">
        <f>847337.16+28475.2+9931.23+26.59+197792.36+2043.84+2591.52+165463.45</f>
        <v>1253661.3500000001</v>
      </c>
      <c r="G242" s="47"/>
      <c r="H242" s="47">
        <f>IF(VLOOKUP($D242,$C$5:$AA$496,6,)=0,0,((VLOOKUP($D242,$C$5:$AA$496,6,)/VLOOKUP($D242,$C$5:$AA$496,4,))*$F242))</f>
        <v>0</v>
      </c>
      <c r="I242" s="47">
        <f>IF(VLOOKUP($D242,$C$5:$AA$496,7,)=0,0,((VLOOKUP($D242,$C$5:$AA$496,7,)/VLOOKUP($D242,$C$5:$AA$496,4,))*$F242))</f>
        <v>0</v>
      </c>
      <c r="J242" s="47"/>
      <c r="K242" s="47">
        <f>IF(VLOOKUP($D242,$C$5:$AA$496,9,)=0,0,((VLOOKUP($D242,$C$5:$AA$496,9,)/VLOOKUP($D242,$C$5:$AA$496,4,))*$F242))</f>
        <v>0</v>
      </c>
      <c r="L242" s="47"/>
      <c r="M242" s="47">
        <f>IF(VLOOKUP($D242,$C$5:$AA$496,11,)=0,0,((VLOOKUP($D242,$C$5:$AA$496,11,)/VLOOKUP($D242,$C$5:$AA$496,4,))*$F242))</f>
        <v>0</v>
      </c>
      <c r="N242" s="47"/>
      <c r="O242" s="47">
        <f>IF(VLOOKUP($D242,$C$5:$AA$496,13,)=0,0,((VLOOKUP($D242,$C$5:$AA$496,13,)/VLOOKUP($D242,$C$5:$AA$496,4,))*$F242))</f>
        <v>0</v>
      </c>
      <c r="P242" s="47">
        <f>IF(VLOOKUP($D242,$C$5:$AA$496,14,)=0,0,((VLOOKUP($D242,$C$5:$AA$496,14,)/VLOOKUP($D242,$C$5:$AA$496,4,))*$F242))</f>
        <v>0</v>
      </c>
      <c r="Q242" s="47"/>
      <c r="R242" s="47">
        <f>IF(VLOOKUP($D242,$C$5:$AA$496,16,)=0,0,((VLOOKUP($D242,$C$5:$AA$496,16,)/VLOOKUP($D242,$C$5:$AA$496,4,))*$F242))</f>
        <v>0</v>
      </c>
      <c r="S242" s="47">
        <f>IF(VLOOKUP($D242,$C$5:$AA$496,17,)=0,0,((VLOOKUP($D242,$C$5:$AA$496,17,)/VLOOKUP($D242,$C$5:$AA$496,4,))*$F242))</f>
        <v>0</v>
      </c>
      <c r="T242" s="47"/>
      <c r="U242" s="47">
        <f>IF(VLOOKUP($D242,$C$5:$AA$496,19,)=0,0,((VLOOKUP($D242,$C$5:$AA$496,19,)/VLOOKUP($D242,$C$5:$AA$496,4,))*$F242))</f>
        <v>0</v>
      </c>
      <c r="V242" s="47"/>
      <c r="W242" s="47">
        <f>IF(VLOOKUP($D242,$C$5:$AA$496,21,)=0,0,((VLOOKUP($D242,$C$5:$AA$496,21,)/VLOOKUP($D242,$C$5:$AA$496,4,))*$F242))</f>
        <v>0</v>
      </c>
      <c r="X242" s="47"/>
      <c r="Y242" s="47">
        <f>IF(VLOOKUP($D242,$C$5:$AA$496,23,)=0,0,((VLOOKUP($D242,$C$5:$AA$496,23,)/VLOOKUP($D242,$C$5:$AA$496,4,))*$F242))</f>
        <v>1253661.3500000001</v>
      </c>
      <c r="Z242" s="47"/>
      <c r="AA242" s="47">
        <f>IF(VLOOKUP($D242,$C$5:$AA$496,25,)=0,0,((VLOOKUP($D242,$C$5:$AA$496,25,)/VLOOKUP($D242,$C$5:$AA$496,4,))*$F242))</f>
        <v>0</v>
      </c>
      <c r="AB242" s="47">
        <f>SUM(H242:AA242)</f>
        <v>1253661.3500000001</v>
      </c>
      <c r="AC242" s="27" t="str">
        <f>IF(ABS(AB242-F242)&lt;1,"ok","err")</f>
        <v>ok</v>
      </c>
    </row>
    <row r="243" spans="1:29" x14ac:dyDescent="0.2">
      <c r="A243" s="14">
        <v>904</v>
      </c>
      <c r="B243" s="14" t="s">
        <v>144</v>
      </c>
      <c r="C243" s="14" t="s">
        <v>145</v>
      </c>
      <c r="D243" s="14" t="s">
        <v>140</v>
      </c>
      <c r="F243" s="47">
        <v>27000</v>
      </c>
      <c r="G243" s="47"/>
      <c r="H243" s="47">
        <f>IF(VLOOKUP($D243,$C$5:$AA$496,6,)=0,0,((VLOOKUP($D243,$C$5:$AA$496,6,)/VLOOKUP($D243,$C$5:$AA$496,4,))*$F243))</f>
        <v>0</v>
      </c>
      <c r="I243" s="47">
        <f>IF(VLOOKUP($D243,$C$5:$AA$496,7,)=0,0,((VLOOKUP($D243,$C$5:$AA$496,7,)/VLOOKUP($D243,$C$5:$AA$496,4,))*$F243))</f>
        <v>0</v>
      </c>
      <c r="J243" s="47"/>
      <c r="K243" s="47">
        <f>IF(VLOOKUP($D243,$C$5:$AA$496,9,)=0,0,((VLOOKUP($D243,$C$5:$AA$496,9,)/VLOOKUP($D243,$C$5:$AA$496,4,))*$F243))</f>
        <v>0</v>
      </c>
      <c r="L243" s="47"/>
      <c r="M243" s="47">
        <f>IF(VLOOKUP($D243,$C$5:$AA$496,11,)=0,0,((VLOOKUP($D243,$C$5:$AA$496,11,)/VLOOKUP($D243,$C$5:$AA$496,4,))*$F243))</f>
        <v>0</v>
      </c>
      <c r="N243" s="47"/>
      <c r="O243" s="47">
        <f>IF(VLOOKUP($D243,$C$5:$AA$496,13,)=0,0,((VLOOKUP($D243,$C$5:$AA$496,13,)/VLOOKUP($D243,$C$5:$AA$496,4,))*$F243))</f>
        <v>0</v>
      </c>
      <c r="P243" s="47">
        <f>IF(VLOOKUP($D243,$C$5:$AA$496,14,)=0,0,((VLOOKUP($D243,$C$5:$AA$496,14,)/VLOOKUP($D243,$C$5:$AA$496,4,))*$F243))</f>
        <v>0</v>
      </c>
      <c r="Q243" s="47"/>
      <c r="R243" s="47">
        <f>IF(VLOOKUP($D243,$C$5:$AA$496,16,)=0,0,((VLOOKUP($D243,$C$5:$AA$496,16,)/VLOOKUP($D243,$C$5:$AA$496,4,))*$F243))</f>
        <v>0</v>
      </c>
      <c r="S243" s="47">
        <f>IF(VLOOKUP($D243,$C$5:$AA$496,17,)=0,0,((VLOOKUP($D243,$C$5:$AA$496,17,)/VLOOKUP($D243,$C$5:$AA$496,4,))*$F243))</f>
        <v>0</v>
      </c>
      <c r="T243" s="47"/>
      <c r="U243" s="47">
        <f>IF(VLOOKUP($D243,$C$5:$AA$496,19,)=0,0,((VLOOKUP($D243,$C$5:$AA$496,19,)/VLOOKUP($D243,$C$5:$AA$496,4,))*$F243))</f>
        <v>0</v>
      </c>
      <c r="V243" s="47"/>
      <c r="W243" s="47">
        <f>IF(VLOOKUP($D243,$C$5:$AA$496,21,)=0,0,((VLOOKUP($D243,$C$5:$AA$496,21,)/VLOOKUP($D243,$C$5:$AA$496,4,))*$F243))</f>
        <v>0</v>
      </c>
      <c r="X243" s="47"/>
      <c r="Y243" s="47">
        <f>IF(VLOOKUP($D243,$C$5:$AA$496,23,)=0,0,((VLOOKUP($D243,$C$5:$AA$496,23,)/VLOOKUP($D243,$C$5:$AA$496,4,))*$F243))</f>
        <v>27000</v>
      </c>
      <c r="Z243" s="47"/>
      <c r="AA243" s="47">
        <f>IF(VLOOKUP($D243,$C$5:$AA$496,25,)=0,0,((VLOOKUP($D243,$C$5:$AA$496,25,)/VLOOKUP($D243,$C$5:$AA$496,4,))*$F243))</f>
        <v>0</v>
      </c>
      <c r="AB243" s="47">
        <f>SUM(H243:AA243)</f>
        <v>27000</v>
      </c>
      <c r="AC243" s="27" t="str">
        <f>IF(ABS(AB243-F243)&lt;1,"ok","err")</f>
        <v>ok</v>
      </c>
    </row>
    <row r="244" spans="1:29" x14ac:dyDescent="0.2">
      <c r="A244" s="14">
        <v>905</v>
      </c>
      <c r="B244" s="14" t="s">
        <v>453</v>
      </c>
      <c r="C244" s="14" t="s">
        <v>143</v>
      </c>
      <c r="D244" s="14" t="s">
        <v>140</v>
      </c>
      <c r="F244" s="47">
        <v>0</v>
      </c>
      <c r="G244" s="47"/>
      <c r="H244" s="47">
        <f>IF(VLOOKUP($D244,$C$5:$AA$496,6,)=0,0,((VLOOKUP($D244,$C$5:$AA$496,6,)/VLOOKUP($D244,$C$5:$AA$496,4,))*$F244))</f>
        <v>0</v>
      </c>
      <c r="I244" s="47">
        <f>IF(VLOOKUP($D244,$C$5:$AA$496,7,)=0,0,((VLOOKUP($D244,$C$5:$AA$496,7,)/VLOOKUP($D244,$C$5:$AA$496,4,))*$F244))</f>
        <v>0</v>
      </c>
      <c r="J244" s="47"/>
      <c r="K244" s="47">
        <f>IF(VLOOKUP($D244,$C$5:$AA$496,9,)=0,0,((VLOOKUP($D244,$C$5:$AA$496,9,)/VLOOKUP($D244,$C$5:$AA$496,4,))*$F244))</f>
        <v>0</v>
      </c>
      <c r="L244" s="47"/>
      <c r="M244" s="47">
        <f>IF(VLOOKUP($D244,$C$5:$AA$496,11,)=0,0,((VLOOKUP($D244,$C$5:$AA$496,11,)/VLOOKUP($D244,$C$5:$AA$496,4,))*$F244))</f>
        <v>0</v>
      </c>
      <c r="N244" s="47"/>
      <c r="O244" s="47">
        <f>IF(VLOOKUP($D244,$C$5:$AA$496,13,)=0,0,((VLOOKUP($D244,$C$5:$AA$496,13,)/VLOOKUP($D244,$C$5:$AA$496,4,))*$F244))</f>
        <v>0</v>
      </c>
      <c r="P244" s="47">
        <f>IF(VLOOKUP($D244,$C$5:$AA$496,14,)=0,0,((VLOOKUP($D244,$C$5:$AA$496,14,)/VLOOKUP($D244,$C$5:$AA$496,4,))*$F244))</f>
        <v>0</v>
      </c>
      <c r="Q244" s="47"/>
      <c r="R244" s="47">
        <f>IF(VLOOKUP($D244,$C$5:$AA$496,16,)=0,0,((VLOOKUP($D244,$C$5:$AA$496,16,)/VLOOKUP($D244,$C$5:$AA$496,4,))*$F244))</f>
        <v>0</v>
      </c>
      <c r="S244" s="47">
        <f>IF(VLOOKUP($D244,$C$5:$AA$496,17,)=0,0,((VLOOKUP($D244,$C$5:$AA$496,17,)/VLOOKUP($D244,$C$5:$AA$496,4,))*$F244))</f>
        <v>0</v>
      </c>
      <c r="T244" s="47"/>
      <c r="U244" s="47">
        <f>IF(VLOOKUP($D244,$C$5:$AA$496,19,)=0,0,((VLOOKUP($D244,$C$5:$AA$496,19,)/VLOOKUP($D244,$C$5:$AA$496,4,))*$F244))</f>
        <v>0</v>
      </c>
      <c r="V244" s="47"/>
      <c r="W244" s="47">
        <f>IF(VLOOKUP($D244,$C$5:$AA$496,21,)=0,0,((VLOOKUP($D244,$C$5:$AA$496,21,)/VLOOKUP($D244,$C$5:$AA$496,4,))*$F244))</f>
        <v>0</v>
      </c>
      <c r="X244" s="47"/>
      <c r="Y244" s="47">
        <f>IF(VLOOKUP($D244,$C$5:$AA$496,23,)=0,0,((VLOOKUP($D244,$C$5:$AA$496,23,)/VLOOKUP($D244,$C$5:$AA$496,4,))*$F244))</f>
        <v>0</v>
      </c>
      <c r="Z244" s="47"/>
      <c r="AA244" s="47">
        <f>IF(VLOOKUP($D244,$C$5:$AA$496,25,)=0,0,((VLOOKUP($D244,$C$5:$AA$496,25,)/VLOOKUP($D244,$C$5:$AA$496,4,))*$F244))</f>
        <v>0</v>
      </c>
      <c r="AB244" s="47">
        <f>SUM(H244:AA244)</f>
        <v>0</v>
      </c>
      <c r="AC244" s="27" t="str">
        <f>IF(ABS(AB244-F244)&lt;1,"ok","err")</f>
        <v>ok</v>
      </c>
    </row>
    <row r="245" spans="1:29" x14ac:dyDescent="0.2">
      <c r="A245" s="13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27"/>
    </row>
    <row r="246" spans="1:29" x14ac:dyDescent="0.2">
      <c r="A246" s="14" t="s">
        <v>146</v>
      </c>
      <c r="C246" s="14" t="s">
        <v>147</v>
      </c>
      <c r="F246" s="62">
        <f>SUM(F240:F245)</f>
        <v>1533365.26</v>
      </c>
      <c r="G246" s="62"/>
      <c r="H246" s="62">
        <f t="shared" ref="H246:W246" si="139">SUM(H240:H245)</f>
        <v>0</v>
      </c>
      <c r="I246" s="62">
        <f t="shared" si="139"/>
        <v>0</v>
      </c>
      <c r="J246" s="62"/>
      <c r="K246" s="62">
        <f t="shared" si="139"/>
        <v>0</v>
      </c>
      <c r="L246" s="62"/>
      <c r="M246" s="62">
        <f t="shared" si="139"/>
        <v>0</v>
      </c>
      <c r="N246" s="62"/>
      <c r="O246" s="62">
        <f t="shared" si="139"/>
        <v>0</v>
      </c>
      <c r="P246" s="62">
        <f t="shared" si="139"/>
        <v>0</v>
      </c>
      <c r="Q246" s="62"/>
      <c r="R246" s="62">
        <f t="shared" si="139"/>
        <v>0</v>
      </c>
      <c r="S246" s="62">
        <f t="shared" si="139"/>
        <v>0</v>
      </c>
      <c r="T246" s="62"/>
      <c r="U246" s="62">
        <f t="shared" si="139"/>
        <v>0</v>
      </c>
      <c r="V246" s="62"/>
      <c r="W246" s="62">
        <f t="shared" si="139"/>
        <v>0</v>
      </c>
      <c r="X246" s="62"/>
      <c r="Y246" s="62">
        <f>SUM(Y240:Y245)</f>
        <v>1533365.26</v>
      </c>
      <c r="Z246" s="62"/>
      <c r="AA246" s="62">
        <f>SUM(AA240:AA245)</f>
        <v>0</v>
      </c>
      <c r="AB246" s="47">
        <f>SUM(H246:AA246)</f>
        <v>1533365.26</v>
      </c>
      <c r="AC246" s="27" t="str">
        <f>IF(ABS(AB246-F246)&lt;1,"ok","err")</f>
        <v>ok</v>
      </c>
    </row>
    <row r="247" spans="1:29" x14ac:dyDescent="0.2"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C247" s="27"/>
    </row>
    <row r="248" spans="1:29" x14ac:dyDescent="0.2">
      <c r="A248" s="13" t="s">
        <v>148</v>
      </c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C248" s="27"/>
    </row>
    <row r="249" spans="1:29" x14ac:dyDescent="0.2">
      <c r="A249" s="14">
        <v>907</v>
      </c>
      <c r="B249" s="14" t="s">
        <v>385</v>
      </c>
      <c r="C249" s="14" t="s">
        <v>149</v>
      </c>
      <c r="D249" s="14" t="s">
        <v>150</v>
      </c>
      <c r="F249" s="62">
        <v>43951.58</v>
      </c>
      <c r="G249" s="62"/>
      <c r="H249" s="47">
        <f t="shared" ref="H249:H260" si="140">IF(VLOOKUP($D249,$C$5:$AA$496,6,)=0,0,((VLOOKUP($D249,$C$5:$AA$496,6,)/VLOOKUP($D249,$C$5:$AA$496,4,))*$F249))</f>
        <v>0</v>
      </c>
      <c r="I249" s="47">
        <f t="shared" ref="I249:I260" si="141">IF(VLOOKUP($D249,$C$5:$AA$496,7,)=0,0,((VLOOKUP($D249,$C$5:$AA$496,7,)/VLOOKUP($D249,$C$5:$AA$496,4,))*$F249))</f>
        <v>0</v>
      </c>
      <c r="J249" s="47"/>
      <c r="K249" s="47">
        <f t="shared" ref="K249:K260" si="142">IF(VLOOKUP($D249,$C$5:$AA$496,9,)=0,0,((VLOOKUP($D249,$C$5:$AA$496,9,)/VLOOKUP($D249,$C$5:$AA$496,4,))*$F249))</f>
        <v>0</v>
      </c>
      <c r="L249" s="47"/>
      <c r="M249" s="47">
        <f t="shared" ref="M249:M260" si="143">IF(VLOOKUP($D249,$C$5:$AA$496,11,)=0,0,((VLOOKUP($D249,$C$5:$AA$496,11,)/VLOOKUP($D249,$C$5:$AA$496,4,))*$F249))</f>
        <v>0</v>
      </c>
      <c r="N249" s="47"/>
      <c r="O249" s="47">
        <f t="shared" ref="O249:O260" si="144">IF(VLOOKUP($D249,$C$5:$AA$496,13,)=0,0,((VLOOKUP($D249,$C$5:$AA$496,13,)/VLOOKUP($D249,$C$5:$AA$496,4,))*$F249))</f>
        <v>0</v>
      </c>
      <c r="P249" s="47">
        <f t="shared" ref="P249:P260" si="145">IF(VLOOKUP($D249,$C$5:$AA$496,14,)=0,0,((VLOOKUP($D249,$C$5:$AA$496,14,)/VLOOKUP($D249,$C$5:$AA$496,4,))*$F249))</f>
        <v>0</v>
      </c>
      <c r="Q249" s="47"/>
      <c r="R249" s="47">
        <f t="shared" ref="R249:R260" si="146">IF(VLOOKUP($D249,$C$5:$AA$496,16,)=0,0,((VLOOKUP($D249,$C$5:$AA$496,16,)/VLOOKUP($D249,$C$5:$AA$496,4,))*$F249))</f>
        <v>0</v>
      </c>
      <c r="S249" s="47">
        <f t="shared" ref="S249:S260" si="147">IF(VLOOKUP($D249,$C$5:$AA$496,17,)=0,0,((VLOOKUP($D249,$C$5:$AA$496,17,)/VLOOKUP($D249,$C$5:$AA$496,4,))*$F249))</f>
        <v>0</v>
      </c>
      <c r="T249" s="47"/>
      <c r="U249" s="47">
        <f t="shared" ref="U249:U260" si="148">IF(VLOOKUP($D249,$C$5:$AA$496,19,)=0,0,((VLOOKUP($D249,$C$5:$AA$496,19,)/VLOOKUP($D249,$C$5:$AA$496,4,))*$F249))</f>
        <v>0</v>
      </c>
      <c r="V249" s="47"/>
      <c r="W249" s="47">
        <f t="shared" ref="W249:W260" si="149">IF(VLOOKUP($D249,$C$5:$AA$496,21,)=0,0,((VLOOKUP($D249,$C$5:$AA$496,21,)/VLOOKUP($D249,$C$5:$AA$496,4,))*$F249))</f>
        <v>0</v>
      </c>
      <c r="X249" s="47"/>
      <c r="Y249" s="47">
        <f t="shared" ref="Y249:Y260" si="150">IF(VLOOKUP($D249,$C$5:$AA$496,23,)=0,0,((VLOOKUP($D249,$C$5:$AA$496,23,)/VLOOKUP($D249,$C$5:$AA$496,4,))*$F249))</f>
        <v>43951.58</v>
      </c>
      <c r="Z249" s="47"/>
      <c r="AA249" s="47">
        <f t="shared" ref="AA249:AA260" si="151">IF(VLOOKUP($D249,$C$5:$AA$496,25,)=0,0,((VLOOKUP($D249,$C$5:$AA$496,25,)/VLOOKUP($D249,$C$5:$AA$496,4,))*$F249))</f>
        <v>0</v>
      </c>
      <c r="AB249" s="47">
        <f t="shared" ref="AB249:AB260" si="152">SUM(H249:AA249)</f>
        <v>43951.58</v>
      </c>
      <c r="AC249" s="27" t="str">
        <f t="shared" ref="AC249:AC260" si="153">IF(ABS(AB249-F249)&lt;1,"ok","err")</f>
        <v>ok</v>
      </c>
    </row>
    <row r="250" spans="1:29" x14ac:dyDescent="0.2">
      <c r="A250" s="14">
        <v>908</v>
      </c>
      <c r="B250" s="14" t="s">
        <v>151</v>
      </c>
      <c r="C250" s="14" t="s">
        <v>152</v>
      </c>
      <c r="D250" s="14" t="s">
        <v>150</v>
      </c>
      <c r="F250" s="47">
        <f>263760.37+13125.23-9080-1970</f>
        <v>265835.59999999998</v>
      </c>
      <c r="G250" s="47"/>
      <c r="H250" s="47"/>
      <c r="I250" s="47">
        <f t="shared" si="141"/>
        <v>0</v>
      </c>
      <c r="J250" s="47"/>
      <c r="K250" s="47">
        <f t="shared" si="142"/>
        <v>0</v>
      </c>
      <c r="L250" s="47"/>
      <c r="M250" s="47">
        <f t="shared" si="143"/>
        <v>0</v>
      </c>
      <c r="N250" s="47"/>
      <c r="O250" s="47">
        <f t="shared" si="144"/>
        <v>0</v>
      </c>
      <c r="P250" s="47">
        <f t="shared" si="145"/>
        <v>0</v>
      </c>
      <c r="Q250" s="47"/>
      <c r="R250" s="47">
        <f t="shared" si="146"/>
        <v>0</v>
      </c>
      <c r="S250" s="47">
        <f t="shared" si="147"/>
        <v>0</v>
      </c>
      <c r="T250" s="47"/>
      <c r="U250" s="47">
        <f t="shared" si="148"/>
        <v>0</v>
      </c>
      <c r="V250" s="47"/>
      <c r="W250" s="47">
        <f t="shared" si="149"/>
        <v>0</v>
      </c>
      <c r="X250" s="47"/>
      <c r="Y250" s="47">
        <f t="shared" si="150"/>
        <v>265835.59999999998</v>
      </c>
      <c r="Z250" s="47"/>
      <c r="AA250" s="47">
        <f t="shared" si="151"/>
        <v>0</v>
      </c>
      <c r="AB250" s="47">
        <f t="shared" si="152"/>
        <v>265835.59999999998</v>
      </c>
      <c r="AC250" s="27" t="str">
        <f t="shared" si="153"/>
        <v>ok</v>
      </c>
    </row>
    <row r="251" spans="1:29" x14ac:dyDescent="0.2">
      <c r="A251" s="14">
        <v>908</v>
      </c>
      <c r="B251" s="14" t="s">
        <v>454</v>
      </c>
      <c r="C251" s="14" t="s">
        <v>455</v>
      </c>
      <c r="D251" s="14" t="s">
        <v>471</v>
      </c>
      <c r="F251" s="47">
        <v>0</v>
      </c>
      <c r="G251" s="47"/>
      <c r="H251" s="47">
        <f t="shared" si="140"/>
        <v>0</v>
      </c>
      <c r="I251" s="47">
        <f t="shared" si="141"/>
        <v>0</v>
      </c>
      <c r="J251" s="47"/>
      <c r="K251" s="47">
        <f t="shared" si="142"/>
        <v>0</v>
      </c>
      <c r="L251" s="47"/>
      <c r="M251" s="47">
        <f t="shared" si="143"/>
        <v>0</v>
      </c>
      <c r="N251" s="47"/>
      <c r="O251" s="47">
        <f t="shared" si="144"/>
        <v>0</v>
      </c>
      <c r="P251" s="47">
        <f t="shared" si="145"/>
        <v>0</v>
      </c>
      <c r="Q251" s="47"/>
      <c r="R251" s="47">
        <f t="shared" si="146"/>
        <v>0</v>
      </c>
      <c r="S251" s="47">
        <f t="shared" si="147"/>
        <v>0</v>
      </c>
      <c r="T251" s="47"/>
      <c r="U251" s="47">
        <f t="shared" si="148"/>
        <v>0</v>
      </c>
      <c r="V251" s="47"/>
      <c r="W251" s="47">
        <f t="shared" si="149"/>
        <v>0</v>
      </c>
      <c r="X251" s="47"/>
      <c r="Y251" s="47">
        <f t="shared" si="150"/>
        <v>0</v>
      </c>
      <c r="Z251" s="47"/>
      <c r="AA251" s="47">
        <f t="shared" si="151"/>
        <v>0</v>
      </c>
      <c r="AB251" s="47">
        <f t="shared" si="152"/>
        <v>0</v>
      </c>
      <c r="AC251" s="27" t="str">
        <f t="shared" si="153"/>
        <v>ok</v>
      </c>
    </row>
    <row r="252" spans="1:29" x14ac:dyDescent="0.2">
      <c r="A252" s="14">
        <v>909</v>
      </c>
      <c r="B252" s="14" t="s">
        <v>153</v>
      </c>
      <c r="C252" s="14" t="s">
        <v>154</v>
      </c>
      <c r="D252" s="14" t="s">
        <v>150</v>
      </c>
      <c r="F252" s="47">
        <f>3659+561.29</f>
        <v>4220.29</v>
      </c>
      <c r="G252" s="47"/>
      <c r="H252" s="47">
        <f t="shared" si="140"/>
        <v>0</v>
      </c>
      <c r="I252" s="47">
        <f t="shared" si="141"/>
        <v>0</v>
      </c>
      <c r="J252" s="47"/>
      <c r="K252" s="47">
        <f t="shared" si="142"/>
        <v>0</v>
      </c>
      <c r="L252" s="47"/>
      <c r="M252" s="47">
        <f t="shared" si="143"/>
        <v>0</v>
      </c>
      <c r="N252" s="47"/>
      <c r="O252" s="47">
        <f t="shared" si="144"/>
        <v>0</v>
      </c>
      <c r="P252" s="47">
        <f t="shared" si="145"/>
        <v>0</v>
      </c>
      <c r="Q252" s="47"/>
      <c r="R252" s="47">
        <f t="shared" si="146"/>
        <v>0</v>
      </c>
      <c r="S252" s="47">
        <f t="shared" si="147"/>
        <v>0</v>
      </c>
      <c r="T252" s="47"/>
      <c r="U252" s="47">
        <f t="shared" si="148"/>
        <v>0</v>
      </c>
      <c r="V252" s="47"/>
      <c r="W252" s="47">
        <f t="shared" si="149"/>
        <v>0</v>
      </c>
      <c r="X252" s="47"/>
      <c r="Y252" s="47">
        <f t="shared" si="150"/>
        <v>4220.29</v>
      </c>
      <c r="Z252" s="47"/>
      <c r="AA252" s="47">
        <f t="shared" si="151"/>
        <v>0</v>
      </c>
      <c r="AB252" s="47">
        <f t="shared" si="152"/>
        <v>4220.29</v>
      </c>
      <c r="AC252" s="27" t="str">
        <f t="shared" si="153"/>
        <v>ok</v>
      </c>
    </row>
    <row r="253" spans="1:29" x14ac:dyDescent="0.2">
      <c r="A253" s="14">
        <v>909</v>
      </c>
      <c r="B253" s="14" t="s">
        <v>456</v>
      </c>
      <c r="C253" s="14" t="s">
        <v>457</v>
      </c>
      <c r="D253" s="14" t="s">
        <v>471</v>
      </c>
      <c r="F253" s="47"/>
      <c r="G253" s="47"/>
      <c r="H253" s="47">
        <f t="shared" si="140"/>
        <v>0</v>
      </c>
      <c r="I253" s="47">
        <f t="shared" si="141"/>
        <v>0</v>
      </c>
      <c r="J253" s="47"/>
      <c r="K253" s="47">
        <f t="shared" si="142"/>
        <v>0</v>
      </c>
      <c r="L253" s="47"/>
      <c r="M253" s="47">
        <f t="shared" si="143"/>
        <v>0</v>
      </c>
      <c r="N253" s="47"/>
      <c r="O253" s="47">
        <f t="shared" si="144"/>
        <v>0</v>
      </c>
      <c r="P253" s="47">
        <f t="shared" si="145"/>
        <v>0</v>
      </c>
      <c r="Q253" s="47"/>
      <c r="R253" s="47">
        <f t="shared" si="146"/>
        <v>0</v>
      </c>
      <c r="S253" s="47">
        <f t="shared" si="147"/>
        <v>0</v>
      </c>
      <c r="T253" s="47"/>
      <c r="U253" s="47">
        <f t="shared" si="148"/>
        <v>0</v>
      </c>
      <c r="V253" s="47"/>
      <c r="W253" s="47">
        <f t="shared" si="149"/>
        <v>0</v>
      </c>
      <c r="X253" s="47"/>
      <c r="Y253" s="47">
        <f t="shared" si="150"/>
        <v>0</v>
      </c>
      <c r="Z253" s="47"/>
      <c r="AA253" s="47">
        <f t="shared" si="151"/>
        <v>0</v>
      </c>
      <c r="AB253" s="47">
        <f t="shared" si="152"/>
        <v>0</v>
      </c>
      <c r="AC253" s="27" t="str">
        <f t="shared" si="153"/>
        <v>ok</v>
      </c>
    </row>
    <row r="254" spans="1:29" x14ac:dyDescent="0.2">
      <c r="A254" s="14">
        <v>910</v>
      </c>
      <c r="B254" s="14" t="s">
        <v>155</v>
      </c>
      <c r="C254" s="14" t="s">
        <v>156</v>
      </c>
      <c r="D254" s="14" t="s">
        <v>150</v>
      </c>
      <c r="F254" s="47">
        <v>5394.52</v>
      </c>
      <c r="G254" s="47"/>
      <c r="H254" s="47">
        <f t="shared" si="140"/>
        <v>0</v>
      </c>
      <c r="I254" s="47">
        <f t="shared" si="141"/>
        <v>0</v>
      </c>
      <c r="J254" s="47"/>
      <c r="K254" s="47">
        <f t="shared" si="142"/>
        <v>0</v>
      </c>
      <c r="L254" s="47"/>
      <c r="M254" s="47">
        <f t="shared" si="143"/>
        <v>0</v>
      </c>
      <c r="N254" s="47"/>
      <c r="O254" s="47">
        <f t="shared" si="144"/>
        <v>0</v>
      </c>
      <c r="P254" s="47">
        <f t="shared" si="145"/>
        <v>0</v>
      </c>
      <c r="Q254" s="47"/>
      <c r="R254" s="47">
        <f t="shared" si="146"/>
        <v>0</v>
      </c>
      <c r="S254" s="47">
        <f t="shared" si="147"/>
        <v>0</v>
      </c>
      <c r="T254" s="47"/>
      <c r="U254" s="47">
        <f t="shared" si="148"/>
        <v>0</v>
      </c>
      <c r="V254" s="47"/>
      <c r="W254" s="47">
        <f t="shared" si="149"/>
        <v>0</v>
      </c>
      <c r="X254" s="47"/>
      <c r="Y254" s="47">
        <f t="shared" si="150"/>
        <v>5394.52</v>
      </c>
      <c r="Z254" s="47"/>
      <c r="AA254" s="47">
        <f t="shared" si="151"/>
        <v>0</v>
      </c>
      <c r="AB254" s="47">
        <f t="shared" si="152"/>
        <v>5394.52</v>
      </c>
      <c r="AC254" s="27" t="str">
        <f t="shared" si="153"/>
        <v>ok</v>
      </c>
    </row>
    <row r="255" spans="1:29" x14ac:dyDescent="0.2">
      <c r="A255" s="14">
        <v>911</v>
      </c>
      <c r="B255" s="14" t="s">
        <v>385</v>
      </c>
      <c r="C255" s="14" t="s">
        <v>710</v>
      </c>
      <c r="D255" s="14" t="s">
        <v>150</v>
      </c>
      <c r="F255" s="47"/>
      <c r="G255" s="47"/>
      <c r="H255" s="47">
        <f t="shared" si="140"/>
        <v>0</v>
      </c>
      <c r="I255" s="47">
        <f t="shared" si="141"/>
        <v>0</v>
      </c>
      <c r="J255" s="47"/>
      <c r="K255" s="47">
        <f t="shared" si="142"/>
        <v>0</v>
      </c>
      <c r="L255" s="47"/>
      <c r="M255" s="47">
        <f t="shared" si="143"/>
        <v>0</v>
      </c>
      <c r="N255" s="47"/>
      <c r="O255" s="47">
        <f t="shared" si="144"/>
        <v>0</v>
      </c>
      <c r="P255" s="47">
        <f t="shared" si="145"/>
        <v>0</v>
      </c>
      <c r="Q255" s="47"/>
      <c r="R255" s="47">
        <f t="shared" si="146"/>
        <v>0</v>
      </c>
      <c r="S255" s="47">
        <f t="shared" si="147"/>
        <v>0</v>
      </c>
      <c r="T255" s="47"/>
      <c r="U255" s="47">
        <f t="shared" si="148"/>
        <v>0</v>
      </c>
      <c r="V255" s="47"/>
      <c r="W255" s="47">
        <f t="shared" si="149"/>
        <v>0</v>
      </c>
      <c r="X255" s="47"/>
      <c r="Y255" s="47">
        <f t="shared" si="150"/>
        <v>0</v>
      </c>
      <c r="Z255" s="47"/>
      <c r="AA255" s="47">
        <f t="shared" si="151"/>
        <v>0</v>
      </c>
      <c r="AB255" s="47">
        <f>SUM(H255:AA255)</f>
        <v>0</v>
      </c>
      <c r="AC255" s="27" t="str">
        <f>IF(ABS(AB255-F255)&lt;1,"ok","err")</f>
        <v>ok</v>
      </c>
    </row>
    <row r="256" spans="1:29" x14ac:dyDescent="0.2">
      <c r="A256" s="14">
        <v>912</v>
      </c>
      <c r="B256" s="14" t="s">
        <v>587</v>
      </c>
      <c r="C256" s="14" t="s">
        <v>588</v>
      </c>
      <c r="D256" s="14" t="s">
        <v>471</v>
      </c>
      <c r="F256" s="47">
        <f>9512.85-294.93</f>
        <v>9217.92</v>
      </c>
      <c r="G256" s="47"/>
      <c r="H256" s="47">
        <f t="shared" si="140"/>
        <v>0</v>
      </c>
      <c r="I256" s="47">
        <f t="shared" si="141"/>
        <v>0</v>
      </c>
      <c r="J256" s="47"/>
      <c r="K256" s="47">
        <f t="shared" si="142"/>
        <v>0</v>
      </c>
      <c r="L256" s="47"/>
      <c r="M256" s="47">
        <f t="shared" si="143"/>
        <v>0</v>
      </c>
      <c r="N256" s="47"/>
      <c r="O256" s="47">
        <f t="shared" si="144"/>
        <v>0</v>
      </c>
      <c r="P256" s="47">
        <f t="shared" si="145"/>
        <v>0</v>
      </c>
      <c r="Q256" s="47"/>
      <c r="R256" s="47">
        <f t="shared" si="146"/>
        <v>0</v>
      </c>
      <c r="S256" s="47">
        <f t="shared" si="147"/>
        <v>0</v>
      </c>
      <c r="T256" s="47"/>
      <c r="U256" s="47">
        <f t="shared" si="148"/>
        <v>0</v>
      </c>
      <c r="V256" s="47"/>
      <c r="W256" s="47">
        <f t="shared" si="149"/>
        <v>0</v>
      </c>
      <c r="X256" s="47"/>
      <c r="Y256" s="47">
        <f t="shared" si="150"/>
        <v>0</v>
      </c>
      <c r="Z256" s="47"/>
      <c r="AA256" s="47">
        <f t="shared" si="151"/>
        <v>9217.92</v>
      </c>
      <c r="AB256" s="47">
        <f t="shared" si="152"/>
        <v>9217.92</v>
      </c>
      <c r="AC256" s="27" t="str">
        <f t="shared" si="153"/>
        <v>ok</v>
      </c>
    </row>
    <row r="257" spans="1:29" x14ac:dyDescent="0.2">
      <c r="A257" s="14">
        <v>913</v>
      </c>
      <c r="B257" s="14" t="s">
        <v>638</v>
      </c>
      <c r="C257" s="14" t="s">
        <v>577</v>
      </c>
      <c r="D257" s="14" t="s">
        <v>471</v>
      </c>
      <c r="F257" s="47"/>
      <c r="G257" s="47"/>
      <c r="H257" s="47">
        <f t="shared" si="140"/>
        <v>0</v>
      </c>
      <c r="I257" s="47">
        <f t="shared" si="141"/>
        <v>0</v>
      </c>
      <c r="J257" s="47"/>
      <c r="K257" s="47">
        <f t="shared" si="142"/>
        <v>0</v>
      </c>
      <c r="L257" s="47"/>
      <c r="M257" s="47">
        <f t="shared" si="143"/>
        <v>0</v>
      </c>
      <c r="N257" s="47"/>
      <c r="O257" s="47">
        <f t="shared" si="144"/>
        <v>0</v>
      </c>
      <c r="P257" s="47">
        <f t="shared" si="145"/>
        <v>0</v>
      </c>
      <c r="Q257" s="47"/>
      <c r="R257" s="47">
        <f t="shared" si="146"/>
        <v>0</v>
      </c>
      <c r="S257" s="47">
        <f t="shared" si="147"/>
        <v>0</v>
      </c>
      <c r="T257" s="47"/>
      <c r="U257" s="47">
        <f t="shared" si="148"/>
        <v>0</v>
      </c>
      <c r="V257" s="47"/>
      <c r="W257" s="47">
        <f t="shared" si="149"/>
        <v>0</v>
      </c>
      <c r="X257" s="47"/>
      <c r="Y257" s="47">
        <f t="shared" si="150"/>
        <v>0</v>
      </c>
      <c r="Z257" s="47"/>
      <c r="AA257" s="47">
        <f t="shared" si="151"/>
        <v>0</v>
      </c>
      <c r="AB257" s="47">
        <f t="shared" si="152"/>
        <v>0</v>
      </c>
      <c r="AC257" s="27" t="str">
        <f t="shared" si="153"/>
        <v>ok</v>
      </c>
    </row>
    <row r="258" spans="1:29" x14ac:dyDescent="0.2">
      <c r="A258" s="14">
        <v>914</v>
      </c>
      <c r="B258" s="14" t="s">
        <v>931</v>
      </c>
      <c r="C258" s="14" t="s">
        <v>932</v>
      </c>
      <c r="D258" s="14" t="s">
        <v>471</v>
      </c>
      <c r="F258" s="47"/>
      <c r="G258" s="47"/>
      <c r="H258" s="47">
        <f t="shared" si="140"/>
        <v>0</v>
      </c>
      <c r="I258" s="47">
        <f t="shared" si="141"/>
        <v>0</v>
      </c>
      <c r="J258" s="47"/>
      <c r="K258" s="47">
        <f t="shared" si="142"/>
        <v>0</v>
      </c>
      <c r="L258" s="47"/>
      <c r="M258" s="47">
        <f t="shared" si="143"/>
        <v>0</v>
      </c>
      <c r="N258" s="47"/>
      <c r="O258" s="47">
        <f t="shared" si="144"/>
        <v>0</v>
      </c>
      <c r="P258" s="47">
        <f t="shared" si="145"/>
        <v>0</v>
      </c>
      <c r="Q258" s="47"/>
      <c r="R258" s="47">
        <f t="shared" si="146"/>
        <v>0</v>
      </c>
      <c r="S258" s="47">
        <f t="shared" si="147"/>
        <v>0</v>
      </c>
      <c r="T258" s="47"/>
      <c r="U258" s="47">
        <f t="shared" si="148"/>
        <v>0</v>
      </c>
      <c r="V258" s="47"/>
      <c r="W258" s="47">
        <f t="shared" si="149"/>
        <v>0</v>
      </c>
      <c r="X258" s="47"/>
      <c r="Y258" s="47">
        <f t="shared" si="150"/>
        <v>0</v>
      </c>
      <c r="Z258" s="47"/>
      <c r="AA258" s="47">
        <f t="shared" si="151"/>
        <v>0</v>
      </c>
      <c r="AB258" s="47">
        <f>SUM(H258:AA258)</f>
        <v>0</v>
      </c>
      <c r="AC258" s="27" t="str">
        <f>IF(ABS(AB258-F258)&lt;1,"ok","err")</f>
        <v>ok</v>
      </c>
    </row>
    <row r="259" spans="1:29" x14ac:dyDescent="0.2">
      <c r="A259" s="14">
        <v>916</v>
      </c>
      <c r="B259" s="14" t="s">
        <v>640</v>
      </c>
      <c r="C259" s="14" t="s">
        <v>641</v>
      </c>
      <c r="D259" s="14" t="s">
        <v>471</v>
      </c>
      <c r="F259" s="47"/>
      <c r="G259" s="47"/>
      <c r="H259" s="47">
        <f t="shared" si="140"/>
        <v>0</v>
      </c>
      <c r="I259" s="47">
        <f t="shared" si="141"/>
        <v>0</v>
      </c>
      <c r="J259" s="47"/>
      <c r="K259" s="47">
        <f t="shared" si="142"/>
        <v>0</v>
      </c>
      <c r="L259" s="47"/>
      <c r="M259" s="47">
        <f t="shared" si="143"/>
        <v>0</v>
      </c>
      <c r="N259" s="47"/>
      <c r="O259" s="47">
        <f t="shared" si="144"/>
        <v>0</v>
      </c>
      <c r="P259" s="47">
        <f t="shared" si="145"/>
        <v>0</v>
      </c>
      <c r="Q259" s="47"/>
      <c r="R259" s="47">
        <f t="shared" si="146"/>
        <v>0</v>
      </c>
      <c r="S259" s="47">
        <f t="shared" si="147"/>
        <v>0</v>
      </c>
      <c r="T259" s="47"/>
      <c r="U259" s="47">
        <f t="shared" si="148"/>
        <v>0</v>
      </c>
      <c r="V259" s="47"/>
      <c r="W259" s="47">
        <f t="shared" si="149"/>
        <v>0</v>
      </c>
      <c r="X259" s="47"/>
      <c r="Y259" s="47">
        <f t="shared" si="150"/>
        <v>0</v>
      </c>
      <c r="Z259" s="47"/>
      <c r="AA259" s="47">
        <f t="shared" si="151"/>
        <v>0</v>
      </c>
      <c r="AB259" s="47">
        <f t="shared" si="152"/>
        <v>0</v>
      </c>
      <c r="AC259" s="27" t="str">
        <f t="shared" si="153"/>
        <v>ok</v>
      </c>
    </row>
    <row r="260" spans="1:29" x14ac:dyDescent="0.2">
      <c r="A260" s="14">
        <v>917</v>
      </c>
      <c r="B260" s="14" t="s">
        <v>640</v>
      </c>
      <c r="C260" s="14" t="s">
        <v>925</v>
      </c>
      <c r="D260" s="14" t="s">
        <v>471</v>
      </c>
      <c r="F260" s="47"/>
      <c r="G260" s="47"/>
      <c r="H260" s="47">
        <f t="shared" si="140"/>
        <v>0</v>
      </c>
      <c r="I260" s="47">
        <f t="shared" si="141"/>
        <v>0</v>
      </c>
      <c r="J260" s="47"/>
      <c r="K260" s="47">
        <f t="shared" si="142"/>
        <v>0</v>
      </c>
      <c r="L260" s="47"/>
      <c r="M260" s="47">
        <f t="shared" si="143"/>
        <v>0</v>
      </c>
      <c r="N260" s="47"/>
      <c r="O260" s="47">
        <f t="shared" si="144"/>
        <v>0</v>
      </c>
      <c r="P260" s="47">
        <f t="shared" si="145"/>
        <v>0</v>
      </c>
      <c r="Q260" s="47"/>
      <c r="R260" s="47">
        <f t="shared" si="146"/>
        <v>0</v>
      </c>
      <c r="S260" s="47">
        <f t="shared" si="147"/>
        <v>0</v>
      </c>
      <c r="T260" s="47"/>
      <c r="U260" s="47">
        <f t="shared" si="148"/>
        <v>0</v>
      </c>
      <c r="V260" s="47"/>
      <c r="W260" s="47">
        <f t="shared" si="149"/>
        <v>0</v>
      </c>
      <c r="X260" s="47"/>
      <c r="Y260" s="47">
        <f t="shared" si="150"/>
        <v>0</v>
      </c>
      <c r="Z260" s="47"/>
      <c r="AA260" s="47">
        <f t="shared" si="151"/>
        <v>0</v>
      </c>
      <c r="AB260" s="47">
        <f t="shared" si="152"/>
        <v>0</v>
      </c>
      <c r="AC260" s="27" t="str">
        <f t="shared" si="153"/>
        <v>ok</v>
      </c>
    </row>
    <row r="261" spans="1:29" x14ac:dyDescent="0.2"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27"/>
    </row>
    <row r="262" spans="1:29" x14ac:dyDescent="0.2">
      <c r="A262" s="14" t="s">
        <v>157</v>
      </c>
      <c r="C262" s="14" t="s">
        <v>158</v>
      </c>
      <c r="F262" s="62">
        <f>SUM(F249:F260)</f>
        <v>328619.90999999997</v>
      </c>
      <c r="G262" s="62"/>
      <c r="H262" s="62">
        <f t="shared" ref="H262:W262" si="154">SUM(H249:H261)</f>
        <v>0</v>
      </c>
      <c r="I262" s="62">
        <f t="shared" si="154"/>
        <v>0</v>
      </c>
      <c r="J262" s="62"/>
      <c r="K262" s="62">
        <f t="shared" si="154"/>
        <v>0</v>
      </c>
      <c r="L262" s="62"/>
      <c r="M262" s="62">
        <f t="shared" si="154"/>
        <v>0</v>
      </c>
      <c r="N262" s="62"/>
      <c r="O262" s="62">
        <f t="shared" si="154"/>
        <v>0</v>
      </c>
      <c r="P262" s="62">
        <f t="shared" si="154"/>
        <v>0</v>
      </c>
      <c r="Q262" s="62"/>
      <c r="R262" s="62">
        <f t="shared" si="154"/>
        <v>0</v>
      </c>
      <c r="S262" s="62">
        <f t="shared" si="154"/>
        <v>0</v>
      </c>
      <c r="T262" s="62"/>
      <c r="U262" s="62">
        <f t="shared" si="154"/>
        <v>0</v>
      </c>
      <c r="V262" s="62"/>
      <c r="W262" s="62">
        <f t="shared" si="154"/>
        <v>0</v>
      </c>
      <c r="X262" s="62"/>
      <c r="Y262" s="62">
        <f>SUM(Y249:Y261)</f>
        <v>319401.99</v>
      </c>
      <c r="Z262" s="62"/>
      <c r="AA262" s="62">
        <f>SUM(AA249:AA261)</f>
        <v>9217.92</v>
      </c>
      <c r="AB262" s="47">
        <f>SUM(H262:AA262)</f>
        <v>328619.90999999997</v>
      </c>
      <c r="AC262" s="27" t="str">
        <f>IF(ABS(AB262-F262)&lt;1,"ok","err")</f>
        <v>ok</v>
      </c>
    </row>
    <row r="263" spans="1:29" x14ac:dyDescent="0.2">
      <c r="D263" s="8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C263" s="27"/>
    </row>
    <row r="264" spans="1:29" x14ac:dyDescent="0.2">
      <c r="A264" s="14" t="s">
        <v>410</v>
      </c>
      <c r="C264" s="14" t="s">
        <v>411</v>
      </c>
      <c r="F264" s="47">
        <f t="shared" ref="F264:M264" si="155">F233+F246+F262</f>
        <v>9063675.6900000013</v>
      </c>
      <c r="G264" s="47"/>
      <c r="H264" s="47">
        <f t="shared" si="155"/>
        <v>0</v>
      </c>
      <c r="I264" s="47">
        <f t="shared" si="155"/>
        <v>0</v>
      </c>
      <c r="J264" s="47"/>
      <c r="K264" s="47">
        <f t="shared" si="155"/>
        <v>0</v>
      </c>
      <c r="L264" s="47"/>
      <c r="M264" s="47">
        <f t="shared" si="155"/>
        <v>13521.729021707892</v>
      </c>
      <c r="N264" s="47"/>
      <c r="O264" s="47">
        <f t="shared" ref="O264:AA264" si="156">O233+O246+O262</f>
        <v>2387841.5224831495</v>
      </c>
      <c r="P264" s="47">
        <f t="shared" si="156"/>
        <v>4036337.7412438057</v>
      </c>
      <c r="Q264" s="47"/>
      <c r="R264" s="47">
        <f t="shared" si="156"/>
        <v>0</v>
      </c>
      <c r="S264" s="47">
        <f t="shared" si="156"/>
        <v>251681.21901758277</v>
      </c>
      <c r="T264" s="47"/>
      <c r="U264" s="47">
        <f t="shared" si="156"/>
        <v>473783.81753336289</v>
      </c>
      <c r="V264" s="47"/>
      <c r="W264" s="47">
        <f t="shared" si="156"/>
        <v>38524.490700390779</v>
      </c>
      <c r="X264" s="47"/>
      <c r="Y264" s="47">
        <f t="shared" si="156"/>
        <v>1852767.25</v>
      </c>
      <c r="Z264" s="47"/>
      <c r="AA264" s="47">
        <f t="shared" si="156"/>
        <v>9217.92</v>
      </c>
      <c r="AB264" s="47">
        <f>SUM(H264:AA264)</f>
        <v>9063675.6899999995</v>
      </c>
      <c r="AC264" s="27" t="str">
        <f>IF(ABS(AB264-F264)&lt;1,"ok","err")</f>
        <v>ok</v>
      </c>
    </row>
    <row r="265" spans="1:29" x14ac:dyDescent="0.2"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C265" s="27"/>
    </row>
    <row r="266" spans="1:29" x14ac:dyDescent="0.2">
      <c r="A266" s="25" t="s">
        <v>136</v>
      </c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C266" s="27"/>
    </row>
    <row r="267" spans="1:29" x14ac:dyDescent="0.2"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C267" s="27"/>
    </row>
    <row r="268" spans="1:29" x14ac:dyDescent="0.2">
      <c r="A268" s="13" t="s">
        <v>159</v>
      </c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C268" s="27"/>
    </row>
    <row r="269" spans="1:29" x14ac:dyDescent="0.2">
      <c r="A269" s="14">
        <v>920</v>
      </c>
      <c r="B269" s="14" t="s">
        <v>160</v>
      </c>
      <c r="C269" s="14" t="s">
        <v>161</v>
      </c>
      <c r="D269" s="14" t="s">
        <v>411</v>
      </c>
      <c r="F269" s="62">
        <v>551765.11</v>
      </c>
      <c r="G269" s="62"/>
      <c r="H269" s="47">
        <f>IF((VLOOKUP($D269,$C$5:$AA$496,6,)=0),0,((VLOOKUP($D269,$C$5:$AA$496,6,)/VLOOKUP($D269,$C$5:$AA$496,4,))*$F269))</f>
        <v>0</v>
      </c>
      <c r="I269" s="47">
        <f>(VLOOKUP($D269,$C$5:$AA$496,7,)/VLOOKUP($D269,$C$5:$AA$496,4,))*$F269</f>
        <v>0</v>
      </c>
      <c r="J269" s="47"/>
      <c r="K269" s="47">
        <f>(VLOOKUP($D269,$C$5:$AA$496,9,)/VLOOKUP($D269,$C$5:$AA$496,4,))*$F269</f>
        <v>0</v>
      </c>
      <c r="L269" s="47"/>
      <c r="M269" s="47">
        <f>(VLOOKUP($D269,$C$5:$AA$496,11,)/VLOOKUP($D269,$C$5:$AA$496,4,))*$F269</f>
        <v>823.15591998557545</v>
      </c>
      <c r="N269" s="47"/>
      <c r="O269" s="47">
        <f>(VLOOKUP($D269,$C$5:$AA$496,13,)/VLOOKUP($D269,$C$5:$AA$496,4,))*$F269</f>
        <v>145363.50211306845</v>
      </c>
      <c r="P269" s="47">
        <f>(VLOOKUP($D269,$C$5:$AA$496,14,)/VLOOKUP($D269,$C$5:$AA$496,4,))*$F269</f>
        <v>245718.22889158776</v>
      </c>
      <c r="Q269" s="47"/>
      <c r="R269" s="47">
        <f>(VLOOKUP($D269,$C$5:$AA$496,16,)/VLOOKUP($D269,$C$5:$AA$496,4,))*$F269</f>
        <v>0</v>
      </c>
      <c r="S269" s="47">
        <f>(VLOOKUP($D269,$C$5:$AA$496,17,)/VLOOKUP($D269,$C$5:$AA$496,4,))*$F269</f>
        <v>15321.478861979296</v>
      </c>
      <c r="T269" s="47"/>
      <c r="U269" s="47">
        <f>(VLOOKUP($D269,$C$5:$AA$496,19,)/VLOOKUP($D269,$C$5:$AA$496,4,))*$F269</f>
        <v>28842.313994744873</v>
      </c>
      <c r="V269" s="47"/>
      <c r="W269" s="47">
        <f>(VLOOKUP($D269,$C$5:$AA$496,21,)/VLOOKUP($D269,$C$5:$AA$496,4,))*$F269</f>
        <v>2345.2372498772725</v>
      </c>
      <c r="X269" s="47"/>
      <c r="Y269" s="47">
        <f>(VLOOKUP($D269,$C$5:$AA$496,23,)/VLOOKUP($D269,$C$5:$AA$496,4,))*$F269</f>
        <v>112790.03800064776</v>
      </c>
      <c r="Z269" s="47"/>
      <c r="AA269" s="47">
        <f>(VLOOKUP($D269,$C$5:$AA$496,25,)/VLOOKUP($D269,$C$5:$AA$496,4,))*$F269</f>
        <v>561.15496810888192</v>
      </c>
      <c r="AB269" s="47">
        <f t="shared" ref="AB269:AB281" si="157">SUM(H269:AA269)</f>
        <v>551765.10999999987</v>
      </c>
      <c r="AC269" s="27" t="str">
        <f t="shared" ref="AC269:AC281" si="158">IF(ABS(AB269-F269)&lt;1,"ok","err")</f>
        <v>ok</v>
      </c>
    </row>
    <row r="270" spans="1:29" x14ac:dyDescent="0.2">
      <c r="A270" s="14">
        <v>921</v>
      </c>
      <c r="B270" s="14" t="s">
        <v>162</v>
      </c>
      <c r="C270" s="14" t="s">
        <v>163</v>
      </c>
      <c r="D270" s="14" t="s">
        <v>516</v>
      </c>
      <c r="F270" s="47">
        <f>183508.29+7121.12+17562.09</f>
        <v>208191.5</v>
      </c>
      <c r="G270" s="47"/>
      <c r="H270" s="47">
        <f>IF(VLOOKUP($D270,$C$5:$AA$496,6,)=0,0,((VLOOKUP($D270,$C$5:$AA$496,6,)/VLOOKUP($D270,$C$5:$AA$496,4,))*$F270))</f>
        <v>0</v>
      </c>
      <c r="I270" s="47">
        <f>IF(VLOOKUP($D270,$C$5:$AA$496,7,)=0,0,((VLOOKUP($D270,$C$5:$AA$496,7,)/VLOOKUP($D270,$C$5:$AA$496,4,))*$F270))</f>
        <v>0</v>
      </c>
      <c r="J270" s="47"/>
      <c r="K270" s="47">
        <f>IF(VLOOKUP($D270,$C$5:$AA$496,9,)=0,0,((VLOOKUP($D270,$C$5:$AA$496,9,)/VLOOKUP($D270,$C$5:$AA$496,4,))*$F270))</f>
        <v>0</v>
      </c>
      <c r="L270" s="47"/>
      <c r="M270" s="47">
        <f>IF(VLOOKUP($D270,$C$5:$AA$496,11,)=0,0,((VLOOKUP($D270,$C$5:$AA$496,11,)/VLOOKUP($D270,$C$5:$AA$496,4,))*$F270))</f>
        <v>138.96784944537001</v>
      </c>
      <c r="N270" s="47"/>
      <c r="O270" s="47">
        <f>IF(VLOOKUP($D270,$C$5:$AA$496,13,)=0,0,((VLOOKUP($D270,$C$5:$AA$496,13,)/VLOOKUP($D270,$C$5:$AA$496,4,))*$F270))</f>
        <v>45431.263954244248</v>
      </c>
      <c r="P270" s="47">
        <f>IF(VLOOKUP($D270,$C$5:$AA$496,14,)=0,0,((VLOOKUP($D270,$C$5:$AA$496,14,)/VLOOKUP($D270,$C$5:$AA$496,4,))*$F270))</f>
        <v>71593.301725414669</v>
      </c>
      <c r="Q270" s="47"/>
      <c r="R270" s="47">
        <f>IF(VLOOKUP($D270,$C$5:$AA$496,16,)=0,0,((VLOOKUP($D270,$C$5:$AA$496,16,)/VLOOKUP($D270,$C$5:$AA$496,4,))*$F270))</f>
        <v>0</v>
      </c>
      <c r="S270" s="47">
        <f>IF(VLOOKUP($D270,$C$5:$AA$496,17,)=0,0,((VLOOKUP($D270,$C$5:$AA$496,17,)/VLOOKUP($D270,$C$5:$AA$496,4,))*$F270))</f>
        <v>4121.9324759471256</v>
      </c>
      <c r="T270" s="47"/>
      <c r="U270" s="47">
        <f>IF(VLOOKUP($D270,$C$5:$AA$496,19,)=0,0,((VLOOKUP($D270,$C$5:$AA$496,19,)/VLOOKUP($D270,$C$5:$AA$496,4,))*$F270))</f>
        <v>18159.030827008508</v>
      </c>
      <c r="V270" s="47"/>
      <c r="W270" s="47">
        <f>IF(VLOOKUP($D270,$C$5:$AA$496,21,)=0,0,((VLOOKUP($D270,$C$5:$AA$496,21,)/VLOOKUP($D270,$C$5:$AA$496,4,))*$F270))</f>
        <v>1257.7614526955006</v>
      </c>
      <c r="X270" s="47"/>
      <c r="Y270" s="47">
        <f>IF(VLOOKUP($D270,$C$5:$AA$496,23,)=0,0,((VLOOKUP($D270,$C$5:$AA$496,23,)/VLOOKUP($D270,$C$5:$AA$496,4,))*$F270))</f>
        <v>67414.197971491129</v>
      </c>
      <c r="Z270" s="47"/>
      <c r="AA270" s="47">
        <f>IF(VLOOKUP($D270,$C$5:$AA$496,25,)=0,0,((VLOOKUP($D270,$C$5:$AA$496,25,)/VLOOKUP($D270,$C$5:$AA$496,4,))*$F270))</f>
        <v>75.043743753411363</v>
      </c>
      <c r="AB270" s="47">
        <f>SUM(H270:AA270)</f>
        <v>208191.49999999994</v>
      </c>
      <c r="AC270" s="27" t="str">
        <f>IF(ABS(AB270-F270)&lt;1,"ok","err")</f>
        <v>ok</v>
      </c>
    </row>
    <row r="271" spans="1:29" x14ac:dyDescent="0.2">
      <c r="A271" s="14">
        <v>923</v>
      </c>
      <c r="B271" s="14" t="s">
        <v>164</v>
      </c>
      <c r="C271" s="14" t="s">
        <v>165</v>
      </c>
      <c r="D271" s="14" t="s">
        <v>411</v>
      </c>
      <c r="F271" s="47">
        <f>134271.39+1029.54</f>
        <v>135300.93000000002</v>
      </c>
      <c r="G271" s="47"/>
      <c r="H271" s="47">
        <f t="shared" ref="H271:H281" si="159">IF((VLOOKUP($D271,$C$5:$AA$496,6,)=0),0,((VLOOKUP($D271,$C$5:$AA$496,6,)/VLOOKUP($D271,$C$5:$AA$496,4,))*$F271))</f>
        <v>0</v>
      </c>
      <c r="I271" s="47">
        <f t="shared" ref="I271:I281" si="160">(VLOOKUP($D271,$C$5:$AA$496,7,)/VLOOKUP($D271,$C$5:$AA$496,4,))*$F271</f>
        <v>0</v>
      </c>
      <c r="J271" s="47"/>
      <c r="K271" s="47">
        <f t="shared" ref="K271:K281" si="161">(VLOOKUP($D271,$C$5:$AA$496,9,)/VLOOKUP($D271,$C$5:$AA$496,4,))*$F271</f>
        <v>0</v>
      </c>
      <c r="L271" s="47"/>
      <c r="M271" s="47">
        <f t="shared" ref="M271:M281" si="162">(VLOOKUP($D271,$C$5:$AA$496,11,)/VLOOKUP($D271,$C$5:$AA$496,4,))*$F271</f>
        <v>201.84995297918343</v>
      </c>
      <c r="N271" s="47"/>
      <c r="O271" s="47">
        <f t="shared" ref="O271:O281" si="163">(VLOOKUP($D271,$C$5:$AA$496,13,)/VLOOKUP($D271,$C$5:$AA$496,4,))*$F271</f>
        <v>35645.271271239188</v>
      </c>
      <c r="P271" s="47">
        <f t="shared" ref="P271:P281" si="164">(VLOOKUP($D271,$C$5:$AA$496,14,)/VLOOKUP($D271,$C$5:$AA$496,4,))*$F271</f>
        <v>60253.728052838822</v>
      </c>
      <c r="Q271" s="47"/>
      <c r="R271" s="47">
        <f t="shared" ref="R271:R281" si="165">(VLOOKUP($D271,$C$5:$AA$496,16,)/VLOOKUP($D271,$C$5:$AA$496,4,))*$F271</f>
        <v>0</v>
      </c>
      <c r="S271" s="47">
        <f t="shared" ref="S271:S281" si="166">(VLOOKUP($D271,$C$5:$AA$496,17,)/VLOOKUP($D271,$C$5:$AA$496,4,))*$F271</f>
        <v>3757.0522336962208</v>
      </c>
      <c r="T271" s="47"/>
      <c r="U271" s="47">
        <f t="shared" ref="U271:U281" si="167">(VLOOKUP($D271,$C$5:$AA$496,19,)/VLOOKUP($D271,$C$5:$AA$496,4,))*$F271</f>
        <v>7072.5601095745196</v>
      </c>
      <c r="V271" s="47"/>
      <c r="W271" s="47">
        <f t="shared" ref="W271:W281" si="168">(VLOOKUP($D271,$C$5:$AA$496,21,)/VLOOKUP($D271,$C$5:$AA$496,4,))*$F271</f>
        <v>575.086708507244</v>
      </c>
      <c r="X271" s="47"/>
      <c r="Y271" s="47">
        <f t="shared" ref="Y271:Y281" si="169">(VLOOKUP($D271,$C$5:$AA$496,23,)/VLOOKUP($D271,$C$5:$AA$496,4,))*$F271</f>
        <v>27657.778209685977</v>
      </c>
      <c r="Z271" s="47"/>
      <c r="AA271" s="47">
        <f t="shared" ref="AA271:AA281" si="170">(VLOOKUP($D271,$C$5:$AA$496,25,)/VLOOKUP($D271,$C$5:$AA$496,4,))*$F271</f>
        <v>137.60346147883848</v>
      </c>
      <c r="AB271" s="47">
        <f t="shared" si="157"/>
        <v>135300.93</v>
      </c>
      <c r="AC271" s="27" t="str">
        <f t="shared" si="158"/>
        <v>ok</v>
      </c>
    </row>
    <row r="272" spans="1:29" x14ac:dyDescent="0.2">
      <c r="A272" s="14">
        <v>924</v>
      </c>
      <c r="B272" s="14" t="s">
        <v>166</v>
      </c>
      <c r="C272" s="14" t="s">
        <v>167</v>
      </c>
      <c r="D272" s="14" t="s">
        <v>84</v>
      </c>
      <c r="F272" s="47"/>
      <c r="G272" s="47"/>
      <c r="H272" s="47">
        <f t="shared" si="159"/>
        <v>0</v>
      </c>
      <c r="I272" s="47">
        <f t="shared" si="160"/>
        <v>0</v>
      </c>
      <c r="J272" s="47"/>
      <c r="K272" s="47">
        <f t="shared" si="161"/>
        <v>0</v>
      </c>
      <c r="L272" s="47"/>
      <c r="M272" s="47">
        <f t="shared" si="162"/>
        <v>0</v>
      </c>
      <c r="N272" s="47"/>
      <c r="O272" s="47">
        <f t="shared" si="163"/>
        <v>0</v>
      </c>
      <c r="P272" s="47">
        <f t="shared" si="164"/>
        <v>0</v>
      </c>
      <c r="Q272" s="47"/>
      <c r="R272" s="47">
        <f t="shared" si="165"/>
        <v>0</v>
      </c>
      <c r="S272" s="47">
        <f t="shared" si="166"/>
        <v>0</v>
      </c>
      <c r="T272" s="47"/>
      <c r="U272" s="47">
        <f t="shared" si="167"/>
        <v>0</v>
      </c>
      <c r="V272" s="47"/>
      <c r="W272" s="47">
        <f t="shared" si="168"/>
        <v>0</v>
      </c>
      <c r="X272" s="47"/>
      <c r="Y272" s="47">
        <f t="shared" si="169"/>
        <v>0</v>
      </c>
      <c r="Z272" s="47"/>
      <c r="AA272" s="47">
        <f t="shared" si="170"/>
        <v>0</v>
      </c>
      <c r="AB272" s="47">
        <f t="shared" si="157"/>
        <v>0</v>
      </c>
      <c r="AC272" s="27" t="str">
        <f t="shared" si="158"/>
        <v>ok</v>
      </c>
    </row>
    <row r="273" spans="1:29" x14ac:dyDescent="0.2">
      <c r="A273" s="14">
        <v>925</v>
      </c>
      <c r="B273" s="14" t="s">
        <v>168</v>
      </c>
      <c r="C273" s="14" t="s">
        <v>169</v>
      </c>
      <c r="D273" s="14" t="s">
        <v>516</v>
      </c>
      <c r="F273" s="47"/>
      <c r="G273" s="47"/>
      <c r="H273" s="47">
        <f t="shared" si="159"/>
        <v>0</v>
      </c>
      <c r="I273" s="47">
        <f t="shared" si="160"/>
        <v>0</v>
      </c>
      <c r="J273" s="47"/>
      <c r="K273" s="47">
        <f t="shared" si="161"/>
        <v>0</v>
      </c>
      <c r="L273" s="47"/>
      <c r="M273" s="47">
        <f t="shared" si="162"/>
        <v>0</v>
      </c>
      <c r="N273" s="47"/>
      <c r="O273" s="47">
        <f t="shared" si="163"/>
        <v>0</v>
      </c>
      <c r="P273" s="47">
        <f t="shared" si="164"/>
        <v>0</v>
      </c>
      <c r="Q273" s="47"/>
      <c r="R273" s="47">
        <f t="shared" si="165"/>
        <v>0</v>
      </c>
      <c r="S273" s="47">
        <f t="shared" si="166"/>
        <v>0</v>
      </c>
      <c r="T273" s="47"/>
      <c r="U273" s="47">
        <f t="shared" si="167"/>
        <v>0</v>
      </c>
      <c r="V273" s="47"/>
      <c r="W273" s="47">
        <f t="shared" si="168"/>
        <v>0</v>
      </c>
      <c r="X273" s="47"/>
      <c r="Y273" s="47">
        <f t="shared" si="169"/>
        <v>0</v>
      </c>
      <c r="Z273" s="47"/>
      <c r="AA273" s="47">
        <f t="shared" si="170"/>
        <v>0</v>
      </c>
      <c r="AB273" s="47">
        <f t="shared" si="157"/>
        <v>0</v>
      </c>
      <c r="AC273" s="27" t="str">
        <f t="shared" si="158"/>
        <v>ok</v>
      </c>
    </row>
    <row r="274" spans="1:29" x14ac:dyDescent="0.2">
      <c r="A274" s="14">
        <v>926</v>
      </c>
      <c r="B274" s="14" t="s">
        <v>170</v>
      </c>
      <c r="C274" s="14" t="s">
        <v>171</v>
      </c>
      <c r="D274" s="14" t="s">
        <v>516</v>
      </c>
      <c r="F274" s="47"/>
      <c r="G274" s="47"/>
      <c r="H274" s="47">
        <f t="shared" si="159"/>
        <v>0</v>
      </c>
      <c r="I274" s="47">
        <f t="shared" si="160"/>
        <v>0</v>
      </c>
      <c r="J274" s="47"/>
      <c r="K274" s="47">
        <f t="shared" si="161"/>
        <v>0</v>
      </c>
      <c r="L274" s="47"/>
      <c r="M274" s="47">
        <f t="shared" si="162"/>
        <v>0</v>
      </c>
      <c r="N274" s="47"/>
      <c r="O274" s="47">
        <f t="shared" si="163"/>
        <v>0</v>
      </c>
      <c r="P274" s="47">
        <f t="shared" si="164"/>
        <v>0</v>
      </c>
      <c r="Q274" s="47"/>
      <c r="R274" s="47">
        <f t="shared" si="165"/>
        <v>0</v>
      </c>
      <c r="S274" s="47">
        <f t="shared" si="166"/>
        <v>0</v>
      </c>
      <c r="T274" s="47"/>
      <c r="U274" s="47">
        <f t="shared" si="167"/>
        <v>0</v>
      </c>
      <c r="V274" s="47"/>
      <c r="W274" s="47">
        <f t="shared" si="168"/>
        <v>0</v>
      </c>
      <c r="X274" s="47"/>
      <c r="Y274" s="47">
        <f t="shared" si="169"/>
        <v>0</v>
      </c>
      <c r="Z274" s="47"/>
      <c r="AA274" s="47">
        <f t="shared" si="170"/>
        <v>0</v>
      </c>
      <c r="AB274" s="47">
        <f t="shared" si="157"/>
        <v>0</v>
      </c>
      <c r="AC274" s="27" t="str">
        <f t="shared" si="158"/>
        <v>ok</v>
      </c>
    </row>
    <row r="275" spans="1:29" x14ac:dyDescent="0.2">
      <c r="A275" s="14">
        <v>928</v>
      </c>
      <c r="B275" s="14" t="s">
        <v>578</v>
      </c>
      <c r="C275" s="14" t="s">
        <v>173</v>
      </c>
      <c r="D275" s="14" t="s">
        <v>411</v>
      </c>
      <c r="F275" s="47"/>
      <c r="G275" s="47"/>
      <c r="H275" s="47">
        <f t="shared" si="159"/>
        <v>0</v>
      </c>
      <c r="I275" s="47">
        <f t="shared" si="160"/>
        <v>0</v>
      </c>
      <c r="J275" s="47"/>
      <c r="K275" s="47">
        <f t="shared" si="161"/>
        <v>0</v>
      </c>
      <c r="L275" s="47"/>
      <c r="M275" s="47">
        <f t="shared" si="162"/>
        <v>0</v>
      </c>
      <c r="N275" s="47"/>
      <c r="O275" s="47">
        <f t="shared" si="163"/>
        <v>0</v>
      </c>
      <c r="P275" s="47">
        <f t="shared" si="164"/>
        <v>0</v>
      </c>
      <c r="Q275" s="47"/>
      <c r="R275" s="47">
        <f t="shared" si="165"/>
        <v>0</v>
      </c>
      <c r="S275" s="47">
        <f t="shared" si="166"/>
        <v>0</v>
      </c>
      <c r="T275" s="47"/>
      <c r="U275" s="47">
        <f t="shared" si="167"/>
        <v>0</v>
      </c>
      <c r="V275" s="47"/>
      <c r="W275" s="47">
        <f t="shared" si="168"/>
        <v>0</v>
      </c>
      <c r="X275" s="47"/>
      <c r="Y275" s="47">
        <f t="shared" si="169"/>
        <v>0</v>
      </c>
      <c r="Z275" s="47"/>
      <c r="AA275" s="47">
        <f t="shared" si="170"/>
        <v>0</v>
      </c>
      <c r="AB275" s="47">
        <f t="shared" si="157"/>
        <v>0</v>
      </c>
      <c r="AC275" s="27" t="str">
        <f t="shared" si="158"/>
        <v>ok</v>
      </c>
    </row>
    <row r="276" spans="1:29" x14ac:dyDescent="0.2">
      <c r="A276" s="14">
        <v>929</v>
      </c>
      <c r="B276" s="14" t="s">
        <v>933</v>
      </c>
      <c r="C276" s="14" t="s">
        <v>387</v>
      </c>
      <c r="D276" s="14" t="s">
        <v>411</v>
      </c>
      <c r="F276" s="47">
        <v>-36020.400000000001</v>
      </c>
      <c r="G276" s="47"/>
      <c r="H276" s="47">
        <f t="shared" si="159"/>
        <v>0</v>
      </c>
      <c r="I276" s="47">
        <f t="shared" si="160"/>
        <v>0</v>
      </c>
      <c r="J276" s="47"/>
      <c r="K276" s="47">
        <f t="shared" si="161"/>
        <v>0</v>
      </c>
      <c r="L276" s="47"/>
      <c r="M276" s="47">
        <f t="shared" si="162"/>
        <v>-53.737369331396152</v>
      </c>
      <c r="N276" s="47"/>
      <c r="O276" s="47">
        <f t="shared" si="163"/>
        <v>-9489.6386100120963</v>
      </c>
      <c r="P276" s="47">
        <f t="shared" si="164"/>
        <v>-16041.008631311517</v>
      </c>
      <c r="Q276" s="47"/>
      <c r="R276" s="47">
        <f t="shared" si="165"/>
        <v>0</v>
      </c>
      <c r="S276" s="47">
        <f t="shared" si="166"/>
        <v>-1000.2187293068224</v>
      </c>
      <c r="T276" s="47"/>
      <c r="U276" s="47">
        <f t="shared" si="167"/>
        <v>-1882.8876059530264</v>
      </c>
      <c r="V276" s="47"/>
      <c r="W276" s="47">
        <f t="shared" si="168"/>
        <v>-153.10207605457205</v>
      </c>
      <c r="X276" s="47"/>
      <c r="Y276" s="47">
        <f t="shared" si="169"/>
        <v>-7363.1735881207369</v>
      </c>
      <c r="Z276" s="47"/>
      <c r="AA276" s="47">
        <f t="shared" si="170"/>
        <v>-36.633389909828068</v>
      </c>
      <c r="AB276" s="47">
        <f t="shared" si="157"/>
        <v>-36020.399999999994</v>
      </c>
      <c r="AC276" s="27" t="str">
        <f t="shared" si="158"/>
        <v>ok</v>
      </c>
    </row>
    <row r="277" spans="1:29" x14ac:dyDescent="0.2">
      <c r="A277" s="14">
        <v>930</v>
      </c>
      <c r="B277" s="14" t="s">
        <v>174</v>
      </c>
      <c r="C277" s="14" t="s">
        <v>175</v>
      </c>
      <c r="D277" s="14" t="s">
        <v>411</v>
      </c>
      <c r="F277" s="47">
        <f>55366.65+83638.28+38375.43+670+17844.56+110102.73+125188.37+17199.49+18472.87+22096.35+15042.26+28940.66+21726.57+23659.43+12472.95+18897.02</f>
        <v>609693.61999999988</v>
      </c>
      <c r="G277" s="47"/>
      <c r="H277" s="47">
        <f t="shared" si="159"/>
        <v>0</v>
      </c>
      <c r="I277" s="47">
        <f t="shared" si="160"/>
        <v>0</v>
      </c>
      <c r="J277" s="47"/>
      <c r="K277" s="47">
        <f t="shared" si="161"/>
        <v>0</v>
      </c>
      <c r="L277" s="47"/>
      <c r="M277" s="47">
        <f t="shared" si="162"/>
        <v>909.57710733184229</v>
      </c>
      <c r="N277" s="47"/>
      <c r="O277" s="47">
        <f t="shared" si="163"/>
        <v>160624.87136817031</v>
      </c>
      <c r="P277" s="47">
        <f t="shared" si="164"/>
        <v>271515.60284937319</v>
      </c>
      <c r="Q277" s="47"/>
      <c r="R277" s="47">
        <f t="shared" si="165"/>
        <v>0</v>
      </c>
      <c r="S277" s="47">
        <f t="shared" si="166"/>
        <v>16930.044582038969</v>
      </c>
      <c r="T277" s="47"/>
      <c r="U277" s="47">
        <f t="shared" si="167"/>
        <v>31870.400121226692</v>
      </c>
      <c r="V277" s="47"/>
      <c r="W277" s="47">
        <f t="shared" si="168"/>
        <v>2591.4581453628316</v>
      </c>
      <c r="X277" s="47"/>
      <c r="Y277" s="47">
        <f t="shared" si="169"/>
        <v>124631.59652945887</v>
      </c>
      <c r="Z277" s="47"/>
      <c r="AA277" s="47">
        <f t="shared" si="170"/>
        <v>620.06929703708295</v>
      </c>
      <c r="AB277" s="47">
        <f t="shared" si="157"/>
        <v>609693.61999999976</v>
      </c>
      <c r="AC277" s="27" t="str">
        <f t="shared" si="158"/>
        <v>ok</v>
      </c>
    </row>
    <row r="278" spans="1:29" x14ac:dyDescent="0.2">
      <c r="A278" s="14">
        <v>931</v>
      </c>
      <c r="B278" s="14" t="s">
        <v>176</v>
      </c>
      <c r="C278" s="14" t="s">
        <v>177</v>
      </c>
      <c r="D278" s="14" t="s">
        <v>84</v>
      </c>
      <c r="F278" s="47"/>
      <c r="G278" s="47"/>
      <c r="H278" s="47">
        <f t="shared" si="159"/>
        <v>0</v>
      </c>
      <c r="I278" s="47">
        <f t="shared" si="160"/>
        <v>0</v>
      </c>
      <c r="J278" s="47"/>
      <c r="K278" s="47">
        <f t="shared" si="161"/>
        <v>0</v>
      </c>
      <c r="L278" s="47"/>
      <c r="M278" s="47">
        <f t="shared" si="162"/>
        <v>0</v>
      </c>
      <c r="N278" s="47"/>
      <c r="O278" s="47">
        <f t="shared" si="163"/>
        <v>0</v>
      </c>
      <c r="P278" s="47">
        <f t="shared" si="164"/>
        <v>0</v>
      </c>
      <c r="Q278" s="47"/>
      <c r="R278" s="47">
        <f t="shared" si="165"/>
        <v>0</v>
      </c>
      <c r="S278" s="47">
        <f t="shared" si="166"/>
        <v>0</v>
      </c>
      <c r="T278" s="47"/>
      <c r="U278" s="47">
        <f t="shared" si="167"/>
        <v>0</v>
      </c>
      <c r="V278" s="47"/>
      <c r="W278" s="47">
        <f t="shared" si="168"/>
        <v>0</v>
      </c>
      <c r="X278" s="47"/>
      <c r="Y278" s="47">
        <f t="shared" si="169"/>
        <v>0</v>
      </c>
      <c r="Z278" s="47"/>
      <c r="AA278" s="47">
        <f t="shared" si="170"/>
        <v>0</v>
      </c>
      <c r="AB278" s="47">
        <f t="shared" si="157"/>
        <v>0</v>
      </c>
      <c r="AC278" s="27" t="str">
        <f t="shared" si="158"/>
        <v>ok</v>
      </c>
    </row>
    <row r="279" spans="1:29" x14ac:dyDescent="0.2">
      <c r="A279" s="14">
        <v>932</v>
      </c>
      <c r="B279" s="14" t="s">
        <v>178</v>
      </c>
      <c r="C279" s="14" t="s">
        <v>928</v>
      </c>
      <c r="D279" s="14" t="s">
        <v>70</v>
      </c>
      <c r="F279" s="47">
        <f>234294.29+118851.88+31355.28+71005.94</f>
        <v>455507.39000000007</v>
      </c>
      <c r="G279" s="47"/>
      <c r="H279" s="47"/>
      <c r="I279" s="47">
        <f t="shared" si="160"/>
        <v>0</v>
      </c>
      <c r="J279" s="47"/>
      <c r="K279" s="47">
        <f t="shared" si="161"/>
        <v>0</v>
      </c>
      <c r="L279" s="47"/>
      <c r="M279" s="47">
        <f t="shared" si="162"/>
        <v>1692.9671287577437</v>
      </c>
      <c r="N279" s="47"/>
      <c r="O279" s="47">
        <f t="shared" si="163"/>
        <v>127349.53980921331</v>
      </c>
      <c r="P279" s="47">
        <f t="shared" si="164"/>
        <v>239547.0697047732</v>
      </c>
      <c r="Q279" s="47"/>
      <c r="R279" s="47">
        <f t="shared" si="165"/>
        <v>0</v>
      </c>
      <c r="S279" s="47">
        <f t="shared" si="166"/>
        <v>49752.698827423526</v>
      </c>
      <c r="T279" s="47"/>
      <c r="U279" s="47">
        <f t="shared" si="167"/>
        <v>21842.514347628432</v>
      </c>
      <c r="V279" s="47"/>
      <c r="W279" s="47">
        <f t="shared" si="168"/>
        <v>15322.600182203614</v>
      </c>
      <c r="X279" s="47"/>
      <c r="Y279" s="47">
        <f t="shared" si="169"/>
        <v>0</v>
      </c>
      <c r="Z279" s="47"/>
      <c r="AA279" s="47">
        <f t="shared" si="170"/>
        <v>0</v>
      </c>
      <c r="AB279" s="47">
        <f>SUM(H279:AA279)</f>
        <v>455507.38999999984</v>
      </c>
      <c r="AC279" s="27" t="str">
        <f>IF(ABS(AB279-F279)&lt;1,"ok","err")</f>
        <v>ok</v>
      </c>
    </row>
    <row r="280" spans="1:29" x14ac:dyDescent="0.2">
      <c r="A280" s="14">
        <v>933</v>
      </c>
      <c r="B280" s="14" t="s">
        <v>926</v>
      </c>
      <c r="C280" s="14" t="s">
        <v>927</v>
      </c>
      <c r="D280" s="14" t="s">
        <v>70</v>
      </c>
      <c r="F280" s="47"/>
      <c r="G280" s="47"/>
      <c r="H280" s="47">
        <f t="shared" si="159"/>
        <v>0</v>
      </c>
      <c r="I280" s="47">
        <f t="shared" si="160"/>
        <v>0</v>
      </c>
      <c r="J280" s="47"/>
      <c r="K280" s="47">
        <f t="shared" si="161"/>
        <v>0</v>
      </c>
      <c r="L280" s="47"/>
      <c r="M280" s="47">
        <f t="shared" si="162"/>
        <v>0</v>
      </c>
      <c r="N280" s="47"/>
      <c r="O280" s="47">
        <f t="shared" si="163"/>
        <v>0</v>
      </c>
      <c r="P280" s="47">
        <f t="shared" si="164"/>
        <v>0</v>
      </c>
      <c r="Q280" s="47"/>
      <c r="R280" s="47">
        <f t="shared" si="165"/>
        <v>0</v>
      </c>
      <c r="S280" s="47">
        <f t="shared" si="166"/>
        <v>0</v>
      </c>
      <c r="T280" s="47"/>
      <c r="U280" s="47">
        <f t="shared" si="167"/>
        <v>0</v>
      </c>
      <c r="V280" s="47"/>
      <c r="W280" s="47">
        <f t="shared" si="168"/>
        <v>0</v>
      </c>
      <c r="X280" s="47"/>
      <c r="Y280" s="47">
        <f t="shared" si="169"/>
        <v>0</v>
      </c>
      <c r="Z280" s="47"/>
      <c r="AA280" s="47">
        <f t="shared" si="170"/>
        <v>0</v>
      </c>
      <c r="AB280" s="47">
        <f>SUM(H280:AA280)</f>
        <v>0</v>
      </c>
      <c r="AC280" s="27" t="str">
        <f>IF(ABS(AB280-F280)&lt;1,"ok","err")</f>
        <v>ok</v>
      </c>
    </row>
    <row r="281" spans="1:29" x14ac:dyDescent="0.2">
      <c r="A281" s="14">
        <v>935</v>
      </c>
      <c r="B281" s="14" t="s">
        <v>929</v>
      </c>
      <c r="C281" s="14" t="s">
        <v>711</v>
      </c>
      <c r="D281" s="14" t="s">
        <v>84</v>
      </c>
      <c r="F281" s="47"/>
      <c r="G281" s="47"/>
      <c r="H281" s="47">
        <f t="shared" si="159"/>
        <v>0</v>
      </c>
      <c r="I281" s="47">
        <f t="shared" si="160"/>
        <v>0</v>
      </c>
      <c r="J281" s="47"/>
      <c r="K281" s="47">
        <f t="shared" si="161"/>
        <v>0</v>
      </c>
      <c r="L281" s="47"/>
      <c r="M281" s="47">
        <f t="shared" si="162"/>
        <v>0</v>
      </c>
      <c r="N281" s="47"/>
      <c r="O281" s="47">
        <f t="shared" si="163"/>
        <v>0</v>
      </c>
      <c r="P281" s="47">
        <f t="shared" si="164"/>
        <v>0</v>
      </c>
      <c r="Q281" s="47"/>
      <c r="R281" s="47">
        <f t="shared" si="165"/>
        <v>0</v>
      </c>
      <c r="S281" s="47">
        <f t="shared" si="166"/>
        <v>0</v>
      </c>
      <c r="T281" s="47"/>
      <c r="U281" s="47">
        <f t="shared" si="167"/>
        <v>0</v>
      </c>
      <c r="V281" s="47"/>
      <c r="W281" s="47">
        <f t="shared" si="168"/>
        <v>0</v>
      </c>
      <c r="X281" s="47"/>
      <c r="Y281" s="47">
        <f t="shared" si="169"/>
        <v>0</v>
      </c>
      <c r="Z281" s="47"/>
      <c r="AA281" s="47">
        <f t="shared" si="170"/>
        <v>0</v>
      </c>
      <c r="AB281" s="47">
        <f t="shared" si="157"/>
        <v>0</v>
      </c>
      <c r="AC281" s="27" t="str">
        <f t="shared" si="158"/>
        <v>ok</v>
      </c>
    </row>
    <row r="282" spans="1:29" x14ac:dyDescent="0.2"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27"/>
    </row>
    <row r="283" spans="1:29" x14ac:dyDescent="0.2">
      <c r="A283" s="14" t="s">
        <v>179</v>
      </c>
      <c r="C283" s="14" t="s">
        <v>180</v>
      </c>
      <c r="D283" s="161"/>
      <c r="F283" s="62">
        <f>SUM(F269:F282)</f>
        <v>1924438.15</v>
      </c>
      <c r="G283" s="62"/>
      <c r="H283" s="62">
        <f>SUM(H269:H282)</f>
        <v>0</v>
      </c>
      <c r="I283" s="62">
        <f>SUM(I269:I282)</f>
        <v>0</v>
      </c>
      <c r="J283" s="62"/>
      <c r="K283" s="62">
        <f>SUM(K269:K282)</f>
        <v>0</v>
      </c>
      <c r="L283" s="62"/>
      <c r="M283" s="62">
        <f>SUM(M269:M282)</f>
        <v>3712.7805891683183</v>
      </c>
      <c r="N283" s="62"/>
      <c r="O283" s="62">
        <f>SUM(O269:O282)</f>
        <v>504924.80990592338</v>
      </c>
      <c r="P283" s="62">
        <f>SUM(P269:P282)</f>
        <v>872586.92259267601</v>
      </c>
      <c r="Q283" s="62"/>
      <c r="R283" s="62">
        <f>SUM(R269:R282)</f>
        <v>0</v>
      </c>
      <c r="S283" s="62">
        <f>SUM(S269:S282)</f>
        <v>88882.988251778326</v>
      </c>
      <c r="T283" s="62"/>
      <c r="U283" s="62">
        <f>SUM(U269:U282)</f>
        <v>105903.93179423</v>
      </c>
      <c r="V283" s="62"/>
      <c r="W283" s="62">
        <f>SUM(W269:W282)</f>
        <v>21939.041662591892</v>
      </c>
      <c r="X283" s="62"/>
      <c r="Y283" s="62">
        <f>SUM(Y269:Y282)</f>
        <v>325130.43712316302</v>
      </c>
      <c r="Z283" s="62"/>
      <c r="AA283" s="62">
        <f>SUM(AA269:AA282)</f>
        <v>1357.2380804683867</v>
      </c>
      <c r="AB283" s="47">
        <f>SUM(H283:AA283)</f>
        <v>1924438.1499999994</v>
      </c>
      <c r="AC283" s="27" t="str">
        <f>IF(ABS(AB283-F283)&lt;1,"ok","err")</f>
        <v>ok</v>
      </c>
    </row>
    <row r="284" spans="1:29" x14ac:dyDescent="0.2">
      <c r="D284" s="8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27"/>
    </row>
    <row r="285" spans="1:29" x14ac:dyDescent="0.2">
      <c r="A285" s="14" t="s">
        <v>181</v>
      </c>
      <c r="C285" s="14" t="s">
        <v>182</v>
      </c>
      <c r="F285" s="62">
        <f>F237+F246+F262+F283</f>
        <v>50155082.839999996</v>
      </c>
      <c r="G285" s="62"/>
      <c r="H285" s="62">
        <f>H237+H246+H262+H283</f>
        <v>11589879.04854697</v>
      </c>
      <c r="I285" s="62">
        <f>I237+I246+I262+I283</f>
        <v>27577089.951453038</v>
      </c>
      <c r="J285" s="62"/>
      <c r="K285" s="62">
        <f>K237+K246+K262+K283</f>
        <v>0</v>
      </c>
      <c r="L285" s="62"/>
      <c r="M285" s="62">
        <f>M237+M246+M262+M283</f>
        <v>17234.509610876208</v>
      </c>
      <c r="N285" s="62"/>
      <c r="O285" s="62">
        <f>O237+O246+O262+O283</f>
        <v>2892766.332389073</v>
      </c>
      <c r="P285" s="62">
        <f>P237+P246+P262+P283</f>
        <v>4908924.663836482</v>
      </c>
      <c r="Q285" s="62"/>
      <c r="R285" s="62">
        <f>R237+R246+R262+R283</f>
        <v>0</v>
      </c>
      <c r="S285" s="62">
        <f>S237+S246+S262+S283</f>
        <v>340564.20726936113</v>
      </c>
      <c r="T285" s="62"/>
      <c r="U285" s="62">
        <f>U237+U246+U262+U283</f>
        <v>579687.7493275929</v>
      </c>
      <c r="V285" s="62"/>
      <c r="W285" s="62">
        <f>W237+W246+W262+W283</f>
        <v>60463.532362982674</v>
      </c>
      <c r="X285" s="62"/>
      <c r="Y285" s="62">
        <f>Y237+Y246+Y262+Y283</f>
        <v>2177897.6871231631</v>
      </c>
      <c r="Z285" s="62"/>
      <c r="AA285" s="62">
        <f>AA237+AA246+AA262+AA283</f>
        <v>10575.158080468387</v>
      </c>
      <c r="AB285" s="47">
        <f>SUM(H285:AA285)</f>
        <v>50155082.840000004</v>
      </c>
      <c r="AC285" s="27" t="str">
        <f>IF(ABS(AB285-F285)&lt;1,"ok","err")</f>
        <v>ok</v>
      </c>
    </row>
    <row r="286" spans="1:29" x14ac:dyDescent="0.2"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27"/>
    </row>
    <row r="287" spans="1:29" x14ac:dyDescent="0.2">
      <c r="A287" s="14" t="s">
        <v>412</v>
      </c>
      <c r="C287" s="14" t="s">
        <v>88</v>
      </c>
      <c r="F287" s="87">
        <f>F285-F180</f>
        <v>10988113.839999996</v>
      </c>
      <c r="G287" s="87"/>
      <c r="H287" s="87">
        <f>H285-H180</f>
        <v>0</v>
      </c>
      <c r="I287" s="87">
        <f>I285-I180</f>
        <v>0</v>
      </c>
      <c r="J287" s="87"/>
      <c r="K287" s="87">
        <f>K285-K180</f>
        <v>0</v>
      </c>
      <c r="L287" s="87"/>
      <c r="M287" s="87">
        <f>M285-M180</f>
        <v>17234.509610876208</v>
      </c>
      <c r="N287" s="87"/>
      <c r="O287" s="87">
        <f>O285-O180</f>
        <v>2892766.332389073</v>
      </c>
      <c r="P287" s="87">
        <f>P285-P180</f>
        <v>4908924.663836482</v>
      </c>
      <c r="Q287" s="87">
        <f>Q285-Q180</f>
        <v>0</v>
      </c>
      <c r="R287" s="87">
        <f>R285-R180</f>
        <v>0</v>
      </c>
      <c r="S287" s="87">
        <f>S285-S180</f>
        <v>340564.20726936113</v>
      </c>
      <c r="T287" s="87"/>
      <c r="U287" s="87">
        <f>U285-U180</f>
        <v>579687.7493275929</v>
      </c>
      <c r="V287" s="87"/>
      <c r="W287" s="87">
        <f>W285-W180</f>
        <v>60463.532362982674</v>
      </c>
      <c r="X287" s="87"/>
      <c r="Y287" s="87">
        <f>Y285-Y180</f>
        <v>2177897.6871231631</v>
      </c>
      <c r="Z287" s="87"/>
      <c r="AA287" s="87">
        <f>AA285-AA180</f>
        <v>10575.158080468387</v>
      </c>
      <c r="AB287" s="47">
        <f>SUM(H287:AA287)</f>
        <v>10988113.839999998</v>
      </c>
      <c r="AC287" s="27" t="str">
        <f>IF(ABS(AB287-F287)&lt;1,"ok","err")</f>
        <v>ok</v>
      </c>
    </row>
    <row r="288" spans="1:29" x14ac:dyDescent="0.2">
      <c r="Q288" s="14"/>
      <c r="AC288" s="27"/>
    </row>
    <row r="289" spans="1:29" x14ac:dyDescent="0.2">
      <c r="AC289" s="27"/>
    </row>
    <row r="290" spans="1:29" x14ac:dyDescent="0.2">
      <c r="A290" s="25" t="s">
        <v>184</v>
      </c>
      <c r="AC290" s="27"/>
    </row>
    <row r="291" spans="1:29" x14ac:dyDescent="0.2">
      <c r="AC291" s="27"/>
    </row>
    <row r="292" spans="1:29" x14ac:dyDescent="0.2">
      <c r="A292" s="13" t="s">
        <v>185</v>
      </c>
      <c r="AC292" s="27"/>
    </row>
    <row r="293" spans="1:29" x14ac:dyDescent="0.2">
      <c r="A293" s="14" t="s">
        <v>767</v>
      </c>
      <c r="C293" s="14" t="s">
        <v>828</v>
      </c>
      <c r="D293" s="14" t="s">
        <v>783</v>
      </c>
      <c r="F293" s="47">
        <v>0</v>
      </c>
      <c r="G293" s="47"/>
      <c r="H293" s="47">
        <f t="shared" ref="H293:H310" si="171">IF((VLOOKUP($D293,$C$5:$AA$496,6,)=0),0,((VLOOKUP($D293,$C$5:$AA$496,6,)/VLOOKUP($D293,$C$5:$AA$496,4,))*$F293))</f>
        <v>0</v>
      </c>
      <c r="I293" s="47">
        <f t="shared" ref="I293:I310" si="172">IF((VLOOKUP($D293,$C$5:$AA$496,7,)=0),0,((VLOOKUP($D293,$C$5:$AA$496,7,)/VLOOKUP($D293,$C$5:$AA$496,4,))*$F293))</f>
        <v>0</v>
      </c>
      <c r="J293" s="47"/>
      <c r="K293" s="47">
        <f t="shared" ref="K293:K310" si="173">IF((VLOOKUP($D293,$C$5:$AA$496,9,)=0),0,((VLOOKUP($D293,$C$5:$AA$496,9,)/VLOOKUP($D293,$C$5:$AA$496,4,))*$F293))</f>
        <v>0</v>
      </c>
      <c r="L293" s="47"/>
      <c r="M293" s="47">
        <f t="shared" ref="M293:M310" si="174">IF((VLOOKUP($D293,$C$5:$AA$496,11,)=0),0,((VLOOKUP($D293,$C$5:$AA$496,11,)/VLOOKUP($D293,$C$5:$AA$496,4,))*$F293))</f>
        <v>0</v>
      </c>
      <c r="N293" s="47"/>
      <c r="O293" s="47">
        <f t="shared" ref="O293:O310" si="175">IF((VLOOKUP($D293,$C$5:$AA$496,13,)=0),0,((VLOOKUP($D293,$C$5:$AA$496,13,)/VLOOKUP($D293,$C$5:$AA$496,4,))*$F293))</f>
        <v>0</v>
      </c>
      <c r="P293" s="47">
        <f t="shared" ref="P293:P310" si="176">IF((VLOOKUP($D293,$C$5:$AA$496,14,)=0),0,((VLOOKUP($D293,$C$5:$AA$496,14,)/VLOOKUP($D293,$C$5:$AA$496,4,))*$F293))</f>
        <v>0</v>
      </c>
      <c r="Q293" s="47"/>
      <c r="R293" s="47">
        <f t="shared" ref="R293:R310" si="177">IF((VLOOKUP($D293,$C$5:$AA$496,16,)=0),0,((VLOOKUP($D293,$C$5:$AA$496,16,)/VLOOKUP($D293,$C$5:$AA$496,4,))*$F293))</f>
        <v>0</v>
      </c>
      <c r="S293" s="47">
        <f t="shared" ref="S293:S310" si="178">IF((VLOOKUP($D293,$C$5:$AA$496,17,)=0),0,((VLOOKUP($D293,$C$5:$AA$496,17,)/VLOOKUP($D293,$C$5:$AA$496,4,))*$F293))</f>
        <v>0</v>
      </c>
      <c r="T293" s="47"/>
      <c r="U293" s="47">
        <f t="shared" ref="U293:U310" si="179">IF((VLOOKUP($D293,$C$5:$AA$496,19,)=0),0,((VLOOKUP($D293,$C$5:$AA$496,19,)/VLOOKUP($D293,$C$5:$AA$496,4,))*$F293))</f>
        <v>0</v>
      </c>
      <c r="V293" s="47"/>
      <c r="W293" s="47">
        <f t="shared" ref="W293:W310" si="180">IF((VLOOKUP($D293,$C$5:$AA$496,21,)=0),0,((VLOOKUP($D293,$C$5:$AA$496,21,)/VLOOKUP($D293,$C$5:$AA$496,4,))*$F293))</f>
        <v>0</v>
      </c>
      <c r="X293" s="47"/>
      <c r="Y293" s="47">
        <f t="shared" ref="Y293:Y310" si="181">IF((VLOOKUP($D293,$C$5:$AA$496,23,)=0),0,((VLOOKUP($D293,$C$5:$AA$496,23,)/VLOOKUP($D293,$C$5:$AA$496,4,))*$F293))</f>
        <v>0</v>
      </c>
      <c r="Z293" s="47"/>
      <c r="AA293" s="47">
        <f t="shared" ref="AA293:AA310" si="182">IF((VLOOKUP($D293,$C$5:$AA$496,25,)=0),0,((VLOOKUP($D293,$C$5:$AA$496,25,)/VLOOKUP($D293,$C$5:$AA$496,4,))*$F293))</f>
        <v>0</v>
      </c>
      <c r="AB293" s="47">
        <f>SUM(H293:AA293)</f>
        <v>0</v>
      </c>
      <c r="AC293" s="27" t="str">
        <f>IF(ABS(AB293-F293)&lt;1,"ok","err")</f>
        <v>ok</v>
      </c>
    </row>
    <row r="294" spans="1:29" x14ac:dyDescent="0.2">
      <c r="A294" s="14" t="s">
        <v>368</v>
      </c>
      <c r="C294" s="14" t="s">
        <v>414</v>
      </c>
      <c r="D294" s="14" t="s">
        <v>390</v>
      </c>
      <c r="F294" s="47">
        <v>0</v>
      </c>
      <c r="G294" s="47"/>
      <c r="H294" s="47">
        <f t="shared" si="171"/>
        <v>0</v>
      </c>
      <c r="I294" s="47">
        <f t="shared" si="172"/>
        <v>0</v>
      </c>
      <c r="J294" s="47"/>
      <c r="K294" s="47">
        <f t="shared" si="173"/>
        <v>0</v>
      </c>
      <c r="L294" s="47"/>
      <c r="M294" s="47">
        <f t="shared" si="174"/>
        <v>0</v>
      </c>
      <c r="N294" s="47"/>
      <c r="O294" s="47">
        <f t="shared" si="175"/>
        <v>0</v>
      </c>
      <c r="P294" s="47">
        <f t="shared" si="176"/>
        <v>0</v>
      </c>
      <c r="Q294" s="47"/>
      <c r="R294" s="47">
        <f t="shared" si="177"/>
        <v>0</v>
      </c>
      <c r="S294" s="47">
        <f t="shared" si="178"/>
        <v>0</v>
      </c>
      <c r="T294" s="47"/>
      <c r="U294" s="47">
        <f t="shared" si="179"/>
        <v>0</v>
      </c>
      <c r="V294" s="47"/>
      <c r="W294" s="47">
        <f t="shared" si="180"/>
        <v>0</v>
      </c>
      <c r="X294" s="47"/>
      <c r="Y294" s="47">
        <f t="shared" si="181"/>
        <v>0</v>
      </c>
      <c r="Z294" s="47"/>
      <c r="AA294" s="47">
        <f t="shared" si="182"/>
        <v>0</v>
      </c>
      <c r="AB294" s="47">
        <f>SUM(H294:AA294)</f>
        <v>0</v>
      </c>
      <c r="AC294" s="27" t="str">
        <f>IF(ABS(AB294-F294)&lt;1,"ok","err")</f>
        <v>ok</v>
      </c>
    </row>
    <row r="295" spans="1:29" x14ac:dyDescent="0.2">
      <c r="A295" s="14" t="s">
        <v>426</v>
      </c>
      <c r="C295" s="14" t="s">
        <v>458</v>
      </c>
      <c r="D295" s="14" t="s">
        <v>424</v>
      </c>
      <c r="F295" s="47">
        <v>0</v>
      </c>
      <c r="G295" s="47"/>
      <c r="H295" s="47">
        <f t="shared" si="171"/>
        <v>0</v>
      </c>
      <c r="I295" s="47">
        <f t="shared" si="172"/>
        <v>0</v>
      </c>
      <c r="J295" s="47"/>
      <c r="K295" s="47">
        <f t="shared" si="173"/>
        <v>0</v>
      </c>
      <c r="L295" s="47"/>
      <c r="M295" s="47">
        <f t="shared" si="174"/>
        <v>0</v>
      </c>
      <c r="N295" s="47"/>
      <c r="O295" s="47">
        <f t="shared" si="175"/>
        <v>0</v>
      </c>
      <c r="P295" s="47">
        <f t="shared" si="176"/>
        <v>0</v>
      </c>
      <c r="Q295" s="47"/>
      <c r="R295" s="47">
        <f t="shared" si="177"/>
        <v>0</v>
      </c>
      <c r="S295" s="47">
        <f t="shared" si="178"/>
        <v>0</v>
      </c>
      <c r="T295" s="47"/>
      <c r="U295" s="47">
        <f t="shared" si="179"/>
        <v>0</v>
      </c>
      <c r="V295" s="47"/>
      <c r="W295" s="47">
        <f t="shared" si="180"/>
        <v>0</v>
      </c>
      <c r="X295" s="47"/>
      <c r="Y295" s="47">
        <f t="shared" si="181"/>
        <v>0</v>
      </c>
      <c r="Z295" s="47"/>
      <c r="AA295" s="47">
        <f t="shared" si="182"/>
        <v>0</v>
      </c>
      <c r="AB295" s="47">
        <f t="shared" ref="AB295:AB306" si="183">SUM(H295:AA295)</f>
        <v>0</v>
      </c>
      <c r="AC295" s="27" t="str">
        <f t="shared" ref="AC295:AC306" si="184">IF(ABS(AB295-F295)&lt;1,"ok","err")</f>
        <v>ok</v>
      </c>
    </row>
    <row r="296" spans="1:29" x14ac:dyDescent="0.2">
      <c r="A296" s="14" t="s">
        <v>427</v>
      </c>
      <c r="C296" s="14" t="s">
        <v>459</v>
      </c>
      <c r="D296" s="14" t="s">
        <v>23</v>
      </c>
      <c r="F296" s="47">
        <v>0</v>
      </c>
      <c r="G296" s="47"/>
      <c r="H296" s="47">
        <f t="shared" si="171"/>
        <v>0</v>
      </c>
      <c r="I296" s="47">
        <f t="shared" si="172"/>
        <v>0</v>
      </c>
      <c r="J296" s="47"/>
      <c r="K296" s="47">
        <f t="shared" si="173"/>
        <v>0</v>
      </c>
      <c r="L296" s="47"/>
      <c r="M296" s="47">
        <f t="shared" si="174"/>
        <v>0</v>
      </c>
      <c r="N296" s="47"/>
      <c r="O296" s="47">
        <f t="shared" si="175"/>
        <v>0</v>
      </c>
      <c r="P296" s="47">
        <f t="shared" si="176"/>
        <v>0</v>
      </c>
      <c r="Q296" s="47"/>
      <c r="R296" s="47">
        <f t="shared" si="177"/>
        <v>0</v>
      </c>
      <c r="S296" s="47">
        <f t="shared" si="178"/>
        <v>0</v>
      </c>
      <c r="T296" s="47"/>
      <c r="U296" s="47">
        <f t="shared" si="179"/>
        <v>0</v>
      </c>
      <c r="V296" s="47"/>
      <c r="W296" s="47">
        <f t="shared" si="180"/>
        <v>0</v>
      </c>
      <c r="X296" s="47"/>
      <c r="Y296" s="47">
        <f t="shared" si="181"/>
        <v>0</v>
      </c>
      <c r="Z296" s="47"/>
      <c r="AA296" s="47">
        <f t="shared" si="182"/>
        <v>0</v>
      </c>
      <c r="AB296" s="47">
        <f t="shared" si="183"/>
        <v>0</v>
      </c>
      <c r="AC296" s="27" t="str">
        <f t="shared" si="184"/>
        <v>ok</v>
      </c>
    </row>
    <row r="297" spans="1:29" x14ac:dyDescent="0.2">
      <c r="A297" s="14" t="s">
        <v>428</v>
      </c>
      <c r="C297" s="14" t="s">
        <v>460</v>
      </c>
      <c r="D297" s="14" t="s">
        <v>26</v>
      </c>
      <c r="F297" s="47">
        <v>0</v>
      </c>
      <c r="G297" s="47"/>
      <c r="H297" s="47">
        <f t="shared" si="171"/>
        <v>0</v>
      </c>
      <c r="I297" s="47">
        <f t="shared" si="172"/>
        <v>0</v>
      </c>
      <c r="J297" s="47"/>
      <c r="K297" s="47">
        <f t="shared" si="173"/>
        <v>0</v>
      </c>
      <c r="L297" s="47"/>
      <c r="M297" s="47">
        <f t="shared" si="174"/>
        <v>0</v>
      </c>
      <c r="N297" s="47"/>
      <c r="O297" s="47">
        <f t="shared" si="175"/>
        <v>0</v>
      </c>
      <c r="P297" s="47">
        <f t="shared" si="176"/>
        <v>0</v>
      </c>
      <c r="Q297" s="47"/>
      <c r="R297" s="47">
        <f t="shared" si="177"/>
        <v>0</v>
      </c>
      <c r="S297" s="47">
        <f t="shared" si="178"/>
        <v>0</v>
      </c>
      <c r="T297" s="47"/>
      <c r="U297" s="47">
        <f t="shared" si="179"/>
        <v>0</v>
      </c>
      <c r="V297" s="47"/>
      <c r="W297" s="47">
        <f t="shared" si="180"/>
        <v>0</v>
      </c>
      <c r="X297" s="47"/>
      <c r="Y297" s="47">
        <f t="shared" si="181"/>
        <v>0</v>
      </c>
      <c r="Z297" s="47"/>
      <c r="AA297" s="47">
        <f t="shared" si="182"/>
        <v>0</v>
      </c>
      <c r="AB297" s="47">
        <f t="shared" si="183"/>
        <v>0</v>
      </c>
      <c r="AC297" s="27" t="str">
        <f t="shared" si="184"/>
        <v>ok</v>
      </c>
    </row>
    <row r="298" spans="1:29" x14ac:dyDescent="0.2">
      <c r="A298" s="14" t="s">
        <v>429</v>
      </c>
      <c r="C298" s="14" t="s">
        <v>461</v>
      </c>
      <c r="D298" s="14" t="s">
        <v>29</v>
      </c>
      <c r="F298" s="47">
        <v>0</v>
      </c>
      <c r="G298" s="47"/>
      <c r="H298" s="47">
        <f t="shared" si="171"/>
        <v>0</v>
      </c>
      <c r="I298" s="47">
        <f t="shared" si="172"/>
        <v>0</v>
      </c>
      <c r="J298" s="47"/>
      <c r="K298" s="47">
        <f t="shared" si="173"/>
        <v>0</v>
      </c>
      <c r="L298" s="47"/>
      <c r="M298" s="47">
        <f t="shared" si="174"/>
        <v>0</v>
      </c>
      <c r="N298" s="47"/>
      <c r="O298" s="47">
        <f t="shared" si="175"/>
        <v>0</v>
      </c>
      <c r="P298" s="47">
        <f t="shared" si="176"/>
        <v>0</v>
      </c>
      <c r="Q298" s="47"/>
      <c r="R298" s="47">
        <f t="shared" si="177"/>
        <v>0</v>
      </c>
      <c r="S298" s="47">
        <f t="shared" si="178"/>
        <v>0</v>
      </c>
      <c r="T298" s="47"/>
      <c r="U298" s="47">
        <f t="shared" si="179"/>
        <v>0</v>
      </c>
      <c r="V298" s="47"/>
      <c r="W298" s="47">
        <f t="shared" si="180"/>
        <v>0</v>
      </c>
      <c r="X298" s="47"/>
      <c r="Y298" s="47">
        <f t="shared" si="181"/>
        <v>0</v>
      </c>
      <c r="Z298" s="47"/>
      <c r="AA298" s="47">
        <f t="shared" si="182"/>
        <v>0</v>
      </c>
      <c r="AB298" s="47">
        <f t="shared" si="183"/>
        <v>0</v>
      </c>
      <c r="AC298" s="27" t="str">
        <f t="shared" si="184"/>
        <v>ok</v>
      </c>
    </row>
    <row r="299" spans="1:29" x14ac:dyDescent="0.2">
      <c r="A299" s="14" t="s">
        <v>447</v>
      </c>
      <c r="C299" s="14" t="s">
        <v>462</v>
      </c>
      <c r="D299" s="14" t="s">
        <v>32</v>
      </c>
      <c r="F299" s="47">
        <v>0</v>
      </c>
      <c r="G299" s="47"/>
      <c r="H299" s="47">
        <f t="shared" si="171"/>
        <v>0</v>
      </c>
      <c r="I299" s="47">
        <f t="shared" si="172"/>
        <v>0</v>
      </c>
      <c r="J299" s="47"/>
      <c r="K299" s="47">
        <f t="shared" si="173"/>
        <v>0</v>
      </c>
      <c r="L299" s="47"/>
      <c r="M299" s="47">
        <f t="shared" si="174"/>
        <v>0</v>
      </c>
      <c r="N299" s="47"/>
      <c r="O299" s="47">
        <f t="shared" si="175"/>
        <v>0</v>
      </c>
      <c r="P299" s="47">
        <f t="shared" si="176"/>
        <v>0</v>
      </c>
      <c r="Q299" s="47"/>
      <c r="R299" s="47">
        <f t="shared" si="177"/>
        <v>0</v>
      </c>
      <c r="S299" s="47">
        <f t="shared" si="178"/>
        <v>0</v>
      </c>
      <c r="T299" s="47"/>
      <c r="U299" s="47">
        <f t="shared" si="179"/>
        <v>0</v>
      </c>
      <c r="V299" s="47"/>
      <c r="W299" s="47">
        <f t="shared" si="180"/>
        <v>0</v>
      </c>
      <c r="X299" s="47"/>
      <c r="Y299" s="47">
        <f t="shared" si="181"/>
        <v>0</v>
      </c>
      <c r="Z299" s="47"/>
      <c r="AA299" s="47">
        <f t="shared" si="182"/>
        <v>0</v>
      </c>
      <c r="AB299" s="47">
        <f t="shared" si="183"/>
        <v>0</v>
      </c>
      <c r="AC299" s="27" t="str">
        <f t="shared" si="184"/>
        <v>ok</v>
      </c>
    </row>
    <row r="300" spans="1:29" x14ac:dyDescent="0.2">
      <c r="A300" s="14" t="s">
        <v>430</v>
      </c>
      <c r="C300" s="14" t="s">
        <v>463</v>
      </c>
      <c r="D300" s="14" t="s">
        <v>35</v>
      </c>
      <c r="F300" s="47">
        <v>0</v>
      </c>
      <c r="G300" s="47"/>
      <c r="H300" s="47">
        <f t="shared" si="171"/>
        <v>0</v>
      </c>
      <c r="I300" s="47">
        <f t="shared" si="172"/>
        <v>0</v>
      </c>
      <c r="J300" s="47"/>
      <c r="K300" s="47">
        <f t="shared" si="173"/>
        <v>0</v>
      </c>
      <c r="L300" s="47"/>
      <c r="M300" s="47">
        <f t="shared" si="174"/>
        <v>0</v>
      </c>
      <c r="N300" s="47"/>
      <c r="O300" s="47">
        <f t="shared" si="175"/>
        <v>0</v>
      </c>
      <c r="P300" s="47">
        <f t="shared" si="176"/>
        <v>0</v>
      </c>
      <c r="Q300" s="47"/>
      <c r="R300" s="47">
        <f t="shared" si="177"/>
        <v>0</v>
      </c>
      <c r="S300" s="47">
        <f t="shared" si="178"/>
        <v>0</v>
      </c>
      <c r="T300" s="47"/>
      <c r="U300" s="47">
        <f t="shared" si="179"/>
        <v>0</v>
      </c>
      <c r="V300" s="47"/>
      <c r="W300" s="47">
        <f t="shared" si="180"/>
        <v>0</v>
      </c>
      <c r="X300" s="47"/>
      <c r="Y300" s="47">
        <f t="shared" si="181"/>
        <v>0</v>
      </c>
      <c r="Z300" s="47"/>
      <c r="AA300" s="47">
        <f t="shared" si="182"/>
        <v>0</v>
      </c>
      <c r="AB300" s="47">
        <f t="shared" si="183"/>
        <v>0</v>
      </c>
      <c r="AC300" s="27" t="str">
        <f t="shared" si="184"/>
        <v>ok</v>
      </c>
    </row>
    <row r="301" spans="1:29" x14ac:dyDescent="0.2">
      <c r="A301" s="14" t="s">
        <v>431</v>
      </c>
      <c r="C301" s="14" t="s">
        <v>464</v>
      </c>
      <c r="D301" s="14" t="s">
        <v>37</v>
      </c>
      <c r="F301" s="47">
        <v>0</v>
      </c>
      <c r="G301" s="47"/>
      <c r="H301" s="47">
        <f t="shared" si="171"/>
        <v>0</v>
      </c>
      <c r="I301" s="47">
        <f t="shared" si="172"/>
        <v>0</v>
      </c>
      <c r="J301" s="47"/>
      <c r="K301" s="47">
        <f t="shared" si="173"/>
        <v>0</v>
      </c>
      <c r="L301" s="47"/>
      <c r="M301" s="47">
        <f t="shared" si="174"/>
        <v>0</v>
      </c>
      <c r="N301" s="47"/>
      <c r="O301" s="47">
        <f t="shared" si="175"/>
        <v>0</v>
      </c>
      <c r="P301" s="47">
        <f t="shared" si="176"/>
        <v>0</v>
      </c>
      <c r="Q301" s="47"/>
      <c r="R301" s="47">
        <f t="shared" si="177"/>
        <v>0</v>
      </c>
      <c r="S301" s="47">
        <f t="shared" si="178"/>
        <v>0</v>
      </c>
      <c r="T301" s="47"/>
      <c r="U301" s="47">
        <f t="shared" si="179"/>
        <v>0</v>
      </c>
      <c r="V301" s="47"/>
      <c r="W301" s="47">
        <f t="shared" si="180"/>
        <v>0</v>
      </c>
      <c r="X301" s="47"/>
      <c r="Y301" s="47">
        <f t="shared" si="181"/>
        <v>0</v>
      </c>
      <c r="Z301" s="47"/>
      <c r="AA301" s="47">
        <f t="shared" si="182"/>
        <v>0</v>
      </c>
      <c r="AB301" s="47">
        <f t="shared" si="183"/>
        <v>0</v>
      </c>
      <c r="AC301" s="27" t="str">
        <f t="shared" si="184"/>
        <v>ok</v>
      </c>
    </row>
    <row r="302" spans="1:29" x14ac:dyDescent="0.2">
      <c r="A302" s="14" t="s">
        <v>432</v>
      </c>
      <c r="C302" s="14" t="s">
        <v>465</v>
      </c>
      <c r="D302" s="14" t="s">
        <v>40</v>
      </c>
      <c r="F302" s="47">
        <v>0</v>
      </c>
      <c r="G302" s="47"/>
      <c r="H302" s="47">
        <f t="shared" si="171"/>
        <v>0</v>
      </c>
      <c r="I302" s="47">
        <f t="shared" si="172"/>
        <v>0</v>
      </c>
      <c r="J302" s="47"/>
      <c r="K302" s="47">
        <f t="shared" si="173"/>
        <v>0</v>
      </c>
      <c r="L302" s="47"/>
      <c r="M302" s="47">
        <f t="shared" si="174"/>
        <v>0</v>
      </c>
      <c r="N302" s="47"/>
      <c r="O302" s="47">
        <f t="shared" si="175"/>
        <v>0</v>
      </c>
      <c r="P302" s="47">
        <f t="shared" si="176"/>
        <v>0</v>
      </c>
      <c r="Q302" s="47"/>
      <c r="R302" s="47">
        <f t="shared" si="177"/>
        <v>0</v>
      </c>
      <c r="S302" s="47">
        <f t="shared" si="178"/>
        <v>0</v>
      </c>
      <c r="T302" s="47"/>
      <c r="U302" s="47">
        <f t="shared" si="179"/>
        <v>0</v>
      </c>
      <c r="V302" s="47"/>
      <c r="W302" s="47">
        <f t="shared" si="180"/>
        <v>0</v>
      </c>
      <c r="X302" s="47"/>
      <c r="Y302" s="47">
        <f t="shared" si="181"/>
        <v>0</v>
      </c>
      <c r="Z302" s="47"/>
      <c r="AA302" s="47">
        <f t="shared" si="182"/>
        <v>0</v>
      </c>
      <c r="AB302" s="47">
        <f t="shared" si="183"/>
        <v>0</v>
      </c>
      <c r="AC302" s="27" t="str">
        <f t="shared" si="184"/>
        <v>ok</v>
      </c>
    </row>
    <row r="303" spans="1:29" x14ac:dyDescent="0.2">
      <c r="A303" s="14" t="s">
        <v>433</v>
      </c>
      <c r="C303" s="14" t="s">
        <v>466</v>
      </c>
      <c r="D303" s="14" t="s">
        <v>43</v>
      </c>
      <c r="F303" s="47">
        <v>0</v>
      </c>
      <c r="G303" s="47"/>
      <c r="H303" s="47">
        <f t="shared" si="171"/>
        <v>0</v>
      </c>
      <c r="I303" s="47">
        <f t="shared" si="172"/>
        <v>0</v>
      </c>
      <c r="J303" s="47"/>
      <c r="K303" s="47">
        <f t="shared" si="173"/>
        <v>0</v>
      </c>
      <c r="L303" s="47"/>
      <c r="M303" s="47">
        <f t="shared" si="174"/>
        <v>0</v>
      </c>
      <c r="N303" s="47"/>
      <c r="O303" s="47">
        <f t="shared" si="175"/>
        <v>0</v>
      </c>
      <c r="P303" s="47">
        <f t="shared" si="176"/>
        <v>0</v>
      </c>
      <c r="Q303" s="47"/>
      <c r="R303" s="47">
        <f t="shared" si="177"/>
        <v>0</v>
      </c>
      <c r="S303" s="47">
        <f t="shared" si="178"/>
        <v>0</v>
      </c>
      <c r="T303" s="47"/>
      <c r="U303" s="47">
        <f t="shared" si="179"/>
        <v>0</v>
      </c>
      <c r="V303" s="47"/>
      <c r="W303" s="47">
        <f t="shared" si="180"/>
        <v>0</v>
      </c>
      <c r="X303" s="47"/>
      <c r="Y303" s="47">
        <f t="shared" si="181"/>
        <v>0</v>
      </c>
      <c r="Z303" s="47"/>
      <c r="AA303" s="47">
        <f t="shared" si="182"/>
        <v>0</v>
      </c>
      <c r="AB303" s="47">
        <f t="shared" si="183"/>
        <v>0</v>
      </c>
      <c r="AC303" s="27" t="str">
        <f t="shared" si="184"/>
        <v>ok</v>
      </c>
    </row>
    <row r="304" spans="1:29" x14ac:dyDescent="0.2">
      <c r="A304" s="14" t="s">
        <v>434</v>
      </c>
      <c r="C304" s="14" t="s">
        <v>467</v>
      </c>
      <c r="D304" s="14" t="s">
        <v>46</v>
      </c>
      <c r="F304" s="47">
        <v>0</v>
      </c>
      <c r="G304" s="47"/>
      <c r="H304" s="47">
        <f t="shared" si="171"/>
        <v>0</v>
      </c>
      <c r="I304" s="47">
        <f t="shared" si="172"/>
        <v>0</v>
      </c>
      <c r="J304" s="47"/>
      <c r="K304" s="47">
        <f t="shared" si="173"/>
        <v>0</v>
      </c>
      <c r="L304" s="47"/>
      <c r="M304" s="47">
        <f t="shared" si="174"/>
        <v>0</v>
      </c>
      <c r="N304" s="47"/>
      <c r="O304" s="47">
        <f t="shared" si="175"/>
        <v>0</v>
      </c>
      <c r="P304" s="47">
        <f t="shared" si="176"/>
        <v>0</v>
      </c>
      <c r="Q304" s="47"/>
      <c r="R304" s="47">
        <f t="shared" si="177"/>
        <v>0</v>
      </c>
      <c r="S304" s="47">
        <f t="shared" si="178"/>
        <v>0</v>
      </c>
      <c r="T304" s="47"/>
      <c r="U304" s="47">
        <f t="shared" si="179"/>
        <v>0</v>
      </c>
      <c r="V304" s="47"/>
      <c r="W304" s="47">
        <f t="shared" si="180"/>
        <v>0</v>
      </c>
      <c r="X304" s="47"/>
      <c r="Y304" s="47">
        <f t="shared" si="181"/>
        <v>0</v>
      </c>
      <c r="Z304" s="47"/>
      <c r="AA304" s="47">
        <f t="shared" si="182"/>
        <v>0</v>
      </c>
      <c r="AB304" s="47">
        <f t="shared" si="183"/>
        <v>0</v>
      </c>
      <c r="AC304" s="27" t="str">
        <f t="shared" si="184"/>
        <v>ok</v>
      </c>
    </row>
    <row r="305" spans="1:29" x14ac:dyDescent="0.2">
      <c r="A305" s="14" t="s">
        <v>435</v>
      </c>
      <c r="C305" s="14" t="s">
        <v>468</v>
      </c>
      <c r="D305" s="14" t="s">
        <v>48</v>
      </c>
      <c r="F305" s="47">
        <v>0</v>
      </c>
      <c r="G305" s="47"/>
      <c r="H305" s="47">
        <f t="shared" si="171"/>
        <v>0</v>
      </c>
      <c r="I305" s="47">
        <f t="shared" si="172"/>
        <v>0</v>
      </c>
      <c r="J305" s="47"/>
      <c r="K305" s="47">
        <f t="shared" si="173"/>
        <v>0</v>
      </c>
      <c r="L305" s="47"/>
      <c r="M305" s="47">
        <f t="shared" si="174"/>
        <v>0</v>
      </c>
      <c r="N305" s="47"/>
      <c r="O305" s="47">
        <f t="shared" si="175"/>
        <v>0</v>
      </c>
      <c r="P305" s="47">
        <f t="shared" si="176"/>
        <v>0</v>
      </c>
      <c r="Q305" s="47"/>
      <c r="R305" s="47">
        <f t="shared" si="177"/>
        <v>0</v>
      </c>
      <c r="S305" s="47">
        <f t="shared" si="178"/>
        <v>0</v>
      </c>
      <c r="T305" s="47"/>
      <c r="U305" s="47">
        <f t="shared" si="179"/>
        <v>0</v>
      </c>
      <c r="V305" s="47"/>
      <c r="W305" s="47">
        <f t="shared" si="180"/>
        <v>0</v>
      </c>
      <c r="X305" s="47"/>
      <c r="Y305" s="47">
        <f t="shared" si="181"/>
        <v>0</v>
      </c>
      <c r="Z305" s="47"/>
      <c r="AA305" s="47">
        <f t="shared" si="182"/>
        <v>0</v>
      </c>
      <c r="AB305" s="47">
        <f t="shared" si="183"/>
        <v>0</v>
      </c>
      <c r="AC305" s="27" t="str">
        <f t="shared" si="184"/>
        <v>ok</v>
      </c>
    </row>
    <row r="306" spans="1:29" x14ac:dyDescent="0.2">
      <c r="A306" s="14" t="s">
        <v>579</v>
      </c>
      <c r="C306" s="14" t="s">
        <v>469</v>
      </c>
      <c r="D306" s="14" t="s">
        <v>16</v>
      </c>
      <c r="F306" s="47">
        <v>6041566.3099999996</v>
      </c>
      <c r="G306" s="47"/>
      <c r="H306" s="47">
        <f t="shared" si="171"/>
        <v>0</v>
      </c>
      <c r="I306" s="47">
        <f t="shared" si="172"/>
        <v>0</v>
      </c>
      <c r="J306" s="47"/>
      <c r="K306" s="47">
        <f t="shared" si="173"/>
        <v>0</v>
      </c>
      <c r="L306" s="47"/>
      <c r="M306" s="47">
        <f t="shared" si="174"/>
        <v>22454.461538022937</v>
      </c>
      <c r="N306" s="47"/>
      <c r="O306" s="47">
        <f t="shared" si="175"/>
        <v>1689084.9768767678</v>
      </c>
      <c r="P306" s="47">
        <f t="shared" si="176"/>
        <v>3177203.1316277431</v>
      </c>
      <c r="Q306" s="47"/>
      <c r="R306" s="47">
        <f t="shared" si="177"/>
        <v>0</v>
      </c>
      <c r="S306" s="47">
        <f t="shared" si="178"/>
        <v>659888.8089770365</v>
      </c>
      <c r="T306" s="47"/>
      <c r="U306" s="47">
        <f t="shared" si="179"/>
        <v>289705.50578405213</v>
      </c>
      <c r="V306" s="47"/>
      <c r="W306" s="47">
        <f t="shared" si="180"/>
        <v>203229.42519637535</v>
      </c>
      <c r="X306" s="47"/>
      <c r="Y306" s="47">
        <f t="shared" si="181"/>
        <v>0</v>
      </c>
      <c r="Z306" s="47"/>
      <c r="AA306" s="47">
        <f t="shared" si="182"/>
        <v>0</v>
      </c>
      <c r="AB306" s="47">
        <f t="shared" si="183"/>
        <v>6041566.3099999987</v>
      </c>
      <c r="AC306" s="27" t="str">
        <f t="shared" si="184"/>
        <v>ok</v>
      </c>
    </row>
    <row r="307" spans="1:29" x14ac:dyDescent="0.2">
      <c r="A307" s="14" t="s">
        <v>81</v>
      </c>
      <c r="C307" s="14" t="s">
        <v>415</v>
      </c>
      <c r="D307" s="14" t="s">
        <v>70</v>
      </c>
      <c r="F307" s="47">
        <v>264328.61</v>
      </c>
      <c r="G307" s="47"/>
      <c r="H307" s="47">
        <f t="shared" si="171"/>
        <v>0</v>
      </c>
      <c r="I307" s="47">
        <f t="shared" si="172"/>
        <v>0</v>
      </c>
      <c r="J307" s="47"/>
      <c r="K307" s="47">
        <f t="shared" si="173"/>
        <v>0</v>
      </c>
      <c r="L307" s="47"/>
      <c r="M307" s="47">
        <f t="shared" si="174"/>
        <v>982.42017087851264</v>
      </c>
      <c r="N307" s="47"/>
      <c r="O307" s="47">
        <f t="shared" si="175"/>
        <v>73900.286978678894</v>
      </c>
      <c r="P307" s="47">
        <f t="shared" si="176"/>
        <v>139007.94005698964</v>
      </c>
      <c r="Q307" s="47"/>
      <c r="R307" s="47">
        <f t="shared" si="177"/>
        <v>0</v>
      </c>
      <c r="S307" s="47">
        <f t="shared" si="178"/>
        <v>28871.236808696973</v>
      </c>
      <c r="T307" s="47"/>
      <c r="U307" s="47">
        <f t="shared" si="179"/>
        <v>12675.099423554202</v>
      </c>
      <c r="V307" s="47"/>
      <c r="W307" s="47">
        <f t="shared" si="180"/>
        <v>8891.626561201625</v>
      </c>
      <c r="X307" s="47"/>
      <c r="Y307" s="47">
        <f t="shared" si="181"/>
        <v>0</v>
      </c>
      <c r="Z307" s="47"/>
      <c r="AA307" s="47">
        <f t="shared" si="182"/>
        <v>0</v>
      </c>
      <c r="AB307" s="47">
        <f>SUM(H307:AA307)</f>
        <v>264328.60999999981</v>
      </c>
      <c r="AC307" s="27" t="str">
        <f>IF(ABS(AB307-F307)&lt;1,"ok","err")</f>
        <v>ok</v>
      </c>
    </row>
    <row r="308" spans="1:29" x14ac:dyDescent="0.2">
      <c r="A308" s="14" t="s">
        <v>766</v>
      </c>
      <c r="C308" s="14" t="s">
        <v>415</v>
      </c>
      <c r="D308" s="14" t="s">
        <v>70</v>
      </c>
      <c r="F308" s="47">
        <v>0</v>
      </c>
      <c r="G308" s="47"/>
      <c r="H308" s="47">
        <f t="shared" si="171"/>
        <v>0</v>
      </c>
      <c r="I308" s="47">
        <f t="shared" si="172"/>
        <v>0</v>
      </c>
      <c r="J308" s="47"/>
      <c r="K308" s="47">
        <f t="shared" si="173"/>
        <v>0</v>
      </c>
      <c r="L308" s="47"/>
      <c r="M308" s="47">
        <f t="shared" si="174"/>
        <v>0</v>
      </c>
      <c r="N308" s="47"/>
      <c r="O308" s="47">
        <f t="shared" si="175"/>
        <v>0</v>
      </c>
      <c r="P308" s="47">
        <f t="shared" si="176"/>
        <v>0</v>
      </c>
      <c r="Q308" s="47"/>
      <c r="R308" s="47">
        <f t="shared" si="177"/>
        <v>0</v>
      </c>
      <c r="S308" s="47">
        <f t="shared" si="178"/>
        <v>0</v>
      </c>
      <c r="T308" s="47"/>
      <c r="U308" s="47">
        <f t="shared" si="179"/>
        <v>0</v>
      </c>
      <c r="V308" s="47"/>
      <c r="W308" s="47">
        <f t="shared" si="180"/>
        <v>0</v>
      </c>
      <c r="X308" s="47"/>
      <c r="Y308" s="47">
        <f t="shared" si="181"/>
        <v>0</v>
      </c>
      <c r="Z308" s="47"/>
      <c r="AA308" s="47">
        <f t="shared" si="182"/>
        <v>0</v>
      </c>
      <c r="AB308" s="47">
        <f>SUM(H308:AA308)</f>
        <v>0</v>
      </c>
      <c r="AC308" s="27" t="str">
        <f>IF(ABS(AB308-F308)&lt;1,"ok","err")</f>
        <v>ok</v>
      </c>
    </row>
    <row r="309" spans="1:29" x14ac:dyDescent="0.2">
      <c r="A309" s="14" t="s">
        <v>1027</v>
      </c>
      <c r="C309" s="14" t="s">
        <v>416</v>
      </c>
      <c r="D309" s="14" t="s">
        <v>392</v>
      </c>
      <c r="F309" s="47">
        <v>0</v>
      </c>
      <c r="G309" s="47"/>
      <c r="H309" s="47">
        <f t="shared" si="171"/>
        <v>0</v>
      </c>
      <c r="I309" s="47">
        <f t="shared" si="172"/>
        <v>0</v>
      </c>
      <c r="J309" s="47"/>
      <c r="K309" s="47">
        <f t="shared" si="173"/>
        <v>0</v>
      </c>
      <c r="L309" s="47"/>
      <c r="M309" s="47">
        <f t="shared" si="174"/>
        <v>0</v>
      </c>
      <c r="N309" s="47"/>
      <c r="O309" s="47">
        <f t="shared" si="175"/>
        <v>0</v>
      </c>
      <c r="P309" s="47">
        <f t="shared" si="176"/>
        <v>0</v>
      </c>
      <c r="Q309" s="47"/>
      <c r="R309" s="47">
        <f t="shared" si="177"/>
        <v>0</v>
      </c>
      <c r="S309" s="47">
        <f t="shared" si="178"/>
        <v>0</v>
      </c>
      <c r="T309" s="47"/>
      <c r="U309" s="47">
        <f t="shared" si="179"/>
        <v>0</v>
      </c>
      <c r="V309" s="47"/>
      <c r="W309" s="47">
        <f t="shared" si="180"/>
        <v>0</v>
      </c>
      <c r="X309" s="47"/>
      <c r="Y309" s="47">
        <f t="shared" si="181"/>
        <v>0</v>
      </c>
      <c r="Z309" s="47"/>
      <c r="AA309" s="47">
        <f t="shared" si="182"/>
        <v>0</v>
      </c>
      <c r="AB309" s="47">
        <f>SUM(H309:AA309)</f>
        <v>0</v>
      </c>
      <c r="AC309" s="27" t="str">
        <f>IF(ABS(AB309-F309)&lt;1,"ok","err")</f>
        <v>ok</v>
      </c>
    </row>
    <row r="310" spans="1:29" x14ac:dyDescent="0.2">
      <c r="A310" s="14" t="s">
        <v>388</v>
      </c>
      <c r="C310" s="14" t="s">
        <v>417</v>
      </c>
      <c r="D310" s="14" t="s">
        <v>16</v>
      </c>
      <c r="F310" s="47">
        <v>0</v>
      </c>
      <c r="G310" s="47"/>
      <c r="H310" s="47">
        <f t="shared" si="171"/>
        <v>0</v>
      </c>
      <c r="I310" s="47">
        <f t="shared" si="172"/>
        <v>0</v>
      </c>
      <c r="J310" s="47"/>
      <c r="K310" s="47">
        <f t="shared" si="173"/>
        <v>0</v>
      </c>
      <c r="L310" s="47"/>
      <c r="M310" s="47">
        <f t="shared" si="174"/>
        <v>0</v>
      </c>
      <c r="N310" s="47"/>
      <c r="O310" s="47">
        <f t="shared" si="175"/>
        <v>0</v>
      </c>
      <c r="P310" s="47">
        <f t="shared" si="176"/>
        <v>0</v>
      </c>
      <c r="Q310" s="47"/>
      <c r="R310" s="47">
        <f t="shared" si="177"/>
        <v>0</v>
      </c>
      <c r="S310" s="47">
        <f t="shared" si="178"/>
        <v>0</v>
      </c>
      <c r="T310" s="47"/>
      <c r="U310" s="47">
        <f t="shared" si="179"/>
        <v>0</v>
      </c>
      <c r="V310" s="47"/>
      <c r="W310" s="47">
        <f t="shared" si="180"/>
        <v>0</v>
      </c>
      <c r="X310" s="47"/>
      <c r="Y310" s="47">
        <f t="shared" si="181"/>
        <v>0</v>
      </c>
      <c r="Z310" s="47"/>
      <c r="AA310" s="47">
        <f t="shared" si="182"/>
        <v>0</v>
      </c>
      <c r="AB310" s="47">
        <f>SUM(H310:AA310)</f>
        <v>0</v>
      </c>
      <c r="AC310" s="27" t="str">
        <f>IF(ABS(AB310-F310)&lt;1,"ok","err")</f>
        <v>ok</v>
      </c>
    </row>
    <row r="311" spans="1:29" x14ac:dyDescent="0.2">
      <c r="F311" s="47"/>
      <c r="G311" s="47"/>
      <c r="AC311" s="27"/>
    </row>
    <row r="312" spans="1:29" x14ac:dyDescent="0.2">
      <c r="A312" s="14" t="s">
        <v>186</v>
      </c>
      <c r="C312" s="14" t="s">
        <v>187</v>
      </c>
      <c r="F312" s="62">
        <f>SUM(F293:F311)</f>
        <v>6305894.9199999999</v>
      </c>
      <c r="G312" s="62"/>
      <c r="H312" s="47">
        <f>SUM(H293:H311)</f>
        <v>0</v>
      </c>
      <c r="I312" s="47">
        <f>SUM(I293:I311)</f>
        <v>0</v>
      </c>
      <c r="J312" s="47"/>
      <c r="K312" s="47">
        <f>SUM(K293:K311)</f>
        <v>0</v>
      </c>
      <c r="M312" s="47">
        <f>SUM(M293:M311)</f>
        <v>23436.881708901448</v>
      </c>
      <c r="O312" s="47">
        <f>SUM(O293:O311)</f>
        <v>1762985.2638554466</v>
      </c>
      <c r="P312" s="47">
        <f>SUM(P293:P311)</f>
        <v>3316211.0716847326</v>
      </c>
      <c r="R312" s="47">
        <f>SUM(R293:R311)</f>
        <v>0</v>
      </c>
      <c r="S312" s="47">
        <f>SUM(S293:S311)</f>
        <v>688760.0457857335</v>
      </c>
      <c r="U312" s="47">
        <f>SUM(U293:U311)</f>
        <v>302380.60520760634</v>
      </c>
      <c r="W312" s="47">
        <f>SUM(W293:W311)</f>
        <v>212121.05175757696</v>
      </c>
      <c r="Y312" s="47">
        <f>SUM(Y293:Y311)</f>
        <v>0</v>
      </c>
      <c r="AA312" s="47">
        <f>SUM(AA293:AA311)</f>
        <v>0</v>
      </c>
      <c r="AB312" s="47">
        <f>SUM(H312:AA312)</f>
        <v>6305894.9199999971</v>
      </c>
      <c r="AC312" s="27" t="str">
        <f>IF(ABS(AB312-F312)&lt;1,"ok","err")</f>
        <v>ok</v>
      </c>
    </row>
    <row r="313" spans="1:29" x14ac:dyDescent="0.2">
      <c r="B313" s="87"/>
      <c r="F313" s="47"/>
      <c r="G313" s="47"/>
      <c r="AC313" s="27"/>
    </row>
    <row r="314" spans="1:29" x14ac:dyDescent="0.2">
      <c r="A314" s="14" t="s">
        <v>188</v>
      </c>
      <c r="C314" s="14" t="s">
        <v>189</v>
      </c>
      <c r="D314" s="14" t="s">
        <v>84</v>
      </c>
      <c r="F314" s="62">
        <v>0</v>
      </c>
      <c r="G314" s="62"/>
      <c r="H314" s="47">
        <f>IF(VLOOKUP($D314,$C$5:$AA$496,6,)=0,0,((VLOOKUP($D314,$C$5:$AA$496,6,)/VLOOKUP($D314,$C$5:$AA$496,4,))*$F314))</f>
        <v>0</v>
      </c>
      <c r="I314" s="47">
        <f>IF(VLOOKUP($D314,$C$5:$AA$496,7,)=0,0,((VLOOKUP($D314,$C$5:$AA$496,7,)/VLOOKUP($D314,$C$5:$AA$496,4,))*$F314))</f>
        <v>0</v>
      </c>
      <c r="J314" s="47"/>
      <c r="K314" s="47">
        <f>IF(VLOOKUP($D314,$C$5:$AA$496,9,)=0,0,((VLOOKUP($D314,$C$5:$AA$496,9,)/VLOOKUP($D314,$C$5:$AA$496,4,))*$F314))</f>
        <v>0</v>
      </c>
      <c r="L314" s="47"/>
      <c r="M314" s="47">
        <f>IF(VLOOKUP($D314,$C$5:$AA$496,11,)=0,0,((VLOOKUP($D314,$C$5:$AA$496,11,)/VLOOKUP($D314,$C$5:$AA$496,4,))*$F314))</f>
        <v>0</v>
      </c>
      <c r="N314" s="47"/>
      <c r="O314" s="47">
        <f>IF(VLOOKUP($D314,$C$5:$AA$496,13,)=0,0,((VLOOKUP($D314,$C$5:$AA$496,13,)/VLOOKUP($D314,$C$5:$AA$496,4,))*$F314))</f>
        <v>0</v>
      </c>
      <c r="P314" s="47">
        <f>IF(VLOOKUP($D314,$C$5:$AA$496,14,)=0,0,((VLOOKUP($D314,$C$5:$AA$496,14,)/VLOOKUP($D314,$C$5:$AA$496,4,))*$F314))</f>
        <v>0</v>
      </c>
      <c r="Q314" s="47"/>
      <c r="R314" s="47">
        <f>IF(VLOOKUP($D314,$C$5:$AA$496,16,)=0,0,((VLOOKUP($D314,$C$5:$AA$496,16,)/VLOOKUP($D314,$C$5:$AA$496,4,))*$F314))</f>
        <v>0</v>
      </c>
      <c r="S314" s="47">
        <f>IF(VLOOKUP($D314,$C$5:$AA$496,17,)=0,0,((VLOOKUP($D314,$C$5:$AA$496,17,)/VLOOKUP($D314,$C$5:$AA$496,4,))*$F314))</f>
        <v>0</v>
      </c>
      <c r="T314" s="47"/>
      <c r="U314" s="47">
        <f>IF(VLOOKUP($D314,$C$5:$AA$496,19,)=0,0,((VLOOKUP($D314,$C$5:$AA$496,19,)/VLOOKUP($D314,$C$5:$AA$496,4,))*$F314))</f>
        <v>0</v>
      </c>
      <c r="V314" s="47"/>
      <c r="W314" s="47">
        <f>IF(VLOOKUP($D314,$C$5:$AA$496,21,)=0,0,((VLOOKUP($D314,$C$5:$AA$496,21,)/VLOOKUP($D314,$C$5:$AA$496,4,))*$F314))</f>
        <v>0</v>
      </c>
      <c r="X314" s="47"/>
      <c r="Y314" s="47">
        <f>IF(VLOOKUP($D314,$C$5:$AA$496,23,)=0,0,((VLOOKUP($D314,$C$5:$AA$496,23,)/VLOOKUP($D314,$C$5:$AA$496,4,))*$F314))</f>
        <v>0</v>
      </c>
      <c r="Z314" s="47"/>
      <c r="AA314" s="47">
        <f>IF(VLOOKUP($D314,$C$5:$AA$496,25,)=0,0,((VLOOKUP($D314,$C$5:$AA$496,25,)/VLOOKUP($D314,$C$5:$AA$496,4,))*$F314))</f>
        <v>0</v>
      </c>
      <c r="AB314" s="47">
        <f>SUM(H314:AA314)</f>
        <v>0</v>
      </c>
      <c r="AC314" s="27" t="str">
        <f>IF(ABS(AB314-F314)&lt;1,"ok","err")</f>
        <v>ok</v>
      </c>
    </row>
    <row r="315" spans="1:29" x14ac:dyDescent="0.2">
      <c r="AC315" s="27"/>
    </row>
    <row r="316" spans="1:29" x14ac:dyDescent="0.2">
      <c r="A316" s="14" t="s">
        <v>310</v>
      </c>
      <c r="C316" s="14" t="s">
        <v>190</v>
      </c>
      <c r="D316" s="14" t="s">
        <v>84</v>
      </c>
      <c r="F316" s="62">
        <v>54081.64</v>
      </c>
      <c r="G316" s="62"/>
      <c r="H316" s="47">
        <f>IF(VLOOKUP($D316,$C$5:$AA$496,6,)=0,0,((VLOOKUP($D316,$C$5:$AA$496,6,)/VLOOKUP($D316,$C$5:$AA$496,4,))*$F316))</f>
        <v>0</v>
      </c>
      <c r="I316" s="47">
        <f>IF(VLOOKUP($D316,$C$5:$AA$496,7,)=0,0,((VLOOKUP($D316,$C$5:$AA$496,7,)/VLOOKUP($D316,$C$5:$AA$496,4,))*$F316))</f>
        <v>0</v>
      </c>
      <c r="J316" s="47"/>
      <c r="K316" s="47">
        <f>IF(VLOOKUP($D316,$C$5:$AA$496,9,)=0,0,((VLOOKUP($D316,$C$5:$AA$496,9,)/VLOOKUP($D316,$C$5:$AA$496,4,))*$F316))</f>
        <v>0</v>
      </c>
      <c r="L316" s="47"/>
      <c r="M316" s="47">
        <f>IF(VLOOKUP($D316,$C$5:$AA$496,11,)=0,0,((VLOOKUP($D316,$C$5:$AA$496,11,)/VLOOKUP($D316,$C$5:$AA$496,4,))*$F316))</f>
        <v>201.00319072608224</v>
      </c>
      <c r="N316" s="47"/>
      <c r="O316" s="47">
        <f>IF(VLOOKUP($D316,$C$5:$AA$496,13,)=0,0,((VLOOKUP($D316,$C$5:$AA$496,13,)/VLOOKUP($D316,$C$5:$AA$496,4,))*$F316))</f>
        <v>15120.00050345515</v>
      </c>
      <c r="P316" s="47">
        <f>IF(VLOOKUP($D316,$C$5:$AA$496,14,)=0,0,((VLOOKUP($D316,$C$5:$AA$496,14,)/VLOOKUP($D316,$C$5:$AA$496,4,))*$F316))</f>
        <v>28441.0278982048</v>
      </c>
      <c r="Q316" s="47"/>
      <c r="R316" s="47">
        <f>IF(VLOOKUP($D316,$C$5:$AA$496,16,)=0,0,((VLOOKUP($D316,$C$5:$AA$496,16,)/VLOOKUP($D316,$C$5:$AA$496,4,))*$F316))</f>
        <v>0</v>
      </c>
      <c r="S316" s="47">
        <f>IF(VLOOKUP($D316,$C$5:$AA$496,17,)=0,0,((VLOOKUP($D316,$C$5:$AA$496,17,)/VLOOKUP($D316,$C$5:$AA$496,4,))*$F316))</f>
        <v>5907.0557494427057</v>
      </c>
      <c r="T316" s="47"/>
      <c r="U316" s="47">
        <f>IF(VLOOKUP($D316,$C$5:$AA$496,19,)=0,0,((VLOOKUP($D316,$C$5:$AA$496,19,)/VLOOKUP($D316,$C$5:$AA$496,4,))*$F316))</f>
        <v>2593.3256486646137</v>
      </c>
      <c r="V316" s="47"/>
      <c r="W316" s="47">
        <f>IF(VLOOKUP($D316,$C$5:$AA$496,21,)=0,0,((VLOOKUP($D316,$C$5:$AA$496,21,)/VLOOKUP($D316,$C$5:$AA$496,4,))*$F316))</f>
        <v>1819.2270095066299</v>
      </c>
      <c r="X316" s="47"/>
      <c r="Y316" s="47">
        <f>IF(VLOOKUP($D316,$C$5:$AA$496,23,)=0,0,((VLOOKUP($D316,$C$5:$AA$496,23,)/VLOOKUP($D316,$C$5:$AA$496,4,))*$F316))</f>
        <v>0</v>
      </c>
      <c r="Z316" s="47"/>
      <c r="AA316" s="47">
        <f>IF(VLOOKUP($D316,$C$5:$AA$496,25,)=0,0,((VLOOKUP($D316,$C$5:$AA$496,25,)/VLOOKUP($D316,$C$5:$AA$496,4,))*$F316))</f>
        <v>0</v>
      </c>
      <c r="AB316" s="47">
        <f>SUM(H316:AA316)</f>
        <v>54081.639999999978</v>
      </c>
      <c r="AC316" s="27" t="str">
        <f>IF(ABS(AB316-F316)&lt;1,"ok","err")</f>
        <v>ok</v>
      </c>
    </row>
    <row r="317" spans="1:29" x14ac:dyDescent="0.2">
      <c r="Q317" s="14"/>
    </row>
    <row r="318" spans="1:29" x14ac:dyDescent="0.2">
      <c r="A318" s="14" t="s">
        <v>191</v>
      </c>
      <c r="C318" s="14" t="s">
        <v>192</v>
      </c>
      <c r="D318" s="14" t="s">
        <v>84</v>
      </c>
      <c r="F318" s="62">
        <v>2057808</v>
      </c>
      <c r="G318" s="62"/>
      <c r="H318" s="47">
        <f>IF(VLOOKUP($D318,$C$5:$AA$496,6,)=0,0,((VLOOKUP($D318,$C$5:$AA$496,6,)/VLOOKUP($D318,$C$5:$AA$496,4,))*$F318))</f>
        <v>0</v>
      </c>
      <c r="I318" s="47">
        <f>IF(VLOOKUP($D318,$C$5:$AA$496,7,)=0,0,((VLOOKUP($D318,$C$5:$AA$496,7,)/VLOOKUP($D318,$C$5:$AA$496,4,))*$F318))</f>
        <v>0</v>
      </c>
      <c r="J318" s="47"/>
      <c r="K318" s="47">
        <f>IF(VLOOKUP($D318,$C$5:$AA$496,9,)=0,0,((VLOOKUP($D318,$C$5:$AA$496,9,)/VLOOKUP($D318,$C$5:$AA$496,4,))*$F318))</f>
        <v>0</v>
      </c>
      <c r="L318" s="47"/>
      <c r="M318" s="47">
        <f>IF(VLOOKUP($D318,$C$5:$AA$496,11,)=0,0,((VLOOKUP($D318,$C$5:$AA$496,11,)/VLOOKUP($D318,$C$5:$AA$496,4,))*$F318))</f>
        <v>7648.177346353732</v>
      </c>
      <c r="N318" s="47"/>
      <c r="O318" s="47">
        <f>IF(VLOOKUP($D318,$C$5:$AA$496,13,)=0,0,((VLOOKUP($D318,$C$5:$AA$496,13,)/VLOOKUP($D318,$C$5:$AA$496,4,))*$F318))</f>
        <v>575316.46592104156</v>
      </c>
      <c r="P318" s="47">
        <f>IF(VLOOKUP($D318,$C$5:$AA$496,14,)=0,0,((VLOOKUP($D318,$C$5:$AA$496,14,)/VLOOKUP($D318,$C$5:$AA$496,4,))*$F318))</f>
        <v>1082181.9518999243</v>
      </c>
      <c r="Q318" s="47"/>
      <c r="R318" s="47">
        <f>IF(VLOOKUP($D318,$C$5:$AA$496,16,)=0,0,((VLOOKUP($D318,$C$5:$AA$496,16,)/VLOOKUP($D318,$C$5:$AA$496,4,))*$F318))</f>
        <v>0</v>
      </c>
      <c r="S318" s="47">
        <f>IF(VLOOKUP($D318,$C$5:$AA$496,17,)=0,0,((VLOOKUP($D318,$C$5:$AA$496,17,)/VLOOKUP($D318,$C$5:$AA$496,4,))*$F318))</f>
        <v>224763.6458075087</v>
      </c>
      <c r="T318" s="47"/>
      <c r="U318" s="47">
        <f>IF(VLOOKUP($D318,$C$5:$AA$496,19,)=0,0,((VLOOKUP($D318,$C$5:$AA$496,19,)/VLOOKUP($D318,$C$5:$AA$496,4,))*$F318))</f>
        <v>98676.117559068691</v>
      </c>
      <c r="V318" s="47"/>
      <c r="W318" s="47">
        <f>IF(VLOOKUP($D318,$C$5:$AA$496,21,)=0,0,((VLOOKUP($D318,$C$5:$AA$496,21,)/VLOOKUP($D318,$C$5:$AA$496,4,))*$F318))</f>
        <v>69221.641466102345</v>
      </c>
      <c r="X318" s="47"/>
      <c r="Y318" s="47">
        <f>IF(VLOOKUP($D318,$C$5:$AA$496,23,)=0,0,((VLOOKUP($D318,$C$5:$AA$496,23,)/VLOOKUP($D318,$C$5:$AA$496,4,))*$F318))</f>
        <v>0</v>
      </c>
      <c r="Z318" s="47"/>
      <c r="AA318" s="47">
        <f>IF(VLOOKUP($D318,$C$5:$AA$496,25,)=0,0,((VLOOKUP($D318,$C$5:$AA$496,25,)/VLOOKUP($D318,$C$5:$AA$496,4,))*$F318))</f>
        <v>0</v>
      </c>
      <c r="AB318" s="47">
        <f>SUM(H318:AA318)</f>
        <v>2057807.9999999993</v>
      </c>
      <c r="AC318" s="27" t="str">
        <f>IF(ABS(AB318-F318)&lt;1,"ok","err")</f>
        <v>ok</v>
      </c>
    </row>
    <row r="319" spans="1:29" x14ac:dyDescent="0.2">
      <c r="AC319" s="27"/>
    </row>
    <row r="320" spans="1:29" x14ac:dyDescent="0.2">
      <c r="A320" s="14" t="s">
        <v>193</v>
      </c>
      <c r="C320" s="14" t="s">
        <v>194</v>
      </c>
      <c r="D320" s="14" t="s">
        <v>84</v>
      </c>
      <c r="F320" s="62">
        <v>348806</v>
      </c>
      <c r="G320" s="62"/>
      <c r="H320" s="47">
        <f>IF(VLOOKUP($D320,$C$5:$AA$496,6,)=0,0,((VLOOKUP($D320,$C$5:$AA$496,6,)/VLOOKUP($D320,$C$5:$AA$496,4,))*$F320))</f>
        <v>0</v>
      </c>
      <c r="I320" s="47">
        <f>IF(VLOOKUP($D320,$C$5:$AA$496,7,)=0,0,((VLOOKUP($D320,$C$5:$AA$496,7,)/VLOOKUP($D320,$C$5:$AA$496,4,))*$F320))</f>
        <v>0</v>
      </c>
      <c r="J320" s="47"/>
      <c r="K320" s="47">
        <f>IF(VLOOKUP($D320,$C$5:$AA$496,9,)=0,0,((VLOOKUP($D320,$C$5:$AA$496,9,)/VLOOKUP($D320,$C$5:$AA$496,4,))*$F320))</f>
        <v>0</v>
      </c>
      <c r="L320" s="47"/>
      <c r="M320" s="47">
        <f>IF(VLOOKUP($D320,$C$5:$AA$496,11,)=0,0,((VLOOKUP($D320,$C$5:$AA$496,11,)/VLOOKUP($D320,$C$5:$AA$496,4,))*$F320))</f>
        <v>1296.3940987070998</v>
      </c>
      <c r="N320" s="47"/>
      <c r="O320" s="47">
        <f>IF(VLOOKUP($D320,$C$5:$AA$496,13,)=0,0,((VLOOKUP($D320,$C$5:$AA$496,13,)/VLOOKUP($D320,$C$5:$AA$496,4,))*$F320))</f>
        <v>97518.250104992694</v>
      </c>
      <c r="P320" s="47">
        <f>IF(VLOOKUP($D320,$C$5:$AA$496,14,)=0,0,((VLOOKUP($D320,$C$5:$AA$496,14,)/VLOOKUP($D320,$C$5:$AA$496,4,))*$F320))</f>
        <v>183433.8081659732</v>
      </c>
      <c r="Q320" s="47"/>
      <c r="R320" s="47">
        <f>IF(VLOOKUP($D320,$C$5:$AA$496,16,)=0,0,((VLOOKUP($D320,$C$5:$AA$496,16,)/VLOOKUP($D320,$C$5:$AA$496,4,))*$F320))</f>
        <v>0</v>
      </c>
      <c r="S320" s="47">
        <f>IF(VLOOKUP($D320,$C$5:$AA$496,17,)=0,0,((VLOOKUP($D320,$C$5:$AA$496,17,)/VLOOKUP($D320,$C$5:$AA$496,4,))*$F320))</f>
        <v>38098.261956185357</v>
      </c>
      <c r="T320" s="47"/>
      <c r="U320" s="47">
        <f>IF(VLOOKUP($D320,$C$5:$AA$496,19,)=0,0,((VLOOKUP($D320,$C$5:$AA$496,19,)/VLOOKUP($D320,$C$5:$AA$496,4,))*$F320))</f>
        <v>16725.963676547333</v>
      </c>
      <c r="V320" s="47"/>
      <c r="W320" s="47">
        <f>IF(VLOOKUP($D320,$C$5:$AA$496,21,)=0,0,((VLOOKUP($D320,$C$5:$AA$496,21,)/VLOOKUP($D320,$C$5:$AA$496,4,))*$F320))</f>
        <v>11733.321997594185</v>
      </c>
      <c r="X320" s="47"/>
      <c r="Y320" s="47">
        <f>IF(VLOOKUP($D320,$C$5:$AA$496,23,)=0,0,((VLOOKUP($D320,$C$5:$AA$496,23,)/VLOOKUP($D320,$C$5:$AA$496,4,))*$F320))</f>
        <v>0</v>
      </c>
      <c r="Z320" s="47"/>
      <c r="AA320" s="47">
        <f>IF(VLOOKUP($D320,$C$5:$AA$496,25,)=0,0,((VLOOKUP($D320,$C$5:$AA$496,25,)/VLOOKUP($D320,$C$5:$AA$496,4,))*$F320))</f>
        <v>0</v>
      </c>
      <c r="AB320" s="47">
        <f>SUM(H320:AA320)</f>
        <v>348805.99999999988</v>
      </c>
      <c r="AC320" s="27" t="str">
        <f>IF(ABS(AB320-F320)&lt;1,"ok","err")</f>
        <v>ok</v>
      </c>
    </row>
    <row r="321" spans="1:29" x14ac:dyDescent="0.2"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27"/>
    </row>
    <row r="322" spans="1:29" x14ac:dyDescent="0.2">
      <c r="A322" s="14" t="s">
        <v>858</v>
      </c>
      <c r="C322" s="14" t="s">
        <v>859</v>
      </c>
      <c r="D322" s="14" t="s">
        <v>84</v>
      </c>
      <c r="F322" s="62">
        <v>11867.76</v>
      </c>
      <c r="G322" s="62"/>
      <c r="H322" s="47">
        <f>IF(VLOOKUP($D322,$C$5:$AA$496,6,)=0,0,((VLOOKUP($D322,$C$5:$AA$496,6,)/VLOOKUP($D322,$C$5:$AA$496,4,))*$F322))</f>
        <v>0</v>
      </c>
      <c r="I322" s="47">
        <f>IF(VLOOKUP($D322,$C$5:$AA$496,7,)=0,0,((VLOOKUP($D322,$C$5:$AA$496,7,)/VLOOKUP($D322,$C$5:$AA$496,4,))*$F322))</f>
        <v>0</v>
      </c>
      <c r="J322" s="47"/>
      <c r="K322" s="47">
        <f>IF(VLOOKUP($D322,$C$5:$AA$496,9,)=0,0,((VLOOKUP($D322,$C$5:$AA$496,9,)/VLOOKUP($D322,$C$5:$AA$496,4,))*$F322))</f>
        <v>0</v>
      </c>
      <c r="L322" s="47"/>
      <c r="M322" s="47">
        <f>IF(VLOOKUP($D322,$C$5:$AA$496,11,)=0,0,((VLOOKUP($D322,$C$5:$AA$496,11,)/VLOOKUP($D322,$C$5:$AA$496,4,))*$F322))</f>
        <v>44.108455785944543</v>
      </c>
      <c r="N322" s="47"/>
      <c r="O322" s="47">
        <f>IF(VLOOKUP($D322,$C$5:$AA$496,13,)=0,0,((VLOOKUP($D322,$C$5:$AA$496,13,)/VLOOKUP($D322,$C$5:$AA$496,4,))*$F322))</f>
        <v>3317.956651737723</v>
      </c>
      <c r="P322" s="47">
        <f>IF(VLOOKUP($D322,$C$5:$AA$496,14,)=0,0,((VLOOKUP($D322,$C$5:$AA$496,14,)/VLOOKUP($D322,$C$5:$AA$496,4,))*$F322))</f>
        <v>6241.1438197731986</v>
      </c>
      <c r="Q322" s="47"/>
      <c r="R322" s="47">
        <f>IF(VLOOKUP($D322,$C$5:$AA$496,16,)=0,0,((VLOOKUP($D322,$C$5:$AA$496,16,)/VLOOKUP($D322,$C$5:$AA$496,4,))*$F322))</f>
        <v>0</v>
      </c>
      <c r="S322" s="47">
        <f>IF(VLOOKUP($D322,$C$5:$AA$496,17,)=0,0,((VLOOKUP($D322,$C$5:$AA$496,17,)/VLOOKUP($D322,$C$5:$AA$496,4,))*$F322))</f>
        <v>1296.2535888520792</v>
      </c>
      <c r="T322" s="47"/>
      <c r="U322" s="47">
        <f>IF(VLOOKUP($D322,$C$5:$AA$496,19,)=0,0,((VLOOKUP($D322,$C$5:$AA$496,19,)/VLOOKUP($D322,$C$5:$AA$496,4,))*$F322))</f>
        <v>569.08345235455056</v>
      </c>
      <c r="V322" s="47"/>
      <c r="W322" s="47">
        <f>IF(VLOOKUP($D322,$C$5:$AA$496,21,)=0,0,((VLOOKUP($D322,$C$5:$AA$496,21,)/VLOOKUP($D322,$C$5:$AA$496,4,))*$F322))</f>
        <v>399.21403149650052</v>
      </c>
      <c r="X322" s="47"/>
      <c r="Y322" s="47">
        <f>IF(VLOOKUP($D322,$C$5:$AA$496,23,)=0,0,((VLOOKUP($D322,$C$5:$AA$496,23,)/VLOOKUP($D322,$C$5:$AA$496,4,))*$F322))</f>
        <v>0</v>
      </c>
      <c r="Z322" s="47"/>
      <c r="AA322" s="47">
        <f>IF(VLOOKUP($D322,$C$5:$AA$496,25,)=0,0,((VLOOKUP($D322,$C$5:$AA$496,25,)/VLOOKUP($D322,$C$5:$AA$496,4,))*$F322))</f>
        <v>0</v>
      </c>
      <c r="AB322" s="47">
        <f>SUM(H322:AA322)</f>
        <v>11867.759999999997</v>
      </c>
      <c r="AC322" s="27" t="str">
        <f>IF(ABS(AB322-F322)&lt;1,"ok","err")</f>
        <v>ok</v>
      </c>
    </row>
    <row r="323" spans="1:29" x14ac:dyDescent="0.2"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27"/>
    </row>
    <row r="324" spans="1:29" x14ac:dyDescent="0.2">
      <c r="A324" s="14" t="s">
        <v>860</v>
      </c>
      <c r="C324" s="14" t="s">
        <v>861</v>
      </c>
      <c r="D324" s="14" t="s">
        <v>84</v>
      </c>
      <c r="F324" s="62">
        <v>0</v>
      </c>
      <c r="G324" s="62"/>
      <c r="H324" s="47">
        <f>IF(VLOOKUP($D324,$C$5:$AA$496,6,)=0,0,((VLOOKUP($D324,$C$5:$AA$496,6,)/VLOOKUP($D324,$C$5:$AA$496,4,))*$F324))</f>
        <v>0</v>
      </c>
      <c r="I324" s="47">
        <f>IF(VLOOKUP($D324,$C$5:$AA$496,7,)=0,0,((VLOOKUP($D324,$C$5:$AA$496,7,)/VLOOKUP($D324,$C$5:$AA$496,4,))*$F324))</f>
        <v>0</v>
      </c>
      <c r="J324" s="47"/>
      <c r="K324" s="47">
        <f>IF(VLOOKUP($D324,$C$5:$AA$496,9,)=0,0,((VLOOKUP($D324,$C$5:$AA$496,9,)/VLOOKUP($D324,$C$5:$AA$496,4,))*$F324))</f>
        <v>0</v>
      </c>
      <c r="L324" s="47"/>
      <c r="M324" s="47">
        <f>IF(VLOOKUP($D324,$C$5:$AA$496,11,)=0,0,((VLOOKUP($D324,$C$5:$AA$496,11,)/VLOOKUP($D324,$C$5:$AA$496,4,))*$F324))</f>
        <v>0</v>
      </c>
      <c r="N324" s="47"/>
      <c r="O324" s="47">
        <f>IF(VLOOKUP($D324,$C$5:$AA$496,13,)=0,0,((VLOOKUP($D324,$C$5:$AA$496,13,)/VLOOKUP($D324,$C$5:$AA$496,4,))*$F324))</f>
        <v>0</v>
      </c>
      <c r="P324" s="47">
        <f>IF(VLOOKUP($D324,$C$5:$AA$496,14,)=0,0,((VLOOKUP($D324,$C$5:$AA$496,14,)/VLOOKUP($D324,$C$5:$AA$496,4,))*$F324))</f>
        <v>0</v>
      </c>
      <c r="Q324" s="47"/>
      <c r="R324" s="47">
        <f>IF(VLOOKUP($D324,$C$5:$AA$496,16,)=0,0,((VLOOKUP($D324,$C$5:$AA$496,16,)/VLOOKUP($D324,$C$5:$AA$496,4,))*$F324))</f>
        <v>0</v>
      </c>
      <c r="S324" s="47">
        <f>IF(VLOOKUP($D324,$C$5:$AA$496,17,)=0,0,((VLOOKUP($D324,$C$5:$AA$496,17,)/VLOOKUP($D324,$C$5:$AA$496,4,))*$F324))</f>
        <v>0</v>
      </c>
      <c r="T324" s="47"/>
      <c r="U324" s="47">
        <f>IF(VLOOKUP($D324,$C$5:$AA$496,19,)=0,0,((VLOOKUP($D324,$C$5:$AA$496,19,)/VLOOKUP($D324,$C$5:$AA$496,4,))*$F324))</f>
        <v>0</v>
      </c>
      <c r="V324" s="47"/>
      <c r="W324" s="47">
        <f>IF(VLOOKUP($D324,$C$5:$AA$496,21,)=0,0,((VLOOKUP($D324,$C$5:$AA$496,21,)/VLOOKUP($D324,$C$5:$AA$496,4,))*$F324))</f>
        <v>0</v>
      </c>
      <c r="X324" s="47"/>
      <c r="Y324" s="47">
        <f>IF(VLOOKUP($D324,$C$5:$AA$496,23,)=0,0,((VLOOKUP($D324,$C$5:$AA$496,23,)/VLOOKUP($D324,$C$5:$AA$496,4,))*$F324))</f>
        <v>0</v>
      </c>
      <c r="Z324" s="47"/>
      <c r="AA324" s="47">
        <f>IF(VLOOKUP($D324,$C$5:$AA$496,25,)=0,0,((VLOOKUP($D324,$C$5:$AA$496,25,)/VLOOKUP($D324,$C$5:$AA$496,4,))*$F324))</f>
        <v>0</v>
      </c>
      <c r="AB324" s="47">
        <f>SUM(H324:AA324)</f>
        <v>0</v>
      </c>
      <c r="AC324" s="27" t="str">
        <f>IF(ABS(AB324-F324)&lt;1,"ok","err")</f>
        <v>ok</v>
      </c>
    </row>
    <row r="325" spans="1:29" x14ac:dyDescent="0.2">
      <c r="AC325" s="27"/>
    </row>
    <row r="326" spans="1:29" x14ac:dyDescent="0.2">
      <c r="A326" s="14" t="s">
        <v>195</v>
      </c>
      <c r="C326" s="14" t="s">
        <v>196</v>
      </c>
      <c r="D326" s="14" t="s">
        <v>84</v>
      </c>
      <c r="F326" s="62">
        <v>33093.14</v>
      </c>
      <c r="G326" s="62"/>
      <c r="H326" s="47">
        <f>IF(VLOOKUP($D326,$C$5:$AA$496,6,)=0,0,((VLOOKUP($D326,$C$5:$AA$496,6,)/VLOOKUP($D326,$C$5:$AA$496,4,))*$F326))</f>
        <v>0</v>
      </c>
      <c r="I326" s="47">
        <f>IF(VLOOKUP($D326,$C$5:$AA$496,7,)=0,0,((VLOOKUP($D326,$C$5:$AA$496,7,)/VLOOKUP($D326,$C$5:$AA$496,4,))*$F326))</f>
        <v>0</v>
      </c>
      <c r="J326" s="47"/>
      <c r="K326" s="47">
        <f>IF(VLOOKUP($D326,$C$5:$AA$496,9,)=0,0,((VLOOKUP($D326,$C$5:$AA$496,9,)/VLOOKUP($D326,$C$5:$AA$496,4,))*$F326))</f>
        <v>0</v>
      </c>
      <c r="L326" s="47"/>
      <c r="M326" s="47">
        <f>IF(VLOOKUP($D326,$C$5:$AA$496,11,)=0,0,((VLOOKUP($D326,$C$5:$AA$496,11,)/VLOOKUP($D326,$C$5:$AA$496,4,))*$F326))</f>
        <v>122.99602473491819</v>
      </c>
      <c r="N326" s="47"/>
      <c r="O326" s="47">
        <f>IF(VLOOKUP($D326,$C$5:$AA$496,13,)=0,0,((VLOOKUP($D326,$C$5:$AA$496,13,)/VLOOKUP($D326,$C$5:$AA$496,4,))*$F326))</f>
        <v>9252.0917165402479</v>
      </c>
      <c r="P326" s="47">
        <f>IF(VLOOKUP($D326,$C$5:$AA$496,14,)=0,0,((VLOOKUP($D326,$C$5:$AA$496,14,)/VLOOKUP($D326,$C$5:$AA$496,4,))*$F326))</f>
        <v>17403.372345572308</v>
      </c>
      <c r="Q326" s="47"/>
      <c r="R326" s="47">
        <f>IF(VLOOKUP($D326,$C$5:$AA$496,16,)=0,0,((VLOOKUP($D326,$C$5:$AA$496,16,)/VLOOKUP($D326,$C$5:$AA$496,4,))*$F326))</f>
        <v>0</v>
      </c>
      <c r="S326" s="47">
        <f>IF(VLOOKUP($D326,$C$5:$AA$496,17,)=0,0,((VLOOKUP($D326,$C$5:$AA$496,17,)/VLOOKUP($D326,$C$5:$AA$496,4,))*$F326))</f>
        <v>3614.5912532259076</v>
      </c>
      <c r="T326" s="47"/>
      <c r="U326" s="47">
        <f>IF(VLOOKUP($D326,$C$5:$AA$496,19,)=0,0,((VLOOKUP($D326,$C$5:$AA$496,19,)/VLOOKUP($D326,$C$5:$AA$496,4,))*$F326))</f>
        <v>1586.883991625418</v>
      </c>
      <c r="V326" s="47"/>
      <c r="W326" s="47">
        <f>IF(VLOOKUP($D326,$C$5:$AA$496,21,)=0,0,((VLOOKUP($D326,$C$5:$AA$496,21,)/VLOOKUP($D326,$C$5:$AA$496,4,))*$F326))</f>
        <v>1113.2046683011874</v>
      </c>
      <c r="X326" s="47"/>
      <c r="Y326" s="47">
        <f>IF(VLOOKUP($D326,$C$5:$AA$496,23,)=0,0,((VLOOKUP($D326,$C$5:$AA$496,23,)/VLOOKUP($D326,$C$5:$AA$496,4,))*$F326))</f>
        <v>0</v>
      </c>
      <c r="Z326" s="47"/>
      <c r="AA326" s="47">
        <f>IF(VLOOKUP($D326,$C$5:$AA$496,25,)=0,0,((VLOOKUP($D326,$C$5:$AA$496,25,)/VLOOKUP($D326,$C$5:$AA$496,4,))*$F326))</f>
        <v>0</v>
      </c>
      <c r="AB326" s="47">
        <f>SUM(H326:AA326)</f>
        <v>33093.139999999985</v>
      </c>
      <c r="AC326" s="27" t="str">
        <f>IF(ABS(AB326-F326)&lt;1,"ok","err")</f>
        <v>ok</v>
      </c>
    </row>
    <row r="327" spans="1:29" x14ac:dyDescent="0.2">
      <c r="AB327" s="47"/>
      <c r="AC327" s="27"/>
    </row>
    <row r="328" spans="1:29" x14ac:dyDescent="0.2">
      <c r="A328" s="13" t="s">
        <v>197</v>
      </c>
      <c r="C328" s="14" t="s">
        <v>198</v>
      </c>
      <c r="F328" s="87">
        <f>SUM(F312:F326)</f>
        <v>8811551.459999999</v>
      </c>
      <c r="G328" s="87"/>
      <c r="H328" s="87">
        <f>SUM(H312:H326)</f>
        <v>0</v>
      </c>
      <c r="I328" s="87">
        <f>SUM(I312:I326)</f>
        <v>0</v>
      </c>
      <c r="J328" s="87"/>
      <c r="K328" s="87">
        <f>SUM(K312:K326)</f>
        <v>0</v>
      </c>
      <c r="L328" s="87"/>
      <c r="M328" s="87">
        <f>SUM(M312:M326)</f>
        <v>32749.560825209224</v>
      </c>
      <c r="N328" s="87"/>
      <c r="O328" s="87">
        <f>SUM(O312:O326)</f>
        <v>2463510.0287532136</v>
      </c>
      <c r="P328" s="87">
        <f>SUM(P312:P326)</f>
        <v>4633912.3758141808</v>
      </c>
      <c r="Q328" s="87">
        <f>SUM(Q312:Q326)</f>
        <v>0</v>
      </c>
      <c r="R328" s="87">
        <f>SUM(R312:R326)</f>
        <v>0</v>
      </c>
      <c r="S328" s="87">
        <f>SUM(S312:S326)</f>
        <v>962439.85414094827</v>
      </c>
      <c r="T328" s="87">
        <f>T312+T314+T316+T318+T322+T326</f>
        <v>0</v>
      </c>
      <c r="U328" s="87">
        <f>SUM(U312:U326)</f>
        <v>422531.97953586694</v>
      </c>
      <c r="V328" s="87">
        <f>V312+V314+V316+V318+V322+V326</f>
        <v>0</v>
      </c>
      <c r="W328" s="87">
        <f>SUM(W312:W326)</f>
        <v>296407.66093057784</v>
      </c>
      <c r="X328" s="87">
        <f>X312+X314+X316+X318+X322+X326</f>
        <v>0</v>
      </c>
      <c r="Y328" s="87">
        <f>SUM(Y312:Y326)</f>
        <v>0</v>
      </c>
      <c r="Z328" s="87">
        <f>Z312+Z314+Z316+Z318+Z322+Z326</f>
        <v>0</v>
      </c>
      <c r="AA328" s="87">
        <f>SUM(AA312:AA326)</f>
        <v>0</v>
      </c>
      <c r="AB328" s="47">
        <f>SUM(H328:AA328)</f>
        <v>8811551.4599999972</v>
      </c>
      <c r="AC328" s="27" t="str">
        <f>IF(ABS(AB328-F328)&lt;1,"ok","err")</f>
        <v>ok</v>
      </c>
    </row>
    <row r="329" spans="1:29" x14ac:dyDescent="0.2">
      <c r="AC329" s="27"/>
    </row>
    <row r="330" spans="1:29" x14ac:dyDescent="0.2">
      <c r="A330" s="13" t="s">
        <v>389</v>
      </c>
      <c r="F330" s="87">
        <f>F285+F328</f>
        <v>58966634.299999997</v>
      </c>
      <c r="G330" s="87"/>
      <c r="H330" s="87">
        <f>H285+H328</f>
        <v>11589879.04854697</v>
      </c>
      <c r="I330" s="87">
        <f>I285+I328</f>
        <v>27577089.951453038</v>
      </c>
      <c r="J330" s="87"/>
      <c r="K330" s="87">
        <f>K285+K328</f>
        <v>0</v>
      </c>
      <c r="L330" s="87"/>
      <c r="M330" s="87">
        <f>M285+M328</f>
        <v>49984.070436085429</v>
      </c>
      <c r="N330" s="87"/>
      <c r="O330" s="87">
        <f t="shared" ref="O330:AA330" si="185">O285+O328</f>
        <v>5356276.361142287</v>
      </c>
      <c r="P330" s="87">
        <f t="shared" si="185"/>
        <v>9542837.0396506637</v>
      </c>
      <c r="Q330" s="87">
        <f t="shared" si="185"/>
        <v>0</v>
      </c>
      <c r="R330" s="87">
        <f t="shared" si="185"/>
        <v>0</v>
      </c>
      <c r="S330" s="87">
        <f t="shared" si="185"/>
        <v>1303004.0614103093</v>
      </c>
      <c r="T330" s="87">
        <f t="shared" si="185"/>
        <v>0</v>
      </c>
      <c r="U330" s="87">
        <f t="shared" si="185"/>
        <v>1002219.7288634598</v>
      </c>
      <c r="V330" s="87">
        <f t="shared" si="185"/>
        <v>0</v>
      </c>
      <c r="W330" s="87">
        <f t="shared" si="185"/>
        <v>356871.19329356053</v>
      </c>
      <c r="X330" s="87">
        <f t="shared" si="185"/>
        <v>0</v>
      </c>
      <c r="Y330" s="87">
        <f t="shared" si="185"/>
        <v>2177897.6871231631</v>
      </c>
      <c r="Z330" s="87">
        <f t="shared" si="185"/>
        <v>0</v>
      </c>
      <c r="AA330" s="87">
        <f t="shared" si="185"/>
        <v>10575.158080468387</v>
      </c>
      <c r="AB330" s="47">
        <f>SUM(H330:AA330)</f>
        <v>58966634.300000004</v>
      </c>
      <c r="AC330" s="27" t="str">
        <f>IF(ABS(AB330-F330)&lt;1,"ok","err")</f>
        <v>ok</v>
      </c>
    </row>
    <row r="331" spans="1:29" x14ac:dyDescent="0.2">
      <c r="F331" s="87"/>
      <c r="G331" s="87"/>
      <c r="AC331" s="27"/>
    </row>
    <row r="332" spans="1:29" x14ac:dyDescent="0.2">
      <c r="F332" s="87"/>
      <c r="AC332" s="27"/>
    </row>
    <row r="333" spans="1:29" x14ac:dyDescent="0.2">
      <c r="F333" s="87"/>
      <c r="AC333" s="27"/>
    </row>
    <row r="334" spans="1:29" x14ac:dyDescent="0.2">
      <c r="A334" s="25" t="s">
        <v>1048</v>
      </c>
      <c r="F334" s="87"/>
      <c r="Q334" s="14"/>
      <c r="AC334" s="27"/>
    </row>
    <row r="335" spans="1:29" x14ac:dyDescent="0.2">
      <c r="A335" s="25"/>
      <c r="Q335" s="14"/>
      <c r="AC335" s="27"/>
    </row>
    <row r="336" spans="1:29" x14ac:dyDescent="0.2">
      <c r="A336" s="13" t="s">
        <v>789</v>
      </c>
      <c r="Q336" s="14"/>
      <c r="AC336" s="27"/>
    </row>
    <row r="337" spans="1:29" x14ac:dyDescent="0.2">
      <c r="A337" s="14">
        <v>500</v>
      </c>
      <c r="B337" s="14" t="s">
        <v>794</v>
      </c>
      <c r="C337" s="14" t="s">
        <v>841</v>
      </c>
      <c r="D337" s="14" t="s">
        <v>783</v>
      </c>
      <c r="F337" s="62">
        <v>0</v>
      </c>
      <c r="G337" s="62"/>
      <c r="H337" s="47">
        <f t="shared" ref="H337:H345" si="186">IF(VLOOKUP($D337,$C$5:$AA$496,6,)=0,0,((VLOOKUP($D337,$C$5:$AA$496,6,)/VLOOKUP($D337,$C$5:$AA$496,4,))*$F337))</f>
        <v>0</v>
      </c>
      <c r="I337" s="47">
        <f t="shared" ref="I337:I345" si="187">IF(VLOOKUP($D337,$C$5:$AA$496,7,)=0,0,((VLOOKUP($D337,$C$5:$AA$496,7,)/VLOOKUP($D337,$C$5:$AA$496,4,))*$F337))</f>
        <v>0</v>
      </c>
      <c r="J337" s="47"/>
      <c r="K337" s="47">
        <f t="shared" ref="K337:K345" si="188">IF(VLOOKUP($D337,$C$5:$AA$496,9,)=0,0,((VLOOKUP($D337,$C$5:$AA$496,9,)/VLOOKUP($D337,$C$5:$AA$496,4,))*$F337))</f>
        <v>0</v>
      </c>
      <c r="L337" s="47"/>
      <c r="M337" s="47">
        <f t="shared" ref="M337:M345" si="189">IF(VLOOKUP($D337,$C$5:$AA$496,11,)=0,0,((VLOOKUP($D337,$C$5:$AA$496,11,)/VLOOKUP($D337,$C$5:$AA$496,4,))*$F337))</f>
        <v>0</v>
      </c>
      <c r="N337" s="47"/>
      <c r="O337" s="47">
        <f t="shared" ref="O337:O345" si="190">IF(VLOOKUP($D337,$C$5:$AA$496,13,)=0,0,((VLOOKUP($D337,$C$5:$AA$496,13,)/VLOOKUP($D337,$C$5:$AA$496,4,))*$F337))</f>
        <v>0</v>
      </c>
      <c r="P337" s="47">
        <f t="shared" ref="P337:P345" si="191">IF(VLOOKUP($D337,$C$5:$AA$496,14,)=0,0,((VLOOKUP($D337,$C$5:$AA$496,14,)/VLOOKUP($D337,$C$5:$AA$496,4,))*$F337))</f>
        <v>0</v>
      </c>
      <c r="Q337" s="47"/>
      <c r="R337" s="47">
        <f t="shared" ref="R337:R345" si="192">IF(VLOOKUP($D337,$C$5:$AA$496,16,)=0,0,((VLOOKUP($D337,$C$5:$AA$496,16,)/VLOOKUP($D337,$C$5:$AA$496,4,))*$F337))</f>
        <v>0</v>
      </c>
      <c r="S337" s="47">
        <f t="shared" ref="S337:S345" si="193">IF(VLOOKUP($D337,$C$5:$AA$496,17,)=0,0,((VLOOKUP($D337,$C$5:$AA$496,17,)/VLOOKUP($D337,$C$5:$AA$496,4,))*$F337))</f>
        <v>0</v>
      </c>
      <c r="T337" s="47"/>
      <c r="U337" s="47">
        <f t="shared" ref="U337:U345" si="194">IF(VLOOKUP($D337,$C$5:$AA$496,19,)=0,0,((VLOOKUP($D337,$C$5:$AA$496,19,)/VLOOKUP($D337,$C$5:$AA$496,4,))*$F337))</f>
        <v>0</v>
      </c>
      <c r="V337" s="47"/>
      <c r="W337" s="47">
        <f t="shared" ref="W337:W345" si="195">IF(VLOOKUP($D337,$C$5:$AA$496,21,)=0,0,((VLOOKUP($D337,$C$5:$AA$496,21,)/VLOOKUP($D337,$C$5:$AA$496,4,))*$F337))</f>
        <v>0</v>
      </c>
      <c r="X337" s="47"/>
      <c r="Y337" s="47">
        <f t="shared" ref="Y337:Y345" si="196">IF(VLOOKUP($D337,$C$5:$AA$496,23,)=0,0,((VLOOKUP($D337,$C$5:$AA$496,23,)/VLOOKUP($D337,$C$5:$AA$496,4,))*$F337))</f>
        <v>0</v>
      </c>
      <c r="Z337" s="47"/>
      <c r="AA337" s="47">
        <f t="shared" ref="AA337:AA345" si="197">IF(VLOOKUP($D337,$C$5:$AA$496,25,)=0,0,((VLOOKUP($D337,$C$5:$AA$496,25,)/VLOOKUP($D337,$C$5:$AA$496,4,))*$F337))</f>
        <v>0</v>
      </c>
      <c r="AB337" s="47">
        <f t="shared" ref="AB337:AB345" si="198">SUM(H337:AA337)</f>
        <v>0</v>
      </c>
      <c r="AC337" s="27" t="str">
        <f t="shared" ref="AC337:AC345" si="199">IF(ABS(AB337-F337)&lt;1,"ok","err")</f>
        <v>ok</v>
      </c>
    </row>
    <row r="338" spans="1:29" x14ac:dyDescent="0.2">
      <c r="A338" s="14">
        <v>501</v>
      </c>
      <c r="B338" s="14" t="s">
        <v>795</v>
      </c>
      <c r="C338" s="14" t="s">
        <v>842</v>
      </c>
      <c r="D338" s="14" t="s">
        <v>787</v>
      </c>
      <c r="F338" s="47">
        <v>0</v>
      </c>
      <c r="G338" s="47"/>
      <c r="H338" s="47">
        <f t="shared" si="186"/>
        <v>0</v>
      </c>
      <c r="I338" s="47">
        <f t="shared" si="187"/>
        <v>0</v>
      </c>
      <c r="J338" s="47"/>
      <c r="K338" s="47">
        <f t="shared" si="188"/>
        <v>0</v>
      </c>
      <c r="L338" s="47"/>
      <c r="M338" s="47">
        <f t="shared" si="189"/>
        <v>0</v>
      </c>
      <c r="N338" s="47"/>
      <c r="O338" s="47">
        <f t="shared" si="190"/>
        <v>0</v>
      </c>
      <c r="P338" s="47">
        <f t="shared" si="191"/>
        <v>0</v>
      </c>
      <c r="Q338" s="47"/>
      <c r="R338" s="47">
        <f t="shared" si="192"/>
        <v>0</v>
      </c>
      <c r="S338" s="47">
        <f t="shared" si="193"/>
        <v>0</v>
      </c>
      <c r="T338" s="47"/>
      <c r="U338" s="47">
        <f t="shared" si="194"/>
        <v>0</v>
      </c>
      <c r="V338" s="47"/>
      <c r="W338" s="47">
        <f t="shared" si="195"/>
        <v>0</v>
      </c>
      <c r="X338" s="47"/>
      <c r="Y338" s="47">
        <f t="shared" si="196"/>
        <v>0</v>
      </c>
      <c r="Z338" s="47"/>
      <c r="AA338" s="47">
        <f t="shared" si="197"/>
        <v>0</v>
      </c>
      <c r="AB338" s="47">
        <f t="shared" si="198"/>
        <v>0</v>
      </c>
      <c r="AC338" s="27" t="str">
        <f t="shared" si="199"/>
        <v>ok</v>
      </c>
    </row>
    <row r="339" spans="1:29" x14ac:dyDescent="0.2">
      <c r="A339" s="14">
        <v>502</v>
      </c>
      <c r="B339" s="14" t="s">
        <v>796</v>
      </c>
      <c r="C339" s="14" t="s">
        <v>843</v>
      </c>
      <c r="D339" s="14" t="s">
        <v>552</v>
      </c>
      <c r="F339" s="47">
        <v>0</v>
      </c>
      <c r="G339" s="47"/>
      <c r="H339" s="47">
        <f t="shared" si="186"/>
        <v>0</v>
      </c>
      <c r="I339" s="47">
        <f t="shared" si="187"/>
        <v>0</v>
      </c>
      <c r="J339" s="47"/>
      <c r="K339" s="47">
        <f t="shared" si="188"/>
        <v>0</v>
      </c>
      <c r="L339" s="47"/>
      <c r="M339" s="47">
        <f t="shared" si="189"/>
        <v>0</v>
      </c>
      <c r="N339" s="47"/>
      <c r="O339" s="47">
        <f t="shared" si="190"/>
        <v>0</v>
      </c>
      <c r="P339" s="47">
        <f t="shared" si="191"/>
        <v>0</v>
      </c>
      <c r="Q339" s="47"/>
      <c r="R339" s="47">
        <f t="shared" si="192"/>
        <v>0</v>
      </c>
      <c r="S339" s="47">
        <f t="shared" si="193"/>
        <v>0</v>
      </c>
      <c r="T339" s="47"/>
      <c r="U339" s="47">
        <f t="shared" si="194"/>
        <v>0</v>
      </c>
      <c r="V339" s="47"/>
      <c r="W339" s="47">
        <f t="shared" si="195"/>
        <v>0</v>
      </c>
      <c r="X339" s="47"/>
      <c r="Y339" s="47">
        <f t="shared" si="196"/>
        <v>0</v>
      </c>
      <c r="Z339" s="47"/>
      <c r="AA339" s="47">
        <f t="shared" si="197"/>
        <v>0</v>
      </c>
      <c r="AB339" s="47">
        <f t="shared" si="198"/>
        <v>0</v>
      </c>
      <c r="AC339" s="27" t="str">
        <f t="shared" si="199"/>
        <v>ok</v>
      </c>
    </row>
    <row r="340" spans="1:29" x14ac:dyDescent="0.2">
      <c r="A340" s="14">
        <v>503</v>
      </c>
      <c r="B340" s="14" t="s">
        <v>797</v>
      </c>
      <c r="C340" s="14" t="s">
        <v>844</v>
      </c>
      <c r="D340" s="14" t="s">
        <v>552</v>
      </c>
      <c r="F340" s="47">
        <v>0</v>
      </c>
      <c r="G340" s="47"/>
      <c r="H340" s="47">
        <f t="shared" si="186"/>
        <v>0</v>
      </c>
      <c r="I340" s="47">
        <f t="shared" si="187"/>
        <v>0</v>
      </c>
      <c r="J340" s="47"/>
      <c r="K340" s="47">
        <f t="shared" si="188"/>
        <v>0</v>
      </c>
      <c r="L340" s="47"/>
      <c r="M340" s="47">
        <f t="shared" si="189"/>
        <v>0</v>
      </c>
      <c r="N340" s="47"/>
      <c r="O340" s="47">
        <f t="shared" si="190"/>
        <v>0</v>
      </c>
      <c r="P340" s="47">
        <f t="shared" si="191"/>
        <v>0</v>
      </c>
      <c r="Q340" s="47"/>
      <c r="R340" s="47">
        <f t="shared" si="192"/>
        <v>0</v>
      </c>
      <c r="S340" s="47">
        <f t="shared" si="193"/>
        <v>0</v>
      </c>
      <c r="T340" s="47"/>
      <c r="U340" s="47">
        <f t="shared" si="194"/>
        <v>0</v>
      </c>
      <c r="V340" s="47"/>
      <c r="W340" s="47">
        <f t="shared" si="195"/>
        <v>0</v>
      </c>
      <c r="X340" s="47"/>
      <c r="Y340" s="47">
        <f t="shared" si="196"/>
        <v>0</v>
      </c>
      <c r="Z340" s="47"/>
      <c r="AA340" s="47">
        <f t="shared" si="197"/>
        <v>0</v>
      </c>
      <c r="AB340" s="47">
        <f t="shared" si="198"/>
        <v>0</v>
      </c>
      <c r="AC340" s="27" t="str">
        <f t="shared" si="199"/>
        <v>ok</v>
      </c>
    </row>
    <row r="341" spans="1:29" x14ac:dyDescent="0.2">
      <c r="A341" s="14">
        <v>504</v>
      </c>
      <c r="B341" s="14" t="s">
        <v>798</v>
      </c>
      <c r="C341" s="14" t="s">
        <v>845</v>
      </c>
      <c r="D341" s="14" t="s">
        <v>552</v>
      </c>
      <c r="F341" s="47">
        <v>0</v>
      </c>
      <c r="G341" s="47"/>
      <c r="H341" s="47">
        <f t="shared" si="186"/>
        <v>0</v>
      </c>
      <c r="I341" s="47">
        <f t="shared" si="187"/>
        <v>0</v>
      </c>
      <c r="J341" s="47"/>
      <c r="K341" s="47">
        <f t="shared" si="188"/>
        <v>0</v>
      </c>
      <c r="L341" s="47"/>
      <c r="M341" s="47">
        <f t="shared" si="189"/>
        <v>0</v>
      </c>
      <c r="N341" s="47"/>
      <c r="O341" s="47">
        <f t="shared" si="190"/>
        <v>0</v>
      </c>
      <c r="P341" s="47">
        <f t="shared" si="191"/>
        <v>0</v>
      </c>
      <c r="Q341" s="47"/>
      <c r="R341" s="47">
        <f t="shared" si="192"/>
        <v>0</v>
      </c>
      <c r="S341" s="47">
        <f t="shared" si="193"/>
        <v>0</v>
      </c>
      <c r="T341" s="47"/>
      <c r="U341" s="47">
        <f t="shared" si="194"/>
        <v>0</v>
      </c>
      <c r="V341" s="47"/>
      <c r="W341" s="47">
        <f t="shared" si="195"/>
        <v>0</v>
      </c>
      <c r="X341" s="47"/>
      <c r="Y341" s="47">
        <f t="shared" si="196"/>
        <v>0</v>
      </c>
      <c r="Z341" s="47"/>
      <c r="AA341" s="47">
        <f t="shared" si="197"/>
        <v>0</v>
      </c>
      <c r="AB341" s="47">
        <f t="shared" si="198"/>
        <v>0</v>
      </c>
      <c r="AC341" s="27" t="str">
        <f t="shared" si="199"/>
        <v>ok</v>
      </c>
    </row>
    <row r="342" spans="1:29" x14ac:dyDescent="0.2">
      <c r="A342" s="14">
        <v>505</v>
      </c>
      <c r="B342" s="14" t="s">
        <v>799</v>
      </c>
      <c r="C342" s="14" t="s">
        <v>846</v>
      </c>
      <c r="D342" s="14" t="s">
        <v>552</v>
      </c>
      <c r="F342" s="47">
        <v>0</v>
      </c>
      <c r="G342" s="47"/>
      <c r="H342" s="47">
        <f t="shared" si="186"/>
        <v>0</v>
      </c>
      <c r="I342" s="47">
        <f t="shared" si="187"/>
        <v>0</v>
      </c>
      <c r="J342" s="47"/>
      <c r="K342" s="47">
        <f t="shared" si="188"/>
        <v>0</v>
      </c>
      <c r="L342" s="47"/>
      <c r="M342" s="47">
        <f t="shared" si="189"/>
        <v>0</v>
      </c>
      <c r="N342" s="47"/>
      <c r="O342" s="47">
        <f t="shared" si="190"/>
        <v>0</v>
      </c>
      <c r="P342" s="47">
        <f t="shared" si="191"/>
        <v>0</v>
      </c>
      <c r="Q342" s="47"/>
      <c r="R342" s="47">
        <f t="shared" si="192"/>
        <v>0</v>
      </c>
      <c r="S342" s="47">
        <f t="shared" si="193"/>
        <v>0</v>
      </c>
      <c r="T342" s="47"/>
      <c r="U342" s="47">
        <f t="shared" si="194"/>
        <v>0</v>
      </c>
      <c r="V342" s="47"/>
      <c r="W342" s="47">
        <f t="shared" si="195"/>
        <v>0</v>
      </c>
      <c r="X342" s="47"/>
      <c r="Y342" s="47">
        <f t="shared" si="196"/>
        <v>0</v>
      </c>
      <c r="Z342" s="47"/>
      <c r="AA342" s="47">
        <f t="shared" si="197"/>
        <v>0</v>
      </c>
      <c r="AB342" s="47">
        <f t="shared" si="198"/>
        <v>0</v>
      </c>
      <c r="AC342" s="27" t="str">
        <f t="shared" si="199"/>
        <v>ok</v>
      </c>
    </row>
    <row r="343" spans="1:29" x14ac:dyDescent="0.2">
      <c r="A343" s="14">
        <v>506</v>
      </c>
      <c r="B343" s="14" t="s">
        <v>800</v>
      </c>
      <c r="C343" s="14" t="s">
        <v>847</v>
      </c>
      <c r="D343" s="14" t="s">
        <v>552</v>
      </c>
      <c r="F343" s="47">
        <v>0</v>
      </c>
      <c r="G343" s="47"/>
      <c r="H343" s="47">
        <f t="shared" si="186"/>
        <v>0</v>
      </c>
      <c r="I343" s="47">
        <f t="shared" si="187"/>
        <v>0</v>
      </c>
      <c r="J343" s="47"/>
      <c r="K343" s="47">
        <f t="shared" si="188"/>
        <v>0</v>
      </c>
      <c r="L343" s="47"/>
      <c r="M343" s="47">
        <f t="shared" si="189"/>
        <v>0</v>
      </c>
      <c r="N343" s="47"/>
      <c r="O343" s="47">
        <f t="shared" si="190"/>
        <v>0</v>
      </c>
      <c r="P343" s="47">
        <f t="shared" si="191"/>
        <v>0</v>
      </c>
      <c r="Q343" s="47"/>
      <c r="R343" s="47">
        <f t="shared" si="192"/>
        <v>0</v>
      </c>
      <c r="S343" s="47">
        <f t="shared" si="193"/>
        <v>0</v>
      </c>
      <c r="T343" s="47"/>
      <c r="U343" s="47">
        <f t="shared" si="194"/>
        <v>0</v>
      </c>
      <c r="V343" s="47"/>
      <c r="W343" s="47">
        <f t="shared" si="195"/>
        <v>0</v>
      </c>
      <c r="X343" s="47"/>
      <c r="Y343" s="47">
        <f t="shared" si="196"/>
        <v>0</v>
      </c>
      <c r="Z343" s="47"/>
      <c r="AA343" s="47">
        <f t="shared" si="197"/>
        <v>0</v>
      </c>
      <c r="AB343" s="47">
        <f t="shared" si="198"/>
        <v>0</v>
      </c>
      <c r="AC343" s="27" t="str">
        <f t="shared" si="199"/>
        <v>ok</v>
      </c>
    </row>
    <row r="344" spans="1:29" x14ac:dyDescent="0.2">
      <c r="A344" s="14">
        <v>507</v>
      </c>
      <c r="B344" s="14" t="s">
        <v>115</v>
      </c>
      <c r="C344" s="14" t="s">
        <v>848</v>
      </c>
      <c r="D344" s="14" t="s">
        <v>552</v>
      </c>
      <c r="F344" s="47">
        <v>0</v>
      </c>
      <c r="G344" s="47"/>
      <c r="H344" s="47">
        <f t="shared" si="186"/>
        <v>0</v>
      </c>
      <c r="I344" s="47">
        <f t="shared" si="187"/>
        <v>0</v>
      </c>
      <c r="J344" s="47"/>
      <c r="K344" s="47">
        <f t="shared" si="188"/>
        <v>0</v>
      </c>
      <c r="L344" s="47"/>
      <c r="M344" s="47">
        <f t="shared" si="189"/>
        <v>0</v>
      </c>
      <c r="N344" s="47"/>
      <c r="O344" s="47">
        <f t="shared" si="190"/>
        <v>0</v>
      </c>
      <c r="P344" s="47">
        <f t="shared" si="191"/>
        <v>0</v>
      </c>
      <c r="Q344" s="47"/>
      <c r="R344" s="47">
        <f t="shared" si="192"/>
        <v>0</v>
      </c>
      <c r="S344" s="47">
        <f t="shared" si="193"/>
        <v>0</v>
      </c>
      <c r="T344" s="47"/>
      <c r="U344" s="47">
        <f t="shared" si="194"/>
        <v>0</v>
      </c>
      <c r="V344" s="47"/>
      <c r="W344" s="47">
        <f t="shared" si="195"/>
        <v>0</v>
      </c>
      <c r="X344" s="47"/>
      <c r="Y344" s="47">
        <f t="shared" si="196"/>
        <v>0</v>
      </c>
      <c r="Z344" s="47"/>
      <c r="AA344" s="47">
        <f t="shared" si="197"/>
        <v>0</v>
      </c>
      <c r="AB344" s="47">
        <f t="shared" si="198"/>
        <v>0</v>
      </c>
      <c r="AC344" s="27" t="str">
        <f t="shared" si="199"/>
        <v>ok</v>
      </c>
    </row>
    <row r="345" spans="1:29" x14ac:dyDescent="0.2">
      <c r="A345" s="14">
        <v>509</v>
      </c>
      <c r="B345" s="14" t="s">
        <v>801</v>
      </c>
      <c r="C345" s="14" t="s">
        <v>849</v>
      </c>
      <c r="D345" s="14" t="s">
        <v>787</v>
      </c>
      <c r="F345" s="47">
        <v>0</v>
      </c>
      <c r="G345" s="47"/>
      <c r="H345" s="47">
        <f t="shared" si="186"/>
        <v>0</v>
      </c>
      <c r="I345" s="47">
        <f t="shared" si="187"/>
        <v>0</v>
      </c>
      <c r="J345" s="47"/>
      <c r="K345" s="47">
        <f t="shared" si="188"/>
        <v>0</v>
      </c>
      <c r="L345" s="47"/>
      <c r="M345" s="47">
        <f t="shared" si="189"/>
        <v>0</v>
      </c>
      <c r="N345" s="47"/>
      <c r="O345" s="47">
        <f t="shared" si="190"/>
        <v>0</v>
      </c>
      <c r="P345" s="47">
        <f t="shared" si="191"/>
        <v>0</v>
      </c>
      <c r="Q345" s="47"/>
      <c r="R345" s="47">
        <f t="shared" si="192"/>
        <v>0</v>
      </c>
      <c r="S345" s="47">
        <f t="shared" si="193"/>
        <v>0</v>
      </c>
      <c r="T345" s="47"/>
      <c r="U345" s="47">
        <f t="shared" si="194"/>
        <v>0</v>
      </c>
      <c r="V345" s="47"/>
      <c r="W345" s="47">
        <f t="shared" si="195"/>
        <v>0</v>
      </c>
      <c r="X345" s="47"/>
      <c r="Y345" s="47">
        <f t="shared" si="196"/>
        <v>0</v>
      </c>
      <c r="Z345" s="47"/>
      <c r="AA345" s="47">
        <f t="shared" si="197"/>
        <v>0</v>
      </c>
      <c r="AB345" s="47">
        <f t="shared" si="198"/>
        <v>0</v>
      </c>
      <c r="AC345" s="27" t="str">
        <f t="shared" si="199"/>
        <v>ok</v>
      </c>
    </row>
    <row r="346" spans="1:29" x14ac:dyDescent="0.2"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C346" s="27"/>
    </row>
    <row r="347" spans="1:29" x14ac:dyDescent="0.2">
      <c r="A347" s="14" t="s">
        <v>793</v>
      </c>
      <c r="C347" s="14" t="s">
        <v>850</v>
      </c>
      <c r="F347" s="62">
        <f>SUM(F337:F346)</f>
        <v>0</v>
      </c>
      <c r="G347" s="62"/>
      <c r="H347" s="62">
        <f>SUM(H337:H346)</f>
        <v>0</v>
      </c>
      <c r="I347" s="62">
        <f>SUM(I337:I346)</f>
        <v>0</v>
      </c>
      <c r="J347" s="62"/>
      <c r="K347" s="62">
        <f>SUM(K337:K346)</f>
        <v>0</v>
      </c>
      <c r="L347" s="62"/>
      <c r="M347" s="62">
        <f>SUM(M337:M346)</f>
        <v>0</v>
      </c>
      <c r="N347" s="62"/>
      <c r="O347" s="62">
        <f>SUM(O337:O346)</f>
        <v>0</v>
      </c>
      <c r="P347" s="62">
        <f>SUM(P337:P346)</f>
        <v>0</v>
      </c>
      <c r="Q347" s="62"/>
      <c r="R347" s="62">
        <f>SUM(R337:R346)</f>
        <v>0</v>
      </c>
      <c r="S347" s="62">
        <f>SUM(S337:S346)</f>
        <v>0</v>
      </c>
      <c r="T347" s="62"/>
      <c r="U347" s="62">
        <f>SUM(U337:U346)</f>
        <v>0</v>
      </c>
      <c r="V347" s="62"/>
      <c r="W347" s="62">
        <f>SUM(W337:W346)</f>
        <v>0</v>
      </c>
      <c r="X347" s="62"/>
      <c r="Y347" s="62">
        <f>SUM(Y337:Y346)</f>
        <v>0</v>
      </c>
      <c r="Z347" s="62"/>
      <c r="AA347" s="62">
        <f>SUM(AA337:AA346)</f>
        <v>0</v>
      </c>
      <c r="AB347" s="47">
        <f>SUM(H347:AA347)</f>
        <v>0</v>
      </c>
      <c r="AC347" s="27" t="str">
        <f>IF(ABS(AB347-F347)&lt;1,"ok","err")</f>
        <v>ok</v>
      </c>
    </row>
    <row r="348" spans="1:29" x14ac:dyDescent="0.2">
      <c r="A348" s="13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C348" s="27"/>
    </row>
    <row r="349" spans="1:29" x14ac:dyDescent="0.2">
      <c r="A349" s="13" t="s">
        <v>790</v>
      </c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C349" s="27"/>
    </row>
    <row r="350" spans="1:29" x14ac:dyDescent="0.2">
      <c r="A350" s="14">
        <v>510</v>
      </c>
      <c r="B350" s="14" t="s">
        <v>802</v>
      </c>
      <c r="C350" s="14" t="s">
        <v>851</v>
      </c>
      <c r="D350" s="14" t="s">
        <v>787</v>
      </c>
      <c r="F350" s="62">
        <v>0</v>
      </c>
      <c r="G350" s="62"/>
      <c r="H350" s="47">
        <f>IF(VLOOKUP($D350,$C$5:$AA$496,6,)=0,0,((VLOOKUP($D350,$C$5:$AA$496,6,)/VLOOKUP($D350,$C$5:$AA$496,4,))*$F350))</f>
        <v>0</v>
      </c>
      <c r="I350" s="47">
        <f>IF(VLOOKUP($D350,$C$5:$AA$496,7,)=0,0,((VLOOKUP($D350,$C$5:$AA$496,7,)/VLOOKUP($D350,$C$5:$AA$496,4,))*$F350))</f>
        <v>0</v>
      </c>
      <c r="J350" s="47"/>
      <c r="K350" s="47">
        <f>IF(VLOOKUP($D350,$C$5:$AA$496,9,)=0,0,((VLOOKUP($D350,$C$5:$AA$496,9,)/VLOOKUP($D350,$C$5:$AA$496,4,))*$F350))</f>
        <v>0</v>
      </c>
      <c r="L350" s="47"/>
      <c r="M350" s="47">
        <f>IF(VLOOKUP($D350,$C$5:$AA$496,11,)=0,0,((VLOOKUP($D350,$C$5:$AA$496,11,)/VLOOKUP($D350,$C$5:$AA$496,4,))*$F350))</f>
        <v>0</v>
      </c>
      <c r="N350" s="47"/>
      <c r="O350" s="47">
        <f>IF(VLOOKUP($D350,$C$5:$AA$496,13,)=0,0,((VLOOKUP($D350,$C$5:$AA$496,13,)/VLOOKUP($D350,$C$5:$AA$496,4,))*$F350))</f>
        <v>0</v>
      </c>
      <c r="P350" s="47">
        <f>IF(VLOOKUP($D350,$C$5:$AA$496,14,)=0,0,((VLOOKUP($D350,$C$5:$AA$496,14,)/VLOOKUP($D350,$C$5:$AA$496,4,))*$F350))</f>
        <v>0</v>
      </c>
      <c r="Q350" s="47"/>
      <c r="R350" s="47">
        <f>IF(VLOOKUP($D350,$C$5:$AA$496,16,)=0,0,((VLOOKUP($D350,$C$5:$AA$496,16,)/VLOOKUP($D350,$C$5:$AA$496,4,))*$F350))</f>
        <v>0</v>
      </c>
      <c r="S350" s="47">
        <f>IF(VLOOKUP($D350,$C$5:$AA$496,17,)=0,0,((VLOOKUP($D350,$C$5:$AA$496,17,)/VLOOKUP($D350,$C$5:$AA$496,4,))*$F350))</f>
        <v>0</v>
      </c>
      <c r="T350" s="47"/>
      <c r="U350" s="47">
        <f>IF(VLOOKUP($D350,$C$5:$AA$496,19,)=0,0,((VLOOKUP($D350,$C$5:$AA$496,19,)/VLOOKUP($D350,$C$5:$AA$496,4,))*$F350))</f>
        <v>0</v>
      </c>
      <c r="V350" s="47"/>
      <c r="W350" s="47">
        <f>IF(VLOOKUP($D350,$C$5:$AA$496,21,)=0,0,((VLOOKUP($D350,$C$5:$AA$496,21,)/VLOOKUP($D350,$C$5:$AA$496,4,))*$F350))</f>
        <v>0</v>
      </c>
      <c r="X350" s="47"/>
      <c r="Y350" s="47">
        <f>IF(VLOOKUP($D350,$C$5:$AA$496,23,)=0,0,((VLOOKUP($D350,$C$5:$AA$496,23,)/VLOOKUP($D350,$C$5:$AA$496,4,))*$F350))</f>
        <v>0</v>
      </c>
      <c r="Z350" s="47"/>
      <c r="AA350" s="47">
        <f>IF(VLOOKUP($D350,$C$5:$AA$496,25,)=0,0,((VLOOKUP($D350,$C$5:$AA$496,25,)/VLOOKUP($D350,$C$5:$AA$496,4,))*$F350))</f>
        <v>0</v>
      </c>
      <c r="AB350" s="47">
        <f>SUM(H350:AA350)</f>
        <v>0</v>
      </c>
      <c r="AC350" s="27" t="str">
        <f>IF(ABS(AB350-F350)&lt;1,"ok","err")</f>
        <v>ok</v>
      </c>
    </row>
    <row r="351" spans="1:29" x14ac:dyDescent="0.2">
      <c r="A351" s="14">
        <v>511</v>
      </c>
      <c r="B351" s="14" t="s">
        <v>803</v>
      </c>
      <c r="C351" s="14" t="s">
        <v>852</v>
      </c>
      <c r="D351" s="14" t="s">
        <v>552</v>
      </c>
      <c r="F351" s="47">
        <v>0</v>
      </c>
      <c r="G351" s="47"/>
      <c r="H351" s="47">
        <f>IF(VLOOKUP($D351,$C$5:$AA$496,6,)=0,0,((VLOOKUP($D351,$C$5:$AA$496,6,)/VLOOKUP($D351,$C$5:$AA$496,4,))*$F351))</f>
        <v>0</v>
      </c>
      <c r="I351" s="47">
        <f>IF(VLOOKUP($D351,$C$5:$AA$496,7,)=0,0,((VLOOKUP($D351,$C$5:$AA$496,7,)/VLOOKUP($D351,$C$5:$AA$496,4,))*$F351))</f>
        <v>0</v>
      </c>
      <c r="J351" s="47"/>
      <c r="K351" s="47">
        <f>IF(VLOOKUP($D351,$C$5:$AA$496,9,)=0,0,((VLOOKUP($D351,$C$5:$AA$496,9,)/VLOOKUP($D351,$C$5:$AA$496,4,))*$F351))</f>
        <v>0</v>
      </c>
      <c r="L351" s="47"/>
      <c r="M351" s="47">
        <f>IF(VLOOKUP($D351,$C$5:$AA$496,11,)=0,0,((VLOOKUP($D351,$C$5:$AA$496,11,)/VLOOKUP($D351,$C$5:$AA$496,4,))*$F351))</f>
        <v>0</v>
      </c>
      <c r="N351" s="47"/>
      <c r="O351" s="47">
        <f>IF(VLOOKUP($D351,$C$5:$AA$496,13,)=0,0,((VLOOKUP($D351,$C$5:$AA$496,13,)/VLOOKUP($D351,$C$5:$AA$496,4,))*$F351))</f>
        <v>0</v>
      </c>
      <c r="P351" s="47">
        <f>IF(VLOOKUP($D351,$C$5:$AA$496,14,)=0,0,((VLOOKUP($D351,$C$5:$AA$496,14,)/VLOOKUP($D351,$C$5:$AA$496,4,))*$F351))</f>
        <v>0</v>
      </c>
      <c r="Q351" s="47"/>
      <c r="R351" s="47">
        <f>IF(VLOOKUP($D351,$C$5:$AA$496,16,)=0,0,((VLOOKUP($D351,$C$5:$AA$496,16,)/VLOOKUP($D351,$C$5:$AA$496,4,))*$F351))</f>
        <v>0</v>
      </c>
      <c r="S351" s="47">
        <f>IF(VLOOKUP($D351,$C$5:$AA$496,17,)=0,0,((VLOOKUP($D351,$C$5:$AA$496,17,)/VLOOKUP($D351,$C$5:$AA$496,4,))*$F351))</f>
        <v>0</v>
      </c>
      <c r="T351" s="47"/>
      <c r="U351" s="47">
        <f>IF(VLOOKUP($D351,$C$5:$AA$496,19,)=0,0,((VLOOKUP($D351,$C$5:$AA$496,19,)/VLOOKUP($D351,$C$5:$AA$496,4,))*$F351))</f>
        <v>0</v>
      </c>
      <c r="V351" s="47"/>
      <c r="W351" s="47">
        <f>IF(VLOOKUP($D351,$C$5:$AA$496,21,)=0,0,((VLOOKUP($D351,$C$5:$AA$496,21,)/VLOOKUP($D351,$C$5:$AA$496,4,))*$F351))</f>
        <v>0</v>
      </c>
      <c r="X351" s="47"/>
      <c r="Y351" s="47">
        <f>IF(VLOOKUP($D351,$C$5:$AA$496,23,)=0,0,((VLOOKUP($D351,$C$5:$AA$496,23,)/VLOOKUP($D351,$C$5:$AA$496,4,))*$F351))</f>
        <v>0</v>
      </c>
      <c r="Z351" s="47"/>
      <c r="AA351" s="47">
        <f>IF(VLOOKUP($D351,$C$5:$AA$496,25,)=0,0,((VLOOKUP($D351,$C$5:$AA$496,25,)/VLOOKUP($D351,$C$5:$AA$496,4,))*$F351))</f>
        <v>0</v>
      </c>
      <c r="AB351" s="47">
        <f>SUM(H351:AA351)</f>
        <v>0</v>
      </c>
      <c r="AC351" s="27" t="str">
        <f>IF(ABS(AB351-F351)&lt;1,"ok","err")</f>
        <v>ok</v>
      </c>
    </row>
    <row r="352" spans="1:29" x14ac:dyDescent="0.2">
      <c r="A352" s="14">
        <v>512</v>
      </c>
      <c r="B352" s="14" t="s">
        <v>804</v>
      </c>
      <c r="C352" s="14" t="s">
        <v>853</v>
      </c>
      <c r="D352" s="14" t="s">
        <v>787</v>
      </c>
      <c r="F352" s="47">
        <v>0</v>
      </c>
      <c r="G352" s="47"/>
      <c r="H352" s="47">
        <f>IF(VLOOKUP($D352,$C$5:$AA$496,6,)=0,0,((VLOOKUP($D352,$C$5:$AA$496,6,)/VLOOKUP($D352,$C$5:$AA$496,4,))*$F352))</f>
        <v>0</v>
      </c>
      <c r="I352" s="47">
        <f>IF(VLOOKUP($D352,$C$5:$AA$496,7,)=0,0,((VLOOKUP($D352,$C$5:$AA$496,7,)/VLOOKUP($D352,$C$5:$AA$496,4,))*$F352))</f>
        <v>0</v>
      </c>
      <c r="J352" s="47"/>
      <c r="K352" s="47">
        <f>IF(VLOOKUP($D352,$C$5:$AA$496,9,)=0,0,((VLOOKUP($D352,$C$5:$AA$496,9,)/VLOOKUP($D352,$C$5:$AA$496,4,))*$F352))</f>
        <v>0</v>
      </c>
      <c r="L352" s="47"/>
      <c r="M352" s="47">
        <f>IF(VLOOKUP($D352,$C$5:$AA$496,11,)=0,0,((VLOOKUP($D352,$C$5:$AA$496,11,)/VLOOKUP($D352,$C$5:$AA$496,4,))*$F352))</f>
        <v>0</v>
      </c>
      <c r="N352" s="47"/>
      <c r="O352" s="47">
        <f>IF(VLOOKUP($D352,$C$5:$AA$496,13,)=0,0,((VLOOKUP($D352,$C$5:$AA$496,13,)/VLOOKUP($D352,$C$5:$AA$496,4,))*$F352))</f>
        <v>0</v>
      </c>
      <c r="P352" s="47">
        <f>IF(VLOOKUP($D352,$C$5:$AA$496,14,)=0,0,((VLOOKUP($D352,$C$5:$AA$496,14,)/VLOOKUP($D352,$C$5:$AA$496,4,))*$F352))</f>
        <v>0</v>
      </c>
      <c r="Q352" s="47"/>
      <c r="R352" s="47">
        <f>IF(VLOOKUP($D352,$C$5:$AA$496,16,)=0,0,((VLOOKUP($D352,$C$5:$AA$496,16,)/VLOOKUP($D352,$C$5:$AA$496,4,))*$F352))</f>
        <v>0</v>
      </c>
      <c r="S352" s="47">
        <f>IF(VLOOKUP($D352,$C$5:$AA$496,17,)=0,0,((VLOOKUP($D352,$C$5:$AA$496,17,)/VLOOKUP($D352,$C$5:$AA$496,4,))*$F352))</f>
        <v>0</v>
      </c>
      <c r="T352" s="47"/>
      <c r="U352" s="47">
        <f>IF(VLOOKUP($D352,$C$5:$AA$496,19,)=0,0,((VLOOKUP($D352,$C$5:$AA$496,19,)/VLOOKUP($D352,$C$5:$AA$496,4,))*$F352))</f>
        <v>0</v>
      </c>
      <c r="V352" s="47"/>
      <c r="W352" s="47">
        <f>IF(VLOOKUP($D352,$C$5:$AA$496,21,)=0,0,((VLOOKUP($D352,$C$5:$AA$496,21,)/VLOOKUP($D352,$C$5:$AA$496,4,))*$F352))</f>
        <v>0</v>
      </c>
      <c r="X352" s="47"/>
      <c r="Y352" s="47">
        <f>IF(VLOOKUP($D352,$C$5:$AA$496,23,)=0,0,((VLOOKUP($D352,$C$5:$AA$496,23,)/VLOOKUP($D352,$C$5:$AA$496,4,))*$F352))</f>
        <v>0</v>
      </c>
      <c r="Z352" s="47"/>
      <c r="AA352" s="47">
        <f>IF(VLOOKUP($D352,$C$5:$AA$496,25,)=0,0,((VLOOKUP($D352,$C$5:$AA$496,25,)/VLOOKUP($D352,$C$5:$AA$496,4,))*$F352))</f>
        <v>0</v>
      </c>
      <c r="AB352" s="47">
        <f>SUM(H352:AA352)</f>
        <v>0</v>
      </c>
      <c r="AC352" s="27" t="str">
        <f>IF(ABS(AB352-F352)&lt;1,"ok","err")</f>
        <v>ok</v>
      </c>
    </row>
    <row r="353" spans="1:29" x14ac:dyDescent="0.2">
      <c r="A353" s="14">
        <v>513</v>
      </c>
      <c r="B353" s="14" t="s">
        <v>805</v>
      </c>
      <c r="C353" s="14" t="s">
        <v>854</v>
      </c>
      <c r="D353" s="14" t="s">
        <v>787</v>
      </c>
      <c r="F353" s="47">
        <v>0</v>
      </c>
      <c r="G353" s="47"/>
      <c r="H353" s="47">
        <f>IF(VLOOKUP($D353,$C$5:$AA$496,6,)=0,0,((VLOOKUP($D353,$C$5:$AA$496,6,)/VLOOKUP($D353,$C$5:$AA$496,4,))*$F353))</f>
        <v>0</v>
      </c>
      <c r="I353" s="47">
        <f>IF(VLOOKUP($D353,$C$5:$AA$496,7,)=0,0,((VLOOKUP($D353,$C$5:$AA$496,7,)/VLOOKUP($D353,$C$5:$AA$496,4,))*$F353))</f>
        <v>0</v>
      </c>
      <c r="J353" s="47"/>
      <c r="K353" s="47">
        <f>IF(VLOOKUP($D353,$C$5:$AA$496,9,)=0,0,((VLOOKUP($D353,$C$5:$AA$496,9,)/VLOOKUP($D353,$C$5:$AA$496,4,))*$F353))</f>
        <v>0</v>
      </c>
      <c r="L353" s="47"/>
      <c r="M353" s="47">
        <f>IF(VLOOKUP($D353,$C$5:$AA$496,11,)=0,0,((VLOOKUP($D353,$C$5:$AA$496,11,)/VLOOKUP($D353,$C$5:$AA$496,4,))*$F353))</f>
        <v>0</v>
      </c>
      <c r="N353" s="47"/>
      <c r="O353" s="47">
        <f>IF(VLOOKUP($D353,$C$5:$AA$496,13,)=0,0,((VLOOKUP($D353,$C$5:$AA$496,13,)/VLOOKUP($D353,$C$5:$AA$496,4,))*$F353))</f>
        <v>0</v>
      </c>
      <c r="P353" s="47">
        <f>IF(VLOOKUP($D353,$C$5:$AA$496,14,)=0,0,((VLOOKUP($D353,$C$5:$AA$496,14,)/VLOOKUP($D353,$C$5:$AA$496,4,))*$F353))</f>
        <v>0</v>
      </c>
      <c r="Q353" s="47"/>
      <c r="R353" s="47">
        <f>IF(VLOOKUP($D353,$C$5:$AA$496,16,)=0,0,((VLOOKUP($D353,$C$5:$AA$496,16,)/VLOOKUP($D353,$C$5:$AA$496,4,))*$F353))</f>
        <v>0</v>
      </c>
      <c r="S353" s="47">
        <f>IF(VLOOKUP($D353,$C$5:$AA$496,17,)=0,0,((VLOOKUP($D353,$C$5:$AA$496,17,)/VLOOKUP($D353,$C$5:$AA$496,4,))*$F353))</f>
        <v>0</v>
      </c>
      <c r="T353" s="47"/>
      <c r="U353" s="47">
        <f>IF(VLOOKUP($D353,$C$5:$AA$496,19,)=0,0,((VLOOKUP($D353,$C$5:$AA$496,19,)/VLOOKUP($D353,$C$5:$AA$496,4,))*$F353))</f>
        <v>0</v>
      </c>
      <c r="V353" s="47"/>
      <c r="W353" s="47">
        <f>IF(VLOOKUP($D353,$C$5:$AA$496,21,)=0,0,((VLOOKUP($D353,$C$5:$AA$496,21,)/VLOOKUP($D353,$C$5:$AA$496,4,))*$F353))</f>
        <v>0</v>
      </c>
      <c r="X353" s="47"/>
      <c r="Y353" s="47">
        <f>IF(VLOOKUP($D353,$C$5:$AA$496,23,)=0,0,((VLOOKUP($D353,$C$5:$AA$496,23,)/VLOOKUP($D353,$C$5:$AA$496,4,))*$F353))</f>
        <v>0</v>
      </c>
      <c r="Z353" s="47"/>
      <c r="AA353" s="47">
        <f>IF(VLOOKUP($D353,$C$5:$AA$496,25,)=0,0,((VLOOKUP($D353,$C$5:$AA$496,25,)/VLOOKUP($D353,$C$5:$AA$496,4,))*$F353))</f>
        <v>0</v>
      </c>
      <c r="AB353" s="47">
        <f>SUM(H353:AA353)</f>
        <v>0</v>
      </c>
      <c r="AC353" s="27" t="str">
        <f>IF(ABS(AB353-F353)&lt;1,"ok","err")</f>
        <v>ok</v>
      </c>
    </row>
    <row r="354" spans="1:29" x14ac:dyDescent="0.2">
      <c r="A354" s="14">
        <v>514</v>
      </c>
      <c r="B354" s="14" t="s">
        <v>806</v>
      </c>
      <c r="C354" s="14" t="s">
        <v>855</v>
      </c>
      <c r="D354" s="14" t="s">
        <v>552</v>
      </c>
      <c r="F354" s="47">
        <v>0</v>
      </c>
      <c r="G354" s="47"/>
      <c r="H354" s="47">
        <f>IF(VLOOKUP($D354,$C$5:$AA$496,6,)=0,0,((VLOOKUP($D354,$C$5:$AA$496,6,)/VLOOKUP($D354,$C$5:$AA$496,4,))*$F354))</f>
        <v>0</v>
      </c>
      <c r="I354" s="47">
        <f>IF(VLOOKUP($D354,$C$5:$AA$496,7,)=0,0,((VLOOKUP($D354,$C$5:$AA$496,7,)/VLOOKUP($D354,$C$5:$AA$496,4,))*$F354))</f>
        <v>0</v>
      </c>
      <c r="J354" s="47"/>
      <c r="K354" s="47">
        <f>IF(VLOOKUP($D354,$C$5:$AA$496,9,)=0,0,((VLOOKUP($D354,$C$5:$AA$496,9,)/VLOOKUP($D354,$C$5:$AA$496,4,))*$F354))</f>
        <v>0</v>
      </c>
      <c r="L354" s="47"/>
      <c r="M354" s="47">
        <f>IF(VLOOKUP($D354,$C$5:$AA$496,11,)=0,0,((VLOOKUP($D354,$C$5:$AA$496,11,)/VLOOKUP($D354,$C$5:$AA$496,4,))*$F354))</f>
        <v>0</v>
      </c>
      <c r="N354" s="47"/>
      <c r="O354" s="47">
        <f>IF(VLOOKUP($D354,$C$5:$AA$496,13,)=0,0,((VLOOKUP($D354,$C$5:$AA$496,13,)/VLOOKUP($D354,$C$5:$AA$496,4,))*$F354))</f>
        <v>0</v>
      </c>
      <c r="P354" s="47">
        <f>IF(VLOOKUP($D354,$C$5:$AA$496,14,)=0,0,((VLOOKUP($D354,$C$5:$AA$496,14,)/VLOOKUP($D354,$C$5:$AA$496,4,))*$F354))</f>
        <v>0</v>
      </c>
      <c r="Q354" s="47"/>
      <c r="R354" s="47">
        <f>IF(VLOOKUP($D354,$C$5:$AA$496,16,)=0,0,((VLOOKUP($D354,$C$5:$AA$496,16,)/VLOOKUP($D354,$C$5:$AA$496,4,))*$F354))</f>
        <v>0</v>
      </c>
      <c r="S354" s="47">
        <f>IF(VLOOKUP($D354,$C$5:$AA$496,17,)=0,0,((VLOOKUP($D354,$C$5:$AA$496,17,)/VLOOKUP($D354,$C$5:$AA$496,4,))*$F354))</f>
        <v>0</v>
      </c>
      <c r="T354" s="47"/>
      <c r="U354" s="47">
        <f>IF(VLOOKUP($D354,$C$5:$AA$496,19,)=0,0,((VLOOKUP($D354,$C$5:$AA$496,19,)/VLOOKUP($D354,$C$5:$AA$496,4,))*$F354))</f>
        <v>0</v>
      </c>
      <c r="V354" s="47"/>
      <c r="W354" s="47">
        <f>IF(VLOOKUP($D354,$C$5:$AA$496,21,)=0,0,((VLOOKUP($D354,$C$5:$AA$496,21,)/VLOOKUP($D354,$C$5:$AA$496,4,))*$F354))</f>
        <v>0</v>
      </c>
      <c r="X354" s="47"/>
      <c r="Y354" s="47">
        <f>IF(VLOOKUP($D354,$C$5:$AA$496,23,)=0,0,((VLOOKUP($D354,$C$5:$AA$496,23,)/VLOOKUP($D354,$C$5:$AA$496,4,))*$F354))</f>
        <v>0</v>
      </c>
      <c r="Z354" s="47"/>
      <c r="AA354" s="47">
        <f>IF(VLOOKUP($D354,$C$5:$AA$496,25,)=0,0,((VLOOKUP($D354,$C$5:$AA$496,25,)/VLOOKUP($D354,$C$5:$AA$496,4,))*$F354))</f>
        <v>0</v>
      </c>
      <c r="AB354" s="47">
        <f>SUM(H354:AA354)</f>
        <v>0</v>
      </c>
      <c r="AC354" s="27" t="str">
        <f>IF(ABS(AB354-F354)&lt;1,"ok","err")</f>
        <v>ok</v>
      </c>
    </row>
    <row r="355" spans="1:29" x14ac:dyDescent="0.2"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27"/>
    </row>
    <row r="356" spans="1:29" x14ac:dyDescent="0.2">
      <c r="A356" s="14" t="s">
        <v>791</v>
      </c>
      <c r="C356" s="14" t="s">
        <v>856</v>
      </c>
      <c r="F356" s="62">
        <f>SUM(F350:F355)</f>
        <v>0</v>
      </c>
      <c r="G356" s="62"/>
      <c r="H356" s="62">
        <f>SUM(H350:H355)</f>
        <v>0</v>
      </c>
      <c r="I356" s="62">
        <f>SUM(I350:I355)</f>
        <v>0</v>
      </c>
      <c r="J356" s="62"/>
      <c r="K356" s="62">
        <f>SUM(K350:K355)</f>
        <v>0</v>
      </c>
      <c r="L356" s="62"/>
      <c r="M356" s="62">
        <f>SUM(M350:M355)</f>
        <v>0</v>
      </c>
      <c r="N356" s="62"/>
      <c r="O356" s="62">
        <f>SUM(O350:O355)</f>
        <v>0</v>
      </c>
      <c r="P356" s="62">
        <f>SUM(P350:P355)</f>
        <v>0</v>
      </c>
      <c r="Q356" s="62"/>
      <c r="R356" s="62">
        <f>SUM(R350:R355)</f>
        <v>0</v>
      </c>
      <c r="S356" s="62">
        <f>SUM(S350:S355)</f>
        <v>0</v>
      </c>
      <c r="T356" s="62"/>
      <c r="U356" s="62">
        <f>SUM(U350:U355)</f>
        <v>0</v>
      </c>
      <c r="V356" s="62"/>
      <c r="W356" s="62">
        <f>SUM(W350:W355)</f>
        <v>0</v>
      </c>
      <c r="X356" s="62"/>
      <c r="Y356" s="62">
        <f>SUM(Y350:Y355)</f>
        <v>0</v>
      </c>
      <c r="Z356" s="62"/>
      <c r="AA356" s="62">
        <f>SUM(AA350:AA355)</f>
        <v>0</v>
      </c>
      <c r="AB356" s="47">
        <f>SUM(H356:AA356)</f>
        <v>0</v>
      </c>
      <c r="AC356" s="27" t="str">
        <f>IF(ABS(AB356-F356)&lt;1,"ok","err")</f>
        <v>ok</v>
      </c>
    </row>
    <row r="357" spans="1:29" x14ac:dyDescent="0.2"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C357" s="27"/>
    </row>
    <row r="358" spans="1:29" x14ac:dyDescent="0.2">
      <c r="A358" s="14" t="s">
        <v>792</v>
      </c>
      <c r="C358" s="14" t="s">
        <v>857</v>
      </c>
      <c r="F358" s="47">
        <f>F347+F356</f>
        <v>0</v>
      </c>
      <c r="G358" s="47"/>
      <c r="H358" s="47">
        <f>H347+H356</f>
        <v>0</v>
      </c>
      <c r="I358" s="47">
        <f>I347+I356</f>
        <v>0</v>
      </c>
      <c r="J358" s="47"/>
      <c r="K358" s="47">
        <f>K347+K356</f>
        <v>0</v>
      </c>
      <c r="L358" s="47"/>
      <c r="M358" s="47">
        <f>M347+M356</f>
        <v>0</v>
      </c>
      <c r="N358" s="47"/>
      <c r="O358" s="47">
        <f>O347+O356</f>
        <v>0</v>
      </c>
      <c r="P358" s="47">
        <f>P347+P356</f>
        <v>0</v>
      </c>
      <c r="Q358" s="47"/>
      <c r="R358" s="47">
        <f>R347+R356</f>
        <v>0</v>
      </c>
      <c r="S358" s="47">
        <f>S347+S356</f>
        <v>0</v>
      </c>
      <c r="T358" s="47"/>
      <c r="U358" s="47">
        <f>U347+U356</f>
        <v>0</v>
      </c>
      <c r="V358" s="47"/>
      <c r="W358" s="47">
        <f>W347+W356</f>
        <v>0</v>
      </c>
      <c r="X358" s="47"/>
      <c r="Y358" s="47">
        <f>Y347+Y356</f>
        <v>0</v>
      </c>
      <c r="Z358" s="47"/>
      <c r="AA358" s="47">
        <f>AA347+AA356</f>
        <v>0</v>
      </c>
      <c r="AB358" s="47">
        <f>SUM(H358:AA358)</f>
        <v>0</v>
      </c>
      <c r="AC358" s="27" t="str">
        <f>IF(ABS(AB358-F358)&lt;1,"ok","err")</f>
        <v>ok</v>
      </c>
    </row>
    <row r="359" spans="1:29" x14ac:dyDescent="0.2">
      <c r="A359" s="25"/>
      <c r="Q359" s="14"/>
      <c r="AC359" s="27"/>
    </row>
    <row r="360" spans="1:29" x14ac:dyDescent="0.2">
      <c r="A360" s="25"/>
      <c r="Q360" s="14"/>
      <c r="AC360" s="27"/>
    </row>
    <row r="361" spans="1:29" x14ac:dyDescent="0.2">
      <c r="A361" s="25" t="s">
        <v>473</v>
      </c>
      <c r="Q361" s="14"/>
      <c r="AC361" s="27"/>
    </row>
    <row r="362" spans="1:29" x14ac:dyDescent="0.2">
      <c r="A362" s="25"/>
      <c r="Q362" s="14"/>
      <c r="AC362" s="27"/>
    </row>
    <row r="363" spans="1:29" x14ac:dyDescent="0.2">
      <c r="A363" s="13" t="s">
        <v>96</v>
      </c>
      <c r="Q363" s="14"/>
      <c r="AC363" s="27"/>
    </row>
    <row r="364" spans="1:29" x14ac:dyDescent="0.2">
      <c r="A364" s="14">
        <v>555</v>
      </c>
      <c r="B364" s="14" t="s">
        <v>379</v>
      </c>
      <c r="C364" s="14" t="s">
        <v>530</v>
      </c>
      <c r="D364" s="14" t="s">
        <v>97</v>
      </c>
      <c r="F364" s="62">
        <v>0</v>
      </c>
      <c r="G364" s="62"/>
      <c r="H364" s="47">
        <f>IF(VLOOKUP($D364,$C$5:$AA$496,6,)=0,0,((VLOOKUP($D364,$C$5:$AA$496,6,)/VLOOKUP($D364,$C$5:$AA$496,4,))*$F364))</f>
        <v>0</v>
      </c>
      <c r="I364" s="47">
        <f>IF(VLOOKUP($D364,$C$5:$AA$496,7,)=0,0,((VLOOKUP($D364,$C$5:$AA$496,7,)/VLOOKUP($D364,$C$5:$AA$496,4,))*$F364))</f>
        <v>0</v>
      </c>
      <c r="J364" s="47"/>
      <c r="K364" s="47">
        <f>IF(VLOOKUP($D364,$C$5:$AA$496,9,)=0,0,((VLOOKUP($D364,$C$5:$AA$496,9,)/VLOOKUP($D364,$C$5:$AA$496,4,))*$F364))</f>
        <v>0</v>
      </c>
      <c r="L364" s="47"/>
      <c r="M364" s="47">
        <f>IF(VLOOKUP($D364,$C$5:$AA$496,11,)=0,0,((VLOOKUP($D364,$C$5:$AA$496,11,)/VLOOKUP($D364,$C$5:$AA$496,4,))*$F364))</f>
        <v>0</v>
      </c>
      <c r="N364" s="47"/>
      <c r="O364" s="47">
        <f>IF(VLOOKUP($D364,$C$5:$AA$496,13,)=0,0,((VLOOKUP($D364,$C$5:$AA$496,13,)/VLOOKUP($D364,$C$5:$AA$496,4,))*$F364))</f>
        <v>0</v>
      </c>
      <c r="P364" s="47">
        <f>IF(VLOOKUP($D364,$C$5:$AA$496,14,)=0,0,((VLOOKUP($D364,$C$5:$AA$496,14,)/VLOOKUP($D364,$C$5:$AA$496,4,))*$F364))</f>
        <v>0</v>
      </c>
      <c r="Q364" s="47"/>
      <c r="R364" s="47">
        <f>IF(VLOOKUP($D364,$C$5:$AA$496,16,)=0,0,((VLOOKUP($D364,$C$5:$AA$496,16,)/VLOOKUP($D364,$C$5:$AA$496,4,))*$F364))</f>
        <v>0</v>
      </c>
      <c r="S364" s="47">
        <f>IF(VLOOKUP($D364,$C$5:$AA$496,17,)=0,0,((VLOOKUP($D364,$C$5:$AA$496,17,)/VLOOKUP($D364,$C$5:$AA$496,4,))*$F364))</f>
        <v>0</v>
      </c>
      <c r="T364" s="47"/>
      <c r="U364" s="47">
        <f>IF(VLOOKUP($D364,$C$5:$AA$496,19,)=0,0,((VLOOKUP($D364,$C$5:$AA$496,19,)/VLOOKUP($D364,$C$5:$AA$496,4,))*$F364))</f>
        <v>0</v>
      </c>
      <c r="V364" s="47"/>
      <c r="W364" s="47">
        <f>IF(VLOOKUP($D364,$C$5:$AA$496,21,)=0,0,((VLOOKUP($D364,$C$5:$AA$496,21,)/VLOOKUP($D364,$C$5:$AA$496,4,))*$F364))</f>
        <v>0</v>
      </c>
      <c r="X364" s="47"/>
      <c r="Y364" s="47">
        <f>IF(VLOOKUP($D364,$C$5:$AA$496,23,)=0,0,((VLOOKUP($D364,$C$5:$AA$496,23,)/VLOOKUP($D364,$C$5:$AA$496,4,))*$F364))</f>
        <v>0</v>
      </c>
      <c r="Z364" s="47"/>
      <c r="AA364" s="47">
        <f>IF(VLOOKUP($D364,$C$5:$AA$496,25,)=0,0,((VLOOKUP($D364,$C$5:$AA$496,25,)/VLOOKUP($D364,$C$5:$AA$496,4,))*$F364))</f>
        <v>0</v>
      </c>
      <c r="AB364" s="47">
        <f>SUM(H364:AA364)</f>
        <v>0</v>
      </c>
      <c r="AC364" s="27" t="str">
        <f>IF(ABS(AB364-F364)&lt;1,"ok","err")</f>
        <v>ok</v>
      </c>
    </row>
    <row r="365" spans="1:29" x14ac:dyDescent="0.2">
      <c r="A365" s="14">
        <v>557</v>
      </c>
      <c r="B365" s="14" t="s">
        <v>398</v>
      </c>
      <c r="C365" s="14" t="s">
        <v>475</v>
      </c>
      <c r="D365" s="14" t="s">
        <v>97</v>
      </c>
      <c r="F365" s="47"/>
      <c r="G365" s="47"/>
      <c r="H365" s="47">
        <f>IF(VLOOKUP($D365,$C$5:$AA$496,6,)=0,0,((VLOOKUP($D365,$C$5:$AA$496,6,)/VLOOKUP($D365,$C$5:$AA$496,4,))*$F365))</f>
        <v>0</v>
      </c>
      <c r="I365" s="47">
        <f>IF(VLOOKUP($D365,$C$5:$AA$496,7,)=0,0,((VLOOKUP($D365,$C$5:$AA$496,7,)/VLOOKUP($D365,$C$5:$AA$496,4,))*$F365))</f>
        <v>0</v>
      </c>
      <c r="J365" s="47"/>
      <c r="K365" s="47">
        <f>IF(VLOOKUP($D365,$C$5:$AA$496,9,)=0,0,((VLOOKUP($D365,$C$5:$AA$496,9,)/VLOOKUP($D365,$C$5:$AA$496,4,))*$F365))</f>
        <v>0</v>
      </c>
      <c r="L365" s="47"/>
      <c r="M365" s="47">
        <f>IF(VLOOKUP($D365,$C$5:$AA$496,11,)=0,0,((VLOOKUP($D365,$C$5:$AA$496,11,)/VLOOKUP($D365,$C$5:$AA$496,4,))*$F365))</f>
        <v>0</v>
      </c>
      <c r="N365" s="47"/>
      <c r="O365" s="47">
        <f>IF(VLOOKUP($D365,$C$5:$AA$496,13,)=0,0,((VLOOKUP($D365,$C$5:$AA$496,13,)/VLOOKUP($D365,$C$5:$AA$496,4,))*$F365))</f>
        <v>0</v>
      </c>
      <c r="P365" s="47">
        <f>IF(VLOOKUP($D365,$C$5:$AA$496,14,)=0,0,((VLOOKUP($D365,$C$5:$AA$496,14,)/VLOOKUP($D365,$C$5:$AA$496,4,))*$F365))</f>
        <v>0</v>
      </c>
      <c r="Q365" s="47"/>
      <c r="R365" s="47">
        <f>IF(VLOOKUP($D365,$C$5:$AA$496,16,)=0,0,((VLOOKUP($D365,$C$5:$AA$496,16,)/VLOOKUP($D365,$C$5:$AA$496,4,))*$F365))</f>
        <v>0</v>
      </c>
      <c r="S365" s="47">
        <f>IF(VLOOKUP($D365,$C$5:$AA$496,17,)=0,0,((VLOOKUP($D365,$C$5:$AA$496,17,)/VLOOKUP($D365,$C$5:$AA$496,4,))*$F365))</f>
        <v>0</v>
      </c>
      <c r="T365" s="47"/>
      <c r="U365" s="47">
        <f>IF(VLOOKUP($D365,$C$5:$AA$496,19,)=0,0,((VLOOKUP($D365,$C$5:$AA$496,19,)/VLOOKUP($D365,$C$5:$AA$496,4,))*$F365))</f>
        <v>0</v>
      </c>
      <c r="V365" s="47"/>
      <c r="W365" s="47">
        <f>IF(VLOOKUP($D365,$C$5:$AA$496,21,)=0,0,((VLOOKUP($D365,$C$5:$AA$496,21,)/VLOOKUP($D365,$C$5:$AA$496,4,))*$F365))</f>
        <v>0</v>
      </c>
      <c r="X365" s="47"/>
      <c r="Y365" s="47">
        <f>IF(VLOOKUP($D365,$C$5:$AA$496,23,)=0,0,((VLOOKUP($D365,$C$5:$AA$496,23,)/VLOOKUP($D365,$C$5:$AA$496,4,))*$F365))</f>
        <v>0</v>
      </c>
      <c r="Z365" s="47"/>
      <c r="AA365" s="47">
        <f>IF(VLOOKUP($D365,$C$5:$AA$496,25,)=0,0,((VLOOKUP($D365,$C$5:$AA$496,25,)/VLOOKUP($D365,$C$5:$AA$496,4,))*$F365))</f>
        <v>0</v>
      </c>
      <c r="AB365" s="47">
        <f>SUM(H365:AA365)</f>
        <v>0</v>
      </c>
      <c r="AC365" s="27" t="str">
        <f>IF(ABS(AB365-F365)&lt;1,"ok","err")</f>
        <v>ok</v>
      </c>
    </row>
    <row r="366" spans="1:29" x14ac:dyDescent="0.2">
      <c r="F366" s="47"/>
      <c r="G366" s="47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47"/>
      <c r="AC366" s="27"/>
    </row>
    <row r="367" spans="1:29" x14ac:dyDescent="0.2">
      <c r="B367" s="14" t="s">
        <v>532</v>
      </c>
      <c r="C367" s="14" t="s">
        <v>474</v>
      </c>
      <c r="F367" s="62">
        <f>SUM(F364:F366)</f>
        <v>0</v>
      </c>
      <c r="G367" s="62"/>
      <c r="H367" s="62">
        <f>SUM(H364:H366)</f>
        <v>0</v>
      </c>
      <c r="I367" s="62">
        <f>SUM(I364:I366)</f>
        <v>0</v>
      </c>
      <c r="J367" s="62"/>
      <c r="K367" s="62">
        <f>SUM(K364:K366)</f>
        <v>0</v>
      </c>
      <c r="L367" s="62"/>
      <c r="M367" s="62">
        <f>SUM(M364:M366)</f>
        <v>0</v>
      </c>
      <c r="N367" s="62"/>
      <c r="O367" s="62">
        <f>SUM(O364:O366)</f>
        <v>0</v>
      </c>
      <c r="P367" s="62">
        <f>SUM(P364:P366)</f>
        <v>0</v>
      </c>
      <c r="Q367" s="62"/>
      <c r="R367" s="62">
        <f>SUM(R364:R366)</f>
        <v>0</v>
      </c>
      <c r="S367" s="62">
        <f>SUM(S364:S366)</f>
        <v>0</v>
      </c>
      <c r="T367" s="62"/>
      <c r="U367" s="62">
        <f>SUM(U364:U366)</f>
        <v>0</v>
      </c>
      <c r="V367" s="62"/>
      <c r="W367" s="62">
        <f>SUM(W364:W366)</f>
        <v>0</v>
      </c>
      <c r="X367" s="62"/>
      <c r="Y367" s="62">
        <f>SUM(Y364:Y366)</f>
        <v>0</v>
      </c>
      <c r="Z367" s="62"/>
      <c r="AA367" s="62">
        <f>SUM(AA364:AA366)</f>
        <v>0</v>
      </c>
      <c r="AB367" s="47">
        <f>SUM(H367:AA367)</f>
        <v>0</v>
      </c>
      <c r="AC367" s="27" t="str">
        <f>IF(ABS(AB367-F367)&lt;1,"ok","err")</f>
        <v>ok</v>
      </c>
    </row>
    <row r="368" spans="1:29" x14ac:dyDescent="0.2"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47"/>
      <c r="AC368" s="27"/>
    </row>
    <row r="369" spans="1:29" x14ac:dyDescent="0.2">
      <c r="A369" s="13" t="s">
        <v>534</v>
      </c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47"/>
      <c r="AC369" s="27"/>
    </row>
    <row r="370" spans="1:29" x14ac:dyDescent="0.2">
      <c r="A370" s="14">
        <v>560</v>
      </c>
      <c r="B370" s="14" t="s">
        <v>374</v>
      </c>
      <c r="C370" s="14" t="s">
        <v>531</v>
      </c>
      <c r="D370" s="14" t="s">
        <v>390</v>
      </c>
      <c r="F370" s="62">
        <v>0</v>
      </c>
      <c r="G370" s="62"/>
      <c r="H370" s="47">
        <f t="shared" ref="H370:H377" si="200">IF((VLOOKUP($D370,$C$5:$AA$496,6,)=0),0,((VLOOKUP($D370,$C$5:$AA$496,6,)/VLOOKUP($D370,$C$5:$AA$496,4,))*$F370))</f>
        <v>0</v>
      </c>
      <c r="I370" s="47">
        <f t="shared" ref="I370:I377" si="201">IF((VLOOKUP($D370,$C$5:$AA$496,7,)=0),0,((VLOOKUP($D370,$C$5:$AA$496,7,)/VLOOKUP($D370,$C$5:$AA$496,4,))*$F370))</f>
        <v>0</v>
      </c>
      <c r="J370" s="47"/>
      <c r="K370" s="47">
        <f t="shared" ref="K370:K377" si="202">IF((VLOOKUP($D370,$C$5:$AA$496,9,)=0),0,((VLOOKUP($D370,$C$5:$AA$496,9,)/VLOOKUP($D370,$C$5:$AA$496,4,))*$F370))</f>
        <v>0</v>
      </c>
      <c r="L370" s="47"/>
      <c r="M370" s="47">
        <f t="shared" ref="M370:M377" si="203">IF((VLOOKUP($D370,$C$5:$AA$496,11,)=0),0,((VLOOKUP($D370,$C$5:$AA$496,11,)/VLOOKUP($D370,$C$5:$AA$496,4,))*$F370))</f>
        <v>0</v>
      </c>
      <c r="N370" s="47"/>
      <c r="O370" s="47">
        <f t="shared" ref="O370:O377" si="204">IF((VLOOKUP($D370,$C$5:$AA$496,13,)=0),0,((VLOOKUP($D370,$C$5:$AA$496,13,)/VLOOKUP($D370,$C$5:$AA$496,4,))*$F370))</f>
        <v>0</v>
      </c>
      <c r="P370" s="47">
        <f t="shared" ref="P370:P377" si="205">IF((VLOOKUP($D370,$C$5:$AA$496,14,)=0),0,((VLOOKUP($D370,$C$5:$AA$496,14,)/VLOOKUP($D370,$C$5:$AA$496,4,))*$F370))</f>
        <v>0</v>
      </c>
      <c r="Q370" s="47"/>
      <c r="R370" s="47">
        <f t="shared" ref="R370:R377" si="206">IF((VLOOKUP($D370,$C$5:$AA$496,16,)=0),0,((VLOOKUP($D370,$C$5:$AA$496,16,)/VLOOKUP($D370,$C$5:$AA$496,4,))*$F370))</f>
        <v>0</v>
      </c>
      <c r="S370" s="47">
        <f t="shared" ref="S370:S377" si="207">IF((VLOOKUP($D370,$C$5:$AA$496,17,)=0),0,((VLOOKUP($D370,$C$5:$AA$496,17,)/VLOOKUP($D370,$C$5:$AA$496,4,))*$F370))</f>
        <v>0</v>
      </c>
      <c r="T370" s="47"/>
      <c r="U370" s="47">
        <f t="shared" ref="U370:U377" si="208">IF((VLOOKUP($D370,$C$5:$AA$496,19,)=0),0,((VLOOKUP($D370,$C$5:$AA$496,19,)/VLOOKUP($D370,$C$5:$AA$496,4,))*$F370))</f>
        <v>0</v>
      </c>
      <c r="V370" s="47"/>
      <c r="W370" s="47">
        <f t="shared" ref="W370:W377" si="209">IF((VLOOKUP($D370,$C$5:$AA$496,21,)=0),0,((VLOOKUP($D370,$C$5:$AA$496,21,)/VLOOKUP($D370,$C$5:$AA$496,4,))*$F370))</f>
        <v>0</v>
      </c>
      <c r="X370" s="47"/>
      <c r="Y370" s="47">
        <f t="shared" ref="Y370:Y377" si="210">IF((VLOOKUP($D370,$C$5:$AA$496,23,)=0),0,((VLOOKUP($D370,$C$5:$AA$496,23,)/VLOOKUP($D370,$C$5:$AA$496,4,))*$F370))</f>
        <v>0</v>
      </c>
      <c r="Z370" s="47"/>
      <c r="AA370" s="47">
        <f t="shared" ref="AA370:AA377" si="211">IF((VLOOKUP($D370,$C$5:$AA$496,25,)=0),0,((VLOOKUP($D370,$C$5:$AA$496,25,)/VLOOKUP($D370,$C$5:$AA$496,4,))*$F370))</f>
        <v>0</v>
      </c>
      <c r="AB370" s="47">
        <f t="shared" ref="AB370:AB377" si="212">SUM(H370:AA370)</f>
        <v>0</v>
      </c>
      <c r="AC370" s="27" t="str">
        <f t="shared" ref="AC370:AC377" si="213">IF(ABS(AB370-F370)&lt;1,"ok","err")</f>
        <v>ok</v>
      </c>
    </row>
    <row r="371" spans="1:29" x14ac:dyDescent="0.2">
      <c r="A371" s="14">
        <v>561</v>
      </c>
      <c r="B371" s="14" t="s">
        <v>101</v>
      </c>
      <c r="C371" s="14" t="s">
        <v>476</v>
      </c>
      <c r="D371" s="14" t="s">
        <v>390</v>
      </c>
      <c r="F371" s="47">
        <v>0</v>
      </c>
      <c r="G371" s="47"/>
      <c r="H371" s="47">
        <f t="shared" si="200"/>
        <v>0</v>
      </c>
      <c r="I371" s="47">
        <f t="shared" si="201"/>
        <v>0</v>
      </c>
      <c r="J371" s="47"/>
      <c r="K371" s="47">
        <f t="shared" si="202"/>
        <v>0</v>
      </c>
      <c r="L371" s="47"/>
      <c r="M371" s="47">
        <f t="shared" si="203"/>
        <v>0</v>
      </c>
      <c r="N371" s="47"/>
      <c r="O371" s="47">
        <f t="shared" si="204"/>
        <v>0</v>
      </c>
      <c r="P371" s="47">
        <f t="shared" si="205"/>
        <v>0</v>
      </c>
      <c r="Q371" s="47"/>
      <c r="R371" s="47">
        <f t="shared" si="206"/>
        <v>0</v>
      </c>
      <c r="S371" s="47">
        <f t="shared" si="207"/>
        <v>0</v>
      </c>
      <c r="T371" s="47"/>
      <c r="U371" s="47">
        <f t="shared" si="208"/>
        <v>0</v>
      </c>
      <c r="V371" s="47"/>
      <c r="W371" s="47">
        <f t="shared" si="209"/>
        <v>0</v>
      </c>
      <c r="X371" s="47"/>
      <c r="Y371" s="47">
        <f t="shared" si="210"/>
        <v>0</v>
      </c>
      <c r="Z371" s="47"/>
      <c r="AA371" s="47">
        <f t="shared" si="211"/>
        <v>0</v>
      </c>
      <c r="AB371" s="47">
        <f t="shared" si="212"/>
        <v>0</v>
      </c>
      <c r="AC371" s="27" t="str">
        <f t="shared" si="213"/>
        <v>ok</v>
      </c>
    </row>
    <row r="372" spans="1:29" x14ac:dyDescent="0.2">
      <c r="A372" s="14">
        <v>562</v>
      </c>
      <c r="B372" s="14" t="s">
        <v>372</v>
      </c>
      <c r="C372" s="14" t="s">
        <v>477</v>
      </c>
      <c r="D372" s="14" t="s">
        <v>390</v>
      </c>
      <c r="F372" s="47">
        <v>0</v>
      </c>
      <c r="G372" s="47"/>
      <c r="H372" s="47">
        <f t="shared" si="200"/>
        <v>0</v>
      </c>
      <c r="I372" s="47">
        <f t="shared" si="201"/>
        <v>0</v>
      </c>
      <c r="J372" s="47"/>
      <c r="K372" s="47">
        <f t="shared" si="202"/>
        <v>0</v>
      </c>
      <c r="L372" s="47"/>
      <c r="M372" s="47">
        <f t="shared" si="203"/>
        <v>0</v>
      </c>
      <c r="N372" s="47"/>
      <c r="O372" s="47">
        <f t="shared" si="204"/>
        <v>0</v>
      </c>
      <c r="P372" s="47">
        <f t="shared" si="205"/>
        <v>0</v>
      </c>
      <c r="Q372" s="47"/>
      <c r="R372" s="47">
        <f t="shared" si="206"/>
        <v>0</v>
      </c>
      <c r="S372" s="47">
        <f t="shared" si="207"/>
        <v>0</v>
      </c>
      <c r="T372" s="47"/>
      <c r="U372" s="47">
        <f t="shared" si="208"/>
        <v>0</v>
      </c>
      <c r="V372" s="47"/>
      <c r="W372" s="47">
        <f t="shared" si="209"/>
        <v>0</v>
      </c>
      <c r="X372" s="47"/>
      <c r="Y372" s="47">
        <f t="shared" si="210"/>
        <v>0</v>
      </c>
      <c r="Z372" s="47"/>
      <c r="AA372" s="47">
        <f t="shared" si="211"/>
        <v>0</v>
      </c>
      <c r="AB372" s="47">
        <f t="shared" si="212"/>
        <v>0</v>
      </c>
      <c r="AC372" s="27" t="str">
        <f t="shared" si="213"/>
        <v>ok</v>
      </c>
    </row>
    <row r="373" spans="1:29" x14ac:dyDescent="0.2">
      <c r="A373" s="14">
        <v>563</v>
      </c>
      <c r="B373" s="14" t="s">
        <v>103</v>
      </c>
      <c r="C373" s="14" t="s">
        <v>478</v>
      </c>
      <c r="D373" s="14" t="s">
        <v>390</v>
      </c>
      <c r="F373" s="47">
        <v>0</v>
      </c>
      <c r="G373" s="47"/>
      <c r="H373" s="47">
        <f t="shared" si="200"/>
        <v>0</v>
      </c>
      <c r="I373" s="47">
        <f t="shared" si="201"/>
        <v>0</v>
      </c>
      <c r="J373" s="47"/>
      <c r="K373" s="47">
        <f t="shared" si="202"/>
        <v>0</v>
      </c>
      <c r="L373" s="47"/>
      <c r="M373" s="47">
        <f t="shared" si="203"/>
        <v>0</v>
      </c>
      <c r="N373" s="47"/>
      <c r="O373" s="47">
        <f t="shared" si="204"/>
        <v>0</v>
      </c>
      <c r="P373" s="47">
        <f t="shared" si="205"/>
        <v>0</v>
      </c>
      <c r="Q373" s="47"/>
      <c r="R373" s="47">
        <f t="shared" si="206"/>
        <v>0</v>
      </c>
      <c r="S373" s="47">
        <f t="shared" si="207"/>
        <v>0</v>
      </c>
      <c r="T373" s="47"/>
      <c r="U373" s="47">
        <f t="shared" si="208"/>
        <v>0</v>
      </c>
      <c r="V373" s="47"/>
      <c r="W373" s="47">
        <f t="shared" si="209"/>
        <v>0</v>
      </c>
      <c r="X373" s="47"/>
      <c r="Y373" s="47">
        <f t="shared" si="210"/>
        <v>0</v>
      </c>
      <c r="Z373" s="47"/>
      <c r="AA373" s="47">
        <f t="shared" si="211"/>
        <v>0</v>
      </c>
      <c r="AB373" s="47">
        <f t="shared" si="212"/>
        <v>0</v>
      </c>
      <c r="AC373" s="27" t="str">
        <f t="shared" si="213"/>
        <v>ok</v>
      </c>
    </row>
    <row r="374" spans="1:29" x14ac:dyDescent="0.2">
      <c r="A374" s="14">
        <v>566</v>
      </c>
      <c r="B374" s="14" t="s">
        <v>585</v>
      </c>
      <c r="C374" s="14" t="s">
        <v>589</v>
      </c>
      <c r="D374" s="14" t="s">
        <v>390</v>
      </c>
      <c r="F374" s="47">
        <v>0</v>
      </c>
      <c r="G374" s="47"/>
      <c r="H374" s="47">
        <f t="shared" si="200"/>
        <v>0</v>
      </c>
      <c r="I374" s="47">
        <f t="shared" si="201"/>
        <v>0</v>
      </c>
      <c r="J374" s="47"/>
      <c r="K374" s="47">
        <f t="shared" si="202"/>
        <v>0</v>
      </c>
      <c r="L374" s="47"/>
      <c r="M374" s="47">
        <f t="shared" si="203"/>
        <v>0</v>
      </c>
      <c r="N374" s="47"/>
      <c r="O374" s="47">
        <f t="shared" si="204"/>
        <v>0</v>
      </c>
      <c r="P374" s="47">
        <f t="shared" si="205"/>
        <v>0</v>
      </c>
      <c r="Q374" s="47"/>
      <c r="R374" s="47">
        <f t="shared" si="206"/>
        <v>0</v>
      </c>
      <c r="S374" s="47">
        <f t="shared" si="207"/>
        <v>0</v>
      </c>
      <c r="T374" s="47"/>
      <c r="U374" s="47">
        <f t="shared" si="208"/>
        <v>0</v>
      </c>
      <c r="V374" s="47"/>
      <c r="W374" s="47">
        <f t="shared" si="209"/>
        <v>0</v>
      </c>
      <c r="X374" s="47"/>
      <c r="Y374" s="47">
        <f t="shared" si="210"/>
        <v>0</v>
      </c>
      <c r="Z374" s="47"/>
      <c r="AA374" s="47">
        <f t="shared" si="211"/>
        <v>0</v>
      </c>
      <c r="AB374" s="47">
        <f>SUM(H374:AA374)</f>
        <v>0</v>
      </c>
      <c r="AC374" s="27" t="str">
        <f>IF(ABS(AB374-F374)&lt;1,"ok","err")</f>
        <v>ok</v>
      </c>
    </row>
    <row r="375" spans="1:29" x14ac:dyDescent="0.2">
      <c r="A375" s="14">
        <v>568</v>
      </c>
      <c r="B375" s="14" t="s">
        <v>373</v>
      </c>
      <c r="C375" s="14" t="s">
        <v>479</v>
      </c>
      <c r="D375" s="14" t="s">
        <v>390</v>
      </c>
      <c r="F375" s="47">
        <v>0</v>
      </c>
      <c r="G375" s="47"/>
      <c r="H375" s="47">
        <f t="shared" si="200"/>
        <v>0</v>
      </c>
      <c r="I375" s="47">
        <f t="shared" si="201"/>
        <v>0</v>
      </c>
      <c r="J375" s="47"/>
      <c r="K375" s="47">
        <f t="shared" si="202"/>
        <v>0</v>
      </c>
      <c r="L375" s="47"/>
      <c r="M375" s="47">
        <f t="shared" si="203"/>
        <v>0</v>
      </c>
      <c r="N375" s="47"/>
      <c r="O375" s="47">
        <f t="shared" si="204"/>
        <v>0</v>
      </c>
      <c r="P375" s="47">
        <f t="shared" si="205"/>
        <v>0</v>
      </c>
      <c r="Q375" s="47"/>
      <c r="R375" s="47">
        <f t="shared" si="206"/>
        <v>0</v>
      </c>
      <c r="S375" s="47">
        <f t="shared" si="207"/>
        <v>0</v>
      </c>
      <c r="T375" s="47"/>
      <c r="U375" s="47">
        <f t="shared" si="208"/>
        <v>0</v>
      </c>
      <c r="V375" s="47"/>
      <c r="W375" s="47">
        <f t="shared" si="209"/>
        <v>0</v>
      </c>
      <c r="X375" s="47"/>
      <c r="Y375" s="47">
        <f t="shared" si="210"/>
        <v>0</v>
      </c>
      <c r="Z375" s="47"/>
      <c r="AA375" s="47">
        <f t="shared" si="211"/>
        <v>0</v>
      </c>
      <c r="AB375" s="47">
        <f t="shared" si="212"/>
        <v>0</v>
      </c>
      <c r="AC375" s="27" t="str">
        <f t="shared" si="213"/>
        <v>ok</v>
      </c>
    </row>
    <row r="376" spans="1:29" x14ac:dyDescent="0.2">
      <c r="A376" s="14">
        <v>570</v>
      </c>
      <c r="B376" s="14" t="s">
        <v>375</v>
      </c>
      <c r="C376" s="14" t="s">
        <v>480</v>
      </c>
      <c r="D376" s="14" t="s">
        <v>390</v>
      </c>
      <c r="F376" s="47">
        <v>0</v>
      </c>
      <c r="G376" s="47"/>
      <c r="H376" s="47">
        <f t="shared" si="200"/>
        <v>0</v>
      </c>
      <c r="I376" s="47">
        <f t="shared" si="201"/>
        <v>0</v>
      </c>
      <c r="J376" s="47"/>
      <c r="K376" s="47">
        <f t="shared" si="202"/>
        <v>0</v>
      </c>
      <c r="L376" s="47"/>
      <c r="M376" s="47">
        <f t="shared" si="203"/>
        <v>0</v>
      </c>
      <c r="N376" s="47"/>
      <c r="O376" s="47">
        <f t="shared" si="204"/>
        <v>0</v>
      </c>
      <c r="P376" s="47">
        <f t="shared" si="205"/>
        <v>0</v>
      </c>
      <c r="Q376" s="47"/>
      <c r="R376" s="47">
        <f t="shared" si="206"/>
        <v>0</v>
      </c>
      <c r="S376" s="47">
        <f t="shared" si="207"/>
        <v>0</v>
      </c>
      <c r="T376" s="47"/>
      <c r="U376" s="47">
        <f t="shared" si="208"/>
        <v>0</v>
      </c>
      <c r="V376" s="47"/>
      <c r="W376" s="47">
        <f t="shared" si="209"/>
        <v>0</v>
      </c>
      <c r="X376" s="47"/>
      <c r="Y376" s="47">
        <f t="shared" si="210"/>
        <v>0</v>
      </c>
      <c r="Z376" s="47"/>
      <c r="AA376" s="47">
        <f t="shared" si="211"/>
        <v>0</v>
      </c>
      <c r="AB376" s="47">
        <f t="shared" si="212"/>
        <v>0</v>
      </c>
      <c r="AC376" s="27" t="str">
        <f t="shared" si="213"/>
        <v>ok</v>
      </c>
    </row>
    <row r="377" spans="1:29" x14ac:dyDescent="0.2">
      <c r="A377" s="14">
        <v>571</v>
      </c>
      <c r="B377" s="14" t="s">
        <v>376</v>
      </c>
      <c r="C377" s="14" t="s">
        <v>481</v>
      </c>
      <c r="D377" s="14" t="s">
        <v>390</v>
      </c>
      <c r="F377" s="47">
        <v>0</v>
      </c>
      <c r="G377" s="47"/>
      <c r="H377" s="47">
        <f t="shared" si="200"/>
        <v>0</v>
      </c>
      <c r="I377" s="47">
        <f t="shared" si="201"/>
        <v>0</v>
      </c>
      <c r="J377" s="47"/>
      <c r="K377" s="47">
        <f t="shared" si="202"/>
        <v>0</v>
      </c>
      <c r="L377" s="47"/>
      <c r="M377" s="47">
        <f t="shared" si="203"/>
        <v>0</v>
      </c>
      <c r="N377" s="47"/>
      <c r="O377" s="47">
        <f t="shared" si="204"/>
        <v>0</v>
      </c>
      <c r="P377" s="47">
        <f t="shared" si="205"/>
        <v>0</v>
      </c>
      <c r="Q377" s="47"/>
      <c r="R377" s="47">
        <f t="shared" si="206"/>
        <v>0</v>
      </c>
      <c r="S377" s="47">
        <f t="shared" si="207"/>
        <v>0</v>
      </c>
      <c r="T377" s="47"/>
      <c r="U377" s="47">
        <f t="shared" si="208"/>
        <v>0</v>
      </c>
      <c r="V377" s="47"/>
      <c r="W377" s="47">
        <f t="shared" si="209"/>
        <v>0</v>
      </c>
      <c r="X377" s="47"/>
      <c r="Y377" s="47">
        <f t="shared" si="210"/>
        <v>0</v>
      </c>
      <c r="Z377" s="47"/>
      <c r="AA377" s="47">
        <f t="shared" si="211"/>
        <v>0</v>
      </c>
      <c r="AB377" s="47">
        <f t="shared" si="212"/>
        <v>0</v>
      </c>
      <c r="AC377" s="27" t="str">
        <f t="shared" si="213"/>
        <v>ok</v>
      </c>
    </row>
    <row r="378" spans="1:29" x14ac:dyDescent="0.2"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47"/>
      <c r="AC378" s="27"/>
    </row>
    <row r="379" spans="1:29" x14ac:dyDescent="0.2">
      <c r="A379" s="14" t="s">
        <v>533</v>
      </c>
      <c r="F379" s="87">
        <f>SUM(F370:F377)</f>
        <v>0</v>
      </c>
      <c r="G379" s="87"/>
      <c r="H379" s="87">
        <f>SUM(H370:H377)</f>
        <v>0</v>
      </c>
      <c r="I379" s="87">
        <f>SUM(I370:I377)</f>
        <v>0</v>
      </c>
      <c r="J379" s="87"/>
      <c r="K379" s="87">
        <f>SUM(K370:K377)</f>
        <v>0</v>
      </c>
      <c r="L379" s="87"/>
      <c r="M379" s="87">
        <f>SUM(M370:M377)</f>
        <v>0</v>
      </c>
      <c r="N379" s="87"/>
      <c r="O379" s="87">
        <f>SUM(O370:O377)</f>
        <v>0</v>
      </c>
      <c r="P379" s="87">
        <f>SUM(P370:P377)</f>
        <v>0</v>
      </c>
      <c r="Q379" s="87"/>
      <c r="R379" s="87">
        <f>SUM(R370:R377)</f>
        <v>0</v>
      </c>
      <c r="S379" s="87">
        <f>SUM(S370:S377)</f>
        <v>0</v>
      </c>
      <c r="T379" s="87"/>
      <c r="U379" s="87">
        <f>SUM(U370:U377)</f>
        <v>0</v>
      </c>
      <c r="V379" s="87"/>
      <c r="W379" s="87">
        <f>SUM(W370:W377)</f>
        <v>0</v>
      </c>
      <c r="X379" s="87"/>
      <c r="Y379" s="87">
        <f>SUM(Y370:Y377)</f>
        <v>0</v>
      </c>
      <c r="Z379" s="87"/>
      <c r="AA379" s="87">
        <f>SUM(AA370:AA377)</f>
        <v>0</v>
      </c>
      <c r="AB379" s="62">
        <f>SUM(H379:AA379)</f>
        <v>0</v>
      </c>
      <c r="AC379" s="27" t="str">
        <f>IF(ABS(AB379-F379)&lt;1,"ok","err")</f>
        <v>ok</v>
      </c>
    </row>
    <row r="380" spans="1:29" x14ac:dyDescent="0.2">
      <c r="Q380" s="14"/>
      <c r="AC380" s="27"/>
    </row>
    <row r="381" spans="1:29" x14ac:dyDescent="0.2">
      <c r="A381" s="13" t="s">
        <v>535</v>
      </c>
      <c r="Q381" s="14"/>
      <c r="AC381" s="27"/>
    </row>
    <row r="382" spans="1:29" x14ac:dyDescent="0.2">
      <c r="A382" s="14">
        <v>580</v>
      </c>
      <c r="B382" s="14" t="s">
        <v>99</v>
      </c>
      <c r="C382" s="14" t="s">
        <v>482</v>
      </c>
      <c r="D382" s="14" t="s">
        <v>16</v>
      </c>
      <c r="F382" s="62">
        <v>87530.47</v>
      </c>
      <c r="G382" s="62"/>
      <c r="H382" s="47">
        <f t="shared" ref="H382:H392" si="214">IF(VLOOKUP($D382,$C$5:$AA$496,6,)=0,0,((VLOOKUP($D382,$C$5:$AA$496,6,)/VLOOKUP($D382,$C$5:$AA$496,4,))*$F382))</f>
        <v>0</v>
      </c>
      <c r="I382" s="47">
        <f t="shared" ref="I382:I392" si="215">IF(VLOOKUP($D382,$C$5:$AA$496,7,)=0,0,((VLOOKUP($D382,$C$5:$AA$496,7,)/VLOOKUP($D382,$C$5:$AA$496,4,))*$F382))</f>
        <v>0</v>
      </c>
      <c r="J382" s="47"/>
      <c r="K382" s="47">
        <f t="shared" ref="K382:K392" si="216">IF(VLOOKUP($D382,$C$5:$AA$496,9,)=0,0,((VLOOKUP($D382,$C$5:$AA$496,9,)/VLOOKUP($D382,$C$5:$AA$496,4,))*$F382))</f>
        <v>0</v>
      </c>
      <c r="L382" s="47"/>
      <c r="M382" s="47">
        <f t="shared" ref="M382:M392" si="217">IF(VLOOKUP($D382,$C$5:$AA$496,11,)=0,0,((VLOOKUP($D382,$C$5:$AA$496,11,)/VLOOKUP($D382,$C$5:$AA$496,4,))*$F382))</f>
        <v>325.32119506275365</v>
      </c>
      <c r="N382" s="47"/>
      <c r="O382" s="47">
        <f t="shared" ref="O382:O392" si="218">IF(VLOOKUP($D382,$C$5:$AA$496,13,)=0,0,((VLOOKUP($D382,$C$5:$AA$496,13,)/VLOOKUP($D382,$C$5:$AA$496,4,))*$F382))</f>
        <v>24471.535080438873</v>
      </c>
      <c r="P382" s="47">
        <f t="shared" ref="P382:P392" si="219">IF(VLOOKUP($D382,$C$5:$AA$496,14,)=0,0,((VLOOKUP($D382,$C$5:$AA$496,14,)/VLOOKUP($D382,$C$5:$AA$496,4,))*$F382))</f>
        <v>46031.454283061277</v>
      </c>
      <c r="Q382" s="47"/>
      <c r="R382" s="47">
        <f t="shared" ref="R382:R392" si="220">IF(VLOOKUP($D382,$C$5:$AA$496,16,)=0,0,((VLOOKUP($D382,$C$5:$AA$496,16,)/VLOOKUP($D382,$C$5:$AA$496,4,))*$F382))</f>
        <v>0</v>
      </c>
      <c r="S382" s="47">
        <f t="shared" ref="S382:S392" si="221">IF(VLOOKUP($D382,$C$5:$AA$496,17,)=0,0,((VLOOKUP($D382,$C$5:$AA$496,17,)/VLOOKUP($D382,$C$5:$AA$496,4,))*$F382))</f>
        <v>9560.4971680763083</v>
      </c>
      <c r="T382" s="47"/>
      <c r="U382" s="47">
        <f t="shared" ref="U382:U392" si="222">IF(VLOOKUP($D382,$C$5:$AA$496,19,)=0,0,((VLOOKUP($D382,$C$5:$AA$496,19,)/VLOOKUP($D382,$C$5:$AA$496,4,))*$F382))</f>
        <v>4197.2657058970199</v>
      </c>
      <c r="V382" s="47"/>
      <c r="W382" s="47">
        <f t="shared" ref="W382:W392" si="223">IF(VLOOKUP($D382,$C$5:$AA$496,21,)=0,0,((VLOOKUP($D382,$C$5:$AA$496,21,)/VLOOKUP($D382,$C$5:$AA$496,4,))*$F382))</f>
        <v>2944.3965674637407</v>
      </c>
      <c r="X382" s="47"/>
      <c r="Y382" s="47">
        <f t="shared" ref="Y382:Y392" si="224">IF(VLOOKUP($D382,$C$5:$AA$496,23,)=0,0,((VLOOKUP($D382,$C$5:$AA$496,23,)/VLOOKUP($D382,$C$5:$AA$496,4,))*$F382))</f>
        <v>0</v>
      </c>
      <c r="Z382" s="47"/>
      <c r="AA382" s="47">
        <f t="shared" ref="AA382:AA392" si="225">IF(VLOOKUP($D382,$C$5:$AA$496,25,)=0,0,((VLOOKUP($D382,$C$5:$AA$496,25,)/VLOOKUP($D382,$C$5:$AA$496,4,))*$F382))</f>
        <v>0</v>
      </c>
      <c r="AB382" s="47">
        <f t="shared" ref="AB382:AB392" si="226">SUM(H382:AA382)</f>
        <v>87530.469999999972</v>
      </c>
      <c r="AC382" s="27" t="str">
        <f t="shared" ref="AC382:AC392" si="227">IF(ABS(AB382-F382)&lt;1,"ok","err")</f>
        <v>ok</v>
      </c>
    </row>
    <row r="383" spans="1:29" x14ac:dyDescent="0.2">
      <c r="A383" s="14">
        <v>581</v>
      </c>
      <c r="B383" s="14" t="s">
        <v>101</v>
      </c>
      <c r="C383" s="14" t="s">
        <v>483</v>
      </c>
      <c r="D383" s="14" t="s">
        <v>23</v>
      </c>
      <c r="F383" s="47">
        <v>0</v>
      </c>
      <c r="G383" s="47"/>
      <c r="H383" s="47">
        <f t="shared" si="214"/>
        <v>0</v>
      </c>
      <c r="I383" s="47">
        <f t="shared" si="215"/>
        <v>0</v>
      </c>
      <c r="J383" s="47"/>
      <c r="K383" s="47">
        <f t="shared" si="216"/>
        <v>0</v>
      </c>
      <c r="L383" s="47"/>
      <c r="M383" s="47">
        <f t="shared" si="217"/>
        <v>0</v>
      </c>
      <c r="N383" s="47"/>
      <c r="O383" s="47">
        <f t="shared" si="218"/>
        <v>0</v>
      </c>
      <c r="P383" s="47">
        <f t="shared" si="219"/>
        <v>0</v>
      </c>
      <c r="Q383" s="47"/>
      <c r="R383" s="47">
        <f t="shared" si="220"/>
        <v>0</v>
      </c>
      <c r="S383" s="47">
        <f t="shared" si="221"/>
        <v>0</v>
      </c>
      <c r="T383" s="47"/>
      <c r="U383" s="47">
        <f t="shared" si="222"/>
        <v>0</v>
      </c>
      <c r="V383" s="47"/>
      <c r="W383" s="47">
        <f t="shared" si="223"/>
        <v>0</v>
      </c>
      <c r="X383" s="47"/>
      <c r="Y383" s="47">
        <f t="shared" si="224"/>
        <v>0</v>
      </c>
      <c r="Z383" s="47"/>
      <c r="AA383" s="47">
        <f t="shared" si="225"/>
        <v>0</v>
      </c>
      <c r="AB383" s="47">
        <f t="shared" si="226"/>
        <v>0</v>
      </c>
      <c r="AC383" s="27" t="str">
        <f t="shared" si="227"/>
        <v>ok</v>
      </c>
    </row>
    <row r="384" spans="1:29" x14ac:dyDescent="0.2">
      <c r="A384" s="14">
        <v>582</v>
      </c>
      <c r="B384" s="14" t="s">
        <v>372</v>
      </c>
      <c r="C384" s="14" t="s">
        <v>484</v>
      </c>
      <c r="D384" s="14" t="s">
        <v>23</v>
      </c>
      <c r="F384" s="47">
        <v>0</v>
      </c>
      <c r="G384" s="47"/>
      <c r="H384" s="47">
        <f t="shared" si="214"/>
        <v>0</v>
      </c>
      <c r="I384" s="47">
        <f t="shared" si="215"/>
        <v>0</v>
      </c>
      <c r="J384" s="47"/>
      <c r="K384" s="47">
        <f t="shared" si="216"/>
        <v>0</v>
      </c>
      <c r="L384" s="47"/>
      <c r="M384" s="47">
        <f t="shared" si="217"/>
        <v>0</v>
      </c>
      <c r="N384" s="47"/>
      <c r="O384" s="47">
        <f t="shared" si="218"/>
        <v>0</v>
      </c>
      <c r="P384" s="47">
        <f t="shared" si="219"/>
        <v>0</v>
      </c>
      <c r="Q384" s="47"/>
      <c r="R384" s="47">
        <f t="shared" si="220"/>
        <v>0</v>
      </c>
      <c r="S384" s="47">
        <f t="shared" si="221"/>
        <v>0</v>
      </c>
      <c r="T384" s="47"/>
      <c r="U384" s="47">
        <f t="shared" si="222"/>
        <v>0</v>
      </c>
      <c r="V384" s="47"/>
      <c r="W384" s="47">
        <f t="shared" si="223"/>
        <v>0</v>
      </c>
      <c r="X384" s="47"/>
      <c r="Y384" s="47">
        <f t="shared" si="224"/>
        <v>0</v>
      </c>
      <c r="Z384" s="47"/>
      <c r="AA384" s="47">
        <f t="shared" si="225"/>
        <v>0</v>
      </c>
      <c r="AB384" s="47">
        <f t="shared" si="226"/>
        <v>0</v>
      </c>
      <c r="AC384" s="27" t="str">
        <f t="shared" si="227"/>
        <v>ok</v>
      </c>
    </row>
    <row r="385" spans="1:29" x14ac:dyDescent="0.2">
      <c r="A385" s="14">
        <v>583</v>
      </c>
      <c r="B385" s="14" t="s">
        <v>103</v>
      </c>
      <c r="C385" s="14" t="s">
        <v>485</v>
      </c>
      <c r="D385" s="14" t="s">
        <v>29</v>
      </c>
      <c r="F385" s="47">
        <v>95325</v>
      </c>
      <c r="G385" s="47"/>
      <c r="H385" s="47">
        <f t="shared" si="214"/>
        <v>0</v>
      </c>
      <c r="I385" s="47">
        <f t="shared" si="215"/>
        <v>0</v>
      </c>
      <c r="J385" s="47"/>
      <c r="K385" s="47">
        <f t="shared" si="216"/>
        <v>0</v>
      </c>
      <c r="L385" s="47"/>
      <c r="M385" s="47">
        <f t="shared" si="217"/>
        <v>0</v>
      </c>
      <c r="N385" s="47"/>
      <c r="O385" s="47">
        <f t="shared" si="218"/>
        <v>38365.430031982105</v>
      </c>
      <c r="P385" s="47">
        <f t="shared" si="219"/>
        <v>56959.569968017895</v>
      </c>
      <c r="Q385" s="47"/>
      <c r="R385" s="47">
        <f t="shared" si="220"/>
        <v>0</v>
      </c>
      <c r="S385" s="47">
        <f t="shared" si="221"/>
        <v>0</v>
      </c>
      <c r="T385" s="47"/>
      <c r="U385" s="47">
        <f t="shared" si="222"/>
        <v>0</v>
      </c>
      <c r="V385" s="47"/>
      <c r="W385" s="47">
        <f t="shared" si="223"/>
        <v>0</v>
      </c>
      <c r="X385" s="47"/>
      <c r="Y385" s="47">
        <f t="shared" si="224"/>
        <v>0</v>
      </c>
      <c r="Z385" s="47"/>
      <c r="AA385" s="47">
        <f t="shared" si="225"/>
        <v>0</v>
      </c>
      <c r="AB385" s="47">
        <f t="shared" si="226"/>
        <v>95325</v>
      </c>
      <c r="AC385" s="27" t="str">
        <f t="shared" si="227"/>
        <v>ok</v>
      </c>
    </row>
    <row r="386" spans="1:29" x14ac:dyDescent="0.2">
      <c r="A386" s="14">
        <v>584</v>
      </c>
      <c r="B386" s="14" t="s">
        <v>105</v>
      </c>
      <c r="C386" s="14" t="s">
        <v>486</v>
      </c>
      <c r="D386" s="14" t="s">
        <v>35</v>
      </c>
      <c r="F386" s="47">
        <v>0</v>
      </c>
      <c r="G386" s="47"/>
      <c r="H386" s="47">
        <f t="shared" si="214"/>
        <v>0</v>
      </c>
      <c r="I386" s="47">
        <f t="shared" si="215"/>
        <v>0</v>
      </c>
      <c r="J386" s="47"/>
      <c r="K386" s="47">
        <f t="shared" si="216"/>
        <v>0</v>
      </c>
      <c r="L386" s="47"/>
      <c r="M386" s="47">
        <f t="shared" si="217"/>
        <v>0</v>
      </c>
      <c r="N386" s="47"/>
      <c r="O386" s="47">
        <f t="shared" si="218"/>
        <v>0</v>
      </c>
      <c r="P386" s="47">
        <f t="shared" si="219"/>
        <v>0</v>
      </c>
      <c r="Q386" s="47"/>
      <c r="R386" s="47">
        <f t="shared" si="220"/>
        <v>0</v>
      </c>
      <c r="S386" s="47">
        <f t="shared" si="221"/>
        <v>0</v>
      </c>
      <c r="T386" s="47"/>
      <c r="U386" s="47">
        <f t="shared" si="222"/>
        <v>0</v>
      </c>
      <c r="V386" s="47"/>
      <c r="W386" s="47">
        <f t="shared" si="223"/>
        <v>0</v>
      </c>
      <c r="X386" s="47"/>
      <c r="Y386" s="47">
        <f t="shared" si="224"/>
        <v>0</v>
      </c>
      <c r="Z386" s="47"/>
      <c r="AA386" s="47">
        <f t="shared" si="225"/>
        <v>0</v>
      </c>
      <c r="AB386" s="47">
        <f t="shared" si="226"/>
        <v>0</v>
      </c>
      <c r="AC386" s="27" t="str">
        <f t="shared" si="227"/>
        <v>ok</v>
      </c>
    </row>
    <row r="387" spans="1:29" x14ac:dyDescent="0.2">
      <c r="A387" s="14">
        <v>585</v>
      </c>
      <c r="B387" s="14" t="s">
        <v>107</v>
      </c>
      <c r="C387" s="14" t="s">
        <v>487</v>
      </c>
      <c r="D387" s="14" t="s">
        <v>46</v>
      </c>
      <c r="F387" s="47">
        <v>0</v>
      </c>
      <c r="G387" s="47"/>
      <c r="H387" s="47">
        <f t="shared" si="214"/>
        <v>0</v>
      </c>
      <c r="I387" s="47">
        <f t="shared" si="215"/>
        <v>0</v>
      </c>
      <c r="J387" s="47"/>
      <c r="K387" s="47">
        <f t="shared" si="216"/>
        <v>0</v>
      </c>
      <c r="L387" s="47"/>
      <c r="M387" s="47">
        <f t="shared" si="217"/>
        <v>0</v>
      </c>
      <c r="N387" s="47"/>
      <c r="O387" s="47">
        <f t="shared" si="218"/>
        <v>0</v>
      </c>
      <c r="P387" s="47">
        <f t="shared" si="219"/>
        <v>0</v>
      </c>
      <c r="Q387" s="47"/>
      <c r="R387" s="47">
        <f t="shared" si="220"/>
        <v>0</v>
      </c>
      <c r="S387" s="47">
        <f t="shared" si="221"/>
        <v>0</v>
      </c>
      <c r="T387" s="47"/>
      <c r="U387" s="47">
        <f t="shared" si="222"/>
        <v>0</v>
      </c>
      <c r="V387" s="47"/>
      <c r="W387" s="47">
        <f t="shared" si="223"/>
        <v>0</v>
      </c>
      <c r="X387" s="47"/>
      <c r="Y387" s="47">
        <f t="shared" si="224"/>
        <v>0</v>
      </c>
      <c r="Z387" s="47"/>
      <c r="AA387" s="47">
        <f t="shared" si="225"/>
        <v>0</v>
      </c>
      <c r="AB387" s="47">
        <f t="shared" si="226"/>
        <v>0</v>
      </c>
      <c r="AC387" s="27" t="str">
        <f t="shared" si="227"/>
        <v>ok</v>
      </c>
    </row>
    <row r="388" spans="1:29" x14ac:dyDescent="0.2">
      <c r="A388" s="14">
        <v>586</v>
      </c>
      <c r="B388" s="14" t="s">
        <v>109</v>
      </c>
      <c r="C388" s="14" t="s">
        <v>488</v>
      </c>
      <c r="D388" s="14" t="s">
        <v>43</v>
      </c>
      <c r="F388" s="47">
        <v>315136</v>
      </c>
      <c r="G388" s="47"/>
      <c r="H388" s="47">
        <f t="shared" si="214"/>
        <v>0</v>
      </c>
      <c r="I388" s="47">
        <f t="shared" si="215"/>
        <v>0</v>
      </c>
      <c r="J388" s="47"/>
      <c r="K388" s="47">
        <f t="shared" si="216"/>
        <v>0</v>
      </c>
      <c r="L388" s="47"/>
      <c r="M388" s="47">
        <f t="shared" si="217"/>
        <v>0</v>
      </c>
      <c r="N388" s="47"/>
      <c r="O388" s="47">
        <f t="shared" si="218"/>
        <v>0</v>
      </c>
      <c r="P388" s="47">
        <f t="shared" si="219"/>
        <v>0</v>
      </c>
      <c r="Q388" s="47"/>
      <c r="R388" s="47">
        <f t="shared" si="220"/>
        <v>0</v>
      </c>
      <c r="S388" s="47">
        <f t="shared" si="221"/>
        <v>0</v>
      </c>
      <c r="T388" s="47"/>
      <c r="U388" s="47">
        <f t="shared" si="222"/>
        <v>315136</v>
      </c>
      <c r="V388" s="47"/>
      <c r="W388" s="47">
        <f t="shared" si="223"/>
        <v>0</v>
      </c>
      <c r="X388" s="47"/>
      <c r="Y388" s="47">
        <f t="shared" si="224"/>
        <v>0</v>
      </c>
      <c r="Z388" s="47"/>
      <c r="AA388" s="47">
        <f t="shared" si="225"/>
        <v>0</v>
      </c>
      <c r="AB388" s="47">
        <f t="shared" si="226"/>
        <v>315136</v>
      </c>
      <c r="AC388" s="27" t="str">
        <f t="shared" si="227"/>
        <v>ok</v>
      </c>
    </row>
    <row r="389" spans="1:29" x14ac:dyDescent="0.2">
      <c r="A389" s="14">
        <v>586</v>
      </c>
      <c r="B389" s="14" t="s">
        <v>450</v>
      </c>
      <c r="C389" s="14" t="s">
        <v>489</v>
      </c>
      <c r="D389" s="14" t="s">
        <v>471</v>
      </c>
      <c r="F389" s="47">
        <v>0</v>
      </c>
      <c r="G389" s="47"/>
      <c r="H389" s="47">
        <f t="shared" si="214"/>
        <v>0</v>
      </c>
      <c r="I389" s="47">
        <f t="shared" si="215"/>
        <v>0</v>
      </c>
      <c r="J389" s="47"/>
      <c r="K389" s="47">
        <f t="shared" si="216"/>
        <v>0</v>
      </c>
      <c r="L389" s="47"/>
      <c r="M389" s="47">
        <f t="shared" si="217"/>
        <v>0</v>
      </c>
      <c r="N389" s="47"/>
      <c r="O389" s="47">
        <f t="shared" si="218"/>
        <v>0</v>
      </c>
      <c r="P389" s="47">
        <f t="shared" si="219"/>
        <v>0</v>
      </c>
      <c r="Q389" s="47"/>
      <c r="R389" s="47">
        <f t="shared" si="220"/>
        <v>0</v>
      </c>
      <c r="S389" s="47">
        <f t="shared" si="221"/>
        <v>0</v>
      </c>
      <c r="T389" s="47"/>
      <c r="U389" s="47">
        <f t="shared" si="222"/>
        <v>0</v>
      </c>
      <c r="V389" s="47"/>
      <c r="W389" s="47">
        <f t="shared" si="223"/>
        <v>0</v>
      </c>
      <c r="X389" s="47"/>
      <c r="Y389" s="47">
        <f t="shared" si="224"/>
        <v>0</v>
      </c>
      <c r="Z389" s="47"/>
      <c r="AA389" s="47">
        <f t="shared" si="225"/>
        <v>0</v>
      </c>
      <c r="AB389" s="47">
        <f t="shared" si="226"/>
        <v>0</v>
      </c>
      <c r="AC389" s="27" t="str">
        <f t="shared" si="227"/>
        <v>ok</v>
      </c>
    </row>
    <row r="390" spans="1:29" x14ac:dyDescent="0.2">
      <c r="A390" s="14">
        <v>587</v>
      </c>
      <c r="B390" s="14" t="s">
        <v>111</v>
      </c>
      <c r="C390" s="14" t="s">
        <v>490</v>
      </c>
      <c r="D390" s="14" t="s">
        <v>40</v>
      </c>
      <c r="F390" s="47">
        <v>731</v>
      </c>
      <c r="G390" s="47"/>
      <c r="H390" s="47">
        <f t="shared" si="214"/>
        <v>0</v>
      </c>
      <c r="I390" s="47">
        <f t="shared" si="215"/>
        <v>0</v>
      </c>
      <c r="J390" s="47"/>
      <c r="K390" s="47">
        <f t="shared" si="216"/>
        <v>0</v>
      </c>
      <c r="L390" s="47"/>
      <c r="M390" s="47">
        <f t="shared" si="217"/>
        <v>0</v>
      </c>
      <c r="N390" s="47"/>
      <c r="O390" s="47">
        <f t="shared" si="218"/>
        <v>0</v>
      </c>
      <c r="P390" s="47">
        <f t="shared" si="219"/>
        <v>0</v>
      </c>
      <c r="Q390" s="47"/>
      <c r="R390" s="47">
        <f t="shared" si="220"/>
        <v>0</v>
      </c>
      <c r="S390" s="47">
        <f t="shared" si="221"/>
        <v>731</v>
      </c>
      <c r="T390" s="47"/>
      <c r="U390" s="47">
        <f t="shared" si="222"/>
        <v>0</v>
      </c>
      <c r="V390" s="47"/>
      <c r="W390" s="47">
        <f t="shared" si="223"/>
        <v>0</v>
      </c>
      <c r="X390" s="47"/>
      <c r="Y390" s="47">
        <f t="shared" si="224"/>
        <v>0</v>
      </c>
      <c r="Z390" s="47"/>
      <c r="AA390" s="47">
        <f t="shared" si="225"/>
        <v>0</v>
      </c>
      <c r="AB390" s="47">
        <f t="shared" si="226"/>
        <v>731</v>
      </c>
      <c r="AC390" s="27" t="str">
        <f t="shared" si="227"/>
        <v>ok</v>
      </c>
    </row>
    <row r="391" spans="1:29" x14ac:dyDescent="0.2">
      <c r="A391" s="14">
        <v>588</v>
      </c>
      <c r="B391" s="14" t="s">
        <v>113</v>
      </c>
      <c r="C391" s="14" t="s">
        <v>491</v>
      </c>
      <c r="D391" s="14" t="s">
        <v>16</v>
      </c>
      <c r="F391" s="47">
        <v>418387</v>
      </c>
      <c r="G391" s="47"/>
      <c r="H391" s="47">
        <f t="shared" si="214"/>
        <v>0</v>
      </c>
      <c r="I391" s="47">
        <f t="shared" si="215"/>
        <v>0</v>
      </c>
      <c r="J391" s="47"/>
      <c r="K391" s="47">
        <f t="shared" si="216"/>
        <v>0</v>
      </c>
      <c r="L391" s="47"/>
      <c r="M391" s="47">
        <f t="shared" si="217"/>
        <v>1555.0031759080043</v>
      </c>
      <c r="N391" s="47"/>
      <c r="O391" s="47">
        <f t="shared" si="218"/>
        <v>116971.52029115779</v>
      </c>
      <c r="P391" s="47">
        <f t="shared" si="219"/>
        <v>220025.80430708482</v>
      </c>
      <c r="Q391" s="47"/>
      <c r="R391" s="47">
        <f t="shared" si="220"/>
        <v>0</v>
      </c>
      <c r="S391" s="47">
        <f t="shared" si="221"/>
        <v>45698.23204033912</v>
      </c>
      <c r="T391" s="47"/>
      <c r="U391" s="47">
        <f t="shared" si="222"/>
        <v>20062.515451969317</v>
      </c>
      <c r="V391" s="47"/>
      <c r="W391" s="47">
        <f t="shared" si="223"/>
        <v>14073.924733540813</v>
      </c>
      <c r="X391" s="47"/>
      <c r="Y391" s="47">
        <f t="shared" si="224"/>
        <v>0</v>
      </c>
      <c r="Z391" s="47"/>
      <c r="AA391" s="47">
        <f t="shared" si="225"/>
        <v>0</v>
      </c>
      <c r="AB391" s="47">
        <f t="shared" si="226"/>
        <v>418386.99999999994</v>
      </c>
      <c r="AC391" s="27" t="str">
        <f t="shared" si="227"/>
        <v>ok</v>
      </c>
    </row>
    <row r="392" spans="1:29" x14ac:dyDescent="0.2">
      <c r="A392" s="14">
        <v>589</v>
      </c>
      <c r="B392" s="14" t="s">
        <v>115</v>
      </c>
      <c r="C392" s="14" t="s">
        <v>492</v>
      </c>
      <c r="D392" s="14" t="s">
        <v>16</v>
      </c>
      <c r="F392" s="47">
        <v>0</v>
      </c>
      <c r="G392" s="47"/>
      <c r="H392" s="47">
        <f t="shared" si="214"/>
        <v>0</v>
      </c>
      <c r="I392" s="47">
        <f t="shared" si="215"/>
        <v>0</v>
      </c>
      <c r="J392" s="47"/>
      <c r="K392" s="47">
        <f t="shared" si="216"/>
        <v>0</v>
      </c>
      <c r="L392" s="47"/>
      <c r="M392" s="47">
        <f t="shared" si="217"/>
        <v>0</v>
      </c>
      <c r="N392" s="47"/>
      <c r="O392" s="47">
        <f t="shared" si="218"/>
        <v>0</v>
      </c>
      <c r="P392" s="47">
        <f t="shared" si="219"/>
        <v>0</v>
      </c>
      <c r="Q392" s="47"/>
      <c r="R392" s="47">
        <f t="shared" si="220"/>
        <v>0</v>
      </c>
      <c r="S392" s="47">
        <f t="shared" si="221"/>
        <v>0</v>
      </c>
      <c r="T392" s="47"/>
      <c r="U392" s="47">
        <f t="shared" si="222"/>
        <v>0</v>
      </c>
      <c r="V392" s="47"/>
      <c r="W392" s="47">
        <f t="shared" si="223"/>
        <v>0</v>
      </c>
      <c r="X392" s="47"/>
      <c r="Y392" s="47">
        <f t="shared" si="224"/>
        <v>0</v>
      </c>
      <c r="Z392" s="47"/>
      <c r="AA392" s="47">
        <f t="shared" si="225"/>
        <v>0</v>
      </c>
      <c r="AB392" s="47">
        <f t="shared" si="226"/>
        <v>0</v>
      </c>
      <c r="AC392" s="27" t="str">
        <f t="shared" si="227"/>
        <v>ok</v>
      </c>
    </row>
    <row r="393" spans="1:29" x14ac:dyDescent="0.2"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C393" s="27"/>
    </row>
    <row r="394" spans="1:29" x14ac:dyDescent="0.2">
      <c r="A394" s="14" t="s">
        <v>536</v>
      </c>
      <c r="C394" s="14" t="s">
        <v>493</v>
      </c>
      <c r="F394" s="62">
        <f>SUM(F382:F393)</f>
        <v>917109.47</v>
      </c>
      <c r="G394" s="62"/>
      <c r="H394" s="62">
        <f>SUM(H382:H393)</f>
        <v>0</v>
      </c>
      <c r="I394" s="62">
        <f>SUM(I382:I393)</f>
        <v>0</v>
      </c>
      <c r="J394" s="62"/>
      <c r="K394" s="62">
        <f>SUM(K382:K393)</f>
        <v>0</v>
      </c>
      <c r="L394" s="62"/>
      <c r="M394" s="62">
        <f>SUM(M382:M393)</f>
        <v>1880.3243709707581</v>
      </c>
      <c r="N394" s="62"/>
      <c r="O394" s="62">
        <f>SUM(O382:O393)</f>
        <v>179808.48540357879</v>
      </c>
      <c r="P394" s="62">
        <f>SUM(P382:P393)</f>
        <v>323016.82855816401</v>
      </c>
      <c r="Q394" s="62"/>
      <c r="R394" s="62">
        <f>SUM(R382:R393)</f>
        <v>0</v>
      </c>
      <c r="S394" s="62">
        <f>SUM(S382:S393)</f>
        <v>55989.729208415432</v>
      </c>
      <c r="T394" s="62"/>
      <c r="U394" s="62">
        <f>SUM(U382:U393)</f>
        <v>339395.78115786635</v>
      </c>
      <c r="V394" s="62"/>
      <c r="W394" s="62">
        <f>SUM(W382:W393)</f>
        <v>17018.321301004555</v>
      </c>
      <c r="X394" s="62"/>
      <c r="Y394" s="62">
        <f>SUM(Y382:Y393)</f>
        <v>0</v>
      </c>
      <c r="Z394" s="62"/>
      <c r="AA394" s="62">
        <f>SUM(AA382:AA393)</f>
        <v>0</v>
      </c>
      <c r="AB394" s="47">
        <f>SUM(H394:AA394)</f>
        <v>917109.46999999986</v>
      </c>
      <c r="AC394" s="27" t="str">
        <f>IF(ABS(AB394-F394)&lt;1,"ok","err")</f>
        <v>ok</v>
      </c>
    </row>
    <row r="395" spans="1:29" x14ac:dyDescent="0.2"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47"/>
      <c r="AC395" s="27"/>
    </row>
    <row r="396" spans="1:29" x14ac:dyDescent="0.2"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47"/>
      <c r="AC396" s="27"/>
    </row>
    <row r="397" spans="1:29" x14ac:dyDescent="0.2">
      <c r="A397" s="13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C397" s="27"/>
    </row>
    <row r="398" spans="1:29" x14ac:dyDescent="0.2">
      <c r="A398" s="25" t="s">
        <v>473</v>
      </c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C398" s="27"/>
    </row>
    <row r="399" spans="1:29" x14ac:dyDescent="0.2"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C399" s="27"/>
    </row>
    <row r="400" spans="1:29" x14ac:dyDescent="0.2">
      <c r="A400" s="13" t="s">
        <v>537</v>
      </c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C400" s="27"/>
    </row>
    <row r="401" spans="1:29" x14ac:dyDescent="0.2">
      <c r="A401" s="14">
        <v>590</v>
      </c>
      <c r="B401" s="14" t="s">
        <v>120</v>
      </c>
      <c r="C401" s="14" t="s">
        <v>494</v>
      </c>
      <c r="D401" s="14" t="s">
        <v>16</v>
      </c>
      <c r="F401" s="62">
        <v>213893.85</v>
      </c>
      <c r="G401" s="62"/>
      <c r="H401" s="47">
        <f t="shared" ref="H401:H408" si="228">IF(VLOOKUP($D401,$C$5:$AA$496,6,)=0,0,((VLOOKUP($D401,$C$5:$AA$496,6,)/VLOOKUP($D401,$C$5:$AA$496,4,))*$F401))</f>
        <v>0</v>
      </c>
      <c r="I401" s="47">
        <f t="shared" ref="I401:I408" si="229">IF(VLOOKUP($D401,$C$5:$AA$496,7,)=0,0,((VLOOKUP($D401,$C$5:$AA$496,7,)/VLOOKUP($D401,$C$5:$AA$496,4,))*$F401))</f>
        <v>0</v>
      </c>
      <c r="J401" s="47"/>
      <c r="K401" s="47">
        <f t="shared" ref="K401:K408" si="230">IF(VLOOKUP($D401,$C$5:$AA$496,9,)=0,0,((VLOOKUP($D401,$C$5:$AA$496,9,)/VLOOKUP($D401,$C$5:$AA$496,4,))*$F401))</f>
        <v>0</v>
      </c>
      <c r="L401" s="47"/>
      <c r="M401" s="47">
        <f t="shared" ref="M401:M408" si="231">IF(VLOOKUP($D401,$C$5:$AA$496,11,)=0,0,((VLOOKUP($D401,$C$5:$AA$496,11,)/VLOOKUP($D401,$C$5:$AA$496,4,))*$F401))</f>
        <v>794.97120144074825</v>
      </c>
      <c r="N401" s="47"/>
      <c r="O401" s="47">
        <f t="shared" ref="O401:O408" si="232">IF(VLOOKUP($D401,$C$5:$AA$496,13,)=0,0,((VLOOKUP($D401,$C$5:$AA$496,13,)/VLOOKUP($D401,$C$5:$AA$496,4,))*$F401))</f>
        <v>59799.871447795616</v>
      </c>
      <c r="P401" s="47">
        <f t="shared" ref="P401:P408" si="233">IF(VLOOKUP($D401,$C$5:$AA$496,14,)=0,0,((VLOOKUP($D401,$C$5:$AA$496,14,)/VLOOKUP($D401,$C$5:$AA$496,4,))*$F401))</f>
        <v>112484.77219079215</v>
      </c>
      <c r="Q401" s="47"/>
      <c r="R401" s="47">
        <f t="shared" ref="R401:R408" si="234">IF(VLOOKUP($D401,$C$5:$AA$496,16,)=0,0,((VLOOKUP($D401,$C$5:$AA$496,16,)/VLOOKUP($D401,$C$5:$AA$496,4,))*$F401))</f>
        <v>0</v>
      </c>
      <c r="S401" s="47">
        <f t="shared" ref="S401:S408" si="235">IF(VLOOKUP($D401,$C$5:$AA$496,17,)=0,0,((VLOOKUP($D401,$C$5:$AA$496,17,)/VLOOKUP($D401,$C$5:$AA$496,4,))*$F401))</f>
        <v>23362.510759898109</v>
      </c>
      <c r="T401" s="47"/>
      <c r="U401" s="47">
        <f t="shared" ref="U401:U408" si="236">IF(VLOOKUP($D401,$C$5:$AA$496,19,)=0,0,((VLOOKUP($D401,$C$5:$AA$496,19,)/VLOOKUP($D401,$C$5:$AA$496,4,))*$F401))</f>
        <v>10256.649156656891</v>
      </c>
      <c r="V401" s="47"/>
      <c r="W401" s="47">
        <f t="shared" ref="W401:W408" si="237">IF(VLOOKUP($D401,$C$5:$AA$496,21,)=0,0,((VLOOKUP($D401,$C$5:$AA$496,21,)/VLOOKUP($D401,$C$5:$AA$496,4,))*$F401))</f>
        <v>7195.0752434164269</v>
      </c>
      <c r="X401" s="47"/>
      <c r="Y401" s="47">
        <f t="shared" ref="Y401:Y408" si="238">IF(VLOOKUP($D401,$C$5:$AA$496,23,)=0,0,((VLOOKUP($D401,$C$5:$AA$496,23,)/VLOOKUP($D401,$C$5:$AA$496,4,))*$F401))</f>
        <v>0</v>
      </c>
      <c r="Z401" s="47"/>
      <c r="AA401" s="47">
        <f t="shared" ref="AA401:AA408" si="239">IF(VLOOKUP($D401,$C$5:$AA$496,25,)=0,0,((VLOOKUP($D401,$C$5:$AA$496,25,)/VLOOKUP($D401,$C$5:$AA$496,4,))*$F401))</f>
        <v>0</v>
      </c>
      <c r="AB401" s="47">
        <f t="shared" ref="AB401:AB408" si="240">SUM(H401:AA401)</f>
        <v>213893.84999999995</v>
      </c>
      <c r="AC401" s="27" t="str">
        <f t="shared" ref="AC401:AC408" si="241">IF(ABS(AB401-F401)&lt;1,"ok","err")</f>
        <v>ok</v>
      </c>
    </row>
    <row r="402" spans="1:29" x14ac:dyDescent="0.2">
      <c r="A402" s="14">
        <v>592</v>
      </c>
      <c r="B402" s="14" t="s">
        <v>122</v>
      </c>
      <c r="C402" s="14" t="s">
        <v>495</v>
      </c>
      <c r="D402" s="14" t="s">
        <v>23</v>
      </c>
      <c r="F402" s="47">
        <v>0</v>
      </c>
      <c r="G402" s="47"/>
      <c r="H402" s="47">
        <f t="shared" si="228"/>
        <v>0</v>
      </c>
      <c r="I402" s="47">
        <f t="shared" si="229"/>
        <v>0</v>
      </c>
      <c r="J402" s="47"/>
      <c r="K402" s="47">
        <f t="shared" si="230"/>
        <v>0</v>
      </c>
      <c r="L402" s="47"/>
      <c r="M402" s="47">
        <f t="shared" si="231"/>
        <v>0</v>
      </c>
      <c r="N402" s="47"/>
      <c r="O402" s="47">
        <f t="shared" si="232"/>
        <v>0</v>
      </c>
      <c r="P402" s="47">
        <f t="shared" si="233"/>
        <v>0</v>
      </c>
      <c r="Q402" s="47"/>
      <c r="R402" s="47">
        <f t="shared" si="234"/>
        <v>0</v>
      </c>
      <c r="S402" s="47">
        <f t="shared" si="235"/>
        <v>0</v>
      </c>
      <c r="T402" s="47"/>
      <c r="U402" s="47">
        <f t="shared" si="236"/>
        <v>0</v>
      </c>
      <c r="V402" s="47"/>
      <c r="W402" s="47">
        <f t="shared" si="237"/>
        <v>0</v>
      </c>
      <c r="X402" s="47"/>
      <c r="Y402" s="47">
        <f t="shared" si="238"/>
        <v>0</v>
      </c>
      <c r="Z402" s="47"/>
      <c r="AA402" s="47">
        <f t="shared" si="239"/>
        <v>0</v>
      </c>
      <c r="AB402" s="47">
        <f t="shared" si="240"/>
        <v>0</v>
      </c>
      <c r="AC402" s="27" t="str">
        <f t="shared" si="241"/>
        <v>ok</v>
      </c>
    </row>
    <row r="403" spans="1:29" x14ac:dyDescent="0.2">
      <c r="A403" s="14">
        <v>593</v>
      </c>
      <c r="B403" s="14" t="s">
        <v>124</v>
      </c>
      <c r="C403" s="14" t="s">
        <v>496</v>
      </c>
      <c r="D403" s="14" t="s">
        <v>29</v>
      </c>
      <c r="F403" s="47">
        <v>1578121</v>
      </c>
      <c r="G403" s="47"/>
      <c r="H403" s="47">
        <f t="shared" si="228"/>
        <v>0</v>
      </c>
      <c r="I403" s="47">
        <f t="shared" si="229"/>
        <v>0</v>
      </c>
      <c r="J403" s="47"/>
      <c r="K403" s="47">
        <f t="shared" si="230"/>
        <v>0</v>
      </c>
      <c r="L403" s="47"/>
      <c r="M403" s="47">
        <f t="shared" si="231"/>
        <v>0</v>
      </c>
      <c r="N403" s="47"/>
      <c r="O403" s="47">
        <f t="shared" si="232"/>
        <v>635145.98276948987</v>
      </c>
      <c r="P403" s="47">
        <f t="shared" si="233"/>
        <v>942975.01723051013</v>
      </c>
      <c r="Q403" s="47"/>
      <c r="R403" s="47">
        <f t="shared" si="234"/>
        <v>0</v>
      </c>
      <c r="S403" s="47">
        <f t="shared" si="235"/>
        <v>0</v>
      </c>
      <c r="T403" s="47"/>
      <c r="U403" s="47">
        <f t="shared" si="236"/>
        <v>0</v>
      </c>
      <c r="V403" s="47"/>
      <c r="W403" s="47">
        <f t="shared" si="237"/>
        <v>0</v>
      </c>
      <c r="X403" s="47"/>
      <c r="Y403" s="47">
        <f t="shared" si="238"/>
        <v>0</v>
      </c>
      <c r="Z403" s="47"/>
      <c r="AA403" s="47">
        <f t="shared" si="239"/>
        <v>0</v>
      </c>
      <c r="AB403" s="47">
        <f t="shared" si="240"/>
        <v>1578121</v>
      </c>
      <c r="AC403" s="27" t="str">
        <f t="shared" si="241"/>
        <v>ok</v>
      </c>
    </row>
    <row r="404" spans="1:29" x14ac:dyDescent="0.2">
      <c r="A404" s="14">
        <v>594</v>
      </c>
      <c r="B404" s="14" t="s">
        <v>126</v>
      </c>
      <c r="C404" s="14" t="s">
        <v>497</v>
      </c>
      <c r="D404" s="14" t="s">
        <v>35</v>
      </c>
      <c r="F404" s="47">
        <v>0</v>
      </c>
      <c r="G404" s="47"/>
      <c r="H404" s="47">
        <f t="shared" si="228"/>
        <v>0</v>
      </c>
      <c r="I404" s="47">
        <f t="shared" si="229"/>
        <v>0</v>
      </c>
      <c r="J404" s="47"/>
      <c r="K404" s="47">
        <f t="shared" si="230"/>
        <v>0</v>
      </c>
      <c r="L404" s="47"/>
      <c r="M404" s="47">
        <f t="shared" si="231"/>
        <v>0</v>
      </c>
      <c r="N404" s="47"/>
      <c r="O404" s="47">
        <f t="shared" si="232"/>
        <v>0</v>
      </c>
      <c r="P404" s="47">
        <f t="shared" si="233"/>
        <v>0</v>
      </c>
      <c r="Q404" s="47"/>
      <c r="R404" s="47">
        <f t="shared" si="234"/>
        <v>0</v>
      </c>
      <c r="S404" s="47">
        <f t="shared" si="235"/>
        <v>0</v>
      </c>
      <c r="T404" s="47"/>
      <c r="U404" s="47">
        <f t="shared" si="236"/>
        <v>0</v>
      </c>
      <c r="V404" s="47"/>
      <c r="W404" s="47">
        <f t="shared" si="237"/>
        <v>0</v>
      </c>
      <c r="X404" s="47"/>
      <c r="Y404" s="47">
        <f t="shared" si="238"/>
        <v>0</v>
      </c>
      <c r="Z404" s="47"/>
      <c r="AA404" s="47">
        <f t="shared" si="239"/>
        <v>0</v>
      </c>
      <c r="AB404" s="47">
        <f t="shared" si="240"/>
        <v>0</v>
      </c>
      <c r="AC404" s="27" t="str">
        <f t="shared" si="241"/>
        <v>ok</v>
      </c>
    </row>
    <row r="405" spans="1:29" x14ac:dyDescent="0.2">
      <c r="A405" s="14">
        <v>595</v>
      </c>
      <c r="B405" s="14" t="s">
        <v>128</v>
      </c>
      <c r="C405" s="14" t="s">
        <v>498</v>
      </c>
      <c r="D405" s="14" t="s">
        <v>37</v>
      </c>
      <c r="F405" s="47">
        <v>0</v>
      </c>
      <c r="G405" s="47"/>
      <c r="H405" s="47">
        <f t="shared" si="228"/>
        <v>0</v>
      </c>
      <c r="I405" s="47">
        <f t="shared" si="229"/>
        <v>0</v>
      </c>
      <c r="J405" s="47"/>
      <c r="K405" s="47">
        <f t="shared" si="230"/>
        <v>0</v>
      </c>
      <c r="L405" s="47"/>
      <c r="M405" s="47">
        <f t="shared" si="231"/>
        <v>0</v>
      </c>
      <c r="N405" s="47"/>
      <c r="O405" s="47">
        <f t="shared" si="232"/>
        <v>0</v>
      </c>
      <c r="P405" s="47">
        <f t="shared" si="233"/>
        <v>0</v>
      </c>
      <c r="Q405" s="47"/>
      <c r="R405" s="47">
        <f t="shared" si="234"/>
        <v>0</v>
      </c>
      <c r="S405" s="47">
        <f t="shared" si="235"/>
        <v>0</v>
      </c>
      <c r="T405" s="47"/>
      <c r="U405" s="47">
        <f t="shared" si="236"/>
        <v>0</v>
      </c>
      <c r="V405" s="47"/>
      <c r="W405" s="47">
        <f t="shared" si="237"/>
        <v>0</v>
      </c>
      <c r="X405" s="47"/>
      <c r="Y405" s="47">
        <f t="shared" si="238"/>
        <v>0</v>
      </c>
      <c r="Z405" s="47"/>
      <c r="AA405" s="47">
        <f t="shared" si="239"/>
        <v>0</v>
      </c>
      <c r="AB405" s="47">
        <f t="shared" si="240"/>
        <v>0</v>
      </c>
      <c r="AC405" s="27" t="str">
        <f t="shared" si="241"/>
        <v>ok</v>
      </c>
    </row>
    <row r="406" spans="1:29" x14ac:dyDescent="0.2">
      <c r="A406" s="14">
        <v>596</v>
      </c>
      <c r="B406" s="14" t="s">
        <v>380</v>
      </c>
      <c r="C406" s="14" t="s">
        <v>499</v>
      </c>
      <c r="D406" s="14" t="s">
        <v>48</v>
      </c>
      <c r="F406" s="47">
        <v>0</v>
      </c>
      <c r="G406" s="47"/>
      <c r="H406" s="47">
        <f t="shared" si="228"/>
        <v>0</v>
      </c>
      <c r="I406" s="47">
        <f t="shared" si="229"/>
        <v>0</v>
      </c>
      <c r="J406" s="47"/>
      <c r="K406" s="47">
        <f t="shared" si="230"/>
        <v>0</v>
      </c>
      <c r="L406" s="47"/>
      <c r="M406" s="47">
        <f t="shared" si="231"/>
        <v>0</v>
      </c>
      <c r="N406" s="47"/>
      <c r="O406" s="47">
        <f t="shared" si="232"/>
        <v>0</v>
      </c>
      <c r="P406" s="47">
        <f t="shared" si="233"/>
        <v>0</v>
      </c>
      <c r="Q406" s="47"/>
      <c r="R406" s="47">
        <f t="shared" si="234"/>
        <v>0</v>
      </c>
      <c r="S406" s="47">
        <f t="shared" si="235"/>
        <v>0</v>
      </c>
      <c r="T406" s="47"/>
      <c r="U406" s="47">
        <f t="shared" si="236"/>
        <v>0</v>
      </c>
      <c r="V406" s="47"/>
      <c r="W406" s="47">
        <f t="shared" si="237"/>
        <v>0</v>
      </c>
      <c r="X406" s="47"/>
      <c r="Y406" s="47">
        <f t="shared" si="238"/>
        <v>0</v>
      </c>
      <c r="Z406" s="47"/>
      <c r="AA406" s="47">
        <f t="shared" si="239"/>
        <v>0</v>
      </c>
      <c r="AB406" s="47">
        <f t="shared" si="240"/>
        <v>0</v>
      </c>
      <c r="AC406" s="27" t="str">
        <f t="shared" si="241"/>
        <v>ok</v>
      </c>
    </row>
    <row r="407" spans="1:29" x14ac:dyDescent="0.2">
      <c r="A407" s="14">
        <v>597</v>
      </c>
      <c r="B407" s="14" t="s">
        <v>130</v>
      </c>
      <c r="C407" s="14" t="s">
        <v>500</v>
      </c>
      <c r="D407" s="14" t="s">
        <v>43</v>
      </c>
      <c r="F407" s="47">
        <v>0</v>
      </c>
      <c r="G407" s="47"/>
      <c r="H407" s="47">
        <f t="shared" si="228"/>
        <v>0</v>
      </c>
      <c r="I407" s="47">
        <f t="shared" si="229"/>
        <v>0</v>
      </c>
      <c r="J407" s="47"/>
      <c r="K407" s="47">
        <f t="shared" si="230"/>
        <v>0</v>
      </c>
      <c r="L407" s="47"/>
      <c r="M407" s="47">
        <f t="shared" si="231"/>
        <v>0</v>
      </c>
      <c r="N407" s="47"/>
      <c r="O407" s="47">
        <f t="shared" si="232"/>
        <v>0</v>
      </c>
      <c r="P407" s="47">
        <f t="shared" si="233"/>
        <v>0</v>
      </c>
      <c r="Q407" s="47"/>
      <c r="R407" s="47">
        <f t="shared" si="234"/>
        <v>0</v>
      </c>
      <c r="S407" s="47">
        <f t="shared" si="235"/>
        <v>0</v>
      </c>
      <c r="T407" s="47"/>
      <c r="U407" s="47">
        <f t="shared" si="236"/>
        <v>0</v>
      </c>
      <c r="V407" s="47"/>
      <c r="W407" s="47">
        <f t="shared" si="237"/>
        <v>0</v>
      </c>
      <c r="X407" s="47"/>
      <c r="Y407" s="47">
        <f t="shared" si="238"/>
        <v>0</v>
      </c>
      <c r="Z407" s="47"/>
      <c r="AA407" s="47">
        <f t="shared" si="239"/>
        <v>0</v>
      </c>
      <c r="AB407" s="47">
        <f t="shared" si="240"/>
        <v>0</v>
      </c>
      <c r="AC407" s="27" t="str">
        <f t="shared" si="241"/>
        <v>ok</v>
      </c>
    </row>
    <row r="408" spans="1:29" x14ac:dyDescent="0.2">
      <c r="A408" s="14">
        <v>598</v>
      </c>
      <c r="B408" s="14" t="s">
        <v>384</v>
      </c>
      <c r="C408" s="14" t="s">
        <v>501</v>
      </c>
      <c r="D408" s="14" t="s">
        <v>16</v>
      </c>
      <c r="F408" s="47">
        <v>159</v>
      </c>
      <c r="G408" s="47"/>
      <c r="H408" s="47">
        <f t="shared" si="228"/>
        <v>0</v>
      </c>
      <c r="I408" s="47">
        <f t="shared" si="229"/>
        <v>0</v>
      </c>
      <c r="J408" s="47"/>
      <c r="K408" s="47">
        <f t="shared" si="230"/>
        <v>0</v>
      </c>
      <c r="L408" s="47"/>
      <c r="M408" s="47">
        <f t="shared" si="231"/>
        <v>0.59094930045477678</v>
      </c>
      <c r="N408" s="47"/>
      <c r="O408" s="47">
        <f t="shared" si="232"/>
        <v>44.452795441287826</v>
      </c>
      <c r="P408" s="47">
        <f t="shared" si="233"/>
        <v>83.61661066148443</v>
      </c>
      <c r="Q408" s="47"/>
      <c r="R408" s="47">
        <f t="shared" si="234"/>
        <v>0</v>
      </c>
      <c r="S408" s="47">
        <f t="shared" si="235"/>
        <v>17.366741544106105</v>
      </c>
      <c r="T408" s="47"/>
      <c r="U408" s="47">
        <f t="shared" si="236"/>
        <v>7.6243763713096273</v>
      </c>
      <c r="V408" s="47"/>
      <c r="W408" s="47">
        <f t="shared" si="237"/>
        <v>5.3485266813571863</v>
      </c>
      <c r="X408" s="47"/>
      <c r="Y408" s="47">
        <f t="shared" si="238"/>
        <v>0</v>
      </c>
      <c r="Z408" s="47"/>
      <c r="AA408" s="47">
        <f t="shared" si="239"/>
        <v>0</v>
      </c>
      <c r="AB408" s="47">
        <f t="shared" si="240"/>
        <v>158.99999999999994</v>
      </c>
      <c r="AC408" s="27" t="str">
        <f t="shared" si="241"/>
        <v>ok</v>
      </c>
    </row>
    <row r="409" spans="1:29" x14ac:dyDescent="0.2"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27"/>
    </row>
    <row r="410" spans="1:29" x14ac:dyDescent="0.2">
      <c r="A410" s="14" t="s">
        <v>538</v>
      </c>
      <c r="C410" s="14" t="s">
        <v>502</v>
      </c>
      <c r="F410" s="62">
        <f>SUM(F401:F409)</f>
        <v>1792173.85</v>
      </c>
      <c r="G410" s="62"/>
      <c r="H410" s="62">
        <f>SUM(H401:H409)</f>
        <v>0</v>
      </c>
      <c r="I410" s="62">
        <f>SUM(I401:I409)</f>
        <v>0</v>
      </c>
      <c r="J410" s="62"/>
      <c r="K410" s="62">
        <f>SUM(K401:K409)</f>
        <v>0</v>
      </c>
      <c r="L410" s="62"/>
      <c r="M410" s="62">
        <f>SUM(M401:M409)</f>
        <v>795.56215074120303</v>
      </c>
      <c r="N410" s="62"/>
      <c r="O410" s="62">
        <f>SUM(O401:O409)</f>
        <v>694990.30701272679</v>
      </c>
      <c r="P410" s="62">
        <f>SUM(P401:P409)</f>
        <v>1055543.4060319636</v>
      </c>
      <c r="Q410" s="62"/>
      <c r="R410" s="62">
        <f>SUM(R401:R409)</f>
        <v>0</v>
      </c>
      <c r="S410" s="62">
        <f>SUM(S401:S409)</f>
        <v>23379.877501442214</v>
      </c>
      <c r="T410" s="62"/>
      <c r="U410" s="62">
        <f>SUM(U401:U409)</f>
        <v>10264.273533028201</v>
      </c>
      <c r="V410" s="62"/>
      <c r="W410" s="62">
        <f>SUM(W401:W409)</f>
        <v>7200.4237700977837</v>
      </c>
      <c r="X410" s="62"/>
      <c r="Y410" s="62">
        <f>SUM(Y401:Y409)</f>
        <v>0</v>
      </c>
      <c r="Z410" s="62"/>
      <c r="AA410" s="62">
        <f>SUM(AA401:AA409)</f>
        <v>0</v>
      </c>
      <c r="AB410" s="47">
        <f>SUM(H410:AA410)</f>
        <v>1792173.8499999999</v>
      </c>
      <c r="AC410" s="27" t="str">
        <f>IF(ABS(AB410-F410)&lt;1,"ok","err")</f>
        <v>ok</v>
      </c>
    </row>
    <row r="411" spans="1:29" x14ac:dyDescent="0.2"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C411" s="27"/>
    </row>
    <row r="412" spans="1:29" x14ac:dyDescent="0.2">
      <c r="A412" s="14" t="s">
        <v>539</v>
      </c>
      <c r="F412" s="47">
        <f>F394+F410</f>
        <v>2709283.3200000003</v>
      </c>
      <c r="G412" s="47"/>
      <c r="H412" s="47">
        <f>H394+H410</f>
        <v>0</v>
      </c>
      <c r="I412" s="47">
        <f>I394+I410</f>
        <v>0</v>
      </c>
      <c r="J412" s="47"/>
      <c r="K412" s="47">
        <f>K394+K410</f>
        <v>0</v>
      </c>
      <c r="L412" s="47"/>
      <c r="M412" s="47">
        <f>M394+M410</f>
        <v>2675.886521711961</v>
      </c>
      <c r="N412" s="47"/>
      <c r="O412" s="47">
        <f>O394+O410</f>
        <v>874798.79241630551</v>
      </c>
      <c r="P412" s="47">
        <f>P394+P410</f>
        <v>1378560.2345901276</v>
      </c>
      <c r="Q412" s="47"/>
      <c r="R412" s="47">
        <f>R394+R410</f>
        <v>0</v>
      </c>
      <c r="S412" s="47">
        <f>S394+S410</f>
        <v>79369.606709857646</v>
      </c>
      <c r="T412" s="47"/>
      <c r="U412" s="47">
        <f>U394+U410</f>
        <v>349660.05469089455</v>
      </c>
      <c r="V412" s="47"/>
      <c r="W412" s="47">
        <f>W394+W410</f>
        <v>24218.745071102338</v>
      </c>
      <c r="X412" s="47"/>
      <c r="Y412" s="47">
        <f>Y394+Y410</f>
        <v>0</v>
      </c>
      <c r="Z412" s="47"/>
      <c r="AA412" s="47">
        <f>AA394+AA410</f>
        <v>0</v>
      </c>
      <c r="AB412" s="47">
        <f>SUM(H412:AA412)</f>
        <v>2709283.32</v>
      </c>
      <c r="AC412" s="27" t="str">
        <f>IF(ABS(AB412-F412)&lt;1,"ok","err")</f>
        <v>ok</v>
      </c>
    </row>
    <row r="413" spans="1:29" x14ac:dyDescent="0.2"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C413" s="27"/>
    </row>
    <row r="414" spans="1:29" x14ac:dyDescent="0.2">
      <c r="A414" s="14" t="s">
        <v>540</v>
      </c>
      <c r="F414" s="47">
        <f>F412+F379</f>
        <v>2709283.3200000003</v>
      </c>
      <c r="G414" s="47"/>
      <c r="H414" s="47">
        <f>H412+H379</f>
        <v>0</v>
      </c>
      <c r="I414" s="47">
        <f>I412+I379</f>
        <v>0</v>
      </c>
      <c r="J414" s="47"/>
      <c r="K414" s="47">
        <f>K412+K379</f>
        <v>0</v>
      </c>
      <c r="L414" s="47"/>
      <c r="M414" s="47">
        <f>M412+M379</f>
        <v>2675.886521711961</v>
      </c>
      <c r="N414" s="47"/>
      <c r="O414" s="47">
        <f>O412+O379</f>
        <v>874798.79241630551</v>
      </c>
      <c r="P414" s="47">
        <f>P412+P379</f>
        <v>1378560.2345901276</v>
      </c>
      <c r="Q414" s="47"/>
      <c r="R414" s="47">
        <f>R412+R379</f>
        <v>0</v>
      </c>
      <c r="S414" s="47">
        <f>S412+S379</f>
        <v>79369.606709857646</v>
      </c>
      <c r="T414" s="47"/>
      <c r="U414" s="47">
        <f>U412+U379</f>
        <v>349660.05469089455</v>
      </c>
      <c r="V414" s="47"/>
      <c r="W414" s="47">
        <f>W412+W379</f>
        <v>24218.745071102338</v>
      </c>
      <c r="X414" s="47"/>
      <c r="Y414" s="47">
        <f>Y412+Y379</f>
        <v>0</v>
      </c>
      <c r="Z414" s="47"/>
      <c r="AA414" s="47">
        <f>AA412+AA379</f>
        <v>0</v>
      </c>
      <c r="AB414" s="47">
        <f>SUM(H414:AA414)</f>
        <v>2709283.32</v>
      </c>
      <c r="AC414" s="27" t="str">
        <f>IF(ABS(AB414-F414)&lt;1,"ok","err")</f>
        <v>ok</v>
      </c>
    </row>
    <row r="415" spans="1:29" x14ac:dyDescent="0.2"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C415" s="27"/>
    </row>
    <row r="416" spans="1:29" x14ac:dyDescent="0.2">
      <c r="A416" s="14" t="s">
        <v>541</v>
      </c>
      <c r="C416" s="14" t="s">
        <v>503</v>
      </c>
      <c r="F416" s="62">
        <f>F414+F367</f>
        <v>2709283.3200000003</v>
      </c>
      <c r="G416" s="62"/>
      <c r="H416" s="62">
        <f>H414+H367</f>
        <v>0</v>
      </c>
      <c r="I416" s="62">
        <f>I414+I367</f>
        <v>0</v>
      </c>
      <c r="J416" s="62"/>
      <c r="K416" s="62">
        <f>K414+K367</f>
        <v>0</v>
      </c>
      <c r="L416" s="62"/>
      <c r="M416" s="62">
        <f>M414+M367</f>
        <v>2675.886521711961</v>
      </c>
      <c r="N416" s="62"/>
      <c r="O416" s="62">
        <f>O414+O367</f>
        <v>874798.79241630551</v>
      </c>
      <c r="P416" s="62">
        <f>P414+P367</f>
        <v>1378560.2345901276</v>
      </c>
      <c r="Q416" s="62"/>
      <c r="R416" s="62">
        <f>R414+R367</f>
        <v>0</v>
      </c>
      <c r="S416" s="62">
        <f>S414+S367</f>
        <v>79369.606709857646</v>
      </c>
      <c r="T416" s="62"/>
      <c r="U416" s="62">
        <f>U414+U367</f>
        <v>349660.05469089455</v>
      </c>
      <c r="V416" s="62"/>
      <c r="W416" s="62">
        <f>W414+W367</f>
        <v>24218.745071102338</v>
      </c>
      <c r="X416" s="62"/>
      <c r="Y416" s="62">
        <f>Y414+Y367</f>
        <v>0</v>
      </c>
      <c r="Z416" s="62"/>
      <c r="AA416" s="62">
        <f>AA414+AA367</f>
        <v>0</v>
      </c>
      <c r="AB416" s="47">
        <f>SUM(H416:AA416)</f>
        <v>2709283.32</v>
      </c>
      <c r="AC416" s="27" t="str">
        <f>IF(ABS(AB416-F416)&lt;1,"ok","err")</f>
        <v>ok</v>
      </c>
    </row>
    <row r="417" spans="1:29" x14ac:dyDescent="0.2">
      <c r="A417" s="13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C417" s="27"/>
    </row>
    <row r="418" spans="1:29" x14ac:dyDescent="0.2">
      <c r="A418" s="13" t="s">
        <v>137</v>
      </c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C418" s="27"/>
    </row>
    <row r="419" spans="1:29" x14ac:dyDescent="0.2">
      <c r="A419" s="14">
        <v>901</v>
      </c>
      <c r="B419" s="14" t="s">
        <v>138</v>
      </c>
      <c r="C419" s="14" t="s">
        <v>504</v>
      </c>
      <c r="D419" s="14" t="s">
        <v>140</v>
      </c>
      <c r="F419" s="62">
        <v>114759.45</v>
      </c>
      <c r="G419" s="62"/>
      <c r="H419" s="47">
        <f>IF(VLOOKUP($D419,$C$5:$AA$496,6,)=0,0,((VLOOKUP($D419,$C$5:$AA$496,6,)/VLOOKUP($D419,$C$5:$AA$496,4,))*$F419))</f>
        <v>0</v>
      </c>
      <c r="I419" s="47">
        <f>IF(VLOOKUP($D419,$C$5:$AA$496,7,)=0,0,((VLOOKUP($D419,$C$5:$AA$496,7,)/VLOOKUP($D419,$C$5:$AA$496,4,))*$F419))</f>
        <v>0</v>
      </c>
      <c r="J419" s="47"/>
      <c r="K419" s="47">
        <f>IF(VLOOKUP($D419,$C$5:$AA$496,9,)=0,0,((VLOOKUP($D419,$C$5:$AA$496,9,)/VLOOKUP($D419,$C$5:$AA$496,4,))*$F419))</f>
        <v>0</v>
      </c>
      <c r="L419" s="47"/>
      <c r="M419" s="47">
        <f>IF(VLOOKUP($D419,$C$5:$AA$496,11,)=0,0,((VLOOKUP($D419,$C$5:$AA$496,11,)/VLOOKUP($D419,$C$5:$AA$496,4,))*$F419))</f>
        <v>0</v>
      </c>
      <c r="N419" s="47"/>
      <c r="O419" s="47">
        <f>IF(VLOOKUP($D419,$C$5:$AA$496,13,)=0,0,((VLOOKUP($D419,$C$5:$AA$496,13,)/VLOOKUP($D419,$C$5:$AA$496,4,))*$F419))</f>
        <v>0</v>
      </c>
      <c r="P419" s="47">
        <f>IF(VLOOKUP($D419,$C$5:$AA$496,14,)=0,0,((VLOOKUP($D419,$C$5:$AA$496,14,)/VLOOKUP($D419,$C$5:$AA$496,4,))*$F419))</f>
        <v>0</v>
      </c>
      <c r="Q419" s="47"/>
      <c r="R419" s="47">
        <f>IF(VLOOKUP($D419,$C$5:$AA$496,16,)=0,0,((VLOOKUP($D419,$C$5:$AA$496,16,)/VLOOKUP($D419,$C$5:$AA$496,4,))*$F419))</f>
        <v>0</v>
      </c>
      <c r="S419" s="47">
        <f>IF(VLOOKUP($D419,$C$5:$AA$496,17,)=0,0,((VLOOKUP($D419,$C$5:$AA$496,17,)/VLOOKUP($D419,$C$5:$AA$496,4,))*$F419))</f>
        <v>0</v>
      </c>
      <c r="T419" s="47"/>
      <c r="U419" s="47">
        <f>IF(VLOOKUP($D419,$C$5:$AA$496,19,)=0,0,((VLOOKUP($D419,$C$5:$AA$496,19,)/VLOOKUP($D419,$C$5:$AA$496,4,))*$F419))</f>
        <v>0</v>
      </c>
      <c r="V419" s="47"/>
      <c r="W419" s="47">
        <f>IF(VLOOKUP($D419,$C$5:$AA$496,21,)=0,0,((VLOOKUP($D419,$C$5:$AA$496,21,)/VLOOKUP($D419,$C$5:$AA$496,4,))*$F419))</f>
        <v>0</v>
      </c>
      <c r="X419" s="47"/>
      <c r="Y419" s="47">
        <f>IF(VLOOKUP($D419,$C$5:$AA$496,23,)=0,0,((VLOOKUP($D419,$C$5:$AA$496,23,)/VLOOKUP($D419,$C$5:$AA$496,4,))*$F419))</f>
        <v>114759.45</v>
      </c>
      <c r="Z419" s="47"/>
      <c r="AA419" s="47">
        <f>IF(VLOOKUP($D419,$C$5:$AA$496,25,)=0,0,((VLOOKUP($D419,$C$5:$AA$496,25,)/VLOOKUP($D419,$C$5:$AA$496,4,))*$F419))</f>
        <v>0</v>
      </c>
      <c r="AB419" s="47">
        <f>SUM(H419:AA419)</f>
        <v>114759.45</v>
      </c>
      <c r="AC419" s="27" t="str">
        <f>IF(ABS(AB419-F419)&lt;1,"ok","err")</f>
        <v>ok</v>
      </c>
    </row>
    <row r="420" spans="1:29" x14ac:dyDescent="0.2">
      <c r="A420" s="14">
        <v>902</v>
      </c>
      <c r="B420" s="14" t="s">
        <v>141</v>
      </c>
      <c r="C420" s="14" t="s">
        <v>505</v>
      </c>
      <c r="D420" s="14" t="s">
        <v>140</v>
      </c>
      <c r="F420" s="47">
        <v>120342</v>
      </c>
      <c r="G420" s="47"/>
      <c r="H420" s="47">
        <f>IF(VLOOKUP($D420,$C$5:$AA$496,6,)=0,0,((VLOOKUP($D420,$C$5:$AA$496,6,)/VLOOKUP($D420,$C$5:$AA$496,4,))*$F420))</f>
        <v>0</v>
      </c>
      <c r="I420" s="47">
        <f>IF(VLOOKUP($D420,$C$5:$AA$496,7,)=0,0,((VLOOKUP($D420,$C$5:$AA$496,7,)/VLOOKUP($D420,$C$5:$AA$496,4,))*$F420))</f>
        <v>0</v>
      </c>
      <c r="J420" s="47"/>
      <c r="K420" s="47">
        <f>IF(VLOOKUP($D420,$C$5:$AA$496,9,)=0,0,((VLOOKUP($D420,$C$5:$AA$496,9,)/VLOOKUP($D420,$C$5:$AA$496,4,))*$F420))</f>
        <v>0</v>
      </c>
      <c r="L420" s="47"/>
      <c r="M420" s="47">
        <f>IF(VLOOKUP($D420,$C$5:$AA$496,11,)=0,0,((VLOOKUP($D420,$C$5:$AA$496,11,)/VLOOKUP($D420,$C$5:$AA$496,4,))*$F420))</f>
        <v>0</v>
      </c>
      <c r="N420" s="47"/>
      <c r="O420" s="47">
        <f>IF(VLOOKUP($D420,$C$5:$AA$496,13,)=0,0,((VLOOKUP($D420,$C$5:$AA$496,13,)/VLOOKUP($D420,$C$5:$AA$496,4,))*$F420))</f>
        <v>0</v>
      </c>
      <c r="P420" s="47">
        <f>IF(VLOOKUP($D420,$C$5:$AA$496,14,)=0,0,((VLOOKUP($D420,$C$5:$AA$496,14,)/VLOOKUP($D420,$C$5:$AA$496,4,))*$F420))</f>
        <v>0</v>
      </c>
      <c r="Q420" s="47"/>
      <c r="R420" s="47">
        <f>IF(VLOOKUP($D420,$C$5:$AA$496,16,)=0,0,((VLOOKUP($D420,$C$5:$AA$496,16,)/VLOOKUP($D420,$C$5:$AA$496,4,))*$F420))</f>
        <v>0</v>
      </c>
      <c r="S420" s="47">
        <f>IF(VLOOKUP($D420,$C$5:$AA$496,17,)=0,0,((VLOOKUP($D420,$C$5:$AA$496,17,)/VLOOKUP($D420,$C$5:$AA$496,4,))*$F420))</f>
        <v>0</v>
      </c>
      <c r="T420" s="47"/>
      <c r="U420" s="47">
        <f>IF(VLOOKUP($D420,$C$5:$AA$496,19,)=0,0,((VLOOKUP($D420,$C$5:$AA$496,19,)/VLOOKUP($D420,$C$5:$AA$496,4,))*$F420))</f>
        <v>0</v>
      </c>
      <c r="V420" s="47"/>
      <c r="W420" s="47">
        <f>IF(VLOOKUP($D420,$C$5:$AA$496,21,)=0,0,((VLOOKUP($D420,$C$5:$AA$496,21,)/VLOOKUP($D420,$C$5:$AA$496,4,))*$F420))</f>
        <v>0</v>
      </c>
      <c r="X420" s="47"/>
      <c r="Y420" s="47">
        <f>IF(VLOOKUP($D420,$C$5:$AA$496,23,)=0,0,((VLOOKUP($D420,$C$5:$AA$496,23,)/VLOOKUP($D420,$C$5:$AA$496,4,))*$F420))</f>
        <v>120342</v>
      </c>
      <c r="Z420" s="47"/>
      <c r="AA420" s="47">
        <f>IF(VLOOKUP($D420,$C$5:$AA$496,25,)=0,0,((VLOOKUP($D420,$C$5:$AA$496,25,)/VLOOKUP($D420,$C$5:$AA$496,4,))*$F420))</f>
        <v>0</v>
      </c>
      <c r="AB420" s="47">
        <f>SUM(H420:AA420)</f>
        <v>120342</v>
      </c>
      <c r="AC420" s="27" t="str">
        <f>IF(ABS(AB420-F420)&lt;1,"ok","err")</f>
        <v>ok</v>
      </c>
    </row>
    <row r="421" spans="1:29" x14ac:dyDescent="0.2">
      <c r="A421" s="14">
        <v>903</v>
      </c>
      <c r="B421" s="14" t="s">
        <v>452</v>
      </c>
      <c r="C421" s="14" t="s">
        <v>506</v>
      </c>
      <c r="D421" s="14" t="s">
        <v>140</v>
      </c>
      <c r="F421" s="47">
        <v>778664.74</v>
      </c>
      <c r="G421" s="47"/>
      <c r="H421" s="47">
        <f>IF(VLOOKUP($D421,$C$5:$AA$496,6,)=0,0,((VLOOKUP($D421,$C$5:$AA$496,6,)/VLOOKUP($D421,$C$5:$AA$496,4,))*$F421))</f>
        <v>0</v>
      </c>
      <c r="I421" s="47">
        <f>IF(VLOOKUP($D421,$C$5:$AA$496,7,)=0,0,((VLOOKUP($D421,$C$5:$AA$496,7,)/VLOOKUP($D421,$C$5:$AA$496,4,))*$F421))</f>
        <v>0</v>
      </c>
      <c r="J421" s="47"/>
      <c r="K421" s="47">
        <f>IF(VLOOKUP($D421,$C$5:$AA$496,9,)=0,0,((VLOOKUP($D421,$C$5:$AA$496,9,)/VLOOKUP($D421,$C$5:$AA$496,4,))*$F421))</f>
        <v>0</v>
      </c>
      <c r="L421" s="47"/>
      <c r="M421" s="47">
        <f>IF(VLOOKUP($D421,$C$5:$AA$496,11,)=0,0,((VLOOKUP($D421,$C$5:$AA$496,11,)/VLOOKUP($D421,$C$5:$AA$496,4,))*$F421))</f>
        <v>0</v>
      </c>
      <c r="N421" s="47"/>
      <c r="O421" s="47">
        <f>IF(VLOOKUP($D421,$C$5:$AA$496,13,)=0,0,((VLOOKUP($D421,$C$5:$AA$496,13,)/VLOOKUP($D421,$C$5:$AA$496,4,))*$F421))</f>
        <v>0</v>
      </c>
      <c r="P421" s="47">
        <f>IF(VLOOKUP($D421,$C$5:$AA$496,14,)=0,0,((VLOOKUP($D421,$C$5:$AA$496,14,)/VLOOKUP($D421,$C$5:$AA$496,4,))*$F421))</f>
        <v>0</v>
      </c>
      <c r="Q421" s="47"/>
      <c r="R421" s="47">
        <f>IF(VLOOKUP($D421,$C$5:$AA$496,16,)=0,0,((VLOOKUP($D421,$C$5:$AA$496,16,)/VLOOKUP($D421,$C$5:$AA$496,4,))*$F421))</f>
        <v>0</v>
      </c>
      <c r="S421" s="47">
        <f>IF(VLOOKUP($D421,$C$5:$AA$496,17,)=0,0,((VLOOKUP($D421,$C$5:$AA$496,17,)/VLOOKUP($D421,$C$5:$AA$496,4,))*$F421))</f>
        <v>0</v>
      </c>
      <c r="T421" s="47"/>
      <c r="U421" s="47">
        <f>IF(VLOOKUP($D421,$C$5:$AA$496,19,)=0,0,((VLOOKUP($D421,$C$5:$AA$496,19,)/VLOOKUP($D421,$C$5:$AA$496,4,))*$F421))</f>
        <v>0</v>
      </c>
      <c r="V421" s="47"/>
      <c r="W421" s="47">
        <f>IF(VLOOKUP($D421,$C$5:$AA$496,21,)=0,0,((VLOOKUP($D421,$C$5:$AA$496,21,)/VLOOKUP($D421,$C$5:$AA$496,4,))*$F421))</f>
        <v>0</v>
      </c>
      <c r="X421" s="47"/>
      <c r="Y421" s="47">
        <f>IF(VLOOKUP($D421,$C$5:$AA$496,23,)=0,0,((VLOOKUP($D421,$C$5:$AA$496,23,)/VLOOKUP($D421,$C$5:$AA$496,4,))*$F421))</f>
        <v>778664.74</v>
      </c>
      <c r="Z421" s="47"/>
      <c r="AA421" s="47">
        <f>IF(VLOOKUP($D421,$C$5:$AA$496,25,)=0,0,((VLOOKUP($D421,$C$5:$AA$496,25,)/VLOOKUP($D421,$C$5:$AA$496,4,))*$F421))</f>
        <v>0</v>
      </c>
      <c r="AB421" s="47">
        <f>SUM(H421:AA421)</f>
        <v>778664.74</v>
      </c>
      <c r="AC421" s="27" t="str">
        <f>IF(ABS(AB421-F421)&lt;1,"ok","err")</f>
        <v>ok</v>
      </c>
    </row>
    <row r="422" spans="1:29" x14ac:dyDescent="0.2">
      <c r="A422" s="14">
        <v>904</v>
      </c>
      <c r="B422" s="14" t="s">
        <v>144</v>
      </c>
      <c r="C422" s="14" t="s">
        <v>507</v>
      </c>
      <c r="D422" s="14" t="s">
        <v>140</v>
      </c>
      <c r="F422" s="47">
        <v>0</v>
      </c>
      <c r="G422" s="47"/>
      <c r="H422" s="47">
        <f>IF(VLOOKUP($D422,$C$5:$AA$496,6,)=0,0,((VLOOKUP($D422,$C$5:$AA$496,6,)/VLOOKUP($D422,$C$5:$AA$496,4,))*$F422))</f>
        <v>0</v>
      </c>
      <c r="I422" s="47">
        <f>IF(VLOOKUP($D422,$C$5:$AA$496,7,)=0,0,((VLOOKUP($D422,$C$5:$AA$496,7,)/VLOOKUP($D422,$C$5:$AA$496,4,))*$F422))</f>
        <v>0</v>
      </c>
      <c r="J422" s="47"/>
      <c r="K422" s="47">
        <f>IF(VLOOKUP($D422,$C$5:$AA$496,9,)=0,0,((VLOOKUP($D422,$C$5:$AA$496,9,)/VLOOKUP($D422,$C$5:$AA$496,4,))*$F422))</f>
        <v>0</v>
      </c>
      <c r="L422" s="47"/>
      <c r="M422" s="47">
        <f>IF(VLOOKUP($D422,$C$5:$AA$496,11,)=0,0,((VLOOKUP($D422,$C$5:$AA$496,11,)/VLOOKUP($D422,$C$5:$AA$496,4,))*$F422))</f>
        <v>0</v>
      </c>
      <c r="N422" s="47"/>
      <c r="O422" s="47">
        <f>IF(VLOOKUP($D422,$C$5:$AA$496,13,)=0,0,((VLOOKUP($D422,$C$5:$AA$496,13,)/VLOOKUP($D422,$C$5:$AA$496,4,))*$F422))</f>
        <v>0</v>
      </c>
      <c r="P422" s="47">
        <f>IF(VLOOKUP($D422,$C$5:$AA$496,14,)=0,0,((VLOOKUP($D422,$C$5:$AA$496,14,)/VLOOKUP($D422,$C$5:$AA$496,4,))*$F422))</f>
        <v>0</v>
      </c>
      <c r="Q422" s="47"/>
      <c r="R422" s="47">
        <f>IF(VLOOKUP($D422,$C$5:$AA$496,16,)=0,0,((VLOOKUP($D422,$C$5:$AA$496,16,)/VLOOKUP($D422,$C$5:$AA$496,4,))*$F422))</f>
        <v>0</v>
      </c>
      <c r="S422" s="47">
        <f>IF(VLOOKUP($D422,$C$5:$AA$496,17,)=0,0,((VLOOKUP($D422,$C$5:$AA$496,17,)/VLOOKUP($D422,$C$5:$AA$496,4,))*$F422))</f>
        <v>0</v>
      </c>
      <c r="T422" s="47"/>
      <c r="U422" s="47">
        <f>IF(VLOOKUP($D422,$C$5:$AA$496,19,)=0,0,((VLOOKUP($D422,$C$5:$AA$496,19,)/VLOOKUP($D422,$C$5:$AA$496,4,))*$F422))</f>
        <v>0</v>
      </c>
      <c r="V422" s="47"/>
      <c r="W422" s="47">
        <f>IF(VLOOKUP($D422,$C$5:$AA$496,21,)=0,0,((VLOOKUP($D422,$C$5:$AA$496,21,)/VLOOKUP($D422,$C$5:$AA$496,4,))*$F422))</f>
        <v>0</v>
      </c>
      <c r="X422" s="47"/>
      <c r="Y422" s="47">
        <f>IF(VLOOKUP($D422,$C$5:$AA$496,23,)=0,0,((VLOOKUP($D422,$C$5:$AA$496,23,)/VLOOKUP($D422,$C$5:$AA$496,4,))*$F422))</f>
        <v>0</v>
      </c>
      <c r="Z422" s="47"/>
      <c r="AA422" s="47">
        <f>IF(VLOOKUP($D422,$C$5:$AA$496,25,)=0,0,((VLOOKUP($D422,$C$5:$AA$496,25,)/VLOOKUP($D422,$C$5:$AA$496,4,))*$F422))</f>
        <v>0</v>
      </c>
      <c r="AB422" s="47">
        <f>SUM(H422:AA422)</f>
        <v>0</v>
      </c>
      <c r="AC422" s="27" t="str">
        <f>IF(ABS(AB422-F422)&lt;1,"ok","err")</f>
        <v>ok</v>
      </c>
    </row>
    <row r="423" spans="1:29" x14ac:dyDescent="0.2">
      <c r="A423" s="14">
        <v>905</v>
      </c>
      <c r="B423" s="14" t="s">
        <v>453</v>
      </c>
      <c r="C423" s="14" t="s">
        <v>506</v>
      </c>
      <c r="D423" s="14" t="s">
        <v>140</v>
      </c>
      <c r="F423" s="47">
        <v>0</v>
      </c>
      <c r="G423" s="47"/>
      <c r="H423" s="47">
        <f>IF(VLOOKUP($D423,$C$5:$AA$496,6,)=0,0,((VLOOKUP($D423,$C$5:$AA$496,6,)/VLOOKUP($D423,$C$5:$AA$496,4,))*$F423))</f>
        <v>0</v>
      </c>
      <c r="I423" s="47">
        <f>IF(VLOOKUP($D423,$C$5:$AA$496,7,)=0,0,((VLOOKUP($D423,$C$5:$AA$496,7,)/VLOOKUP($D423,$C$5:$AA$496,4,))*$F423))</f>
        <v>0</v>
      </c>
      <c r="J423" s="47"/>
      <c r="K423" s="47">
        <f>IF(VLOOKUP($D423,$C$5:$AA$496,9,)=0,0,((VLOOKUP($D423,$C$5:$AA$496,9,)/VLOOKUP($D423,$C$5:$AA$496,4,))*$F423))</f>
        <v>0</v>
      </c>
      <c r="L423" s="47"/>
      <c r="M423" s="47">
        <f>IF(VLOOKUP($D423,$C$5:$AA$496,11,)=0,0,((VLOOKUP($D423,$C$5:$AA$496,11,)/VLOOKUP($D423,$C$5:$AA$496,4,))*$F423))</f>
        <v>0</v>
      </c>
      <c r="N423" s="47"/>
      <c r="O423" s="47">
        <f>IF(VLOOKUP($D423,$C$5:$AA$496,13,)=0,0,((VLOOKUP($D423,$C$5:$AA$496,13,)/VLOOKUP($D423,$C$5:$AA$496,4,))*$F423))</f>
        <v>0</v>
      </c>
      <c r="P423" s="47">
        <f>IF(VLOOKUP($D423,$C$5:$AA$496,14,)=0,0,((VLOOKUP($D423,$C$5:$AA$496,14,)/VLOOKUP($D423,$C$5:$AA$496,4,))*$F423))</f>
        <v>0</v>
      </c>
      <c r="Q423" s="47"/>
      <c r="R423" s="47">
        <f>IF(VLOOKUP($D423,$C$5:$AA$496,16,)=0,0,((VLOOKUP($D423,$C$5:$AA$496,16,)/VLOOKUP($D423,$C$5:$AA$496,4,))*$F423))</f>
        <v>0</v>
      </c>
      <c r="S423" s="47">
        <f>IF(VLOOKUP($D423,$C$5:$AA$496,17,)=0,0,((VLOOKUP($D423,$C$5:$AA$496,17,)/VLOOKUP($D423,$C$5:$AA$496,4,))*$F423))</f>
        <v>0</v>
      </c>
      <c r="T423" s="47"/>
      <c r="U423" s="47">
        <f>IF(VLOOKUP($D423,$C$5:$AA$496,19,)=0,0,((VLOOKUP($D423,$C$5:$AA$496,19,)/VLOOKUP($D423,$C$5:$AA$496,4,))*$F423))</f>
        <v>0</v>
      </c>
      <c r="V423" s="47"/>
      <c r="W423" s="47">
        <f>IF(VLOOKUP($D423,$C$5:$AA$496,21,)=0,0,((VLOOKUP($D423,$C$5:$AA$496,21,)/VLOOKUP($D423,$C$5:$AA$496,4,))*$F423))</f>
        <v>0</v>
      </c>
      <c r="X423" s="47"/>
      <c r="Y423" s="47">
        <f>IF(VLOOKUP($D423,$C$5:$AA$496,23,)=0,0,((VLOOKUP($D423,$C$5:$AA$496,23,)/VLOOKUP($D423,$C$5:$AA$496,4,))*$F423))</f>
        <v>0</v>
      </c>
      <c r="Z423" s="47"/>
      <c r="AA423" s="47">
        <f>IF(VLOOKUP($D423,$C$5:$AA$496,25,)=0,0,((VLOOKUP($D423,$C$5:$AA$496,25,)/VLOOKUP($D423,$C$5:$AA$496,4,))*$F423))</f>
        <v>0</v>
      </c>
      <c r="AB423" s="47">
        <f>SUM(H423:AA423)</f>
        <v>0</v>
      </c>
      <c r="AC423" s="27" t="str">
        <f>IF(ABS(AB423-F423)&lt;1,"ok","err")</f>
        <v>ok</v>
      </c>
    </row>
    <row r="424" spans="1:29" x14ac:dyDescent="0.2">
      <c r="A424" s="13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27"/>
    </row>
    <row r="425" spans="1:29" x14ac:dyDescent="0.2">
      <c r="A425" s="14" t="s">
        <v>542</v>
      </c>
      <c r="C425" s="14" t="s">
        <v>508</v>
      </c>
      <c r="F425" s="62">
        <f>SUM(F419:F424)</f>
        <v>1013766.19</v>
      </c>
      <c r="G425" s="62"/>
      <c r="H425" s="62">
        <f>SUM(H419:H424)</f>
        <v>0</v>
      </c>
      <c r="I425" s="62">
        <f>SUM(I419:I424)</f>
        <v>0</v>
      </c>
      <c r="J425" s="62"/>
      <c r="K425" s="62">
        <f>SUM(K419:K424)</f>
        <v>0</v>
      </c>
      <c r="L425" s="62"/>
      <c r="M425" s="62">
        <f>SUM(M419:M424)</f>
        <v>0</v>
      </c>
      <c r="N425" s="62"/>
      <c r="O425" s="62">
        <f>SUM(O419:O424)</f>
        <v>0</v>
      </c>
      <c r="P425" s="62">
        <f>SUM(P419:P424)</f>
        <v>0</v>
      </c>
      <c r="Q425" s="62"/>
      <c r="R425" s="62">
        <f>SUM(R419:R424)</f>
        <v>0</v>
      </c>
      <c r="S425" s="62">
        <f>SUM(S419:S424)</f>
        <v>0</v>
      </c>
      <c r="T425" s="62"/>
      <c r="U425" s="62">
        <f>SUM(U419:U424)</f>
        <v>0</v>
      </c>
      <c r="V425" s="62"/>
      <c r="W425" s="62">
        <f>SUM(W419:W424)</f>
        <v>0</v>
      </c>
      <c r="X425" s="62"/>
      <c r="Y425" s="62">
        <f>SUM(Y419:Y424)</f>
        <v>1013766.19</v>
      </c>
      <c r="Z425" s="62"/>
      <c r="AA425" s="62">
        <f>SUM(AA419:AA424)</f>
        <v>0</v>
      </c>
      <c r="AB425" s="47">
        <f>SUM(H425:AA425)</f>
        <v>1013766.19</v>
      </c>
      <c r="AC425" s="27" t="str">
        <f>IF(ABS(AB425-F425)&lt;1,"ok","err")</f>
        <v>ok</v>
      </c>
    </row>
    <row r="426" spans="1:29" x14ac:dyDescent="0.2"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C426" s="27"/>
    </row>
    <row r="427" spans="1:29" x14ac:dyDescent="0.2">
      <c r="A427" s="13" t="s">
        <v>148</v>
      </c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C427" s="27"/>
    </row>
    <row r="428" spans="1:29" x14ac:dyDescent="0.2">
      <c r="A428" s="14">
        <v>907</v>
      </c>
      <c r="B428" s="14" t="s">
        <v>385</v>
      </c>
      <c r="C428" s="14" t="s">
        <v>509</v>
      </c>
      <c r="D428" s="14" t="s">
        <v>150</v>
      </c>
      <c r="F428" s="62">
        <v>43951.58</v>
      </c>
      <c r="G428" s="62"/>
      <c r="H428" s="47">
        <f t="shared" ref="H428:H438" si="242">IF(VLOOKUP($D428,$C$5:$AA$496,6,)=0,0,((VLOOKUP($D428,$C$5:$AA$496,6,)/VLOOKUP($D428,$C$5:$AA$496,4,))*$F428))</f>
        <v>0</v>
      </c>
      <c r="I428" s="47">
        <f t="shared" ref="I428:I438" si="243">IF(VLOOKUP($D428,$C$5:$AA$496,7,)=0,0,((VLOOKUP($D428,$C$5:$AA$496,7,)/VLOOKUP($D428,$C$5:$AA$496,4,))*$F428))</f>
        <v>0</v>
      </c>
      <c r="J428" s="47"/>
      <c r="K428" s="47">
        <f t="shared" ref="K428:K438" si="244">IF(VLOOKUP($D428,$C$5:$AA$496,9,)=0,0,((VLOOKUP($D428,$C$5:$AA$496,9,)/VLOOKUP($D428,$C$5:$AA$496,4,))*$F428))</f>
        <v>0</v>
      </c>
      <c r="L428" s="47"/>
      <c r="M428" s="47">
        <f t="shared" ref="M428:M438" si="245">IF(VLOOKUP($D428,$C$5:$AA$496,11,)=0,0,((VLOOKUP($D428,$C$5:$AA$496,11,)/VLOOKUP($D428,$C$5:$AA$496,4,))*$F428))</f>
        <v>0</v>
      </c>
      <c r="N428" s="47"/>
      <c r="O428" s="47">
        <f t="shared" ref="O428:O438" si="246">IF(VLOOKUP($D428,$C$5:$AA$496,13,)=0,0,((VLOOKUP($D428,$C$5:$AA$496,13,)/VLOOKUP($D428,$C$5:$AA$496,4,))*$F428))</f>
        <v>0</v>
      </c>
      <c r="P428" s="47">
        <f t="shared" ref="P428:P438" si="247">IF(VLOOKUP($D428,$C$5:$AA$496,14,)=0,0,((VLOOKUP($D428,$C$5:$AA$496,14,)/VLOOKUP($D428,$C$5:$AA$496,4,))*$F428))</f>
        <v>0</v>
      </c>
      <c r="Q428" s="47"/>
      <c r="R428" s="47">
        <f t="shared" ref="R428:R438" si="248">IF(VLOOKUP($D428,$C$5:$AA$496,16,)=0,0,((VLOOKUP($D428,$C$5:$AA$496,16,)/VLOOKUP($D428,$C$5:$AA$496,4,))*$F428))</f>
        <v>0</v>
      </c>
      <c r="S428" s="47">
        <f t="shared" ref="S428:S438" si="249">IF(VLOOKUP($D428,$C$5:$AA$496,17,)=0,0,((VLOOKUP($D428,$C$5:$AA$496,17,)/VLOOKUP($D428,$C$5:$AA$496,4,))*$F428))</f>
        <v>0</v>
      </c>
      <c r="T428" s="47"/>
      <c r="U428" s="47">
        <f t="shared" ref="U428:U438" si="250">IF(VLOOKUP($D428,$C$5:$AA$496,19,)=0,0,((VLOOKUP($D428,$C$5:$AA$496,19,)/VLOOKUP($D428,$C$5:$AA$496,4,))*$F428))</f>
        <v>0</v>
      </c>
      <c r="V428" s="47"/>
      <c r="W428" s="47">
        <f t="shared" ref="W428:W438" si="251">IF(VLOOKUP($D428,$C$5:$AA$496,21,)=0,0,((VLOOKUP($D428,$C$5:$AA$496,21,)/VLOOKUP($D428,$C$5:$AA$496,4,))*$F428))</f>
        <v>0</v>
      </c>
      <c r="X428" s="47"/>
      <c r="Y428" s="47">
        <f t="shared" ref="Y428:Y438" si="252">IF(VLOOKUP($D428,$C$5:$AA$496,23,)=0,0,((VLOOKUP($D428,$C$5:$AA$496,23,)/VLOOKUP($D428,$C$5:$AA$496,4,))*$F428))</f>
        <v>43951.58</v>
      </c>
      <c r="Z428" s="47"/>
      <c r="AA428" s="47">
        <f t="shared" ref="AA428:AA438" si="253">IF(VLOOKUP($D428,$C$5:$AA$496,25,)=0,0,((VLOOKUP($D428,$C$5:$AA$496,25,)/VLOOKUP($D428,$C$5:$AA$496,4,))*$F428))</f>
        <v>0</v>
      </c>
      <c r="AB428" s="47">
        <f t="shared" ref="AB428:AB438" si="254">SUM(H428:AA428)</f>
        <v>43951.58</v>
      </c>
      <c r="AC428" s="27" t="str">
        <f t="shared" ref="AC428:AC438" si="255">IF(ABS(AB428-F428)&lt;1,"ok","err")</f>
        <v>ok</v>
      </c>
    </row>
    <row r="429" spans="1:29" x14ac:dyDescent="0.2">
      <c r="A429" s="14">
        <v>908</v>
      </c>
      <c r="B429" s="14" t="s">
        <v>151</v>
      </c>
      <c r="C429" s="14" t="s">
        <v>510</v>
      </c>
      <c r="D429" s="14" t="s">
        <v>150</v>
      </c>
      <c r="F429" s="47">
        <v>239822</v>
      </c>
      <c r="G429" s="47"/>
      <c r="H429" s="47">
        <f t="shared" si="242"/>
        <v>0</v>
      </c>
      <c r="I429" s="47">
        <f t="shared" si="243"/>
        <v>0</v>
      </c>
      <c r="J429" s="47"/>
      <c r="K429" s="47">
        <f t="shared" si="244"/>
        <v>0</v>
      </c>
      <c r="L429" s="47"/>
      <c r="M429" s="47">
        <f t="shared" si="245"/>
        <v>0</v>
      </c>
      <c r="N429" s="47"/>
      <c r="O429" s="47">
        <f t="shared" si="246"/>
        <v>0</v>
      </c>
      <c r="P429" s="47">
        <f t="shared" si="247"/>
        <v>0</v>
      </c>
      <c r="Q429" s="47"/>
      <c r="R429" s="47">
        <f t="shared" si="248"/>
        <v>0</v>
      </c>
      <c r="S429" s="47">
        <f t="shared" si="249"/>
        <v>0</v>
      </c>
      <c r="T429" s="47"/>
      <c r="U429" s="47">
        <f t="shared" si="250"/>
        <v>0</v>
      </c>
      <c r="V429" s="47"/>
      <c r="W429" s="47">
        <f t="shared" si="251"/>
        <v>0</v>
      </c>
      <c r="X429" s="47"/>
      <c r="Y429" s="47">
        <f t="shared" si="252"/>
        <v>239822</v>
      </c>
      <c r="Z429" s="47"/>
      <c r="AA429" s="47">
        <f t="shared" si="253"/>
        <v>0</v>
      </c>
      <c r="AB429" s="47">
        <f t="shared" si="254"/>
        <v>239822</v>
      </c>
      <c r="AC429" s="27" t="str">
        <f t="shared" si="255"/>
        <v>ok</v>
      </c>
    </row>
    <row r="430" spans="1:29" x14ac:dyDescent="0.2">
      <c r="A430" s="14">
        <v>908</v>
      </c>
      <c r="B430" s="14" t="s">
        <v>454</v>
      </c>
      <c r="C430" s="14" t="s">
        <v>511</v>
      </c>
      <c r="D430" s="14" t="s">
        <v>471</v>
      </c>
      <c r="F430" s="47">
        <v>0</v>
      </c>
      <c r="G430" s="47"/>
      <c r="H430" s="47">
        <f t="shared" si="242"/>
        <v>0</v>
      </c>
      <c r="I430" s="47">
        <f t="shared" si="243"/>
        <v>0</v>
      </c>
      <c r="J430" s="47"/>
      <c r="K430" s="47">
        <f t="shared" si="244"/>
        <v>0</v>
      </c>
      <c r="L430" s="47"/>
      <c r="M430" s="47">
        <f t="shared" si="245"/>
        <v>0</v>
      </c>
      <c r="N430" s="47"/>
      <c r="O430" s="47">
        <f t="shared" si="246"/>
        <v>0</v>
      </c>
      <c r="P430" s="47">
        <f t="shared" si="247"/>
        <v>0</v>
      </c>
      <c r="Q430" s="47"/>
      <c r="R430" s="47">
        <f t="shared" si="248"/>
        <v>0</v>
      </c>
      <c r="S430" s="47">
        <f t="shared" si="249"/>
        <v>0</v>
      </c>
      <c r="T430" s="47"/>
      <c r="U430" s="47">
        <f t="shared" si="250"/>
        <v>0</v>
      </c>
      <c r="V430" s="47"/>
      <c r="W430" s="47">
        <f t="shared" si="251"/>
        <v>0</v>
      </c>
      <c r="X430" s="47"/>
      <c r="Y430" s="47">
        <f t="shared" si="252"/>
        <v>0</v>
      </c>
      <c r="Z430" s="47"/>
      <c r="AA430" s="47">
        <f t="shared" si="253"/>
        <v>0</v>
      </c>
      <c r="AB430" s="47">
        <f t="shared" si="254"/>
        <v>0</v>
      </c>
      <c r="AC430" s="27" t="str">
        <f t="shared" si="255"/>
        <v>ok</v>
      </c>
    </row>
    <row r="431" spans="1:29" x14ac:dyDescent="0.2">
      <c r="A431" s="14">
        <v>909</v>
      </c>
      <c r="B431" s="14" t="s">
        <v>153</v>
      </c>
      <c r="C431" s="14" t="s">
        <v>512</v>
      </c>
      <c r="D431" s="14" t="s">
        <v>150</v>
      </c>
      <c r="F431" s="47">
        <v>550</v>
      </c>
      <c r="G431" s="47"/>
      <c r="H431" s="47">
        <f t="shared" si="242"/>
        <v>0</v>
      </c>
      <c r="I431" s="47">
        <f t="shared" si="243"/>
        <v>0</v>
      </c>
      <c r="J431" s="47"/>
      <c r="K431" s="47">
        <f t="shared" si="244"/>
        <v>0</v>
      </c>
      <c r="L431" s="47"/>
      <c r="M431" s="47">
        <f t="shared" si="245"/>
        <v>0</v>
      </c>
      <c r="N431" s="47"/>
      <c r="O431" s="47">
        <f t="shared" si="246"/>
        <v>0</v>
      </c>
      <c r="P431" s="47">
        <f t="shared" si="247"/>
        <v>0</v>
      </c>
      <c r="Q431" s="47"/>
      <c r="R431" s="47">
        <f t="shared" si="248"/>
        <v>0</v>
      </c>
      <c r="S431" s="47">
        <f t="shared" si="249"/>
        <v>0</v>
      </c>
      <c r="T431" s="47"/>
      <c r="U431" s="47">
        <f t="shared" si="250"/>
        <v>0</v>
      </c>
      <c r="V431" s="47"/>
      <c r="W431" s="47">
        <f t="shared" si="251"/>
        <v>0</v>
      </c>
      <c r="X431" s="47"/>
      <c r="Y431" s="47">
        <f t="shared" si="252"/>
        <v>550</v>
      </c>
      <c r="Z431" s="47"/>
      <c r="AA431" s="47">
        <f t="shared" si="253"/>
        <v>0</v>
      </c>
      <c r="AB431" s="47">
        <f t="shared" si="254"/>
        <v>550</v>
      </c>
      <c r="AC431" s="27" t="str">
        <f t="shared" si="255"/>
        <v>ok</v>
      </c>
    </row>
    <row r="432" spans="1:29" x14ac:dyDescent="0.2">
      <c r="A432" s="14">
        <v>909</v>
      </c>
      <c r="B432" s="14" t="s">
        <v>456</v>
      </c>
      <c r="C432" s="14" t="s">
        <v>513</v>
      </c>
      <c r="D432" s="14" t="s">
        <v>471</v>
      </c>
      <c r="F432" s="47">
        <v>0</v>
      </c>
      <c r="G432" s="47"/>
      <c r="H432" s="47">
        <f t="shared" si="242"/>
        <v>0</v>
      </c>
      <c r="I432" s="47">
        <f t="shared" si="243"/>
        <v>0</v>
      </c>
      <c r="J432" s="47"/>
      <c r="K432" s="47">
        <f t="shared" si="244"/>
        <v>0</v>
      </c>
      <c r="L432" s="47"/>
      <c r="M432" s="47">
        <f t="shared" si="245"/>
        <v>0</v>
      </c>
      <c r="N432" s="47"/>
      <c r="O432" s="47">
        <f t="shared" si="246"/>
        <v>0</v>
      </c>
      <c r="P432" s="47">
        <f t="shared" si="247"/>
        <v>0</v>
      </c>
      <c r="Q432" s="47"/>
      <c r="R432" s="47">
        <f t="shared" si="248"/>
        <v>0</v>
      </c>
      <c r="S432" s="47">
        <f t="shared" si="249"/>
        <v>0</v>
      </c>
      <c r="T432" s="47"/>
      <c r="U432" s="47">
        <f t="shared" si="250"/>
        <v>0</v>
      </c>
      <c r="V432" s="47"/>
      <c r="W432" s="47">
        <f t="shared" si="251"/>
        <v>0</v>
      </c>
      <c r="X432" s="47"/>
      <c r="Y432" s="47">
        <f t="shared" si="252"/>
        <v>0</v>
      </c>
      <c r="Z432" s="47"/>
      <c r="AA432" s="47">
        <f t="shared" si="253"/>
        <v>0</v>
      </c>
      <c r="AB432" s="47">
        <f t="shared" si="254"/>
        <v>0</v>
      </c>
      <c r="AC432" s="27" t="str">
        <f t="shared" si="255"/>
        <v>ok</v>
      </c>
    </row>
    <row r="433" spans="1:29" x14ac:dyDescent="0.2">
      <c r="A433" s="14">
        <v>910</v>
      </c>
      <c r="B433" s="14" t="s">
        <v>155</v>
      </c>
      <c r="C433" s="14" t="s">
        <v>514</v>
      </c>
      <c r="D433" s="14" t="s">
        <v>150</v>
      </c>
      <c r="F433" s="47">
        <v>0</v>
      </c>
      <c r="G433" s="47"/>
      <c r="H433" s="47">
        <f t="shared" si="242"/>
        <v>0</v>
      </c>
      <c r="I433" s="47">
        <f t="shared" si="243"/>
        <v>0</v>
      </c>
      <c r="J433" s="47"/>
      <c r="K433" s="47">
        <f t="shared" si="244"/>
        <v>0</v>
      </c>
      <c r="L433" s="47"/>
      <c r="M433" s="47">
        <f t="shared" si="245"/>
        <v>0</v>
      </c>
      <c r="N433" s="47"/>
      <c r="O433" s="47">
        <f t="shared" si="246"/>
        <v>0</v>
      </c>
      <c r="P433" s="47">
        <f t="shared" si="247"/>
        <v>0</v>
      </c>
      <c r="Q433" s="47"/>
      <c r="R433" s="47">
        <f t="shared" si="248"/>
        <v>0</v>
      </c>
      <c r="S433" s="47">
        <f t="shared" si="249"/>
        <v>0</v>
      </c>
      <c r="T433" s="47"/>
      <c r="U433" s="47">
        <f t="shared" si="250"/>
        <v>0</v>
      </c>
      <c r="V433" s="47"/>
      <c r="W433" s="47">
        <f t="shared" si="251"/>
        <v>0</v>
      </c>
      <c r="X433" s="47"/>
      <c r="Y433" s="47">
        <f t="shared" si="252"/>
        <v>0</v>
      </c>
      <c r="Z433" s="47"/>
      <c r="AA433" s="47">
        <f t="shared" si="253"/>
        <v>0</v>
      </c>
      <c r="AB433" s="47">
        <f t="shared" si="254"/>
        <v>0</v>
      </c>
      <c r="AC433" s="27" t="str">
        <f t="shared" si="255"/>
        <v>ok</v>
      </c>
    </row>
    <row r="434" spans="1:29" x14ac:dyDescent="0.2">
      <c r="A434" s="14">
        <v>911</v>
      </c>
      <c r="B434" s="14" t="s">
        <v>385</v>
      </c>
      <c r="C434" s="14" t="s">
        <v>712</v>
      </c>
      <c r="D434" s="14" t="s">
        <v>150</v>
      </c>
      <c r="F434" s="47">
        <v>0</v>
      </c>
      <c r="G434" s="47"/>
      <c r="H434" s="47">
        <f t="shared" si="242"/>
        <v>0</v>
      </c>
      <c r="I434" s="47">
        <f t="shared" si="243"/>
        <v>0</v>
      </c>
      <c r="J434" s="47"/>
      <c r="K434" s="47">
        <f t="shared" si="244"/>
        <v>0</v>
      </c>
      <c r="L434" s="47"/>
      <c r="M434" s="47">
        <f t="shared" si="245"/>
        <v>0</v>
      </c>
      <c r="N434" s="47"/>
      <c r="O434" s="47">
        <f t="shared" si="246"/>
        <v>0</v>
      </c>
      <c r="P434" s="47">
        <f t="shared" si="247"/>
        <v>0</v>
      </c>
      <c r="Q434" s="47"/>
      <c r="R434" s="47">
        <f t="shared" si="248"/>
        <v>0</v>
      </c>
      <c r="S434" s="47">
        <f t="shared" si="249"/>
        <v>0</v>
      </c>
      <c r="T434" s="47"/>
      <c r="U434" s="47">
        <f t="shared" si="250"/>
        <v>0</v>
      </c>
      <c r="V434" s="47"/>
      <c r="W434" s="47">
        <f t="shared" si="251"/>
        <v>0</v>
      </c>
      <c r="X434" s="47"/>
      <c r="Y434" s="47">
        <f t="shared" si="252"/>
        <v>0</v>
      </c>
      <c r="Z434" s="47"/>
      <c r="AA434" s="47">
        <f t="shared" si="253"/>
        <v>0</v>
      </c>
      <c r="AB434" s="47">
        <f>SUM(H434:AA434)</f>
        <v>0</v>
      </c>
      <c r="AC434" s="27" t="str">
        <f>IF(ABS(AB434-F434)&lt;1,"ok","err")</f>
        <v>ok</v>
      </c>
    </row>
    <row r="435" spans="1:29" x14ac:dyDescent="0.2">
      <c r="A435" s="14">
        <v>912</v>
      </c>
      <c r="B435" s="14" t="s">
        <v>587</v>
      </c>
      <c r="C435" s="14" t="s">
        <v>590</v>
      </c>
      <c r="D435" s="14" t="s">
        <v>471</v>
      </c>
      <c r="F435" s="47">
        <v>1445</v>
      </c>
      <c r="G435" s="47"/>
      <c r="H435" s="47">
        <f t="shared" si="242"/>
        <v>0</v>
      </c>
      <c r="I435" s="47">
        <f t="shared" si="243"/>
        <v>0</v>
      </c>
      <c r="J435" s="47"/>
      <c r="K435" s="47">
        <f t="shared" si="244"/>
        <v>0</v>
      </c>
      <c r="L435" s="47"/>
      <c r="M435" s="47">
        <f t="shared" si="245"/>
        <v>0</v>
      </c>
      <c r="N435" s="47"/>
      <c r="O435" s="47">
        <f t="shared" si="246"/>
        <v>0</v>
      </c>
      <c r="P435" s="47">
        <f t="shared" si="247"/>
        <v>0</v>
      </c>
      <c r="Q435" s="47"/>
      <c r="R435" s="47">
        <f t="shared" si="248"/>
        <v>0</v>
      </c>
      <c r="S435" s="47">
        <f t="shared" si="249"/>
        <v>0</v>
      </c>
      <c r="T435" s="47"/>
      <c r="U435" s="47">
        <f t="shared" si="250"/>
        <v>0</v>
      </c>
      <c r="V435" s="47"/>
      <c r="W435" s="47">
        <f t="shared" si="251"/>
        <v>0</v>
      </c>
      <c r="X435" s="47"/>
      <c r="Y435" s="47">
        <f t="shared" si="252"/>
        <v>0</v>
      </c>
      <c r="Z435" s="47"/>
      <c r="AA435" s="47">
        <f t="shared" si="253"/>
        <v>1445</v>
      </c>
      <c r="AB435" s="47">
        <f t="shared" si="254"/>
        <v>1445</v>
      </c>
      <c r="AC435" s="27" t="str">
        <f t="shared" si="255"/>
        <v>ok</v>
      </c>
    </row>
    <row r="436" spans="1:29" x14ac:dyDescent="0.2">
      <c r="A436" s="14">
        <v>913</v>
      </c>
      <c r="B436" s="14" t="s">
        <v>576</v>
      </c>
      <c r="C436" s="14" t="s">
        <v>591</v>
      </c>
      <c r="D436" s="14" t="s">
        <v>471</v>
      </c>
      <c r="F436" s="47">
        <v>0</v>
      </c>
      <c r="G436" s="47"/>
      <c r="H436" s="47">
        <f t="shared" si="242"/>
        <v>0</v>
      </c>
      <c r="I436" s="47">
        <f t="shared" si="243"/>
        <v>0</v>
      </c>
      <c r="J436" s="47"/>
      <c r="K436" s="47">
        <f t="shared" si="244"/>
        <v>0</v>
      </c>
      <c r="L436" s="47"/>
      <c r="M436" s="47">
        <f t="shared" si="245"/>
        <v>0</v>
      </c>
      <c r="N436" s="47"/>
      <c r="O436" s="47">
        <f t="shared" si="246"/>
        <v>0</v>
      </c>
      <c r="P436" s="47">
        <f t="shared" si="247"/>
        <v>0</v>
      </c>
      <c r="Q436" s="47"/>
      <c r="R436" s="47">
        <f t="shared" si="248"/>
        <v>0</v>
      </c>
      <c r="S436" s="47">
        <f t="shared" si="249"/>
        <v>0</v>
      </c>
      <c r="T436" s="47"/>
      <c r="U436" s="47">
        <f t="shared" si="250"/>
        <v>0</v>
      </c>
      <c r="V436" s="47"/>
      <c r="W436" s="47">
        <f t="shared" si="251"/>
        <v>0</v>
      </c>
      <c r="X436" s="47"/>
      <c r="Y436" s="47">
        <f t="shared" si="252"/>
        <v>0</v>
      </c>
      <c r="Z436" s="47"/>
      <c r="AA436" s="47">
        <f t="shared" si="253"/>
        <v>0</v>
      </c>
      <c r="AB436" s="47">
        <f t="shared" si="254"/>
        <v>0</v>
      </c>
      <c r="AC436" s="27" t="str">
        <f t="shared" si="255"/>
        <v>ok</v>
      </c>
    </row>
    <row r="437" spans="1:29" x14ac:dyDescent="0.2">
      <c r="A437" s="14">
        <v>915</v>
      </c>
      <c r="B437" s="14" t="s">
        <v>639</v>
      </c>
      <c r="C437" s="14" t="s">
        <v>642</v>
      </c>
      <c r="D437" s="14" t="s">
        <v>471</v>
      </c>
      <c r="F437" s="47">
        <v>0</v>
      </c>
      <c r="G437" s="47"/>
      <c r="H437" s="47">
        <f t="shared" si="242"/>
        <v>0</v>
      </c>
      <c r="I437" s="47">
        <f t="shared" si="243"/>
        <v>0</v>
      </c>
      <c r="J437" s="47"/>
      <c r="K437" s="47">
        <f t="shared" si="244"/>
        <v>0</v>
      </c>
      <c r="L437" s="47"/>
      <c r="M437" s="47">
        <f t="shared" si="245"/>
        <v>0</v>
      </c>
      <c r="N437" s="47"/>
      <c r="O437" s="47">
        <f t="shared" si="246"/>
        <v>0</v>
      </c>
      <c r="P437" s="47">
        <f t="shared" si="247"/>
        <v>0</v>
      </c>
      <c r="Q437" s="47"/>
      <c r="R437" s="47">
        <f t="shared" si="248"/>
        <v>0</v>
      </c>
      <c r="S437" s="47">
        <f t="shared" si="249"/>
        <v>0</v>
      </c>
      <c r="T437" s="47"/>
      <c r="U437" s="47">
        <f t="shared" si="250"/>
        <v>0</v>
      </c>
      <c r="V437" s="47"/>
      <c r="W437" s="47">
        <f t="shared" si="251"/>
        <v>0</v>
      </c>
      <c r="X437" s="47"/>
      <c r="Y437" s="47">
        <f t="shared" si="252"/>
        <v>0</v>
      </c>
      <c r="Z437" s="47"/>
      <c r="AA437" s="47">
        <f t="shared" si="253"/>
        <v>0</v>
      </c>
      <c r="AB437" s="47">
        <f t="shared" si="254"/>
        <v>0</v>
      </c>
      <c r="AC437" s="27" t="str">
        <f t="shared" si="255"/>
        <v>ok</v>
      </c>
    </row>
    <row r="438" spans="1:29" x14ac:dyDescent="0.2">
      <c r="A438" s="14">
        <v>916</v>
      </c>
      <c r="B438" s="14" t="s">
        <v>640</v>
      </c>
      <c r="C438" s="14" t="s">
        <v>643</v>
      </c>
      <c r="D438" s="14" t="s">
        <v>471</v>
      </c>
      <c r="F438" s="47">
        <v>0</v>
      </c>
      <c r="G438" s="47"/>
      <c r="H438" s="47">
        <f t="shared" si="242"/>
        <v>0</v>
      </c>
      <c r="I438" s="47">
        <f t="shared" si="243"/>
        <v>0</v>
      </c>
      <c r="J438" s="47"/>
      <c r="K438" s="47">
        <f t="shared" si="244"/>
        <v>0</v>
      </c>
      <c r="L438" s="47"/>
      <c r="M438" s="47">
        <f t="shared" si="245"/>
        <v>0</v>
      </c>
      <c r="N438" s="47"/>
      <c r="O438" s="47">
        <f t="shared" si="246"/>
        <v>0</v>
      </c>
      <c r="P438" s="47">
        <f t="shared" si="247"/>
        <v>0</v>
      </c>
      <c r="Q438" s="47"/>
      <c r="R438" s="47">
        <f t="shared" si="248"/>
        <v>0</v>
      </c>
      <c r="S438" s="47">
        <f t="shared" si="249"/>
        <v>0</v>
      </c>
      <c r="T438" s="47"/>
      <c r="U438" s="47">
        <f t="shared" si="250"/>
        <v>0</v>
      </c>
      <c r="V438" s="47"/>
      <c r="W438" s="47">
        <f t="shared" si="251"/>
        <v>0</v>
      </c>
      <c r="X438" s="47"/>
      <c r="Y438" s="47">
        <f t="shared" si="252"/>
        <v>0</v>
      </c>
      <c r="Z438" s="47"/>
      <c r="AA438" s="47">
        <f t="shared" si="253"/>
        <v>0</v>
      </c>
      <c r="AB438" s="47">
        <f t="shared" si="254"/>
        <v>0</v>
      </c>
      <c r="AC438" s="27" t="str">
        <f t="shared" si="255"/>
        <v>ok</v>
      </c>
    </row>
    <row r="439" spans="1:29" x14ac:dyDescent="0.2"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27"/>
    </row>
    <row r="440" spans="1:29" x14ac:dyDescent="0.2">
      <c r="A440" s="14" t="s">
        <v>543</v>
      </c>
      <c r="C440" s="14" t="s">
        <v>515</v>
      </c>
      <c r="F440" s="62">
        <f>SUM(F428:F439)</f>
        <v>285768.58</v>
      </c>
      <c r="G440" s="62"/>
      <c r="H440" s="62">
        <f>SUM(H428:H439)</f>
        <v>0</v>
      </c>
      <c r="I440" s="62">
        <f>SUM(I428:I439)</f>
        <v>0</v>
      </c>
      <c r="J440" s="62"/>
      <c r="K440" s="62">
        <f>SUM(K428:K439)</f>
        <v>0</v>
      </c>
      <c r="L440" s="62"/>
      <c r="M440" s="62">
        <f>SUM(M428:M439)</f>
        <v>0</v>
      </c>
      <c r="N440" s="62"/>
      <c r="O440" s="62">
        <f>SUM(O428:O439)</f>
        <v>0</v>
      </c>
      <c r="P440" s="62">
        <f>SUM(P428:P439)</f>
        <v>0</v>
      </c>
      <c r="Q440" s="62"/>
      <c r="R440" s="62">
        <f>SUM(R428:R439)</f>
        <v>0</v>
      </c>
      <c r="S440" s="62">
        <f>SUM(S428:S439)</f>
        <v>0</v>
      </c>
      <c r="T440" s="62"/>
      <c r="U440" s="62">
        <f>SUM(U428:U439)</f>
        <v>0</v>
      </c>
      <c r="V440" s="62"/>
      <c r="W440" s="62">
        <f>SUM(W428:W439)</f>
        <v>0</v>
      </c>
      <c r="X440" s="62"/>
      <c r="Y440" s="62">
        <f>SUM(Y428:Y439)</f>
        <v>284323.58</v>
      </c>
      <c r="Z440" s="62"/>
      <c r="AA440" s="62">
        <f>SUM(AA428:AA439)</f>
        <v>1445</v>
      </c>
      <c r="AB440" s="47">
        <f>SUM(H440:AA440)</f>
        <v>285768.58</v>
      </c>
      <c r="AC440" s="27" t="str">
        <f>IF(ABS(AB440-F440)&lt;1,"ok","err")</f>
        <v>ok</v>
      </c>
    </row>
    <row r="441" spans="1:29" x14ac:dyDescent="0.2"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C441" s="27"/>
    </row>
    <row r="442" spans="1:29" x14ac:dyDescent="0.2">
      <c r="A442" s="14" t="s">
        <v>544</v>
      </c>
      <c r="C442" s="14" t="s">
        <v>516</v>
      </c>
      <c r="F442" s="47">
        <f>F414+F425+F440</f>
        <v>4008818.0900000003</v>
      </c>
      <c r="G442" s="47"/>
      <c r="H442" s="47">
        <f>H414+H425+H440</f>
        <v>0</v>
      </c>
      <c r="I442" s="47">
        <f>I414+I425+I440</f>
        <v>0</v>
      </c>
      <c r="J442" s="47"/>
      <c r="K442" s="47">
        <f>K414+K425+K440</f>
        <v>0</v>
      </c>
      <c r="L442" s="47"/>
      <c r="M442" s="47">
        <f>M414+M425+M440</f>
        <v>2675.886521711961</v>
      </c>
      <c r="N442" s="47"/>
      <c r="O442" s="47">
        <f>O414+O425+O440</f>
        <v>874798.79241630551</v>
      </c>
      <c r="P442" s="47">
        <f>P414+P425+P440</f>
        <v>1378560.2345901276</v>
      </c>
      <c r="Q442" s="47"/>
      <c r="R442" s="47">
        <f>R414+R425+R440</f>
        <v>0</v>
      </c>
      <c r="S442" s="47">
        <f>S414+S425+S440</f>
        <v>79369.606709857646</v>
      </c>
      <c r="T442" s="47"/>
      <c r="U442" s="47">
        <f>U414+U425+U440</f>
        <v>349660.05469089455</v>
      </c>
      <c r="V442" s="47"/>
      <c r="W442" s="47">
        <f>W414+W425+W440</f>
        <v>24218.745071102338</v>
      </c>
      <c r="X442" s="47"/>
      <c r="Y442" s="47">
        <f>Y414+Y425+Y440</f>
        <v>1298089.77</v>
      </c>
      <c r="Z442" s="47"/>
      <c r="AA442" s="47">
        <f>AA414+AA425+AA440</f>
        <v>1445</v>
      </c>
      <c r="AB442" s="47">
        <f>SUM(H442:AA442)</f>
        <v>4008818.09</v>
      </c>
      <c r="AC442" s="27" t="str">
        <f>IF(ABS(AB442-F442)&lt;1,"ok","err")</f>
        <v>ok</v>
      </c>
    </row>
    <row r="443" spans="1:29" x14ac:dyDescent="0.2"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C443" s="27"/>
    </row>
    <row r="444" spans="1:29" x14ac:dyDescent="0.2"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C444" s="27"/>
    </row>
    <row r="445" spans="1:29" x14ac:dyDescent="0.2">
      <c r="A445" s="25" t="s">
        <v>473</v>
      </c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C445" s="27"/>
    </row>
    <row r="446" spans="1:29" x14ac:dyDescent="0.2"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C446" s="27"/>
    </row>
    <row r="447" spans="1:29" x14ac:dyDescent="0.2">
      <c r="A447" s="13" t="s">
        <v>159</v>
      </c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C447" s="27"/>
    </row>
    <row r="448" spans="1:29" x14ac:dyDescent="0.2">
      <c r="A448" s="14">
        <v>920</v>
      </c>
      <c r="B448" s="14" t="s">
        <v>160</v>
      </c>
      <c r="C448" s="14" t="s">
        <v>517</v>
      </c>
      <c r="D448" s="14" t="s">
        <v>411</v>
      </c>
      <c r="F448" s="62">
        <v>551765.11</v>
      </c>
      <c r="G448" s="62"/>
      <c r="H448" s="47">
        <f t="shared" ref="H448:H459" si="256">IF(VLOOKUP($D448,$C$5:$AA$496,6,)=0,0,((VLOOKUP($D448,$C$5:$AA$496,6,)/VLOOKUP($D448,$C$5:$AA$496,4,))*$F448))</f>
        <v>0</v>
      </c>
      <c r="I448" s="47">
        <f t="shared" ref="I448:I459" si="257">IF(VLOOKUP($D448,$C$5:$AA$496,7,)=0,0,((VLOOKUP($D448,$C$5:$AA$496,7,)/VLOOKUP($D448,$C$5:$AA$496,4,))*$F448))</f>
        <v>0</v>
      </c>
      <c r="J448" s="47"/>
      <c r="K448" s="47">
        <f t="shared" ref="K448:K459" si="258">IF(VLOOKUP($D448,$C$5:$AA$496,9,)=0,0,((VLOOKUP($D448,$C$5:$AA$496,9,)/VLOOKUP($D448,$C$5:$AA$496,4,))*$F448))</f>
        <v>0</v>
      </c>
      <c r="L448" s="47"/>
      <c r="M448" s="47">
        <f t="shared" ref="M448:M459" si="259">IF(VLOOKUP($D448,$C$5:$AA$496,11,)=0,0,((VLOOKUP($D448,$C$5:$AA$496,11,)/VLOOKUP($D448,$C$5:$AA$496,4,))*$F448))</f>
        <v>823.15591998557545</v>
      </c>
      <c r="N448" s="47"/>
      <c r="O448" s="47">
        <f t="shared" ref="O448:O459" si="260">IF(VLOOKUP($D448,$C$5:$AA$496,13,)=0,0,((VLOOKUP($D448,$C$5:$AA$496,13,)/VLOOKUP($D448,$C$5:$AA$496,4,))*$F448))</f>
        <v>145363.50211306845</v>
      </c>
      <c r="P448" s="47">
        <f t="shared" ref="P448:P459" si="261">IF(VLOOKUP($D448,$C$5:$AA$496,14,)=0,0,((VLOOKUP($D448,$C$5:$AA$496,14,)/VLOOKUP($D448,$C$5:$AA$496,4,))*$F448))</f>
        <v>245718.22889158776</v>
      </c>
      <c r="Q448" s="47"/>
      <c r="R448" s="47">
        <f t="shared" ref="R448:R459" si="262">IF(VLOOKUP($D448,$C$5:$AA$496,16,)=0,0,((VLOOKUP($D448,$C$5:$AA$496,16,)/VLOOKUP($D448,$C$5:$AA$496,4,))*$F448))</f>
        <v>0</v>
      </c>
      <c r="S448" s="47">
        <f t="shared" ref="S448:S459" si="263">IF(VLOOKUP($D448,$C$5:$AA$496,17,)=0,0,((VLOOKUP($D448,$C$5:$AA$496,17,)/VLOOKUP($D448,$C$5:$AA$496,4,))*$F448))</f>
        <v>15321.478861979296</v>
      </c>
      <c r="T448" s="47"/>
      <c r="U448" s="47">
        <f t="shared" ref="U448:U459" si="264">IF(VLOOKUP($D448,$C$5:$AA$496,19,)=0,0,((VLOOKUP($D448,$C$5:$AA$496,19,)/VLOOKUP($D448,$C$5:$AA$496,4,))*$F448))</f>
        <v>28842.313994744873</v>
      </c>
      <c r="V448" s="47"/>
      <c r="W448" s="47">
        <f t="shared" ref="W448:W459" si="265">IF(VLOOKUP($D448,$C$5:$AA$496,21,)=0,0,((VLOOKUP($D448,$C$5:$AA$496,21,)/VLOOKUP($D448,$C$5:$AA$496,4,))*$F448))</f>
        <v>2345.2372498772725</v>
      </c>
      <c r="X448" s="47"/>
      <c r="Y448" s="47">
        <f t="shared" ref="Y448:Y459" si="266">IF(VLOOKUP($D448,$C$5:$AA$496,23,)=0,0,((VLOOKUP($D448,$C$5:$AA$496,23,)/VLOOKUP($D448,$C$5:$AA$496,4,))*$F448))</f>
        <v>112790.03800064776</v>
      </c>
      <c r="Z448" s="47"/>
      <c r="AA448" s="47">
        <f t="shared" ref="AA448:AA459" si="267">IF(VLOOKUP($D448,$C$5:$AA$496,25,)=0,0,((VLOOKUP($D448,$C$5:$AA$496,25,)/VLOOKUP($D448,$C$5:$AA$496,4,))*$F448))</f>
        <v>561.15496810888192</v>
      </c>
      <c r="AB448" s="47">
        <f t="shared" ref="AB448:AB459" si="268">SUM(H448:AA448)</f>
        <v>551765.10999999987</v>
      </c>
      <c r="AC448" s="27" t="str">
        <f t="shared" ref="AC448:AC459" si="269">IF(ABS(AB448-F448)&lt;1,"ok","err")</f>
        <v>ok</v>
      </c>
    </row>
    <row r="449" spans="1:29" x14ac:dyDescent="0.2">
      <c r="A449" s="14">
        <v>921</v>
      </c>
      <c r="B449" s="14" t="s">
        <v>162</v>
      </c>
      <c r="C449" s="14" t="s">
        <v>518</v>
      </c>
      <c r="D449" s="14" t="s">
        <v>516</v>
      </c>
      <c r="F449" s="47">
        <v>0</v>
      </c>
      <c r="G449" s="47"/>
      <c r="H449" s="47">
        <f t="shared" si="256"/>
        <v>0</v>
      </c>
      <c r="I449" s="47">
        <f t="shared" si="257"/>
        <v>0</v>
      </c>
      <c r="J449" s="47"/>
      <c r="K449" s="47">
        <f t="shared" si="258"/>
        <v>0</v>
      </c>
      <c r="L449" s="47"/>
      <c r="M449" s="47">
        <f t="shared" si="259"/>
        <v>0</v>
      </c>
      <c r="N449" s="47"/>
      <c r="O449" s="47">
        <f t="shared" si="260"/>
        <v>0</v>
      </c>
      <c r="P449" s="47">
        <f t="shared" si="261"/>
        <v>0</v>
      </c>
      <c r="Q449" s="47"/>
      <c r="R449" s="47">
        <f t="shared" si="262"/>
        <v>0</v>
      </c>
      <c r="S449" s="47">
        <f t="shared" si="263"/>
        <v>0</v>
      </c>
      <c r="T449" s="47"/>
      <c r="U449" s="47">
        <f t="shared" si="264"/>
        <v>0</v>
      </c>
      <c r="V449" s="47"/>
      <c r="W449" s="47">
        <f t="shared" si="265"/>
        <v>0</v>
      </c>
      <c r="X449" s="47"/>
      <c r="Y449" s="47">
        <f t="shared" si="266"/>
        <v>0</v>
      </c>
      <c r="Z449" s="47"/>
      <c r="AA449" s="47">
        <f t="shared" si="267"/>
        <v>0</v>
      </c>
      <c r="AB449" s="47">
        <f t="shared" si="268"/>
        <v>0</v>
      </c>
      <c r="AC449" s="27" t="str">
        <f t="shared" si="269"/>
        <v>ok</v>
      </c>
    </row>
    <row r="450" spans="1:29" x14ac:dyDescent="0.2">
      <c r="A450" s="14">
        <v>923</v>
      </c>
      <c r="B450" s="14" t="s">
        <v>164</v>
      </c>
      <c r="C450" s="14" t="s">
        <v>519</v>
      </c>
      <c r="D450" s="14" t="s">
        <v>411</v>
      </c>
      <c r="F450" s="47">
        <v>0</v>
      </c>
      <c r="G450" s="47"/>
      <c r="H450" s="47">
        <f t="shared" si="256"/>
        <v>0</v>
      </c>
      <c r="I450" s="47">
        <f t="shared" si="257"/>
        <v>0</v>
      </c>
      <c r="J450" s="47"/>
      <c r="K450" s="47">
        <f t="shared" si="258"/>
        <v>0</v>
      </c>
      <c r="L450" s="47"/>
      <c r="M450" s="47">
        <f t="shared" si="259"/>
        <v>0</v>
      </c>
      <c r="N450" s="47"/>
      <c r="O450" s="47">
        <f t="shared" si="260"/>
        <v>0</v>
      </c>
      <c r="P450" s="47">
        <f t="shared" si="261"/>
        <v>0</v>
      </c>
      <c r="Q450" s="47"/>
      <c r="R450" s="47">
        <f t="shared" si="262"/>
        <v>0</v>
      </c>
      <c r="S450" s="47">
        <f t="shared" si="263"/>
        <v>0</v>
      </c>
      <c r="T450" s="47"/>
      <c r="U450" s="47">
        <f t="shared" si="264"/>
        <v>0</v>
      </c>
      <c r="V450" s="47"/>
      <c r="W450" s="47">
        <f t="shared" si="265"/>
        <v>0</v>
      </c>
      <c r="X450" s="47"/>
      <c r="Y450" s="47">
        <f t="shared" si="266"/>
        <v>0</v>
      </c>
      <c r="Z450" s="47"/>
      <c r="AA450" s="47">
        <f t="shared" si="267"/>
        <v>0</v>
      </c>
      <c r="AB450" s="47">
        <f t="shared" si="268"/>
        <v>0</v>
      </c>
      <c r="AC450" s="27" t="str">
        <f t="shared" si="269"/>
        <v>ok</v>
      </c>
    </row>
    <row r="451" spans="1:29" x14ac:dyDescent="0.2">
      <c r="A451" s="14">
        <v>924</v>
      </c>
      <c r="B451" s="14" t="s">
        <v>166</v>
      </c>
      <c r="C451" s="14" t="s">
        <v>520</v>
      </c>
      <c r="D451" s="14" t="s">
        <v>84</v>
      </c>
      <c r="F451" s="47">
        <v>0</v>
      </c>
      <c r="G451" s="47"/>
      <c r="H451" s="47">
        <f t="shared" si="256"/>
        <v>0</v>
      </c>
      <c r="I451" s="47">
        <f t="shared" si="257"/>
        <v>0</v>
      </c>
      <c r="J451" s="47"/>
      <c r="K451" s="47">
        <f t="shared" si="258"/>
        <v>0</v>
      </c>
      <c r="L451" s="47"/>
      <c r="M451" s="47">
        <f t="shared" si="259"/>
        <v>0</v>
      </c>
      <c r="N451" s="47"/>
      <c r="O451" s="47">
        <f t="shared" si="260"/>
        <v>0</v>
      </c>
      <c r="P451" s="47">
        <f t="shared" si="261"/>
        <v>0</v>
      </c>
      <c r="Q451" s="47"/>
      <c r="R451" s="47">
        <f t="shared" si="262"/>
        <v>0</v>
      </c>
      <c r="S451" s="47">
        <f t="shared" si="263"/>
        <v>0</v>
      </c>
      <c r="T451" s="47"/>
      <c r="U451" s="47">
        <f t="shared" si="264"/>
        <v>0</v>
      </c>
      <c r="V451" s="47"/>
      <c r="W451" s="47">
        <f t="shared" si="265"/>
        <v>0</v>
      </c>
      <c r="X451" s="47"/>
      <c r="Y451" s="47">
        <f t="shared" si="266"/>
        <v>0</v>
      </c>
      <c r="Z451" s="47"/>
      <c r="AA451" s="47">
        <f t="shared" si="267"/>
        <v>0</v>
      </c>
      <c r="AB451" s="47">
        <f t="shared" si="268"/>
        <v>0</v>
      </c>
      <c r="AC451" s="27" t="str">
        <f t="shared" si="269"/>
        <v>ok</v>
      </c>
    </row>
    <row r="452" spans="1:29" x14ac:dyDescent="0.2">
      <c r="A452" s="14">
        <v>925</v>
      </c>
      <c r="B452" s="14" t="s">
        <v>168</v>
      </c>
      <c r="C452" s="14" t="s">
        <v>521</v>
      </c>
      <c r="D452" s="14" t="s">
        <v>516</v>
      </c>
      <c r="F452" s="47">
        <v>78655.56</v>
      </c>
      <c r="G452" s="47"/>
      <c r="H452" s="47">
        <f t="shared" si="256"/>
        <v>0</v>
      </c>
      <c r="I452" s="47">
        <f t="shared" si="257"/>
        <v>0</v>
      </c>
      <c r="J452" s="47"/>
      <c r="K452" s="47">
        <f t="shared" si="258"/>
        <v>0</v>
      </c>
      <c r="L452" s="47"/>
      <c r="M452" s="47">
        <f t="shared" si="259"/>
        <v>52.502595063301172</v>
      </c>
      <c r="N452" s="47"/>
      <c r="O452" s="47">
        <f t="shared" si="260"/>
        <v>17164.108562688176</v>
      </c>
      <c r="P452" s="47">
        <f t="shared" si="261"/>
        <v>27048.228383298341</v>
      </c>
      <c r="Q452" s="47"/>
      <c r="R452" s="47">
        <f t="shared" si="262"/>
        <v>0</v>
      </c>
      <c r="S452" s="47">
        <f t="shared" si="263"/>
        <v>1557.2821521426556</v>
      </c>
      <c r="T452" s="47"/>
      <c r="U452" s="47">
        <f t="shared" si="264"/>
        <v>6860.5526102440172</v>
      </c>
      <c r="V452" s="47"/>
      <c r="W452" s="47">
        <f t="shared" si="265"/>
        <v>475.18717819016678</v>
      </c>
      <c r="X452" s="47"/>
      <c r="Y452" s="47">
        <f t="shared" si="266"/>
        <v>25469.346699545848</v>
      </c>
      <c r="Z452" s="47"/>
      <c r="AA452" s="47">
        <f t="shared" si="267"/>
        <v>28.351818827478894</v>
      </c>
      <c r="AB452" s="47">
        <f t="shared" si="268"/>
        <v>78655.559999999983</v>
      </c>
      <c r="AC452" s="27" t="str">
        <f t="shared" si="269"/>
        <v>ok</v>
      </c>
    </row>
    <row r="453" spans="1:29" x14ac:dyDescent="0.2">
      <c r="A453" s="14">
        <v>926</v>
      </c>
      <c r="B453" s="14" t="s">
        <v>170</v>
      </c>
      <c r="C453" s="14" t="s">
        <v>522</v>
      </c>
      <c r="D453" s="14" t="s">
        <v>516</v>
      </c>
      <c r="F453" s="47">
        <v>473906.22</v>
      </c>
      <c r="G453" s="47"/>
      <c r="H453" s="47">
        <f t="shared" si="256"/>
        <v>0</v>
      </c>
      <c r="I453" s="47">
        <f t="shared" si="257"/>
        <v>0</v>
      </c>
      <c r="J453" s="47"/>
      <c r="K453" s="47">
        <f t="shared" si="258"/>
        <v>0</v>
      </c>
      <c r="L453" s="47"/>
      <c r="M453" s="47">
        <f t="shared" si="259"/>
        <v>316.3324546496105</v>
      </c>
      <c r="N453" s="47"/>
      <c r="O453" s="47">
        <f t="shared" si="260"/>
        <v>103415.16618295244</v>
      </c>
      <c r="P453" s="47">
        <f t="shared" si="261"/>
        <v>162967.80126955587</v>
      </c>
      <c r="Q453" s="47"/>
      <c r="R453" s="47">
        <f t="shared" si="262"/>
        <v>0</v>
      </c>
      <c r="S453" s="47">
        <f t="shared" si="263"/>
        <v>9382.7530844023076</v>
      </c>
      <c r="T453" s="47"/>
      <c r="U453" s="47">
        <f t="shared" si="264"/>
        <v>41335.393895000881</v>
      </c>
      <c r="V453" s="47"/>
      <c r="W453" s="47">
        <f t="shared" si="265"/>
        <v>2863.0418422876701</v>
      </c>
      <c r="X453" s="47"/>
      <c r="Y453" s="47">
        <f t="shared" si="266"/>
        <v>153454.90923020887</v>
      </c>
      <c r="Z453" s="47"/>
      <c r="AA453" s="47">
        <f t="shared" si="267"/>
        <v>170.82204094224687</v>
      </c>
      <c r="AB453" s="47">
        <f t="shared" si="268"/>
        <v>473906.21999999986</v>
      </c>
      <c r="AC453" s="27" t="str">
        <f t="shared" si="269"/>
        <v>ok</v>
      </c>
    </row>
    <row r="454" spans="1:29" x14ac:dyDescent="0.2">
      <c r="A454" s="14">
        <v>928</v>
      </c>
      <c r="B454" s="14" t="s">
        <v>172</v>
      </c>
      <c r="C454" s="14" t="s">
        <v>523</v>
      </c>
      <c r="D454" s="14" t="s">
        <v>411</v>
      </c>
      <c r="F454" s="47">
        <v>0</v>
      </c>
      <c r="G454" s="47"/>
      <c r="H454" s="47">
        <f t="shared" si="256"/>
        <v>0</v>
      </c>
      <c r="I454" s="47">
        <f t="shared" si="257"/>
        <v>0</v>
      </c>
      <c r="J454" s="47"/>
      <c r="K454" s="47">
        <f t="shared" si="258"/>
        <v>0</v>
      </c>
      <c r="L454" s="47"/>
      <c r="M454" s="47">
        <f t="shared" si="259"/>
        <v>0</v>
      </c>
      <c r="N454" s="47"/>
      <c r="O454" s="47">
        <f t="shared" si="260"/>
        <v>0</v>
      </c>
      <c r="P454" s="47">
        <f t="shared" si="261"/>
        <v>0</v>
      </c>
      <c r="Q454" s="47"/>
      <c r="R454" s="47">
        <f t="shared" si="262"/>
        <v>0</v>
      </c>
      <c r="S454" s="47">
        <f t="shared" si="263"/>
        <v>0</v>
      </c>
      <c r="T454" s="47"/>
      <c r="U454" s="47">
        <f t="shared" si="264"/>
        <v>0</v>
      </c>
      <c r="V454" s="47"/>
      <c r="W454" s="47">
        <f t="shared" si="265"/>
        <v>0</v>
      </c>
      <c r="X454" s="47"/>
      <c r="Y454" s="47">
        <f t="shared" si="266"/>
        <v>0</v>
      </c>
      <c r="Z454" s="47"/>
      <c r="AA454" s="47">
        <f t="shared" si="267"/>
        <v>0</v>
      </c>
      <c r="AB454" s="47">
        <f t="shared" si="268"/>
        <v>0</v>
      </c>
      <c r="AC454" s="27" t="str">
        <f t="shared" si="269"/>
        <v>ok</v>
      </c>
    </row>
    <row r="455" spans="1:29" x14ac:dyDescent="0.2">
      <c r="A455" s="14">
        <v>929</v>
      </c>
      <c r="B455" s="14" t="s">
        <v>386</v>
      </c>
      <c r="C455" s="14" t="s">
        <v>524</v>
      </c>
      <c r="D455" s="14" t="s">
        <v>411</v>
      </c>
      <c r="F455" s="47">
        <v>0</v>
      </c>
      <c r="G455" s="47"/>
      <c r="H455" s="47">
        <f t="shared" si="256"/>
        <v>0</v>
      </c>
      <c r="I455" s="47">
        <f t="shared" si="257"/>
        <v>0</v>
      </c>
      <c r="J455" s="47"/>
      <c r="K455" s="47">
        <f t="shared" si="258"/>
        <v>0</v>
      </c>
      <c r="L455" s="47"/>
      <c r="M455" s="47">
        <f t="shared" si="259"/>
        <v>0</v>
      </c>
      <c r="N455" s="47"/>
      <c r="O455" s="47">
        <f t="shared" si="260"/>
        <v>0</v>
      </c>
      <c r="P455" s="47">
        <f t="shared" si="261"/>
        <v>0</v>
      </c>
      <c r="Q455" s="47"/>
      <c r="R455" s="47">
        <f t="shared" si="262"/>
        <v>0</v>
      </c>
      <c r="S455" s="47">
        <f t="shared" si="263"/>
        <v>0</v>
      </c>
      <c r="T455" s="47"/>
      <c r="U455" s="47">
        <f t="shared" si="264"/>
        <v>0</v>
      </c>
      <c r="V455" s="47"/>
      <c r="W455" s="47">
        <f t="shared" si="265"/>
        <v>0</v>
      </c>
      <c r="X455" s="47"/>
      <c r="Y455" s="47">
        <f t="shared" si="266"/>
        <v>0</v>
      </c>
      <c r="Z455" s="47"/>
      <c r="AA455" s="47">
        <f t="shared" si="267"/>
        <v>0</v>
      </c>
      <c r="AB455" s="47">
        <f t="shared" si="268"/>
        <v>0</v>
      </c>
      <c r="AC455" s="27" t="str">
        <f t="shared" si="269"/>
        <v>ok</v>
      </c>
    </row>
    <row r="456" spans="1:29" x14ac:dyDescent="0.2">
      <c r="A456" s="14">
        <v>930</v>
      </c>
      <c r="B456" s="14" t="s">
        <v>174</v>
      </c>
      <c r="C456" s="14" t="s">
        <v>525</v>
      </c>
      <c r="D456" s="14" t="s">
        <v>411</v>
      </c>
      <c r="F456" s="47">
        <v>12526.91</v>
      </c>
      <c r="G456" s="47"/>
      <c r="H456" s="47">
        <f t="shared" si="256"/>
        <v>0</v>
      </c>
      <c r="I456" s="47">
        <f t="shared" si="257"/>
        <v>0</v>
      </c>
      <c r="J456" s="47"/>
      <c r="K456" s="47">
        <f t="shared" si="258"/>
        <v>0</v>
      </c>
      <c r="L456" s="47"/>
      <c r="M456" s="47">
        <f t="shared" si="259"/>
        <v>18.68838739300951</v>
      </c>
      <c r="N456" s="47"/>
      <c r="O456" s="47">
        <f t="shared" si="260"/>
        <v>3300.2367769415837</v>
      </c>
      <c r="P456" s="47">
        <f t="shared" si="261"/>
        <v>5578.6240972799451</v>
      </c>
      <c r="Q456" s="47"/>
      <c r="R456" s="47">
        <f t="shared" si="262"/>
        <v>0</v>
      </c>
      <c r="S456" s="47">
        <f t="shared" si="263"/>
        <v>347.84871912418868</v>
      </c>
      <c r="T456" s="47"/>
      <c r="U456" s="47">
        <f t="shared" si="264"/>
        <v>654.81681435767018</v>
      </c>
      <c r="V456" s="47"/>
      <c r="W456" s="47">
        <f t="shared" si="265"/>
        <v>53.244714871261266</v>
      </c>
      <c r="X456" s="47"/>
      <c r="Y456" s="47">
        <f t="shared" si="266"/>
        <v>2560.7103989063289</v>
      </c>
      <c r="Z456" s="47"/>
      <c r="AA456" s="47">
        <f t="shared" si="267"/>
        <v>12.740091126009824</v>
      </c>
      <c r="AB456" s="47">
        <f t="shared" si="268"/>
        <v>12526.909999999998</v>
      </c>
      <c r="AC456" s="27" t="str">
        <f t="shared" si="269"/>
        <v>ok</v>
      </c>
    </row>
    <row r="457" spans="1:29" x14ac:dyDescent="0.2">
      <c r="A457" s="14">
        <v>931</v>
      </c>
      <c r="B457" s="14" t="s">
        <v>176</v>
      </c>
      <c r="C457" s="14" t="s">
        <v>526</v>
      </c>
      <c r="D457" s="14" t="s">
        <v>84</v>
      </c>
      <c r="F457" s="47">
        <v>0</v>
      </c>
      <c r="G457" s="47"/>
      <c r="H457" s="47">
        <f t="shared" si="256"/>
        <v>0</v>
      </c>
      <c r="I457" s="47">
        <f t="shared" si="257"/>
        <v>0</v>
      </c>
      <c r="J457" s="47"/>
      <c r="K457" s="47">
        <f t="shared" si="258"/>
        <v>0</v>
      </c>
      <c r="L457" s="47"/>
      <c r="M457" s="47">
        <f t="shared" si="259"/>
        <v>0</v>
      </c>
      <c r="N457" s="47"/>
      <c r="O457" s="47">
        <f t="shared" si="260"/>
        <v>0</v>
      </c>
      <c r="P457" s="47">
        <f t="shared" si="261"/>
        <v>0</v>
      </c>
      <c r="Q457" s="47"/>
      <c r="R457" s="47">
        <f t="shared" si="262"/>
        <v>0</v>
      </c>
      <c r="S457" s="47">
        <f t="shared" si="263"/>
        <v>0</v>
      </c>
      <c r="T457" s="47"/>
      <c r="U457" s="47">
        <f t="shared" si="264"/>
        <v>0</v>
      </c>
      <c r="V457" s="47"/>
      <c r="W457" s="47">
        <f t="shared" si="265"/>
        <v>0</v>
      </c>
      <c r="X457" s="47"/>
      <c r="Y457" s="47">
        <f t="shared" si="266"/>
        <v>0</v>
      </c>
      <c r="Z457" s="47"/>
      <c r="AA457" s="47">
        <f t="shared" si="267"/>
        <v>0</v>
      </c>
      <c r="AB457" s="47">
        <f t="shared" si="268"/>
        <v>0</v>
      </c>
      <c r="AC457" s="27" t="str">
        <f t="shared" si="269"/>
        <v>ok</v>
      </c>
    </row>
    <row r="458" spans="1:29" x14ac:dyDescent="0.2">
      <c r="A458" s="14">
        <v>932</v>
      </c>
      <c r="B458" s="14" t="s">
        <v>1167</v>
      </c>
      <c r="C458" s="14" t="s">
        <v>1166</v>
      </c>
      <c r="D458" s="14" t="s">
        <v>70</v>
      </c>
      <c r="F458" s="47">
        <v>109722.31</v>
      </c>
      <c r="G458" s="47"/>
      <c r="H458" s="47">
        <f t="shared" si="256"/>
        <v>0</v>
      </c>
      <c r="I458" s="47">
        <f t="shared" si="257"/>
        <v>0</v>
      </c>
      <c r="J458" s="47"/>
      <c r="K458" s="47">
        <f t="shared" si="258"/>
        <v>0</v>
      </c>
      <c r="L458" s="47"/>
      <c r="M458" s="47">
        <f t="shared" si="259"/>
        <v>407.80076942630291</v>
      </c>
      <c r="N458" s="47"/>
      <c r="O458" s="47">
        <f t="shared" si="260"/>
        <v>30675.870451418672</v>
      </c>
      <c r="P458" s="47">
        <f t="shared" si="261"/>
        <v>57701.935070117586</v>
      </c>
      <c r="Q458" s="47"/>
      <c r="R458" s="47">
        <f t="shared" si="262"/>
        <v>0</v>
      </c>
      <c r="S458" s="47">
        <f t="shared" si="263"/>
        <v>11984.396222593006</v>
      </c>
      <c r="T458" s="47"/>
      <c r="U458" s="47">
        <f t="shared" si="264"/>
        <v>5261.4099859717626</v>
      </c>
      <c r="V458" s="47"/>
      <c r="W458" s="47">
        <f t="shared" si="265"/>
        <v>3690.8975004726071</v>
      </c>
      <c r="X458" s="47"/>
      <c r="Y458" s="47">
        <f t="shared" si="266"/>
        <v>0</v>
      </c>
      <c r="Z458" s="47"/>
      <c r="AA458" s="47">
        <f t="shared" si="267"/>
        <v>0</v>
      </c>
      <c r="AB458" s="47">
        <f t="shared" si="268"/>
        <v>109722.30999999994</v>
      </c>
      <c r="AC458" s="27" t="str">
        <f t="shared" si="269"/>
        <v>ok</v>
      </c>
    </row>
    <row r="459" spans="1:29" x14ac:dyDescent="0.2">
      <c r="A459" s="14">
        <v>950</v>
      </c>
      <c r="B459" s="14" t="s">
        <v>592</v>
      </c>
      <c r="C459" s="14" t="s">
        <v>593</v>
      </c>
      <c r="D459" s="14" t="s">
        <v>70</v>
      </c>
      <c r="F459" s="47">
        <v>0</v>
      </c>
      <c r="G459" s="47"/>
      <c r="H459" s="47">
        <f t="shared" si="256"/>
        <v>0</v>
      </c>
      <c r="I459" s="47">
        <f t="shared" si="257"/>
        <v>0</v>
      </c>
      <c r="J459" s="47"/>
      <c r="K459" s="47">
        <f t="shared" si="258"/>
        <v>0</v>
      </c>
      <c r="L459" s="47"/>
      <c r="M459" s="47">
        <f t="shared" si="259"/>
        <v>0</v>
      </c>
      <c r="N459" s="47"/>
      <c r="O459" s="47">
        <f t="shared" si="260"/>
        <v>0</v>
      </c>
      <c r="P459" s="47">
        <f t="shared" si="261"/>
        <v>0</v>
      </c>
      <c r="Q459" s="47"/>
      <c r="R459" s="47">
        <f t="shared" si="262"/>
        <v>0</v>
      </c>
      <c r="S459" s="47">
        <f t="shared" si="263"/>
        <v>0</v>
      </c>
      <c r="T459" s="47"/>
      <c r="U459" s="47">
        <f t="shared" si="264"/>
        <v>0</v>
      </c>
      <c r="V459" s="47"/>
      <c r="W459" s="47">
        <f t="shared" si="265"/>
        <v>0</v>
      </c>
      <c r="X459" s="47"/>
      <c r="Y459" s="47">
        <f t="shared" si="266"/>
        <v>0</v>
      </c>
      <c r="Z459" s="47"/>
      <c r="AA459" s="47">
        <f t="shared" si="267"/>
        <v>0</v>
      </c>
      <c r="AB459" s="47">
        <f t="shared" si="268"/>
        <v>0</v>
      </c>
      <c r="AC459" s="27" t="str">
        <f t="shared" si="269"/>
        <v>ok</v>
      </c>
    </row>
    <row r="460" spans="1:29" x14ac:dyDescent="0.2"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27"/>
    </row>
    <row r="461" spans="1:29" x14ac:dyDescent="0.2">
      <c r="A461" s="14" t="s">
        <v>179</v>
      </c>
      <c r="C461" s="14" t="s">
        <v>527</v>
      </c>
      <c r="F461" s="62">
        <f>SUM(F448:F460)</f>
        <v>1226576.1099999999</v>
      </c>
      <c r="G461" s="62"/>
      <c r="H461" s="62">
        <f>SUM(H448:H460)</f>
        <v>0</v>
      </c>
      <c r="I461" s="62">
        <f>SUM(I448:I460)</f>
        <v>0</v>
      </c>
      <c r="J461" s="62"/>
      <c r="K461" s="62">
        <f>SUM(K448:K460)</f>
        <v>0</v>
      </c>
      <c r="L461" s="62"/>
      <c r="M461" s="62">
        <f>SUM(M448:M460)</f>
        <v>1618.4801265177994</v>
      </c>
      <c r="N461" s="62"/>
      <c r="O461" s="62">
        <f>SUM(O448:O460)</f>
        <v>299918.88408706931</v>
      </c>
      <c r="P461" s="62">
        <f>SUM(P448:P460)</f>
        <v>499014.81771183951</v>
      </c>
      <c r="Q461" s="62"/>
      <c r="R461" s="62">
        <f>SUM(R448:R460)</f>
        <v>0</v>
      </c>
      <c r="S461" s="62">
        <f>SUM(S448:S460)</f>
        <v>38593.759040241457</v>
      </c>
      <c r="T461" s="62"/>
      <c r="U461" s="62">
        <f>SUM(U448:U460)</f>
        <v>82954.487300319219</v>
      </c>
      <c r="V461" s="62"/>
      <c r="W461" s="62">
        <f>SUM(W448:W460)</f>
        <v>9427.6084856989764</v>
      </c>
      <c r="X461" s="62"/>
      <c r="Y461" s="62">
        <f>SUM(Y448:Y460)</f>
        <v>294275.00432930881</v>
      </c>
      <c r="Z461" s="62"/>
      <c r="AA461" s="62">
        <f>SUM(AA448:AA460)</f>
        <v>773.06891900461756</v>
      </c>
      <c r="AB461" s="47">
        <f>SUM(H461:AA461)</f>
        <v>1226576.1099999999</v>
      </c>
      <c r="AC461" s="27" t="str">
        <f>IF(ABS(AB461-F461)&lt;1,"ok","err")</f>
        <v>ok</v>
      </c>
    </row>
    <row r="462" spans="1:29" x14ac:dyDescent="0.2">
      <c r="D462" s="8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27"/>
    </row>
    <row r="463" spans="1:29" x14ac:dyDescent="0.2">
      <c r="A463" s="14" t="s">
        <v>181</v>
      </c>
      <c r="C463" s="14" t="s">
        <v>528</v>
      </c>
      <c r="F463" s="62">
        <f>F358+F416+F425+F440+F461</f>
        <v>5235394.2</v>
      </c>
      <c r="G463" s="62"/>
      <c r="H463" s="62">
        <f>H358+H416+H425+H440+H461</f>
        <v>0</v>
      </c>
      <c r="I463" s="62">
        <f>I358+I416+I425+I440+I461</f>
        <v>0</v>
      </c>
      <c r="J463" s="62"/>
      <c r="K463" s="62">
        <f>K358+K416+K425+K440+K461</f>
        <v>0</v>
      </c>
      <c r="L463" s="62"/>
      <c r="M463" s="62">
        <f>M358+M416+M425+M440+M461</f>
        <v>4294.3666482297604</v>
      </c>
      <c r="N463" s="62"/>
      <c r="O463" s="62">
        <f>O358+O416+O425+O440+O461</f>
        <v>1174717.6765033747</v>
      </c>
      <c r="P463" s="62">
        <f>P358+P416+P425+P440+P461</f>
        <v>1877575.0523019671</v>
      </c>
      <c r="Q463" s="62"/>
      <c r="R463" s="62">
        <f>R358+R416+R425+R440+R461</f>
        <v>0</v>
      </c>
      <c r="S463" s="62">
        <f>S358+S416+S425+S440+S461</f>
        <v>117963.3657500991</v>
      </c>
      <c r="T463" s="62"/>
      <c r="U463" s="62">
        <f>U358+U416+U425+U440+U461</f>
        <v>432614.5419912138</v>
      </c>
      <c r="V463" s="62"/>
      <c r="W463" s="62">
        <f>W358+W416+W425+W440+W461</f>
        <v>33646.353556801318</v>
      </c>
      <c r="X463" s="62"/>
      <c r="Y463" s="62">
        <f>Y358+Y416+Y425+Y440+Y461</f>
        <v>1592364.7743293089</v>
      </c>
      <c r="Z463" s="62"/>
      <c r="AA463" s="62">
        <f>AA358+AA416+AA425+AA440+AA461</f>
        <v>2218.0689190046178</v>
      </c>
      <c r="AB463" s="47">
        <f>SUM(H463:AA463)</f>
        <v>5235394.1999999993</v>
      </c>
      <c r="AC463" s="27" t="str">
        <f>IF(ABS(AB463-F463)&lt;1,"ok","err")</f>
        <v>ok</v>
      </c>
    </row>
    <row r="464" spans="1:29" x14ac:dyDescent="0.2"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27"/>
    </row>
    <row r="465" spans="1:29" x14ac:dyDescent="0.2">
      <c r="A465" s="14" t="s">
        <v>412</v>
      </c>
      <c r="C465" s="14" t="s">
        <v>529</v>
      </c>
      <c r="F465" s="87">
        <f>F463-F364</f>
        <v>5235394.2</v>
      </c>
      <c r="G465" s="87"/>
      <c r="H465" s="87">
        <f>H463-H364</f>
        <v>0</v>
      </c>
      <c r="I465" s="87">
        <f>I463-I364</f>
        <v>0</v>
      </c>
      <c r="J465" s="87"/>
      <c r="K465" s="87">
        <f>K463-K364</f>
        <v>0</v>
      </c>
      <c r="L465" s="87"/>
      <c r="M465" s="87">
        <f>M463-M364</f>
        <v>4294.3666482297604</v>
      </c>
      <c r="N465" s="87"/>
      <c r="O465" s="87">
        <f>O463-O364</f>
        <v>1174717.6765033747</v>
      </c>
      <c r="P465" s="87">
        <f>P463-P364</f>
        <v>1877575.0523019671</v>
      </c>
      <c r="Q465" s="87"/>
      <c r="R465" s="87">
        <f>R463-R364</f>
        <v>0</v>
      </c>
      <c r="S465" s="87">
        <f>S463-S364</f>
        <v>117963.3657500991</v>
      </c>
      <c r="T465" s="87"/>
      <c r="U465" s="87">
        <f>U463-U364</f>
        <v>432614.5419912138</v>
      </c>
      <c r="V465" s="87"/>
      <c r="W465" s="87">
        <f>W463-W364</f>
        <v>33646.353556801318</v>
      </c>
      <c r="X465" s="87"/>
      <c r="Y465" s="87">
        <f>Y463-Y364</f>
        <v>1592364.7743293089</v>
      </c>
      <c r="Z465" s="87"/>
      <c r="AA465" s="87">
        <f>AA463-AA364</f>
        <v>2218.0689190046178</v>
      </c>
      <c r="AB465" s="47">
        <f>SUM(H465:AA465)</f>
        <v>5235394.1999999993</v>
      </c>
      <c r="AC465" s="27" t="str">
        <f>IF(ABS(AB465-F465)&lt;1,"ok","err")</f>
        <v>ok</v>
      </c>
    </row>
    <row r="466" spans="1:29" x14ac:dyDescent="0.2"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47"/>
      <c r="AC466" s="27"/>
    </row>
    <row r="467" spans="1:29" x14ac:dyDescent="0.2">
      <c r="A467" s="25" t="s">
        <v>199</v>
      </c>
      <c r="AC467" s="27"/>
    </row>
    <row r="468" spans="1:29" x14ac:dyDescent="0.2">
      <c r="AC468" s="27"/>
    </row>
    <row r="469" spans="1:29" x14ac:dyDescent="0.2">
      <c r="A469" s="14" t="s">
        <v>1</v>
      </c>
      <c r="C469" s="14" t="s">
        <v>24</v>
      </c>
      <c r="F469" s="91">
        <v>1</v>
      </c>
      <c r="G469" s="91"/>
      <c r="H469" s="92">
        <v>0</v>
      </c>
      <c r="I469" s="92">
        <v>0</v>
      </c>
      <c r="J469" s="92"/>
      <c r="K469" s="92">
        <v>0</v>
      </c>
      <c r="L469" s="91"/>
      <c r="M469" s="92">
        <v>1</v>
      </c>
      <c r="N469" s="91"/>
      <c r="O469" s="92">
        <v>0</v>
      </c>
      <c r="P469" s="92">
        <v>0</v>
      </c>
      <c r="Q469" s="93"/>
      <c r="R469" s="91">
        <v>0</v>
      </c>
      <c r="S469" s="91">
        <v>0</v>
      </c>
      <c r="T469" s="91"/>
      <c r="U469" s="91">
        <v>0</v>
      </c>
      <c r="V469" s="91"/>
      <c r="W469" s="91">
        <v>0</v>
      </c>
      <c r="X469" s="91"/>
      <c r="Y469" s="91">
        <v>0</v>
      </c>
      <c r="Z469" s="91"/>
      <c r="AA469" s="91">
        <v>0</v>
      </c>
      <c r="AB469" s="92">
        <f>SUM(H469:AA469)</f>
        <v>1</v>
      </c>
      <c r="AC469" s="27" t="str">
        <f t="shared" ref="AC469:AC479" si="270">IF(ABS(AB469-F469)&lt;0.0000001,"ok","err")</f>
        <v>ok</v>
      </c>
    </row>
    <row r="470" spans="1:29" x14ac:dyDescent="0.2">
      <c r="A470" s="14" t="s">
        <v>200</v>
      </c>
      <c r="C470" s="14" t="s">
        <v>27</v>
      </c>
      <c r="F470" s="91">
        <v>1</v>
      </c>
      <c r="G470" s="91"/>
      <c r="H470" s="92">
        <v>0</v>
      </c>
      <c r="I470" s="92">
        <v>0</v>
      </c>
      <c r="J470" s="92"/>
      <c r="K470" s="92">
        <v>0</v>
      </c>
      <c r="L470" s="91"/>
      <c r="M470" s="92">
        <v>0</v>
      </c>
      <c r="N470" s="91"/>
      <c r="O470" s="46">
        <f>O471</f>
        <v>0.40246976167828064</v>
      </c>
      <c r="P470" s="46">
        <f>P471</f>
        <v>0.59753023832171936</v>
      </c>
      <c r="Q470" s="93"/>
      <c r="R470" s="91">
        <v>0</v>
      </c>
      <c r="S470" s="91">
        <v>0</v>
      </c>
      <c r="T470" s="91"/>
      <c r="U470" s="91">
        <v>0</v>
      </c>
      <c r="V470" s="91"/>
      <c r="W470" s="91">
        <v>0</v>
      </c>
      <c r="X470" s="91"/>
      <c r="Y470" s="91">
        <v>0</v>
      </c>
      <c r="Z470" s="91"/>
      <c r="AA470" s="91">
        <v>0</v>
      </c>
      <c r="AB470" s="92">
        <f t="shared" ref="AB470:AB478" si="271">SUM(H470:AA470)</f>
        <v>1</v>
      </c>
      <c r="AC470" s="27" t="str">
        <f t="shared" si="270"/>
        <v>ok</v>
      </c>
    </row>
    <row r="471" spans="1:29" x14ac:dyDescent="0.2">
      <c r="A471" s="14" t="s">
        <v>201</v>
      </c>
      <c r="C471" s="14" t="s">
        <v>30</v>
      </c>
      <c r="F471" s="91">
        <v>1</v>
      </c>
      <c r="G471" s="91"/>
      <c r="H471" s="92">
        <v>0</v>
      </c>
      <c r="I471" s="92">
        <v>0</v>
      </c>
      <c r="J471" s="92"/>
      <c r="K471" s="92">
        <v>0</v>
      </c>
      <c r="L471" s="91"/>
      <c r="M471" s="92">
        <v>0</v>
      </c>
      <c r="N471" s="91"/>
      <c r="O471" s="46">
        <f>ZeroInt!D191</f>
        <v>0.40246976167828064</v>
      </c>
      <c r="P471" s="46">
        <f>ZeroInt!E191</f>
        <v>0.59753023832171936</v>
      </c>
      <c r="Q471" s="93"/>
      <c r="R471" s="91">
        <v>0</v>
      </c>
      <c r="S471" s="91">
        <v>0</v>
      </c>
      <c r="T471" s="91"/>
      <c r="U471" s="91">
        <v>0</v>
      </c>
      <c r="V471" s="91"/>
      <c r="W471" s="91">
        <v>0</v>
      </c>
      <c r="X471" s="91"/>
      <c r="Y471" s="91">
        <v>0</v>
      </c>
      <c r="Z471" s="91"/>
      <c r="AA471" s="91">
        <v>0</v>
      </c>
      <c r="AB471" s="92">
        <f t="shared" si="271"/>
        <v>1</v>
      </c>
      <c r="AC471" s="27" t="str">
        <f t="shared" si="270"/>
        <v>ok</v>
      </c>
    </row>
    <row r="472" spans="1:29" x14ac:dyDescent="0.2">
      <c r="A472" s="14" t="s">
        <v>202</v>
      </c>
      <c r="C472" s="14" t="s">
        <v>33</v>
      </c>
      <c r="F472" s="91">
        <v>1</v>
      </c>
      <c r="G472" s="91"/>
      <c r="H472" s="92">
        <v>0</v>
      </c>
      <c r="I472" s="92">
        <v>0</v>
      </c>
      <c r="J472" s="92"/>
      <c r="K472" s="92">
        <v>0</v>
      </c>
      <c r="L472" s="91"/>
      <c r="M472" s="92">
        <v>0</v>
      </c>
      <c r="N472" s="91"/>
      <c r="O472" s="46">
        <f>ZeroInt!D192</f>
        <v>0.12122049148844327</v>
      </c>
      <c r="P472" s="46">
        <f>ZeroInt!E192</f>
        <v>0.87877950851155673</v>
      </c>
      <c r="Q472" s="93"/>
      <c r="R472" s="91">
        <v>0</v>
      </c>
      <c r="S472" s="91">
        <v>0</v>
      </c>
      <c r="T472" s="91"/>
      <c r="U472" s="91">
        <v>0</v>
      </c>
      <c r="V472" s="91"/>
      <c r="W472" s="91">
        <v>0</v>
      </c>
      <c r="X472" s="91"/>
      <c r="Y472" s="91">
        <v>0</v>
      </c>
      <c r="Z472" s="91"/>
      <c r="AA472" s="91">
        <v>0</v>
      </c>
      <c r="AB472" s="92">
        <f t="shared" si="271"/>
        <v>1</v>
      </c>
      <c r="AC472" s="27" t="str">
        <f t="shared" si="270"/>
        <v>ok</v>
      </c>
    </row>
    <row r="473" spans="1:29" x14ac:dyDescent="0.2">
      <c r="A473" s="14" t="s">
        <v>203</v>
      </c>
      <c r="C473" s="14" t="s">
        <v>38</v>
      </c>
      <c r="F473" s="91">
        <v>1</v>
      </c>
      <c r="G473" s="91"/>
      <c r="H473" s="92">
        <v>0</v>
      </c>
      <c r="I473" s="92">
        <v>0</v>
      </c>
      <c r="J473" s="92"/>
      <c r="K473" s="92">
        <v>0</v>
      </c>
      <c r="L473" s="91"/>
      <c r="M473" s="92">
        <v>0</v>
      </c>
      <c r="N473" s="91"/>
      <c r="O473" s="46">
        <f>ZeroInt!D193</f>
        <v>0.23921913964374242</v>
      </c>
      <c r="P473" s="46">
        <f>ZeroInt!E193</f>
        <v>0.76078086035625758</v>
      </c>
      <c r="Q473" s="93"/>
      <c r="R473" s="91">
        <v>0</v>
      </c>
      <c r="S473" s="91">
        <v>0</v>
      </c>
      <c r="T473" s="91"/>
      <c r="U473" s="91">
        <v>0</v>
      </c>
      <c r="V473" s="91"/>
      <c r="W473" s="91">
        <v>0</v>
      </c>
      <c r="X473" s="91"/>
      <c r="Y473" s="91">
        <v>0</v>
      </c>
      <c r="Z473" s="91"/>
      <c r="AA473" s="91">
        <v>0</v>
      </c>
      <c r="AB473" s="92">
        <f t="shared" si="271"/>
        <v>1</v>
      </c>
      <c r="AC473" s="27" t="str">
        <f t="shared" si="270"/>
        <v>ok</v>
      </c>
    </row>
    <row r="474" spans="1:29" x14ac:dyDescent="0.2">
      <c r="A474" s="14" t="s">
        <v>204</v>
      </c>
      <c r="C474" s="14" t="s">
        <v>41</v>
      </c>
      <c r="F474" s="91">
        <v>1</v>
      </c>
      <c r="G474" s="91"/>
      <c r="H474" s="92">
        <v>0</v>
      </c>
      <c r="I474" s="92">
        <v>0</v>
      </c>
      <c r="J474" s="92"/>
      <c r="K474" s="92">
        <v>0</v>
      </c>
      <c r="L474" s="91"/>
      <c r="M474" s="92">
        <v>0</v>
      </c>
      <c r="N474" s="91"/>
      <c r="O474" s="92">
        <v>0</v>
      </c>
      <c r="P474" s="92">
        <v>0</v>
      </c>
      <c r="Q474" s="93"/>
      <c r="R474" s="91">
        <v>0</v>
      </c>
      <c r="S474" s="91">
        <v>1</v>
      </c>
      <c r="T474" s="91"/>
      <c r="U474" s="91">
        <v>0</v>
      </c>
      <c r="V474" s="91"/>
      <c r="W474" s="91">
        <v>0</v>
      </c>
      <c r="X474" s="91"/>
      <c r="Y474" s="91">
        <v>0</v>
      </c>
      <c r="Z474" s="91"/>
      <c r="AA474" s="91">
        <v>0</v>
      </c>
      <c r="AB474" s="92">
        <f t="shared" si="271"/>
        <v>1</v>
      </c>
      <c r="AC474" s="27" t="str">
        <f t="shared" si="270"/>
        <v>ok</v>
      </c>
    </row>
    <row r="475" spans="1:29" x14ac:dyDescent="0.2">
      <c r="A475" s="14" t="s">
        <v>4</v>
      </c>
      <c r="C475" s="14" t="s">
        <v>44</v>
      </c>
      <c r="F475" s="91">
        <v>1</v>
      </c>
      <c r="G475" s="91"/>
      <c r="H475" s="92">
        <v>0</v>
      </c>
      <c r="I475" s="92">
        <v>0</v>
      </c>
      <c r="J475" s="92"/>
      <c r="K475" s="92">
        <v>0</v>
      </c>
      <c r="L475" s="91"/>
      <c r="M475" s="92">
        <v>0</v>
      </c>
      <c r="N475" s="91"/>
      <c r="O475" s="92">
        <v>0</v>
      </c>
      <c r="P475" s="92">
        <v>0</v>
      </c>
      <c r="Q475" s="93"/>
      <c r="R475" s="91">
        <v>0</v>
      </c>
      <c r="S475" s="91">
        <v>0</v>
      </c>
      <c r="T475" s="91"/>
      <c r="U475" s="91">
        <v>1</v>
      </c>
      <c r="V475" s="91"/>
      <c r="W475" s="91">
        <v>0</v>
      </c>
      <c r="X475" s="91"/>
      <c r="Y475" s="91">
        <v>0</v>
      </c>
      <c r="Z475" s="91"/>
      <c r="AA475" s="91">
        <v>0</v>
      </c>
      <c r="AB475" s="92">
        <f t="shared" si="271"/>
        <v>1</v>
      </c>
      <c r="AC475" s="27" t="str">
        <f t="shared" si="270"/>
        <v>ok</v>
      </c>
    </row>
    <row r="476" spans="1:29" x14ac:dyDescent="0.2">
      <c r="A476" s="14" t="s">
        <v>205</v>
      </c>
      <c r="C476" s="14" t="s">
        <v>49</v>
      </c>
      <c r="F476" s="91">
        <v>1</v>
      </c>
      <c r="G476" s="91"/>
      <c r="H476" s="92">
        <v>0</v>
      </c>
      <c r="I476" s="92">
        <v>0</v>
      </c>
      <c r="J476" s="92"/>
      <c r="K476" s="92">
        <v>0</v>
      </c>
      <c r="L476" s="91"/>
      <c r="M476" s="92">
        <v>0</v>
      </c>
      <c r="N476" s="91"/>
      <c r="O476" s="92">
        <v>0</v>
      </c>
      <c r="P476" s="92">
        <v>0</v>
      </c>
      <c r="Q476" s="93"/>
      <c r="R476" s="91">
        <v>0</v>
      </c>
      <c r="S476" s="91">
        <v>0</v>
      </c>
      <c r="T476" s="91"/>
      <c r="U476" s="91">
        <v>0</v>
      </c>
      <c r="V476" s="91"/>
      <c r="W476" s="91">
        <v>1</v>
      </c>
      <c r="X476" s="91"/>
      <c r="Y476" s="91">
        <v>0</v>
      </c>
      <c r="Z476" s="91"/>
      <c r="AA476" s="91">
        <v>0</v>
      </c>
      <c r="AB476" s="92">
        <f t="shared" si="271"/>
        <v>1</v>
      </c>
      <c r="AC476" s="27" t="str">
        <f t="shared" si="270"/>
        <v>ok</v>
      </c>
    </row>
    <row r="477" spans="1:29" x14ac:dyDescent="0.2">
      <c r="A477" s="14" t="s">
        <v>206</v>
      </c>
      <c r="C477" s="14" t="s">
        <v>140</v>
      </c>
      <c r="F477" s="91">
        <v>1</v>
      </c>
      <c r="G477" s="91"/>
      <c r="H477" s="92">
        <v>0</v>
      </c>
      <c r="I477" s="92">
        <v>0</v>
      </c>
      <c r="J477" s="92"/>
      <c r="K477" s="92">
        <v>0</v>
      </c>
      <c r="L477" s="91"/>
      <c r="M477" s="92">
        <v>0</v>
      </c>
      <c r="N477" s="91"/>
      <c r="O477" s="92">
        <v>0</v>
      </c>
      <c r="P477" s="92">
        <v>0</v>
      </c>
      <c r="Q477" s="93"/>
      <c r="R477" s="91">
        <v>0</v>
      </c>
      <c r="S477" s="91">
        <v>0</v>
      </c>
      <c r="T477" s="91"/>
      <c r="U477" s="91">
        <v>0</v>
      </c>
      <c r="V477" s="91"/>
      <c r="W477" s="91">
        <v>0</v>
      </c>
      <c r="X477" s="91"/>
      <c r="Y477" s="91">
        <v>1</v>
      </c>
      <c r="Z477" s="91"/>
      <c r="AA477" s="91">
        <v>0</v>
      </c>
      <c r="AB477" s="92">
        <f t="shared" si="271"/>
        <v>1</v>
      </c>
      <c r="AC477" s="27" t="str">
        <f t="shared" si="270"/>
        <v>ok</v>
      </c>
    </row>
    <row r="478" spans="1:29" x14ac:dyDescent="0.2">
      <c r="A478" s="14" t="s">
        <v>207</v>
      </c>
      <c r="C478" s="14" t="s">
        <v>150</v>
      </c>
      <c r="F478" s="91">
        <v>1</v>
      </c>
      <c r="G478" s="91"/>
      <c r="H478" s="92">
        <v>0</v>
      </c>
      <c r="I478" s="92">
        <v>0</v>
      </c>
      <c r="J478" s="92"/>
      <c r="K478" s="92">
        <v>0</v>
      </c>
      <c r="L478" s="91"/>
      <c r="M478" s="92">
        <v>0</v>
      </c>
      <c r="N478" s="91"/>
      <c r="O478" s="92">
        <v>0</v>
      </c>
      <c r="P478" s="92">
        <v>0</v>
      </c>
      <c r="Q478" s="93"/>
      <c r="R478" s="91">
        <v>0</v>
      </c>
      <c r="S478" s="91">
        <v>0</v>
      </c>
      <c r="T478" s="91"/>
      <c r="U478" s="91">
        <v>0</v>
      </c>
      <c r="V478" s="91"/>
      <c r="W478" s="91">
        <v>0</v>
      </c>
      <c r="X478" s="91"/>
      <c r="Y478" s="91">
        <v>1</v>
      </c>
      <c r="Z478" s="91"/>
      <c r="AA478" s="91">
        <v>0</v>
      </c>
      <c r="AB478" s="92">
        <f t="shared" si="271"/>
        <v>1</v>
      </c>
      <c r="AC478" s="27" t="str">
        <f t="shared" si="270"/>
        <v>ok</v>
      </c>
    </row>
    <row r="479" spans="1:29" x14ac:dyDescent="0.2">
      <c r="A479" s="14" t="s">
        <v>350</v>
      </c>
      <c r="C479" s="14" t="s">
        <v>391</v>
      </c>
      <c r="F479" s="91">
        <v>1</v>
      </c>
      <c r="G479" s="91"/>
      <c r="H479" s="92">
        <v>0</v>
      </c>
      <c r="I479" s="92">
        <v>0</v>
      </c>
      <c r="J479" s="92"/>
      <c r="K479" s="92">
        <v>1</v>
      </c>
      <c r="L479" s="91"/>
      <c r="M479" s="92">
        <v>0</v>
      </c>
      <c r="N479" s="91"/>
      <c r="O479" s="92">
        <v>0</v>
      </c>
      <c r="P479" s="92">
        <v>0</v>
      </c>
      <c r="Q479" s="93"/>
      <c r="R479" s="91">
        <v>0</v>
      </c>
      <c r="S479" s="91">
        <v>0</v>
      </c>
      <c r="T479" s="91"/>
      <c r="U479" s="91">
        <v>0</v>
      </c>
      <c r="V479" s="91"/>
      <c r="W479" s="91">
        <v>0</v>
      </c>
      <c r="X479" s="91"/>
      <c r="Y479" s="91">
        <v>0</v>
      </c>
      <c r="Z479" s="91"/>
      <c r="AA479" s="91">
        <v>0</v>
      </c>
      <c r="AB479" s="92">
        <f>SUM(H479:AA479)</f>
        <v>1</v>
      </c>
      <c r="AC479" s="27" t="str">
        <f t="shared" si="270"/>
        <v>ok</v>
      </c>
    </row>
    <row r="480" spans="1:29" x14ac:dyDescent="0.2">
      <c r="A480" s="14" t="s">
        <v>470</v>
      </c>
      <c r="C480" s="14" t="s">
        <v>471</v>
      </c>
      <c r="F480" s="91">
        <v>1</v>
      </c>
      <c r="G480" s="91"/>
      <c r="H480" s="92">
        <v>0</v>
      </c>
      <c r="I480" s="92">
        <v>0</v>
      </c>
      <c r="J480" s="92"/>
      <c r="K480" s="92">
        <v>0</v>
      </c>
      <c r="L480" s="91"/>
      <c r="M480" s="92">
        <v>0</v>
      </c>
      <c r="N480" s="91"/>
      <c r="O480" s="92">
        <v>0</v>
      </c>
      <c r="P480" s="92">
        <v>0</v>
      </c>
      <c r="Q480" s="93"/>
      <c r="R480" s="91">
        <v>0</v>
      </c>
      <c r="S480" s="91">
        <v>0</v>
      </c>
      <c r="T480" s="91"/>
      <c r="U480" s="91">
        <v>0</v>
      </c>
      <c r="V480" s="91"/>
      <c r="W480" s="91">
        <v>0</v>
      </c>
      <c r="X480" s="91"/>
      <c r="Y480" s="91">
        <v>0</v>
      </c>
      <c r="Z480" s="91"/>
      <c r="AA480" s="91">
        <v>1</v>
      </c>
      <c r="AB480" s="92">
        <f>SUM(H480:AA480)</f>
        <v>1</v>
      </c>
      <c r="AC480" s="27" t="str">
        <f>IF(ABS(AB480-F480)&lt;0.0000001,"ok","err")</f>
        <v>ok</v>
      </c>
    </row>
    <row r="481" spans="1:29" x14ac:dyDescent="0.2">
      <c r="F481" s="91"/>
      <c r="G481" s="91"/>
      <c r="H481" s="92"/>
      <c r="I481" s="92"/>
      <c r="J481" s="92"/>
      <c r="K481" s="92"/>
      <c r="L481" s="92"/>
      <c r="M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  <c r="AA481" s="92"/>
      <c r="AB481" s="92"/>
      <c r="AC481" s="27"/>
    </row>
    <row r="482" spans="1:29" x14ac:dyDescent="0.2">
      <c r="AC482" s="27"/>
    </row>
    <row r="483" spans="1:29" x14ac:dyDescent="0.2">
      <c r="A483" s="13" t="s">
        <v>402</v>
      </c>
      <c r="C483" s="14" t="s">
        <v>97</v>
      </c>
      <c r="F483" s="91">
        <v>1</v>
      </c>
      <c r="G483" s="91"/>
      <c r="H483" s="92">
        <f>'Purchased Power'!O53</f>
        <v>0.29590952132514953</v>
      </c>
      <c r="I483" s="92">
        <f>'Purchased Power'!O54</f>
        <v>0.70409047867485064</v>
      </c>
      <c r="J483" s="47"/>
      <c r="K483" s="47">
        <v>0</v>
      </c>
      <c r="L483" s="47"/>
      <c r="M483" s="47">
        <v>0</v>
      </c>
      <c r="N483" s="47"/>
      <c r="O483" s="47">
        <v>0</v>
      </c>
      <c r="P483" s="47">
        <v>0</v>
      </c>
      <c r="Q483" s="94"/>
      <c r="R483" s="47">
        <v>0</v>
      </c>
      <c r="S483" s="47">
        <v>0</v>
      </c>
      <c r="T483" s="47"/>
      <c r="U483" s="47">
        <v>0</v>
      </c>
      <c r="V483" s="47"/>
      <c r="W483" s="47">
        <v>0</v>
      </c>
      <c r="X483" s="47"/>
      <c r="Y483" s="47">
        <v>0</v>
      </c>
      <c r="Z483" s="47"/>
      <c r="AA483" s="47">
        <v>0</v>
      </c>
      <c r="AB483" s="47">
        <f>SUM(H483:AA483)</f>
        <v>1.0000000000000002</v>
      </c>
      <c r="AC483" s="27" t="str">
        <f>IF(ABS(AB483-F483)&lt;1,"ok","err")</f>
        <v>ok</v>
      </c>
    </row>
    <row r="484" spans="1:29" x14ac:dyDescent="0.2">
      <c r="AC484" s="27"/>
    </row>
    <row r="485" spans="1:29" x14ac:dyDescent="0.2">
      <c r="A485" s="14" t="s">
        <v>548</v>
      </c>
      <c r="C485" s="14" t="s">
        <v>546</v>
      </c>
      <c r="F485" s="95">
        <v>1</v>
      </c>
      <c r="G485" s="95"/>
      <c r="H485" s="47">
        <v>0</v>
      </c>
      <c r="I485" s="47">
        <v>0</v>
      </c>
      <c r="K485" s="47">
        <v>0</v>
      </c>
      <c r="M485" s="47">
        <v>0</v>
      </c>
      <c r="O485" s="47">
        <v>0</v>
      </c>
      <c r="P485" s="47">
        <v>0</v>
      </c>
      <c r="R485" s="47">
        <v>0</v>
      </c>
      <c r="S485" s="47">
        <v>0</v>
      </c>
      <c r="U485" s="47">
        <v>0</v>
      </c>
      <c r="W485" s="95">
        <v>1</v>
      </c>
      <c r="Y485" s="47">
        <v>0</v>
      </c>
      <c r="AA485" s="47">
        <v>0</v>
      </c>
      <c r="AB485" s="92">
        <f>SUM(H485:AA485)</f>
        <v>1</v>
      </c>
      <c r="AC485" s="27" t="str">
        <f>IF(ABS(AB485-F485)&lt;1,"ok","err")</f>
        <v>ok</v>
      </c>
    </row>
    <row r="486" spans="1:29" x14ac:dyDescent="0.2">
      <c r="A486" s="14" t="s">
        <v>549</v>
      </c>
      <c r="C486" s="14" t="s">
        <v>547</v>
      </c>
      <c r="F486" s="95">
        <v>1</v>
      </c>
      <c r="G486" s="95"/>
      <c r="H486" s="47">
        <v>0</v>
      </c>
      <c r="I486" s="47">
        <v>0</v>
      </c>
      <c r="K486" s="47">
        <v>0</v>
      </c>
      <c r="M486" s="47">
        <v>0</v>
      </c>
      <c r="O486" s="47">
        <v>0</v>
      </c>
      <c r="P486" s="47">
        <v>0</v>
      </c>
      <c r="R486" s="47">
        <v>0</v>
      </c>
      <c r="S486" s="47">
        <v>0</v>
      </c>
      <c r="U486" s="47">
        <v>0</v>
      </c>
      <c r="W486" s="95">
        <v>1</v>
      </c>
      <c r="Y486" s="47">
        <v>0</v>
      </c>
      <c r="AA486" s="47">
        <v>0</v>
      </c>
      <c r="AB486" s="92">
        <f>SUM(H486:AA486)</f>
        <v>1</v>
      </c>
      <c r="AC486" s="27" t="str">
        <f>IF(ABS(AB486-F486)&lt;1,"ok","err")</f>
        <v>ok</v>
      </c>
    </row>
    <row r="487" spans="1:29" x14ac:dyDescent="0.2">
      <c r="A487" s="14" t="s">
        <v>708</v>
      </c>
      <c r="C487" s="14" t="s">
        <v>551</v>
      </c>
      <c r="F487" s="91">
        <v>1</v>
      </c>
      <c r="G487" s="91"/>
      <c r="H487" s="92">
        <v>0</v>
      </c>
      <c r="I487" s="92">
        <v>0</v>
      </c>
      <c r="J487" s="92"/>
      <c r="K487" s="92">
        <v>0</v>
      </c>
      <c r="L487" s="91"/>
      <c r="M487" s="92">
        <v>0</v>
      </c>
      <c r="N487" s="91"/>
      <c r="O487" s="92">
        <v>0</v>
      </c>
      <c r="P487" s="92">
        <v>1</v>
      </c>
      <c r="Q487" s="93"/>
      <c r="R487" s="91">
        <v>0</v>
      </c>
      <c r="S487" s="91">
        <v>0</v>
      </c>
      <c r="T487" s="91"/>
      <c r="U487" s="91">
        <v>0</v>
      </c>
      <c r="V487" s="91"/>
      <c r="W487" s="91">
        <v>0</v>
      </c>
      <c r="X487" s="91"/>
      <c r="Y487" s="91">
        <v>0</v>
      </c>
      <c r="Z487" s="91"/>
      <c r="AA487" s="91">
        <v>0</v>
      </c>
      <c r="AB487" s="92">
        <f>SUM(H487:AA487)</f>
        <v>1</v>
      </c>
      <c r="AC487" s="27" t="str">
        <f>IF(ABS(AB487-F487)&lt;0.0000001,"ok","err")</f>
        <v>ok</v>
      </c>
    </row>
    <row r="488" spans="1:29" x14ac:dyDescent="0.2">
      <c r="A488" s="14" t="s">
        <v>823</v>
      </c>
      <c r="C488" s="14" t="s">
        <v>552</v>
      </c>
      <c r="F488" s="91">
        <v>1</v>
      </c>
      <c r="G488" s="91"/>
      <c r="H488" s="92">
        <v>1</v>
      </c>
      <c r="I488" s="92">
        <v>0</v>
      </c>
      <c r="J488" s="92"/>
      <c r="K488" s="92">
        <v>0</v>
      </c>
      <c r="L488" s="91"/>
      <c r="M488" s="92">
        <v>0</v>
      </c>
      <c r="N488" s="91"/>
      <c r="O488" s="92">
        <v>0</v>
      </c>
      <c r="P488" s="92">
        <v>0</v>
      </c>
      <c r="Q488" s="93"/>
      <c r="R488" s="91">
        <v>0</v>
      </c>
      <c r="S488" s="91">
        <v>0</v>
      </c>
      <c r="T488" s="91"/>
      <c r="U488" s="91">
        <v>0</v>
      </c>
      <c r="V488" s="91"/>
      <c r="W488" s="91">
        <v>0</v>
      </c>
      <c r="X488" s="91"/>
      <c r="Y488" s="91">
        <v>0</v>
      </c>
      <c r="Z488" s="91"/>
      <c r="AA488" s="91">
        <v>0</v>
      </c>
      <c r="AB488" s="92">
        <f>SUM(H488:AA488)</f>
        <v>1</v>
      </c>
      <c r="AC488" s="27" t="str">
        <f>IF(ABS(AB488-F488)&lt;0.0000001,"ok","err")</f>
        <v>ok</v>
      </c>
    </row>
    <row r="489" spans="1:29" x14ac:dyDescent="0.2">
      <c r="A489" s="14" t="s">
        <v>824</v>
      </c>
      <c r="C489" s="14" t="s">
        <v>787</v>
      </c>
      <c r="F489" s="91">
        <v>1</v>
      </c>
      <c r="G489" s="91"/>
      <c r="H489" s="92">
        <v>0</v>
      </c>
      <c r="I489" s="92">
        <v>1</v>
      </c>
      <c r="J489" s="92"/>
      <c r="K489" s="92">
        <v>0</v>
      </c>
      <c r="L489" s="91"/>
      <c r="M489" s="92">
        <v>0</v>
      </c>
      <c r="N489" s="91"/>
      <c r="O489" s="92">
        <v>0</v>
      </c>
      <c r="P489" s="92">
        <v>0</v>
      </c>
      <c r="Q489" s="93"/>
      <c r="R489" s="91">
        <v>0</v>
      </c>
      <c r="S489" s="91">
        <v>0</v>
      </c>
      <c r="T489" s="91"/>
      <c r="U489" s="91">
        <v>0</v>
      </c>
      <c r="V489" s="91"/>
      <c r="W489" s="91">
        <v>0</v>
      </c>
      <c r="X489" s="91"/>
      <c r="Y489" s="91">
        <v>0</v>
      </c>
      <c r="Z489" s="91"/>
      <c r="AA489" s="91">
        <v>0</v>
      </c>
      <c r="AB489" s="92">
        <f>SUM(H489:AA489)</f>
        <v>1</v>
      </c>
      <c r="AC489" s="27" t="str">
        <f>IF(ABS(AB489-F489)&lt;0.0000001,"ok","err")</f>
        <v>ok</v>
      </c>
    </row>
    <row r="490" spans="1:29" x14ac:dyDescent="0.2">
      <c r="F490" s="91"/>
      <c r="G490" s="91"/>
      <c r="AC490" s="27"/>
    </row>
    <row r="491" spans="1:29" x14ac:dyDescent="0.2">
      <c r="AC491" s="27"/>
    </row>
    <row r="492" spans="1:29" x14ac:dyDescent="0.2"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47"/>
      <c r="AC492" s="27"/>
    </row>
    <row r="493" spans="1:29" x14ac:dyDescent="0.2">
      <c r="F493" s="87"/>
      <c r="G493" s="87"/>
      <c r="H493" s="87"/>
      <c r="I493" s="87"/>
      <c r="J493" s="87"/>
      <c r="K493" s="87"/>
      <c r="L493" s="87"/>
      <c r="M493" s="87"/>
      <c r="N493" s="87"/>
      <c r="O493" s="45"/>
      <c r="P493" s="45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47"/>
      <c r="AC493" s="27"/>
    </row>
    <row r="494" spans="1:29" x14ac:dyDescent="0.2">
      <c r="O494" s="45"/>
      <c r="P494" s="45"/>
      <c r="AC494" s="27"/>
    </row>
    <row r="495" spans="1:29" x14ac:dyDescent="0.2">
      <c r="F495" s="47"/>
      <c r="G495" s="47"/>
      <c r="O495" s="45"/>
      <c r="P495" s="45"/>
      <c r="AC495" s="27"/>
    </row>
    <row r="496" spans="1:29" x14ac:dyDescent="0.2">
      <c r="F496" s="47"/>
      <c r="G496" s="47"/>
      <c r="O496" s="45"/>
      <c r="P496" s="45"/>
      <c r="AC496" s="27"/>
    </row>
    <row r="497" spans="6:29" x14ac:dyDescent="0.2">
      <c r="F497" s="47"/>
      <c r="G497" s="47"/>
      <c r="AC497" s="27"/>
    </row>
    <row r="498" spans="6:29" x14ac:dyDescent="0.2">
      <c r="F498" s="47"/>
      <c r="G498" s="47"/>
      <c r="AC498" s="27"/>
    </row>
    <row r="499" spans="6:29" x14ac:dyDescent="0.2">
      <c r="F499" s="47"/>
      <c r="G499" s="47"/>
      <c r="AC499" s="27"/>
    </row>
    <row r="500" spans="6:29" x14ac:dyDescent="0.2">
      <c r="F500" s="47"/>
      <c r="G500" s="47"/>
      <c r="AC500" s="27"/>
    </row>
    <row r="501" spans="6:29" x14ac:dyDescent="0.2">
      <c r="F501" s="47"/>
      <c r="G501" s="47"/>
      <c r="AC501" s="27"/>
    </row>
    <row r="502" spans="6:29" x14ac:dyDescent="0.2">
      <c r="F502" s="47"/>
      <c r="G502" s="47"/>
      <c r="AC502" s="27"/>
    </row>
    <row r="503" spans="6:29" x14ac:dyDescent="0.2">
      <c r="F503" s="33"/>
      <c r="G503" s="33"/>
      <c r="AC503" s="27"/>
    </row>
    <row r="504" spans="6:29" x14ac:dyDescent="0.2">
      <c r="AC504" s="27"/>
    </row>
    <row r="505" spans="6:29" x14ac:dyDescent="0.2">
      <c r="F505" s="62"/>
      <c r="G505" s="62"/>
      <c r="AC505" s="27"/>
    </row>
    <row r="506" spans="6:29" x14ac:dyDescent="0.2">
      <c r="AC506" s="27"/>
    </row>
    <row r="507" spans="6:29" x14ac:dyDescent="0.2">
      <c r="AC507" s="27"/>
    </row>
    <row r="508" spans="6:29" x14ac:dyDescent="0.2">
      <c r="AC508" s="27"/>
    </row>
  </sheetData>
  <phoneticPr fontId="0" type="noConversion"/>
  <conditionalFormatting sqref="AC1:AC36 AC189 AC192:AC193 AC197:AC257 AC363:AC65536 AC281:AC360 AC259:AC278 AC39:AC186">
    <cfRule type="cellIs" dxfId="84" priority="29" operator="equal">
      <formula>"err"</formula>
    </cfRule>
  </conditionalFormatting>
  <conditionalFormatting sqref="AC8:AC36 AC189 AC192:AC193 AC197:AC257 AC363:AC493 AC281:AC360 AC259:AC278 AC39:AC186">
    <cfRule type="containsText" dxfId="83" priority="27" operator="containsText" text="err">
      <formula>NOT(ISERROR(SEARCH("err",AC8)))</formula>
    </cfRule>
  </conditionalFormatting>
  <conditionalFormatting sqref="AC361:AC362">
    <cfRule type="cellIs" dxfId="82" priority="24" operator="equal">
      <formula>"err"</formula>
    </cfRule>
  </conditionalFormatting>
  <conditionalFormatting sqref="AC361:AC362">
    <cfRule type="containsText" dxfId="81" priority="23" operator="containsText" text="err">
      <formula>NOT(ISERROR(SEARCH("err",AC361)))</formula>
    </cfRule>
  </conditionalFormatting>
  <conditionalFormatting sqref="AC37:AC38">
    <cfRule type="cellIs" dxfId="80" priority="22" operator="equal">
      <formula>"err"</formula>
    </cfRule>
  </conditionalFormatting>
  <conditionalFormatting sqref="AC37:AC38">
    <cfRule type="containsText" dxfId="79" priority="21" operator="containsText" text="err">
      <formula>NOT(ISERROR(SEARCH("err",AC37)))</formula>
    </cfRule>
  </conditionalFormatting>
  <conditionalFormatting sqref="AC188">
    <cfRule type="cellIs" dxfId="78" priority="20" operator="equal">
      <formula>"err"</formula>
    </cfRule>
  </conditionalFormatting>
  <conditionalFormatting sqref="AC188">
    <cfRule type="containsText" dxfId="77" priority="19" operator="containsText" text="err">
      <formula>NOT(ISERROR(SEARCH("err",AC188)))</formula>
    </cfRule>
  </conditionalFormatting>
  <conditionalFormatting sqref="AC187">
    <cfRule type="cellIs" dxfId="76" priority="18" operator="equal">
      <formula>"err"</formula>
    </cfRule>
  </conditionalFormatting>
  <conditionalFormatting sqref="AC187">
    <cfRule type="containsText" dxfId="75" priority="17" operator="containsText" text="err">
      <formula>NOT(ISERROR(SEARCH("err",AC187)))</formula>
    </cfRule>
  </conditionalFormatting>
  <conditionalFormatting sqref="AC190">
    <cfRule type="cellIs" dxfId="74" priority="16" operator="equal">
      <formula>"err"</formula>
    </cfRule>
  </conditionalFormatting>
  <conditionalFormatting sqref="AC190">
    <cfRule type="containsText" dxfId="73" priority="15" operator="containsText" text="err">
      <formula>NOT(ISERROR(SEARCH("err",AC190)))</formula>
    </cfRule>
  </conditionalFormatting>
  <conditionalFormatting sqref="AC191">
    <cfRule type="cellIs" dxfId="72" priority="14" operator="equal">
      <formula>"err"</formula>
    </cfRule>
  </conditionalFormatting>
  <conditionalFormatting sqref="AC191">
    <cfRule type="containsText" dxfId="71" priority="13" operator="containsText" text="err">
      <formula>NOT(ISERROR(SEARCH("err",AC191)))</formula>
    </cfRule>
  </conditionalFormatting>
  <conditionalFormatting sqref="AC196">
    <cfRule type="cellIs" dxfId="70" priority="12" operator="equal">
      <formula>"err"</formula>
    </cfRule>
  </conditionalFormatting>
  <conditionalFormatting sqref="AC196">
    <cfRule type="containsText" dxfId="69" priority="11" operator="containsText" text="err">
      <formula>NOT(ISERROR(SEARCH("err",AC196)))</formula>
    </cfRule>
  </conditionalFormatting>
  <conditionalFormatting sqref="AC195">
    <cfRule type="cellIs" dxfId="68" priority="10" operator="equal">
      <formula>"err"</formula>
    </cfRule>
  </conditionalFormatting>
  <conditionalFormatting sqref="AC195">
    <cfRule type="containsText" dxfId="67" priority="9" operator="containsText" text="err">
      <formula>NOT(ISERROR(SEARCH("err",AC195)))</formula>
    </cfRule>
  </conditionalFormatting>
  <conditionalFormatting sqref="AC194">
    <cfRule type="cellIs" dxfId="66" priority="8" operator="equal">
      <formula>"err"</formula>
    </cfRule>
  </conditionalFormatting>
  <conditionalFormatting sqref="AC194">
    <cfRule type="containsText" dxfId="65" priority="7" operator="containsText" text="err">
      <formula>NOT(ISERROR(SEARCH("err",AC194)))</formula>
    </cfRule>
  </conditionalFormatting>
  <conditionalFormatting sqref="AC279">
    <cfRule type="cellIs" dxfId="64" priority="6" operator="equal">
      <formula>"err"</formula>
    </cfRule>
  </conditionalFormatting>
  <conditionalFormatting sqref="AC279">
    <cfRule type="containsText" dxfId="63" priority="5" operator="containsText" text="err">
      <formula>NOT(ISERROR(SEARCH("err",AC279)))</formula>
    </cfRule>
  </conditionalFormatting>
  <conditionalFormatting sqref="AC280">
    <cfRule type="cellIs" dxfId="62" priority="4" operator="equal">
      <formula>"err"</formula>
    </cfRule>
  </conditionalFormatting>
  <conditionalFormatting sqref="AC280">
    <cfRule type="containsText" dxfId="61" priority="3" operator="containsText" text="err">
      <formula>NOT(ISERROR(SEARCH("err",AC280)))</formula>
    </cfRule>
  </conditionalFormatting>
  <conditionalFormatting sqref="AC258">
    <cfRule type="cellIs" dxfId="60" priority="2" operator="equal">
      <formula>"err"</formula>
    </cfRule>
  </conditionalFormatting>
  <conditionalFormatting sqref="AC258">
    <cfRule type="containsText" dxfId="59" priority="1" operator="containsText" text="err">
      <formula>NOT(ISERROR(SEARCH("err",AC258)))</formula>
    </cfRule>
  </conditionalFormatting>
  <pageMargins left="0.25" right="0.25" top="1.25" bottom="0.5" header="0.5" footer="0.2"/>
  <pageSetup scale="60" fitToWidth="3" pageOrder="overThenDown" orientation="landscape" r:id="rId1"/>
  <headerFooter alignWithMargins="0">
    <oddHeader>&amp;C&amp;"Times New Roman,Bold"CLARK ENERGY COOPERATIVE
Cost of Service Study
Functionalization and Classification
12 Months Ended December 31, 2024</oddHeader>
    <oddFooter>&amp;RExhibit JW-4
Page &amp;P of &amp;N</oddFooter>
  </headerFooter>
  <rowBreaks count="13" manualBreakCount="13">
    <brk id="35" max="26" man="1"/>
    <brk id="58" max="26" man="1"/>
    <brk id="93" max="26" man="1"/>
    <brk id="144" max="26" man="1"/>
    <brk id="170" max="26" man="1"/>
    <brk id="215" max="26" man="1"/>
    <brk id="264" max="26" man="1"/>
    <brk id="288" max="26" man="1"/>
    <brk id="332" max="26" man="1"/>
    <brk id="359" max="26" man="1"/>
    <brk id="396" max="26" man="1"/>
    <brk id="443" max="26" man="1"/>
    <brk id="465" max="26" man="1"/>
  </rowBreaks>
  <colBreaks count="1" manualBreakCount="1">
    <brk id="14" max="49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P660"/>
  <sheetViews>
    <sheetView view="pageBreakPreview" zoomScale="75" zoomScaleNormal="100" zoomScaleSheetLayoutView="75" workbookViewId="0">
      <pane xSplit="2" ySplit="3" topLeftCell="C501" activePane="bottomRight" state="frozen"/>
      <selection activeCell="D391" sqref="D391"/>
      <selection pane="topRight" activeCell="D391" sqref="D391"/>
      <selection pane="bottomLeft" activeCell="D391" sqref="D391"/>
      <selection pane="bottomRight" activeCell="E13" sqref="E12:E13"/>
    </sheetView>
  </sheetViews>
  <sheetFormatPr defaultRowHeight="12.75" x14ac:dyDescent="0.2"/>
  <cols>
    <col min="1" max="1" width="7.7109375" style="14" customWidth="1"/>
    <col min="2" max="2" width="56.42578125" style="14" customWidth="1"/>
    <col min="3" max="3" width="19.7109375" style="14" customWidth="1"/>
    <col min="4" max="4" width="15.140625" style="14" customWidth="1"/>
    <col min="5" max="5" width="20.7109375" style="14" customWidth="1"/>
    <col min="6" max="10" width="18.7109375" style="14" customWidth="1"/>
    <col min="11" max="11" width="18.7109375" style="14" hidden="1" customWidth="1"/>
    <col min="12" max="14" width="18.7109375" style="14" customWidth="1"/>
    <col min="15" max="16" width="20.7109375" style="14" hidden="1" customWidth="1"/>
    <col min="17" max="17" width="16.140625" style="14" hidden="1" customWidth="1"/>
    <col min="18" max="18" width="15.7109375" style="14" hidden="1" customWidth="1"/>
    <col min="19" max="19" width="20.7109375" style="14" hidden="1" customWidth="1"/>
    <col min="20" max="23" width="14.5703125" style="14" hidden="1" customWidth="1"/>
    <col min="24" max="24" width="13.5703125" style="14" hidden="1" customWidth="1"/>
    <col min="25" max="25" width="12" style="14" hidden="1" customWidth="1"/>
    <col min="26" max="31" width="17.7109375" style="14" hidden="1" customWidth="1"/>
    <col min="32" max="32" width="17.42578125" style="14" hidden="1" customWidth="1"/>
    <col min="33" max="33" width="21.85546875" style="14" hidden="1" customWidth="1"/>
    <col min="34" max="34" width="17.7109375" style="14" customWidth="1"/>
    <col min="35" max="35" width="10.7109375" style="14" customWidth="1"/>
    <col min="36" max="36" width="11.5703125" style="14" bestFit="1" customWidth="1"/>
    <col min="37" max="37" width="9.140625" style="14"/>
    <col min="38" max="38" width="17.28515625" style="47" bestFit="1" customWidth="1"/>
    <col min="39" max="16384" width="9.140625" style="14"/>
  </cols>
  <sheetData>
    <row r="1" spans="1:38" x14ac:dyDescent="0.2">
      <c r="A1" s="76"/>
      <c r="B1" s="76"/>
      <c r="C1" s="76"/>
      <c r="D1" s="76"/>
      <c r="AI1" s="27" t="str">
        <f>IF(COUNTIF(AI4:AI543,"err"),"err","ok")</f>
        <v>ok</v>
      </c>
    </row>
    <row r="2" spans="1:38" s="169" customFormat="1" ht="77.25" customHeight="1" x14ac:dyDescent="0.2">
      <c r="A2" s="167"/>
      <c r="B2" s="167"/>
      <c r="C2" s="79"/>
      <c r="D2" s="168" t="s">
        <v>208</v>
      </c>
      <c r="E2" s="79" t="s">
        <v>0</v>
      </c>
      <c r="F2" s="79" t="str">
        <f>'Summary of Returns'!B11</f>
        <v>Residential</v>
      </c>
      <c r="G2" s="79" t="str">
        <f>'Summary of Returns'!B12</f>
        <v>Resid TOU</v>
      </c>
      <c r="H2" s="79" t="str">
        <f>'Summary of Returns'!B13</f>
        <v>General Power Service &lt; 50kW</v>
      </c>
      <c r="I2" s="79" t="str">
        <f>'Summary of Returns'!B14</f>
        <v>Public Facilities</v>
      </c>
      <c r="J2" s="79" t="str">
        <f>'Summary of Returns'!B15</f>
        <v>General Power Service 50-500kW</v>
      </c>
      <c r="K2" s="79" t="str">
        <f>'Summary of Returns'!B16</f>
        <v>General Power Service 1000-5000kW</v>
      </c>
      <c r="L2" s="79" t="str">
        <f>'Summary of Returns'!B17</f>
        <v>General Power Service 500+kW</v>
      </c>
      <c r="M2" s="79" t="str">
        <f>'Summary of Returns'!B18</f>
        <v>Large Industrial Rate</v>
      </c>
      <c r="N2" s="79" t="str">
        <f>'Summary of Returns'!B19</f>
        <v>Lighting</v>
      </c>
      <c r="O2" s="79" t="str">
        <f>'Summary of Returns'!B20</f>
        <v>N/A</v>
      </c>
      <c r="P2" s="79" t="str">
        <f>'Summary of Returns'!B21</f>
        <v>N/A</v>
      </c>
      <c r="Q2" s="79">
        <f>'Summary of Returns'!B22</f>
        <v>0</v>
      </c>
      <c r="R2" s="79" t="s">
        <v>703</v>
      </c>
      <c r="S2" s="79" t="s">
        <v>703</v>
      </c>
      <c r="T2" s="79" t="s">
        <v>703</v>
      </c>
      <c r="U2" s="79" t="s">
        <v>703</v>
      </c>
      <c r="V2" s="79" t="s">
        <v>703</v>
      </c>
      <c r="W2" s="79" t="s">
        <v>703</v>
      </c>
      <c r="X2" s="79" t="s">
        <v>703</v>
      </c>
      <c r="Y2" s="79" t="s">
        <v>703</v>
      </c>
      <c r="Z2" s="79" t="s">
        <v>703</v>
      </c>
      <c r="AA2" s="79" t="s">
        <v>703</v>
      </c>
      <c r="AB2" s="79" t="s">
        <v>703</v>
      </c>
      <c r="AC2" s="79" t="s">
        <v>703</v>
      </c>
      <c r="AD2" s="79" t="s">
        <v>703</v>
      </c>
      <c r="AE2" s="79" t="s">
        <v>703</v>
      </c>
      <c r="AF2" s="79" t="s">
        <v>703</v>
      </c>
      <c r="AG2" s="79" t="s">
        <v>703</v>
      </c>
      <c r="AH2" s="167"/>
      <c r="AI2" s="167"/>
      <c r="AL2" s="170"/>
    </row>
    <row r="3" spans="1:38" ht="13.5" thickBot="1" x14ac:dyDescent="0.25">
      <c r="A3" s="81" t="s">
        <v>6</v>
      </c>
      <c r="B3" s="81"/>
      <c r="C3" s="82" t="s">
        <v>7</v>
      </c>
      <c r="D3" s="82" t="s">
        <v>8</v>
      </c>
      <c r="E3" s="80" t="s">
        <v>9</v>
      </c>
      <c r="F3" s="80" t="str">
        <f>'Summary of Returns'!C11</f>
        <v>R</v>
      </c>
      <c r="G3" s="80" t="str">
        <f>'Summary of Returns'!C12</f>
        <v>D</v>
      </c>
      <c r="H3" s="80" t="str">
        <f>'Summary of Returns'!C13</f>
        <v>C</v>
      </c>
      <c r="I3" s="80" t="str">
        <f>'Summary of Returns'!C14</f>
        <v>E</v>
      </c>
      <c r="J3" s="80" t="str">
        <f>'Summary of Returns'!C15</f>
        <v>L</v>
      </c>
      <c r="K3" s="80" t="str">
        <f>'Summary of Returns'!C16</f>
        <v>M</v>
      </c>
      <c r="L3" s="80" t="str">
        <f>'Summary of Returns'!C17</f>
        <v>P</v>
      </c>
      <c r="M3" s="80" t="str">
        <f>'Summary of Returns'!C18</f>
        <v>B-1</v>
      </c>
      <c r="N3" s="80" t="str">
        <f>'Summary of Returns'!C19</f>
        <v>S,T,O</v>
      </c>
      <c r="O3" s="80" t="str">
        <f>'Summary of Returns'!C20</f>
        <v>n/a</v>
      </c>
      <c r="P3" s="80" t="str">
        <f>'Summary of Returns'!C21</f>
        <v>n/a</v>
      </c>
      <c r="Q3" s="80">
        <f>'Summary of Returns'!C22</f>
        <v>0</v>
      </c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 t="s">
        <v>13</v>
      </c>
      <c r="AI3" s="80" t="s">
        <v>14</v>
      </c>
    </row>
    <row r="5" spans="1:38" x14ac:dyDescent="0.2">
      <c r="A5" s="25" t="s">
        <v>15</v>
      </c>
    </row>
    <row r="7" spans="1:38" x14ac:dyDescent="0.2">
      <c r="A7" s="13" t="s">
        <v>896</v>
      </c>
    </row>
    <row r="8" spans="1:38" x14ac:dyDescent="0.2">
      <c r="A8" s="90" t="s">
        <v>209</v>
      </c>
      <c r="C8" s="14" t="s">
        <v>210</v>
      </c>
      <c r="D8" s="14" t="s">
        <v>657</v>
      </c>
      <c r="E8" s="62">
        <f>'Func &amp; Classif'!H82</f>
        <v>0</v>
      </c>
      <c r="F8" s="46">
        <f>IF(VLOOKUP($D8,$C$5:$AV$509,3,)=0,0,(VLOOKUP($D8,$C$5:$AV$509,4,)/VLOOKUP($D8,$C$5:$AV$509,3,))*$E8)</f>
        <v>0</v>
      </c>
      <c r="G8" s="46">
        <f>IF(VLOOKUP($D8,$C$5:$AV$509,3,)=0,0,(VLOOKUP($D8,$C$5:$AV$509,5,)/VLOOKUP($D8,$C$5:$AV$509,3,))*$E8)</f>
        <v>0</v>
      </c>
      <c r="H8" s="46">
        <f>IF(VLOOKUP($D8,$C$5:$AV$509,3,)=0,0,(VLOOKUP($D8,$C$5:$AV$509,6,)/VLOOKUP($D8,$C$5:$AV$509,3,))*$E8)</f>
        <v>0</v>
      </c>
      <c r="I8" s="46">
        <f>IF(VLOOKUP($D8,$C$5:$AV$509,3,)=0,0,(VLOOKUP($D8,$C$5:$AV$509,7,)/VLOOKUP($D8,$C$5:$AV$509,3,))*$E8)</f>
        <v>0</v>
      </c>
      <c r="J8" s="46">
        <f>IF(VLOOKUP($D8,$C$5:$AV$509,3,)=0,0,(VLOOKUP($D8,$C$5:$AV$509,8,)/VLOOKUP($D8,$C$5:$AV$509,3,))*$E8)</f>
        <v>0</v>
      </c>
      <c r="K8" s="46">
        <f>IF(VLOOKUP($D8,$C$5:$AV$509,3,)=0,0,(VLOOKUP($D8,$C$5:$AV$509,9,)/VLOOKUP($D8,$C$5:$AV$509,3,))*$E8)</f>
        <v>0</v>
      </c>
      <c r="L8" s="46">
        <f>IF(VLOOKUP($D8,$C$5:$AV$509,3,)=0,0,(VLOOKUP($D8,$C$5:$AV$509,10,)/VLOOKUP($D8,$C$5:$AV$509,3,))*$E8)</f>
        <v>0</v>
      </c>
      <c r="M8" s="46">
        <f>IF(VLOOKUP($D8,$C$5:$AV$509,3,)=0,0,(VLOOKUP($D8,$C$5:$AV$509,11,)/VLOOKUP($D8,$C$5:$AV$509,3,))*$E8)</f>
        <v>0</v>
      </c>
      <c r="N8" s="46">
        <f>IF(VLOOKUP($D8,$C$5:$AV$509,3,)=0,0,(VLOOKUP($D8,$C$5:$AV$509,12,)/VLOOKUP($D8,$C$5:$AV$509,3,))*$E8)</f>
        <v>0</v>
      </c>
      <c r="O8" s="46">
        <f t="shared" ref="O8:Q9" si="0">IF(VLOOKUP($D8,$C$5:$AV$509,3,)=0,0,(VLOOKUP($D8,$C$5:$AV$509,14,)/VLOOKUP($D8,$C$5:$AV$509,3,))*$E8)</f>
        <v>0</v>
      </c>
      <c r="P8" s="46">
        <f t="shared" si="0"/>
        <v>0</v>
      </c>
      <c r="Q8" s="46">
        <f t="shared" si="0"/>
        <v>0</v>
      </c>
      <c r="R8" s="46">
        <f>IF(VLOOKUP($D8,$C$5:$AV$509,3,)=0,0,(VLOOKUP($D8,$C$5:$AV$509,15,)/VLOOKUP($D8,$C$5:$AV$509,3,))*$E8)</f>
        <v>0</v>
      </c>
      <c r="S8" s="46">
        <f>IF(VLOOKUP($D8,$C$5:$AV$509,3,)=0,0,(VLOOKUP($D8,$C$5:$AV$509,16,)/VLOOKUP($D8,$C$5:$AV$509,3,))*$E8)</f>
        <v>0</v>
      </c>
      <c r="T8" s="46">
        <f>IF(VLOOKUP($D8,$C$5:$AV$509,3,)=0,0,(VLOOKUP($D8,$C$5:$AV$509,17,)/VLOOKUP($D8,$C$5:$AV$509,3,))*$E8)</f>
        <v>0</v>
      </c>
      <c r="U8" s="46">
        <f>IF(VLOOKUP($D8,$C$5:$AV$509,3,)=0,0,(VLOOKUP($D8,$C$5:$AV$509,18,)/VLOOKUP($D8,$C$5:$AV$509,3,))*$E8)</f>
        <v>0</v>
      </c>
      <c r="V8" s="46">
        <f>IF(VLOOKUP($D8,$C$5:$AV$509,3,)=0,0,(VLOOKUP($D8,$C$5:$AV$509,19,)/VLOOKUP($D8,$C$5:$AV$509,3,))*$E8)</f>
        <v>0</v>
      </c>
      <c r="W8" s="46">
        <f>IF(VLOOKUP($D8,$C$5:$AV$509,3,)=0,0,(VLOOKUP($D8,$C$5:$AV$509,20,)/VLOOKUP($D8,$C$5:$AV$509,3,))*$E8)</f>
        <v>0</v>
      </c>
      <c r="X8" s="46">
        <f>IF(VLOOKUP($D8,$C$5:$AV$509,3,)=0,0,(VLOOKUP($D8,$C$5:$AV$509,21,)/VLOOKUP($D8,$C$5:$AV$509,3,))*$E8)</f>
        <v>0</v>
      </c>
      <c r="Y8" s="46">
        <f>IF(VLOOKUP($D8,$C$5:$AV$509,3,)=0,0,(VLOOKUP($D8,$C$5:$AV$509,22,)/VLOOKUP($D8,$C$5:$AV$509,3,))*$E8)</f>
        <v>0</v>
      </c>
      <c r="Z8" s="46">
        <f>IF(VLOOKUP($D8,$C$5:$AV$509,3,)=0,0,(VLOOKUP($D8,$C$5:$AV$509,23,)/VLOOKUP($D8,$C$5:$AV$509,3,))*$E8)</f>
        <v>0</v>
      </c>
      <c r="AA8" s="46">
        <f>IF(VLOOKUP($D8,$C$5:$AV$509,3,)=0,0,(VLOOKUP($D8,$C$5:$AV$509,24,)/VLOOKUP($D8,$C$5:$AV$509,3,))*$E8)</f>
        <v>0</v>
      </c>
      <c r="AB8" s="46">
        <f>IF(VLOOKUP($D8,$C$5:$AV$509,3,)=0,0,(VLOOKUP($D8,$C$5:$AV$509,25,)/VLOOKUP($D8,$C$5:$AV$509,3,))*$E8)</f>
        <v>0</v>
      </c>
      <c r="AC8" s="46">
        <f>IF(VLOOKUP($D8,$C$5:$AV$509,3,)=0,0,(VLOOKUP($D8,$C$5:$AV$509,26,)/VLOOKUP($D8,$C$5:$AV$509,3,))*$E8)</f>
        <v>0</v>
      </c>
      <c r="AD8" s="46">
        <f>IF(VLOOKUP($D8,$C$5:$AV$509,3,)=0,0,(VLOOKUP($D8,$C$5:$AV$509,27,)/VLOOKUP($D8,$C$5:$AV$509,3,))*$E8)</f>
        <v>0</v>
      </c>
      <c r="AE8" s="46">
        <f>IF(VLOOKUP($D8,$C$5:$AV$509,3,)=0,0,(VLOOKUP($D8,$C$5:$AV$509,28,)/VLOOKUP($D8,$C$5:$AV$509,3,))*$E8)</f>
        <v>0</v>
      </c>
      <c r="AF8" s="46">
        <f>IF(VLOOKUP($D8,$C$5:$AV$509,3,)=0,0,(VLOOKUP($D8,$C$5:$AV$509,29,)/VLOOKUP($D8,$C$5:$AV$509,3,))*$E8)</f>
        <v>0</v>
      </c>
      <c r="AG8" s="46">
        <f>IF(VLOOKUP($D8,$C$5:$AV$509,3,)=0,0,(VLOOKUP($D8,$C$5:$AV$509,30,)/VLOOKUP($D8,$C$5:$AV$509,3,))*$E8)</f>
        <v>0</v>
      </c>
      <c r="AH8" s="95">
        <f t="shared" ref="AH8:AH9" si="1">SUM(F8:AG8)</f>
        <v>0</v>
      </c>
      <c r="AI8" s="27" t="str">
        <f>IF(ABS(E8-AH8)&lt;0.01,"ok","err")</f>
        <v>ok</v>
      </c>
    </row>
    <row r="9" spans="1:38" x14ac:dyDescent="0.2">
      <c r="A9" s="90" t="s">
        <v>212</v>
      </c>
      <c r="C9" s="14" t="s">
        <v>213</v>
      </c>
      <c r="D9" s="14" t="s">
        <v>666</v>
      </c>
      <c r="E9" s="47">
        <f>'Func &amp; Classif'!I82</f>
        <v>0</v>
      </c>
      <c r="F9" s="46">
        <f>IF(VLOOKUP($D9,$C$5:$AV$509,3,)=0,0,(VLOOKUP($D9,$C$5:$AV$509,4,)/VLOOKUP($D9,$C$5:$AV$509,3,))*$E9)</f>
        <v>0</v>
      </c>
      <c r="G9" s="46">
        <f>IF(VLOOKUP($D9,$C$5:$AV$509,3,)=0,0,(VLOOKUP($D9,$C$5:$AV$509,5,)/VLOOKUP($D9,$C$5:$AV$509,3,))*$E9)</f>
        <v>0</v>
      </c>
      <c r="H9" s="46">
        <f>IF(VLOOKUP($D9,$C$5:$AV$509,3,)=0,0,(VLOOKUP($D9,$C$5:$AV$509,6,)/VLOOKUP($D9,$C$5:$AV$509,3,))*$E9)</f>
        <v>0</v>
      </c>
      <c r="I9" s="46">
        <f>IF(VLOOKUP($D9,$C$5:$AV$509,3,)=0,0,(VLOOKUP($D9,$C$5:$AV$509,7,)/VLOOKUP($D9,$C$5:$AV$509,3,))*$E9)</f>
        <v>0</v>
      </c>
      <c r="J9" s="46">
        <f>IF(VLOOKUP($D9,$C$5:$AV$509,3,)=0,0,(VLOOKUP($D9,$C$5:$AV$509,8,)/VLOOKUP($D9,$C$5:$AV$509,3,))*$E9)</f>
        <v>0</v>
      </c>
      <c r="K9" s="46">
        <f>IF(VLOOKUP($D9,$C$5:$AV$509,3,)=0,0,(VLOOKUP($D9,$C$5:$AV$509,9,)/VLOOKUP($D9,$C$5:$AV$509,3,))*$E9)</f>
        <v>0</v>
      </c>
      <c r="L9" s="46">
        <f>IF(VLOOKUP($D9,$C$5:$AV$509,3,)=0,0,(VLOOKUP($D9,$C$5:$AV$509,10,)/VLOOKUP($D9,$C$5:$AV$509,3,))*$E9)</f>
        <v>0</v>
      </c>
      <c r="M9" s="46">
        <f>IF(VLOOKUP($D9,$C$5:$AV$509,3,)=0,0,(VLOOKUP($D9,$C$5:$AV$509,11,)/VLOOKUP($D9,$C$5:$AV$509,3,))*$E9)</f>
        <v>0</v>
      </c>
      <c r="N9" s="46">
        <f>IF(VLOOKUP($D9,$C$5:$AV$509,3,)=0,0,(VLOOKUP($D9,$C$5:$AV$509,12,)/VLOOKUP($D9,$C$5:$AV$509,3,))*$E9)</f>
        <v>0</v>
      </c>
      <c r="O9" s="46">
        <f t="shared" si="0"/>
        <v>0</v>
      </c>
      <c r="P9" s="46">
        <f t="shared" si="0"/>
        <v>0</v>
      </c>
      <c r="Q9" s="46">
        <f t="shared" si="0"/>
        <v>0</v>
      </c>
      <c r="R9" s="46">
        <f>IF(VLOOKUP($D9,$C$5:$AV$509,3,)=0,0,(VLOOKUP($D9,$C$5:$AV$509,15,)/VLOOKUP($D9,$C$5:$AV$509,3,))*$E9)</f>
        <v>0</v>
      </c>
      <c r="S9" s="46">
        <f>IF(VLOOKUP($D9,$C$5:$AV$509,3,)=0,0,(VLOOKUP($D9,$C$5:$AV$509,16,)/VLOOKUP($D9,$C$5:$AV$509,3,))*$E9)</f>
        <v>0</v>
      </c>
      <c r="T9" s="46">
        <f>IF(VLOOKUP($D9,$C$5:$AV$509,3,)=0,0,(VLOOKUP($D9,$C$5:$AV$509,17,)/VLOOKUP($D9,$C$5:$AV$509,3,))*$E9)</f>
        <v>0</v>
      </c>
      <c r="U9" s="46">
        <f>IF(VLOOKUP($D9,$C$5:$AV$509,3,)=0,0,(VLOOKUP($D9,$C$5:$AV$509,18,)/VLOOKUP($D9,$C$5:$AV$509,3,))*$E9)</f>
        <v>0</v>
      </c>
      <c r="V9" s="46">
        <f>IF(VLOOKUP($D9,$C$5:$AV$509,3,)=0,0,(VLOOKUP($D9,$C$5:$AV$509,19,)/VLOOKUP($D9,$C$5:$AV$509,3,))*$E9)</f>
        <v>0</v>
      </c>
      <c r="W9" s="46">
        <f>IF(VLOOKUP($D9,$C$5:$AV$509,3,)=0,0,(VLOOKUP($D9,$C$5:$AV$509,20,)/VLOOKUP($D9,$C$5:$AV$509,3,))*$E9)</f>
        <v>0</v>
      </c>
      <c r="X9" s="46">
        <f>IF(VLOOKUP($D9,$C$5:$AV$509,3,)=0,0,(VLOOKUP($D9,$C$5:$AV$509,21,)/VLOOKUP($D9,$C$5:$AV$509,3,))*$E9)</f>
        <v>0</v>
      </c>
      <c r="Y9" s="46">
        <f>IF(VLOOKUP($D9,$C$5:$AV$509,3,)=0,0,(VLOOKUP($D9,$C$5:$AV$509,22,)/VLOOKUP($D9,$C$5:$AV$509,3,))*$E9)</f>
        <v>0</v>
      </c>
      <c r="Z9" s="46">
        <f>IF(VLOOKUP($D9,$C$5:$AV$509,3,)=0,0,(VLOOKUP($D9,$C$5:$AV$509,23,)/VLOOKUP($D9,$C$5:$AV$509,3,))*$E9)</f>
        <v>0</v>
      </c>
      <c r="AA9" s="46">
        <f>IF(VLOOKUP($D9,$C$5:$AV$509,3,)=0,0,(VLOOKUP($D9,$C$5:$AV$509,24,)/VLOOKUP($D9,$C$5:$AV$509,3,))*$E9)</f>
        <v>0</v>
      </c>
      <c r="AB9" s="46">
        <f>IF(VLOOKUP($D9,$C$5:$AV$509,3,)=0,0,(VLOOKUP($D9,$C$5:$AV$509,25,)/VLOOKUP($D9,$C$5:$AV$509,3,))*$E9)</f>
        <v>0</v>
      </c>
      <c r="AC9" s="46">
        <f>IF(VLOOKUP($D9,$C$5:$AV$509,3,)=0,0,(VLOOKUP($D9,$C$5:$AV$509,26,)/VLOOKUP($D9,$C$5:$AV$509,3,))*$E9)</f>
        <v>0</v>
      </c>
      <c r="AD9" s="46">
        <f>IF(VLOOKUP($D9,$C$5:$AV$509,3,)=0,0,(VLOOKUP($D9,$C$5:$AV$509,27,)/VLOOKUP($D9,$C$5:$AV$509,3,))*$E9)</f>
        <v>0</v>
      </c>
      <c r="AE9" s="46">
        <f>IF(VLOOKUP($D9,$C$5:$AV$509,3,)=0,0,(VLOOKUP($D9,$C$5:$AV$509,28,)/VLOOKUP($D9,$C$5:$AV$509,3,))*$E9)</f>
        <v>0</v>
      </c>
      <c r="AF9" s="46">
        <f>IF(VLOOKUP($D9,$C$5:$AV$509,3,)=0,0,(VLOOKUP($D9,$C$5:$AV$509,29,)/VLOOKUP($D9,$C$5:$AV$509,3,))*$E9)</f>
        <v>0</v>
      </c>
      <c r="AG9" s="46">
        <f>IF(VLOOKUP($D9,$C$5:$AV$509,3,)=0,0,(VLOOKUP($D9,$C$5:$AV$509,30,)/VLOOKUP($D9,$C$5:$AV$509,3,))*$E9)</f>
        <v>0</v>
      </c>
      <c r="AH9" s="95">
        <f t="shared" si="1"/>
        <v>0</v>
      </c>
      <c r="AI9" s="27" t="str">
        <f>IF(ABS(E9-AH9)&lt;0.01,"ok","err")</f>
        <v>ok</v>
      </c>
    </row>
    <row r="10" spans="1:38" x14ac:dyDescent="0.2">
      <c r="A10" s="14" t="s">
        <v>215</v>
      </c>
      <c r="C10" s="14" t="s">
        <v>216</v>
      </c>
      <c r="E10" s="62">
        <f t="shared" ref="E10:U10" si="2">E8+E9</f>
        <v>0</v>
      </c>
      <c r="F10" s="62">
        <f t="shared" si="2"/>
        <v>0</v>
      </c>
      <c r="G10" s="62">
        <f t="shared" si="2"/>
        <v>0</v>
      </c>
      <c r="H10" s="62">
        <f t="shared" si="2"/>
        <v>0</v>
      </c>
      <c r="I10" s="62">
        <f t="shared" si="2"/>
        <v>0</v>
      </c>
      <c r="J10" s="62">
        <f t="shared" si="2"/>
        <v>0</v>
      </c>
      <c r="K10" s="62">
        <f t="shared" si="2"/>
        <v>0</v>
      </c>
      <c r="L10" s="62">
        <f t="shared" si="2"/>
        <v>0</v>
      </c>
      <c r="M10" s="62">
        <f t="shared" ref="M10" si="3">M8+M9</f>
        <v>0</v>
      </c>
      <c r="N10" s="62">
        <f t="shared" si="2"/>
        <v>0</v>
      </c>
      <c r="O10" s="62">
        <f t="shared" si="2"/>
        <v>0</v>
      </c>
      <c r="P10" s="62">
        <f t="shared" si="2"/>
        <v>0</v>
      </c>
      <c r="Q10" s="62">
        <f t="shared" si="2"/>
        <v>0</v>
      </c>
      <c r="R10" s="62">
        <f t="shared" si="2"/>
        <v>0</v>
      </c>
      <c r="S10" s="62">
        <f t="shared" si="2"/>
        <v>0</v>
      </c>
      <c r="T10" s="62">
        <f t="shared" si="2"/>
        <v>0</v>
      </c>
      <c r="U10" s="62">
        <f t="shared" si="2"/>
        <v>0</v>
      </c>
      <c r="V10" s="62">
        <f t="shared" ref="V10:AG10" si="4">V8+V9</f>
        <v>0</v>
      </c>
      <c r="W10" s="62">
        <f t="shared" si="4"/>
        <v>0</v>
      </c>
      <c r="X10" s="62">
        <f t="shared" si="4"/>
        <v>0</v>
      </c>
      <c r="Y10" s="62">
        <f t="shared" si="4"/>
        <v>0</v>
      </c>
      <c r="Z10" s="62">
        <f t="shared" si="4"/>
        <v>0</v>
      </c>
      <c r="AA10" s="62">
        <f t="shared" si="4"/>
        <v>0</v>
      </c>
      <c r="AB10" s="62">
        <f t="shared" si="4"/>
        <v>0</v>
      </c>
      <c r="AC10" s="62">
        <f t="shared" si="4"/>
        <v>0</v>
      </c>
      <c r="AD10" s="62">
        <f t="shared" si="4"/>
        <v>0</v>
      </c>
      <c r="AE10" s="62">
        <f t="shared" si="4"/>
        <v>0</v>
      </c>
      <c r="AF10" s="62">
        <f t="shared" si="4"/>
        <v>0</v>
      </c>
      <c r="AG10" s="62">
        <f t="shared" si="4"/>
        <v>0</v>
      </c>
      <c r="AH10" s="87">
        <f>SUM(F10:AG10)</f>
        <v>0</v>
      </c>
      <c r="AI10" s="27" t="str">
        <f>IF(ABS(E10-AH10)&lt;0.01,"ok","err")</f>
        <v>ok</v>
      </c>
    </row>
    <row r="11" spans="1:38" x14ac:dyDescent="0.2">
      <c r="E11" s="47"/>
      <c r="F11" s="47"/>
    </row>
    <row r="12" spans="1:38" x14ac:dyDescent="0.2">
      <c r="A12" s="13" t="s">
        <v>350</v>
      </c>
      <c r="E12" s="47"/>
      <c r="F12" s="47"/>
    </row>
    <row r="13" spans="1:38" x14ac:dyDescent="0.2">
      <c r="A13" s="90" t="s">
        <v>209</v>
      </c>
      <c r="C13" s="14" t="s">
        <v>886</v>
      </c>
      <c r="D13" s="14" t="s">
        <v>599</v>
      </c>
      <c r="E13" s="62">
        <f>'Func &amp; Classif'!K82</f>
        <v>0</v>
      </c>
      <c r="F13" s="46">
        <f>IF(VLOOKUP($D13,$C$5:$AV$509,3,)=0,0,(VLOOKUP($D13,$C$5:$AV$509,4,)/VLOOKUP($D13,$C$5:$AV$509,3,))*$E13)</f>
        <v>0</v>
      </c>
      <c r="G13" s="46">
        <f>IF(VLOOKUP($D13,$C$5:$AV$509,3,)=0,0,(VLOOKUP($D13,$C$5:$AV$509,5,)/VLOOKUP($D13,$C$5:$AV$509,3,))*$E13)</f>
        <v>0</v>
      </c>
      <c r="H13" s="46">
        <f>IF(VLOOKUP($D13,$C$5:$AV$509,3,)=0,0,(VLOOKUP($D13,$C$5:$AV$509,6,)/VLOOKUP($D13,$C$5:$AV$509,3,))*$E13)</f>
        <v>0</v>
      </c>
      <c r="I13" s="46">
        <f>IF(VLOOKUP($D13,$C$5:$AV$509,3,)=0,0,(VLOOKUP($D13,$C$5:$AV$509,7,)/VLOOKUP($D13,$C$5:$AV$509,3,))*$E13)</f>
        <v>0</v>
      </c>
      <c r="J13" s="46">
        <f>IF(VLOOKUP($D13,$C$5:$AV$509,3,)=0,0,(VLOOKUP($D13,$C$5:$AV$509,8,)/VLOOKUP($D13,$C$5:$AV$509,3,))*$E13)</f>
        <v>0</v>
      </c>
      <c r="K13" s="46">
        <f>IF(VLOOKUP($D13,$C$5:$AV$509,3,)=0,0,(VLOOKUP($D13,$C$5:$AV$509,9,)/VLOOKUP($D13,$C$5:$AV$509,3,))*$E13)</f>
        <v>0</v>
      </c>
      <c r="L13" s="46">
        <f>IF(VLOOKUP($D13,$C$5:$AV$509,3,)=0,0,(VLOOKUP($D13,$C$5:$AV$509,10,)/VLOOKUP($D13,$C$5:$AV$509,3,))*$E13)</f>
        <v>0</v>
      </c>
      <c r="M13" s="46">
        <f>IF(VLOOKUP($D13,$C$5:$AV$509,3,)=0,0,(VLOOKUP($D13,$C$5:$AV$509,11,)/VLOOKUP($D13,$C$5:$AV$509,3,))*$E13)</f>
        <v>0</v>
      </c>
      <c r="N13" s="46">
        <f>IF(VLOOKUP($D13,$C$5:$AV$509,3,)=0,0,(VLOOKUP($D13,$C$5:$AV$509,12,)/VLOOKUP($D13,$C$5:$AV$509,3,))*$E13)</f>
        <v>0</v>
      </c>
      <c r="O13" s="46">
        <f>IF(VLOOKUP($D13,$C$5:$AV$509,3,)=0,0,(VLOOKUP($D13,$C$5:$AV$509,14,)/VLOOKUP($D13,$C$5:$AV$509,3,))*$E13)</f>
        <v>0</v>
      </c>
      <c r="P13" s="46">
        <f>IF(VLOOKUP($D13,$C$5:$AV$509,3,)=0,0,(VLOOKUP($D13,$C$5:$AV$509,14,)/VLOOKUP($D13,$C$5:$AV$509,3,))*$E13)</f>
        <v>0</v>
      </c>
      <c r="Q13" s="46">
        <f>IF(VLOOKUP($D13,$C$5:$AV$509,3,)=0,0,(VLOOKUP($D13,$C$5:$AV$509,14,)/VLOOKUP($D13,$C$5:$AV$509,3,))*$E13)</f>
        <v>0</v>
      </c>
      <c r="R13" s="46">
        <f>IF(VLOOKUP($D13,$C$5:$AV$509,3,)=0,0,(VLOOKUP($D13,$C$5:$AV$509,15,)/VLOOKUP($D13,$C$5:$AV$509,3,))*$E13)</f>
        <v>0</v>
      </c>
      <c r="S13" s="46">
        <f>IF(VLOOKUP($D13,$C$5:$AV$509,3,)=0,0,(VLOOKUP($D13,$C$5:$AV$509,16,)/VLOOKUP($D13,$C$5:$AV$509,3,))*$E13)</f>
        <v>0</v>
      </c>
      <c r="T13" s="46">
        <f>IF(VLOOKUP($D13,$C$5:$AV$509,3,)=0,0,(VLOOKUP($D13,$C$5:$AV$509,17,)/VLOOKUP($D13,$C$5:$AV$509,3,))*$E13)</f>
        <v>0</v>
      </c>
      <c r="U13" s="46">
        <f>IF(VLOOKUP($D13,$C$5:$AV$509,3,)=0,0,(VLOOKUP($D13,$C$5:$AV$509,18,)/VLOOKUP($D13,$C$5:$AV$509,3,))*$E13)</f>
        <v>0</v>
      </c>
      <c r="V13" s="46">
        <f>IF(VLOOKUP($D13,$C$5:$AV$509,3,)=0,0,(VLOOKUP($D13,$C$5:$AV$509,19,)/VLOOKUP($D13,$C$5:$AV$509,3,))*$E13)</f>
        <v>0</v>
      </c>
      <c r="W13" s="46">
        <f>IF(VLOOKUP($D13,$C$5:$AV$509,3,)=0,0,(VLOOKUP($D13,$C$5:$AV$509,20,)/VLOOKUP($D13,$C$5:$AV$509,3,))*$E13)</f>
        <v>0</v>
      </c>
      <c r="X13" s="46">
        <f>IF(VLOOKUP($D13,$C$5:$AV$509,3,)=0,0,(VLOOKUP($D13,$C$5:$AV$509,21,)/VLOOKUP($D13,$C$5:$AV$509,3,))*$E13)</f>
        <v>0</v>
      </c>
      <c r="Y13" s="46">
        <f>IF(VLOOKUP($D13,$C$5:$AV$509,3,)=0,0,(VLOOKUP($D13,$C$5:$AV$509,22,)/VLOOKUP($D13,$C$5:$AV$509,3,))*$E13)</f>
        <v>0</v>
      </c>
      <c r="Z13" s="46">
        <f>IF(VLOOKUP($D13,$C$5:$AV$509,3,)=0,0,(VLOOKUP($D13,$C$5:$AV$509,23,)/VLOOKUP($D13,$C$5:$AV$509,3,))*$E13)</f>
        <v>0</v>
      </c>
      <c r="AA13" s="46">
        <f>IF(VLOOKUP($D13,$C$5:$AV$509,3,)=0,0,(VLOOKUP($D13,$C$5:$AV$509,24,)/VLOOKUP($D13,$C$5:$AV$509,3,))*$E13)</f>
        <v>0</v>
      </c>
      <c r="AB13" s="46">
        <f>IF(VLOOKUP($D13,$C$5:$AV$509,3,)=0,0,(VLOOKUP($D13,$C$5:$AV$509,25,)/VLOOKUP($D13,$C$5:$AV$509,3,))*$E13)</f>
        <v>0</v>
      </c>
      <c r="AC13" s="46">
        <f>IF(VLOOKUP($D13,$C$5:$AV$509,3,)=0,0,(VLOOKUP($D13,$C$5:$AV$509,26,)/VLOOKUP($D13,$C$5:$AV$509,3,))*$E13)</f>
        <v>0</v>
      </c>
      <c r="AD13" s="46">
        <f>IF(VLOOKUP($D13,$C$5:$AV$509,3,)=0,0,(VLOOKUP($D13,$C$5:$AV$509,27,)/VLOOKUP($D13,$C$5:$AV$509,3,))*$E13)</f>
        <v>0</v>
      </c>
      <c r="AE13" s="46">
        <f>IF(VLOOKUP($D13,$C$5:$AV$509,3,)=0,0,(VLOOKUP($D13,$C$5:$AV$509,28,)/VLOOKUP($D13,$C$5:$AV$509,3,))*$E13)</f>
        <v>0</v>
      </c>
      <c r="AF13" s="46">
        <f>IF(VLOOKUP($D13,$C$5:$AV$509,3,)=0,0,(VLOOKUP($D13,$C$5:$AV$509,29,)/VLOOKUP($D13,$C$5:$AV$509,3,))*$E13)</f>
        <v>0</v>
      </c>
      <c r="AG13" s="46">
        <f>IF(VLOOKUP($D13,$C$5:$AV$509,3,)=0,0,(VLOOKUP($D13,$C$5:$AV$509,30,)/VLOOKUP($D13,$C$5:$AV$509,3,))*$E13)</f>
        <v>0</v>
      </c>
      <c r="AH13" s="95">
        <f t="shared" ref="AH13" si="5">SUM(F13:AG13)</f>
        <v>0</v>
      </c>
      <c r="AI13" s="27" t="str">
        <f>IF(ABS(E13-AH13)&lt;0.01,"ok","err")</f>
        <v>ok</v>
      </c>
    </row>
    <row r="14" spans="1:38" x14ac:dyDescent="0.2">
      <c r="E14" s="47"/>
    </row>
    <row r="15" spans="1:38" x14ac:dyDescent="0.2">
      <c r="A15" s="13" t="s">
        <v>1</v>
      </c>
      <c r="E15" s="47"/>
      <c r="F15" s="47"/>
    </row>
    <row r="16" spans="1:38" x14ac:dyDescent="0.2">
      <c r="A16" s="90" t="s">
        <v>209</v>
      </c>
      <c r="C16" s="14" t="s">
        <v>217</v>
      </c>
      <c r="D16" s="14" t="s">
        <v>615</v>
      </c>
      <c r="E16" s="62">
        <f>'Func &amp; Classif'!M82</f>
        <v>606627.84105223278</v>
      </c>
      <c r="F16" s="47">
        <f>IF(VLOOKUP($D16,$C$5:$AV$509,3,)=0,0,(VLOOKUP($D16,$C$5:$AV$509,4,)/VLOOKUP($D16,$C$5:$AV$509,3,))*$E16)</f>
        <v>461851.80736177933</v>
      </c>
      <c r="G16" s="47">
        <f>IF(VLOOKUP($D16,$C$5:$AV$509,3,)=0,0,(VLOOKUP($D16,$C$5:$AV$509,5,)/VLOOKUP($D16,$C$5:$AV$509,3,))*$E16)</f>
        <v>348.48696525979966</v>
      </c>
      <c r="H16" s="47">
        <f>IF(VLOOKUP($D16,$C$5:$AV$509,3,)=0,0,(VLOOKUP($D16,$C$5:$AV$509,6,)/VLOOKUP($D16,$C$5:$AV$509,3,))*$E16)</f>
        <v>48463.369614714014</v>
      </c>
      <c r="I16" s="47">
        <f>IF(VLOOKUP($D16,$C$5:$AV$509,3,)=0,0,(VLOOKUP($D16,$C$5:$AV$509,7,)/VLOOKUP($D16,$C$5:$AV$509,3,))*$E16)</f>
        <v>5176.8083029060144</v>
      </c>
      <c r="J16" s="47">
        <f>IF(VLOOKUP($D16,$C$5:$AV$509,3,)=0,0,(VLOOKUP($D16,$C$5:$AV$509,8,)/VLOOKUP($D16,$C$5:$AV$509,3,))*$E16)</f>
        <v>48425.182159921205</v>
      </c>
      <c r="K16" s="47">
        <f>IF(VLOOKUP($D16,$C$5:$AV$509,3,)=0,0,(VLOOKUP($D16,$C$5:$AV$509,9,)/VLOOKUP($D16,$C$5:$AV$509,3,))*$E16)</f>
        <v>0</v>
      </c>
      <c r="L16" s="47">
        <f>IF(VLOOKUP($D16,$C$5:$AV$509,3,)=0,0,(VLOOKUP($D16,$C$5:$AV$509,10,)/VLOOKUP($D16,$C$5:$AV$509,3,))*$E16)</f>
        <v>30607.615397531536</v>
      </c>
      <c r="M16" s="47">
        <f>IF(VLOOKUP($D16,$C$5:$AV$509,3,)=0,0,(VLOOKUP($D16,$C$5:$AV$509,11,)/VLOOKUP($D16,$C$5:$AV$509,3,))*$E16)</f>
        <v>8783.7157605721532</v>
      </c>
      <c r="N16" s="47">
        <f>IF(VLOOKUP($D16,$C$5:$AV$509,3,)=0,0,(VLOOKUP($D16,$C$5:$AV$509,12,)/VLOOKUP($D16,$C$5:$AV$509,3,))*$E16)</f>
        <v>2970.8554895486459</v>
      </c>
      <c r="O16" s="47">
        <f>IF(VLOOKUP($D16,$C$5:$AV$509,3,)=0,0,(VLOOKUP($D16,$C$5:$AV$509,14,)/VLOOKUP($D16,$C$5:$AV$509,3,))*$E16)</f>
        <v>0</v>
      </c>
      <c r="P16" s="47">
        <f>IF(VLOOKUP($D16,$C$5:$AV$509,3,)=0,0,(VLOOKUP($D16,$C$5:$AV$509,14,)/VLOOKUP($D16,$C$5:$AV$509,3,))*$E16)</f>
        <v>0</v>
      </c>
      <c r="Q16" s="47">
        <f>IF(VLOOKUP($D16,$C$5:$AV$509,3,)=0,0,(VLOOKUP($D16,$C$5:$AV$509,14,)/VLOOKUP($D16,$C$5:$AV$509,3,))*$E16)</f>
        <v>0</v>
      </c>
      <c r="R16" s="47">
        <f>IF(VLOOKUP($D16,$C$5:$AV$509,3,)=0,0,(VLOOKUP($D16,$C$5:$AV$509,15,)/VLOOKUP($D16,$C$5:$AV$509,3,))*$E16)</f>
        <v>0</v>
      </c>
      <c r="S16" s="47">
        <f>IF(VLOOKUP($D16,$C$5:$AV$509,3,)=0,0,(VLOOKUP($D16,$C$5:$AV$509,16,)/VLOOKUP($D16,$C$5:$AV$509,3,))*$E16)</f>
        <v>0</v>
      </c>
      <c r="T16" s="47">
        <f>IF(VLOOKUP($D16,$C$5:$AV$509,3,)=0,0,(VLOOKUP($D16,$C$5:$AV$509,17,)/VLOOKUP($D16,$C$5:$AV$509,3,))*$E16)</f>
        <v>0</v>
      </c>
      <c r="U16" s="47">
        <f>IF(VLOOKUP($D16,$C$5:$AV$509,3,)=0,0,(VLOOKUP($D16,$C$5:$AV$509,18,)/VLOOKUP($D16,$C$5:$AV$509,3,))*$E16)</f>
        <v>0</v>
      </c>
      <c r="V16" s="47">
        <f>IF(VLOOKUP($D16,$C$5:$AV$509,3,)=0,0,(VLOOKUP($D16,$C$5:$AV$509,19,)/VLOOKUP($D16,$C$5:$AV$509,3,))*$E16)</f>
        <v>0</v>
      </c>
      <c r="W16" s="47">
        <f>IF(VLOOKUP($D16,$C$5:$AV$509,3,)=0,0,(VLOOKUP($D16,$C$5:$AV$509,20,)/VLOOKUP($D16,$C$5:$AV$509,3,))*$E16)</f>
        <v>0</v>
      </c>
      <c r="X16" s="47">
        <f>IF(VLOOKUP($D16,$C$5:$AV$509,3,)=0,0,(VLOOKUP($D16,$C$5:$AV$509,21,)/VLOOKUP($D16,$C$5:$AV$509,3,))*$E16)</f>
        <v>0</v>
      </c>
      <c r="Y16" s="47">
        <f>IF(VLOOKUP($D16,$C$5:$AV$509,3,)=0,0,(VLOOKUP($D16,$C$5:$AV$509,22,)/VLOOKUP($D16,$C$5:$AV$509,3,))*$E16)</f>
        <v>0</v>
      </c>
      <c r="Z16" s="47">
        <f>IF(VLOOKUP($D16,$C$5:$AV$509,3,)=0,0,(VLOOKUP($D16,$C$5:$AV$509,23,)/VLOOKUP($D16,$C$5:$AV$509,3,))*$E16)</f>
        <v>0</v>
      </c>
      <c r="AA16" s="47">
        <f>IF(VLOOKUP($D16,$C$5:$AV$509,3,)=0,0,(VLOOKUP($D16,$C$5:$AV$509,24,)/VLOOKUP($D16,$C$5:$AV$509,3,))*$E16)</f>
        <v>0</v>
      </c>
      <c r="AB16" s="47">
        <f>IF(VLOOKUP($D16,$C$5:$AV$509,3,)=0,0,(VLOOKUP($D16,$C$5:$AV$509,25,)/VLOOKUP($D16,$C$5:$AV$509,3,))*$E16)</f>
        <v>0</v>
      </c>
      <c r="AC16" s="47">
        <f>IF(VLOOKUP($D16,$C$5:$AV$509,3,)=0,0,(VLOOKUP($D16,$C$5:$AV$509,26,)/VLOOKUP($D16,$C$5:$AV$509,3,))*$E16)</f>
        <v>0</v>
      </c>
      <c r="AD16" s="47">
        <f>IF(VLOOKUP($D16,$C$5:$AV$509,3,)=0,0,(VLOOKUP($D16,$C$5:$AV$509,27,)/VLOOKUP($D16,$C$5:$AV$509,3,))*$E16)</f>
        <v>0</v>
      </c>
      <c r="AE16" s="47">
        <f>IF(VLOOKUP($D16,$C$5:$AV$509,3,)=0,0,(VLOOKUP($D16,$C$5:$AV$509,28,)/VLOOKUP($D16,$C$5:$AV$509,3,))*$E16)</f>
        <v>0</v>
      </c>
      <c r="AF16" s="47">
        <f>IF(VLOOKUP($D16,$C$5:$AV$509,3,)=0,0,(VLOOKUP($D16,$C$5:$AV$509,29,)/VLOOKUP($D16,$C$5:$AV$509,3,))*$E16)</f>
        <v>0</v>
      </c>
      <c r="AG16" s="47">
        <f>IF(VLOOKUP($D16,$C$5:$AV$509,3,)=0,0,(VLOOKUP($D16,$C$5:$AV$509,30,)/VLOOKUP($D16,$C$5:$AV$509,3,))*$E16)</f>
        <v>0</v>
      </c>
      <c r="AH16" s="47">
        <f t="shared" ref="AH16" si="6">SUM(F16:AG16)</f>
        <v>606627.84105223266</v>
      </c>
      <c r="AI16" s="27" t="str">
        <f>IF(ABS(E16-AH16)&lt;0.01,"ok","err")</f>
        <v>ok</v>
      </c>
    </row>
    <row r="17" spans="1:36" x14ac:dyDescent="0.2">
      <c r="E17" s="47"/>
    </row>
    <row r="18" spans="1:36" x14ac:dyDescent="0.2">
      <c r="A18" s="13" t="s">
        <v>357</v>
      </c>
      <c r="E18" s="47"/>
    </row>
    <row r="19" spans="1:36" x14ac:dyDescent="0.2">
      <c r="A19" s="90" t="s">
        <v>209</v>
      </c>
      <c r="C19" s="14" t="s">
        <v>219</v>
      </c>
      <c r="D19" s="14" t="s">
        <v>607</v>
      </c>
      <c r="E19" s="62">
        <f>'Func &amp; Classif'!O82</f>
        <v>45632177.424581952</v>
      </c>
      <c r="F19" s="47">
        <f>IF(VLOOKUP($D19,$C$5:$AV$509,3,)=0,0,(VLOOKUP($D19,$C$5:$AV$509,4,)/VLOOKUP($D19,$C$5:$AV$509,3,))*$E19)</f>
        <v>38275092.820359804</v>
      </c>
      <c r="G19" s="47">
        <f>IF(VLOOKUP($D19,$C$5:$AV$509,3,)=0,0,(VLOOKUP($D19,$C$5:$AV$509,5,)/VLOOKUP($D19,$C$5:$AV$509,3,))*$E19)</f>
        <v>38750.750364999614</v>
      </c>
      <c r="H19" s="47">
        <f>IF(VLOOKUP($D19,$C$5:$AV$509,3,)=0,0,(VLOOKUP($D19,$C$5:$AV$509,6,)/VLOOKUP($D19,$C$5:$AV$509,3,))*$E19)</f>
        <v>2990136.9793309863</v>
      </c>
      <c r="I19" s="47">
        <f>IF(VLOOKUP($D19,$C$5:$AV$509,3,)=0,0,(VLOOKUP($D19,$C$5:$AV$509,7,)/VLOOKUP($D19,$C$5:$AV$509,3,))*$E19)</f>
        <v>340696.98005155631</v>
      </c>
      <c r="J19" s="47">
        <f>IF(VLOOKUP($D19,$C$5:$AV$509,3,)=0,0,(VLOOKUP($D19,$C$5:$AV$509,8,)/VLOOKUP($D19,$C$5:$AV$509,3,))*$E19)</f>
        <v>2419514.3096444272</v>
      </c>
      <c r="K19" s="47">
        <f>IF(VLOOKUP($D19,$C$5:$AV$509,3,)=0,0,(VLOOKUP($D19,$C$5:$AV$509,9,)/VLOOKUP($D19,$C$5:$AV$509,3,))*$E19)</f>
        <v>0</v>
      </c>
      <c r="L19" s="47">
        <f>IF(VLOOKUP($D19,$C$5:$AV$509,3,)=0,0,(VLOOKUP($D19,$C$5:$AV$509,10,)/VLOOKUP($D19,$C$5:$AV$509,3,))*$E19)</f>
        <v>1085862.4553289386</v>
      </c>
      <c r="M19" s="47">
        <f>IF(VLOOKUP($D19,$C$5:$AV$509,3,)=0,0,(VLOOKUP($D19,$C$5:$AV$509,11,)/VLOOKUP($D19,$C$5:$AV$509,3,))*$E19)</f>
        <v>311618.76019441849</v>
      </c>
      <c r="N19" s="47">
        <f>IF(VLOOKUP($D19,$C$5:$AV$509,3,)=0,0,(VLOOKUP($D19,$C$5:$AV$509,12,)/VLOOKUP($D19,$C$5:$AV$509,3,))*$E19)</f>
        <v>170504.36930682827</v>
      </c>
      <c r="O19" s="47">
        <f t="shared" ref="O19:Q20" si="7">IF(VLOOKUP($D19,$C$5:$AV$509,3,)=0,0,(VLOOKUP($D19,$C$5:$AV$509,14,)/VLOOKUP($D19,$C$5:$AV$509,3,))*$E19)</f>
        <v>0</v>
      </c>
      <c r="P19" s="47">
        <f t="shared" si="7"/>
        <v>0</v>
      </c>
      <c r="Q19" s="47">
        <f t="shared" si="7"/>
        <v>0</v>
      </c>
      <c r="R19" s="47">
        <f>IF(VLOOKUP($D19,$C$5:$AV$509,3,)=0,0,(VLOOKUP($D19,$C$5:$AV$509,15,)/VLOOKUP($D19,$C$5:$AV$509,3,))*$E19)</f>
        <v>0</v>
      </c>
      <c r="S19" s="47">
        <f>IF(VLOOKUP($D19,$C$5:$AV$509,3,)=0,0,(VLOOKUP($D19,$C$5:$AV$509,16,)/VLOOKUP($D19,$C$5:$AV$509,3,))*$E19)</f>
        <v>0</v>
      </c>
      <c r="T19" s="47">
        <f>IF(VLOOKUP($D19,$C$5:$AV$509,3,)=0,0,(VLOOKUP($D19,$C$5:$AV$509,17,)/VLOOKUP($D19,$C$5:$AV$509,3,))*$E19)</f>
        <v>0</v>
      </c>
      <c r="U19" s="47">
        <f>IF(VLOOKUP($D19,$C$5:$AV$509,3,)=0,0,(VLOOKUP($D19,$C$5:$AV$509,18,)/VLOOKUP($D19,$C$5:$AV$509,3,))*$E19)</f>
        <v>0</v>
      </c>
      <c r="V19" s="47">
        <f>IF(VLOOKUP($D19,$C$5:$AV$509,3,)=0,0,(VLOOKUP($D19,$C$5:$AV$509,19,)/VLOOKUP($D19,$C$5:$AV$509,3,))*$E19)</f>
        <v>0</v>
      </c>
      <c r="W19" s="47">
        <f>IF(VLOOKUP($D19,$C$5:$AV$509,3,)=0,0,(VLOOKUP($D19,$C$5:$AV$509,20,)/VLOOKUP($D19,$C$5:$AV$509,3,))*$E19)</f>
        <v>0</v>
      </c>
      <c r="X19" s="47">
        <f>IF(VLOOKUP($D19,$C$5:$AV$509,3,)=0,0,(VLOOKUP($D19,$C$5:$AV$509,21,)/VLOOKUP($D19,$C$5:$AV$509,3,))*$E19)</f>
        <v>0</v>
      </c>
      <c r="Y19" s="47">
        <f>IF(VLOOKUP($D19,$C$5:$AV$509,3,)=0,0,(VLOOKUP($D19,$C$5:$AV$509,22,)/VLOOKUP($D19,$C$5:$AV$509,3,))*$E19)</f>
        <v>0</v>
      </c>
      <c r="Z19" s="47">
        <f>IF(VLOOKUP($D19,$C$5:$AV$509,3,)=0,0,(VLOOKUP($D19,$C$5:$AV$509,23,)/VLOOKUP($D19,$C$5:$AV$509,3,))*$E19)</f>
        <v>0</v>
      </c>
      <c r="AA19" s="47">
        <f>IF(VLOOKUP($D19,$C$5:$AV$509,3,)=0,0,(VLOOKUP($D19,$C$5:$AV$509,24,)/VLOOKUP($D19,$C$5:$AV$509,3,))*$E19)</f>
        <v>0</v>
      </c>
      <c r="AB19" s="47">
        <f>IF(VLOOKUP($D19,$C$5:$AV$509,3,)=0,0,(VLOOKUP($D19,$C$5:$AV$509,25,)/VLOOKUP($D19,$C$5:$AV$509,3,))*$E19)</f>
        <v>0</v>
      </c>
      <c r="AC19" s="47">
        <f>IF(VLOOKUP($D19,$C$5:$AV$509,3,)=0,0,(VLOOKUP($D19,$C$5:$AV$509,26,)/VLOOKUP($D19,$C$5:$AV$509,3,))*$E19)</f>
        <v>0</v>
      </c>
      <c r="AD19" s="47">
        <f>IF(VLOOKUP($D19,$C$5:$AV$509,3,)=0,0,(VLOOKUP($D19,$C$5:$AV$509,27,)/VLOOKUP($D19,$C$5:$AV$509,3,))*$E19)</f>
        <v>0</v>
      </c>
      <c r="AE19" s="47">
        <f>IF(VLOOKUP($D19,$C$5:$AV$509,3,)=0,0,(VLOOKUP($D19,$C$5:$AV$509,28,)/VLOOKUP($D19,$C$5:$AV$509,3,))*$E19)</f>
        <v>0</v>
      </c>
      <c r="AF19" s="47">
        <f>IF(VLOOKUP($D19,$C$5:$AV$509,3,)=0,0,(VLOOKUP($D19,$C$5:$AV$509,29,)/VLOOKUP($D19,$C$5:$AV$509,3,))*$E19)</f>
        <v>0</v>
      </c>
      <c r="AG19" s="47">
        <f>IF(VLOOKUP($D19,$C$5:$AV$509,3,)=0,0,(VLOOKUP($D19,$C$5:$AV$509,30,)/VLOOKUP($D19,$C$5:$AV$509,3,))*$E19)</f>
        <v>0</v>
      </c>
      <c r="AH19" s="47">
        <f t="shared" ref="AH19:AH20" si="8">SUM(F19:AG19)</f>
        <v>45632177.424581952</v>
      </c>
      <c r="AI19" s="27" t="str">
        <f>IF(ABS(E19-AH19)&lt;0.01,"ok","err")</f>
        <v>ok</v>
      </c>
      <c r="AJ19" s="87"/>
    </row>
    <row r="20" spans="1:36" x14ac:dyDescent="0.2">
      <c r="A20" s="90" t="s">
        <v>221</v>
      </c>
      <c r="C20" s="14" t="s">
        <v>222</v>
      </c>
      <c r="D20" s="14" t="s">
        <v>223</v>
      </c>
      <c r="E20" s="47">
        <f>'Func &amp; Classif'!P82</f>
        <v>85835052.114700228</v>
      </c>
      <c r="F20" s="47">
        <f>IF(VLOOKUP($D20,$C$5:$AV$509,3,)=0,0,(VLOOKUP($D20,$C$5:$AV$509,4,)/VLOOKUP($D20,$C$5:$AV$509,3,))*$E20)</f>
        <v>77681569.336482629</v>
      </c>
      <c r="G20" s="47">
        <f>IF(VLOOKUP($D20,$C$5:$AV$509,3,)=0,0,(VLOOKUP($D20,$C$5:$AV$509,5,)/VLOOKUP($D20,$C$5:$AV$509,3,))*$E20)</f>
        <v>3023.2173316397211</v>
      </c>
      <c r="H20" s="47">
        <f>IF(VLOOKUP($D20,$C$5:$AV$509,3,)=0,0,(VLOOKUP($D20,$C$5:$AV$509,6,)/VLOOKUP($D20,$C$5:$AV$509,3,))*$E20)</f>
        <v>6143177.6178919133</v>
      </c>
      <c r="I20" s="47">
        <f>IF(VLOOKUP($D20,$C$5:$AV$509,3,)=0,0,(VLOOKUP($D20,$C$5:$AV$509,7,)/VLOOKUP($D20,$C$5:$AV$509,3,))*$E20)</f>
        <v>949290.24213487247</v>
      </c>
      <c r="J20" s="47">
        <f>IF(VLOOKUP($D20,$C$5:$AV$509,3,)=0,0,(VLOOKUP($D20,$C$5:$AV$509,8,)/VLOOKUP($D20,$C$5:$AV$509,3,))*$E20)</f>
        <v>359762.86246512679</v>
      </c>
      <c r="K20" s="47">
        <f>IF(VLOOKUP($D20,$C$5:$AV$509,3,)=0,0,(VLOOKUP($D20,$C$5:$AV$509,9,)/VLOOKUP($D20,$C$5:$AV$509,3,))*$E20)</f>
        <v>0</v>
      </c>
      <c r="L20" s="47">
        <f>IF(VLOOKUP($D20,$C$5:$AV$509,3,)=0,0,(VLOOKUP($D20,$C$5:$AV$509,10,)/VLOOKUP($D20,$C$5:$AV$509,3,))*$E20)</f>
        <v>24185.738653117769</v>
      </c>
      <c r="M20" s="47">
        <f>IF(VLOOKUP($D20,$C$5:$AV$509,3,)=0,0,(VLOOKUP($D20,$C$5:$AV$509,11,)/VLOOKUP($D20,$C$5:$AV$509,3,))*$E20)</f>
        <v>3023.2173316397211</v>
      </c>
      <c r="N20" s="47">
        <f>IF(VLOOKUP($D20,$C$5:$AV$509,3,)=0,0,(VLOOKUP($D20,$C$5:$AV$509,12,)/VLOOKUP($D20,$C$5:$AV$509,3,))*$E20)</f>
        <v>671019.88240927865</v>
      </c>
      <c r="O20" s="47">
        <f t="shared" si="7"/>
        <v>0</v>
      </c>
      <c r="P20" s="47">
        <f t="shared" si="7"/>
        <v>0</v>
      </c>
      <c r="Q20" s="47">
        <f t="shared" si="7"/>
        <v>0</v>
      </c>
      <c r="R20" s="47">
        <f>IF(VLOOKUP($D20,$C$5:$AV$509,3,)=0,0,(VLOOKUP($D20,$C$5:$AV$509,15,)/VLOOKUP($D20,$C$5:$AV$509,3,))*$E20)</f>
        <v>0</v>
      </c>
      <c r="S20" s="47">
        <f>IF(VLOOKUP($D20,$C$5:$AV$509,3,)=0,0,(VLOOKUP($D20,$C$5:$AV$509,16,)/VLOOKUP($D20,$C$5:$AV$509,3,))*$E20)</f>
        <v>0</v>
      </c>
      <c r="T20" s="47">
        <f>IF(VLOOKUP($D20,$C$5:$AV$509,3,)=0,0,(VLOOKUP($D20,$C$5:$AV$509,17,)/VLOOKUP($D20,$C$5:$AV$509,3,))*$E20)</f>
        <v>0</v>
      </c>
      <c r="U20" s="47">
        <f>IF(VLOOKUP($D20,$C$5:$AV$509,3,)=0,0,(VLOOKUP($D20,$C$5:$AV$509,18,)/VLOOKUP($D20,$C$5:$AV$509,3,))*$E20)</f>
        <v>0</v>
      </c>
      <c r="V20" s="47">
        <f>IF(VLOOKUP($D20,$C$5:$AV$509,3,)=0,0,(VLOOKUP($D20,$C$5:$AV$509,19,)/VLOOKUP($D20,$C$5:$AV$509,3,))*$E20)</f>
        <v>0</v>
      </c>
      <c r="W20" s="47">
        <f>IF(VLOOKUP($D20,$C$5:$AV$509,3,)=0,0,(VLOOKUP($D20,$C$5:$AV$509,20,)/VLOOKUP($D20,$C$5:$AV$509,3,))*$E20)</f>
        <v>0</v>
      </c>
      <c r="X20" s="47">
        <f>IF(VLOOKUP($D20,$C$5:$AV$509,3,)=0,0,(VLOOKUP($D20,$C$5:$AV$509,21,)/VLOOKUP($D20,$C$5:$AV$509,3,))*$E20)</f>
        <v>0</v>
      </c>
      <c r="Y20" s="47">
        <f>IF(VLOOKUP($D20,$C$5:$AV$509,3,)=0,0,(VLOOKUP($D20,$C$5:$AV$509,22,)/VLOOKUP($D20,$C$5:$AV$509,3,))*$E20)</f>
        <v>0</v>
      </c>
      <c r="Z20" s="47">
        <f>IF(VLOOKUP($D20,$C$5:$AV$509,3,)=0,0,(VLOOKUP($D20,$C$5:$AV$509,23,)/VLOOKUP($D20,$C$5:$AV$509,3,))*$E20)</f>
        <v>0</v>
      </c>
      <c r="AA20" s="47">
        <f>IF(VLOOKUP($D20,$C$5:$AV$509,3,)=0,0,(VLOOKUP($D20,$C$5:$AV$509,24,)/VLOOKUP($D20,$C$5:$AV$509,3,))*$E20)</f>
        <v>0</v>
      </c>
      <c r="AB20" s="47">
        <f>IF(VLOOKUP($D20,$C$5:$AV$509,3,)=0,0,(VLOOKUP($D20,$C$5:$AV$509,25,)/VLOOKUP($D20,$C$5:$AV$509,3,))*$E20)</f>
        <v>0</v>
      </c>
      <c r="AC20" s="47">
        <f>IF(VLOOKUP($D20,$C$5:$AV$509,3,)=0,0,(VLOOKUP($D20,$C$5:$AV$509,26,)/VLOOKUP($D20,$C$5:$AV$509,3,))*$E20)</f>
        <v>0</v>
      </c>
      <c r="AD20" s="47">
        <f>IF(VLOOKUP($D20,$C$5:$AV$509,3,)=0,0,(VLOOKUP($D20,$C$5:$AV$509,27,)/VLOOKUP($D20,$C$5:$AV$509,3,))*$E20)</f>
        <v>0</v>
      </c>
      <c r="AE20" s="47">
        <f>IF(VLOOKUP($D20,$C$5:$AV$509,3,)=0,0,(VLOOKUP($D20,$C$5:$AV$509,28,)/VLOOKUP($D20,$C$5:$AV$509,3,))*$E20)</f>
        <v>0</v>
      </c>
      <c r="AF20" s="47">
        <f>IF(VLOOKUP($D20,$C$5:$AV$509,3,)=0,0,(VLOOKUP($D20,$C$5:$AV$509,29,)/VLOOKUP($D20,$C$5:$AV$509,3,))*$E20)</f>
        <v>0</v>
      </c>
      <c r="AG20" s="47">
        <f>IF(VLOOKUP($D20,$C$5:$AV$509,3,)=0,0,(VLOOKUP($D20,$C$5:$AV$509,30,)/VLOOKUP($D20,$C$5:$AV$509,3,))*$E20)</f>
        <v>0</v>
      </c>
      <c r="AH20" s="47">
        <f t="shared" si="8"/>
        <v>85835052.114700198</v>
      </c>
      <c r="AI20" s="27" t="str">
        <f>IF(ABS(E20-AH20)&lt;0.01,"ok","err")</f>
        <v>ok</v>
      </c>
    </row>
    <row r="21" spans="1:36" x14ac:dyDescent="0.2">
      <c r="A21" s="14" t="s">
        <v>224</v>
      </c>
      <c r="C21" s="14" t="s">
        <v>472</v>
      </c>
      <c r="E21" s="62">
        <f t="shared" ref="E21:U21" si="9">E19+E20</f>
        <v>131467229.53928217</v>
      </c>
      <c r="F21" s="62">
        <f t="shared" si="9"/>
        <v>115956662.15684244</v>
      </c>
      <c r="G21" s="62">
        <f t="shared" si="9"/>
        <v>41773.967696639338</v>
      </c>
      <c r="H21" s="62">
        <f t="shared" si="9"/>
        <v>9133314.5972229</v>
      </c>
      <c r="I21" s="62">
        <f t="shared" si="9"/>
        <v>1289987.2221864287</v>
      </c>
      <c r="J21" s="62">
        <f t="shared" si="9"/>
        <v>2779277.1721095541</v>
      </c>
      <c r="K21" s="62">
        <f t="shared" si="9"/>
        <v>0</v>
      </c>
      <c r="L21" s="62">
        <f t="shared" si="9"/>
        <v>1110048.1939820563</v>
      </c>
      <c r="M21" s="62">
        <f t="shared" ref="M21" si="10">M19+M20</f>
        <v>314641.97752605821</v>
      </c>
      <c r="N21" s="62">
        <f t="shared" si="9"/>
        <v>841524.2517161069</v>
      </c>
      <c r="O21" s="62">
        <f t="shared" si="9"/>
        <v>0</v>
      </c>
      <c r="P21" s="62">
        <f t="shared" si="9"/>
        <v>0</v>
      </c>
      <c r="Q21" s="62">
        <f t="shared" si="9"/>
        <v>0</v>
      </c>
      <c r="R21" s="62">
        <f t="shared" si="9"/>
        <v>0</v>
      </c>
      <c r="S21" s="62">
        <f t="shared" si="9"/>
        <v>0</v>
      </c>
      <c r="T21" s="62">
        <f t="shared" si="9"/>
        <v>0</v>
      </c>
      <c r="U21" s="62">
        <f t="shared" si="9"/>
        <v>0</v>
      </c>
      <c r="V21" s="62">
        <f t="shared" ref="V21:AG21" si="11">V19+V20</f>
        <v>0</v>
      </c>
      <c r="W21" s="62">
        <f t="shared" si="11"/>
        <v>0</v>
      </c>
      <c r="X21" s="62">
        <f t="shared" si="11"/>
        <v>0</v>
      </c>
      <c r="Y21" s="62">
        <f t="shared" si="11"/>
        <v>0</v>
      </c>
      <c r="Z21" s="62">
        <f t="shared" si="11"/>
        <v>0</v>
      </c>
      <c r="AA21" s="62">
        <f t="shared" si="11"/>
        <v>0</v>
      </c>
      <c r="AB21" s="62">
        <f t="shared" si="11"/>
        <v>0</v>
      </c>
      <c r="AC21" s="62">
        <f t="shared" si="11"/>
        <v>0</v>
      </c>
      <c r="AD21" s="62">
        <f t="shared" si="11"/>
        <v>0</v>
      </c>
      <c r="AE21" s="62">
        <f t="shared" si="11"/>
        <v>0</v>
      </c>
      <c r="AF21" s="62">
        <f t="shared" si="11"/>
        <v>0</v>
      </c>
      <c r="AG21" s="62">
        <f t="shared" si="11"/>
        <v>0</v>
      </c>
      <c r="AH21" s="87">
        <f>SUM(F21:AG21)</f>
        <v>131467229.53928217</v>
      </c>
      <c r="AI21" s="27" t="str">
        <f>IF(ABS(E21-AH21)&lt;0.01,"ok","err")</f>
        <v>ok</v>
      </c>
    </row>
    <row r="22" spans="1:36" x14ac:dyDescent="0.2">
      <c r="E22" s="47"/>
    </row>
    <row r="23" spans="1:36" x14ac:dyDescent="0.2">
      <c r="A23" s="13" t="s">
        <v>3</v>
      </c>
      <c r="E23" s="47"/>
    </row>
    <row r="24" spans="1:36" x14ac:dyDescent="0.2">
      <c r="A24" s="90" t="s">
        <v>209</v>
      </c>
      <c r="C24" s="14" t="s">
        <v>225</v>
      </c>
      <c r="D24" s="14" t="s">
        <v>619</v>
      </c>
      <c r="E24" s="62">
        <f>'Func &amp; Classif'!R82</f>
        <v>0</v>
      </c>
      <c r="F24" s="47">
        <f>IF(VLOOKUP($D24,$C$5:$AV$509,3,)=0,0,(VLOOKUP($D24,$C$5:$AV$509,4,)/VLOOKUP($D24,$C$5:$AV$509,3,))*$E24)</f>
        <v>0</v>
      </c>
      <c r="G24" s="47">
        <f>IF(VLOOKUP($D24,$C$5:$AV$509,3,)=0,0,(VLOOKUP($D24,$C$5:$AV$509,5,)/VLOOKUP($D24,$C$5:$AV$509,3,))*$E24)</f>
        <v>0</v>
      </c>
      <c r="H24" s="47">
        <f>IF(VLOOKUP($D24,$C$5:$AV$509,3,)=0,0,(VLOOKUP($D24,$C$5:$AV$509,6,)/VLOOKUP($D24,$C$5:$AV$509,3,))*$E24)</f>
        <v>0</v>
      </c>
      <c r="I24" s="47">
        <f>IF(VLOOKUP($D24,$C$5:$AV$509,3,)=0,0,(VLOOKUP($D24,$C$5:$AV$509,7,)/VLOOKUP($D24,$C$5:$AV$509,3,))*$E24)</f>
        <v>0</v>
      </c>
      <c r="J24" s="47">
        <f>IF(VLOOKUP($D24,$C$5:$AV$509,3,)=0,0,(VLOOKUP($D24,$C$5:$AV$509,8,)/VLOOKUP($D24,$C$5:$AV$509,3,))*$E24)</f>
        <v>0</v>
      </c>
      <c r="K24" s="47">
        <f>IF(VLOOKUP($D24,$C$5:$AV$509,3,)=0,0,(VLOOKUP($D24,$C$5:$AV$509,9,)/VLOOKUP($D24,$C$5:$AV$509,3,))*$E24)</f>
        <v>0</v>
      </c>
      <c r="L24" s="47">
        <f>IF(VLOOKUP($D24,$C$5:$AV$509,3,)=0,0,(VLOOKUP($D24,$C$5:$AV$509,10,)/VLOOKUP($D24,$C$5:$AV$509,3,))*$E24)</f>
        <v>0</v>
      </c>
      <c r="M24" s="47">
        <f>IF(VLOOKUP($D24,$C$5:$AV$509,3,)=0,0,(VLOOKUP($D24,$C$5:$AV$509,11,)/VLOOKUP($D24,$C$5:$AV$509,3,))*$E24)</f>
        <v>0</v>
      </c>
      <c r="N24" s="47">
        <f>IF(VLOOKUP($D24,$C$5:$AV$509,3,)=0,0,(VLOOKUP($D24,$C$5:$AV$509,12,)/VLOOKUP($D24,$C$5:$AV$509,3,))*$E24)</f>
        <v>0</v>
      </c>
      <c r="O24" s="47">
        <f t="shared" ref="O24:Q25" si="12">IF(VLOOKUP($D24,$C$5:$AV$509,3,)=0,0,(VLOOKUP($D24,$C$5:$AV$509,14,)/VLOOKUP($D24,$C$5:$AV$509,3,))*$E24)</f>
        <v>0</v>
      </c>
      <c r="P24" s="47">
        <f t="shared" si="12"/>
        <v>0</v>
      </c>
      <c r="Q24" s="47">
        <f t="shared" si="12"/>
        <v>0</v>
      </c>
      <c r="R24" s="47">
        <f>IF(VLOOKUP($D24,$C$5:$AV$509,3,)=0,0,(VLOOKUP($D24,$C$5:$AV$509,15,)/VLOOKUP($D24,$C$5:$AV$509,3,))*$E24)</f>
        <v>0</v>
      </c>
      <c r="S24" s="47">
        <f>IF(VLOOKUP($D24,$C$5:$AV$509,3,)=0,0,(VLOOKUP($D24,$C$5:$AV$509,16,)/VLOOKUP($D24,$C$5:$AV$509,3,))*$E24)</f>
        <v>0</v>
      </c>
      <c r="T24" s="47">
        <f>IF(VLOOKUP($D24,$C$5:$AV$509,3,)=0,0,(VLOOKUP($D24,$C$5:$AV$509,17,)/VLOOKUP($D24,$C$5:$AV$509,3,))*$E24)</f>
        <v>0</v>
      </c>
      <c r="U24" s="47">
        <f>IF(VLOOKUP($D24,$C$5:$AV$509,3,)=0,0,(VLOOKUP($D24,$C$5:$AV$509,18,)/VLOOKUP($D24,$C$5:$AV$509,3,))*$E24)</f>
        <v>0</v>
      </c>
      <c r="V24" s="47">
        <f>IF(VLOOKUP($D24,$C$5:$AV$509,3,)=0,0,(VLOOKUP($D24,$C$5:$AV$509,19,)/VLOOKUP($D24,$C$5:$AV$509,3,))*$E24)</f>
        <v>0</v>
      </c>
      <c r="W24" s="47">
        <f>IF(VLOOKUP($D24,$C$5:$AV$509,3,)=0,0,(VLOOKUP($D24,$C$5:$AV$509,20,)/VLOOKUP($D24,$C$5:$AV$509,3,))*$E24)</f>
        <v>0</v>
      </c>
      <c r="X24" s="47">
        <f>IF(VLOOKUP($D24,$C$5:$AV$509,3,)=0,0,(VLOOKUP($D24,$C$5:$AV$509,21,)/VLOOKUP($D24,$C$5:$AV$509,3,))*$E24)</f>
        <v>0</v>
      </c>
      <c r="Y24" s="47">
        <f>IF(VLOOKUP($D24,$C$5:$AV$509,3,)=0,0,(VLOOKUP($D24,$C$5:$AV$509,22,)/VLOOKUP($D24,$C$5:$AV$509,3,))*$E24)</f>
        <v>0</v>
      </c>
      <c r="Z24" s="47">
        <f>IF(VLOOKUP($D24,$C$5:$AV$509,3,)=0,0,(VLOOKUP($D24,$C$5:$AV$509,23,)/VLOOKUP($D24,$C$5:$AV$509,3,))*$E24)</f>
        <v>0</v>
      </c>
      <c r="AA24" s="47">
        <f>IF(VLOOKUP($D24,$C$5:$AV$509,3,)=0,0,(VLOOKUP($D24,$C$5:$AV$509,24,)/VLOOKUP($D24,$C$5:$AV$509,3,))*$E24)</f>
        <v>0</v>
      </c>
      <c r="AB24" s="47">
        <f>IF(VLOOKUP($D24,$C$5:$AV$509,3,)=0,0,(VLOOKUP($D24,$C$5:$AV$509,25,)/VLOOKUP($D24,$C$5:$AV$509,3,))*$E24)</f>
        <v>0</v>
      </c>
      <c r="AC24" s="47">
        <f>IF(VLOOKUP($D24,$C$5:$AV$509,3,)=0,0,(VLOOKUP($D24,$C$5:$AV$509,26,)/VLOOKUP($D24,$C$5:$AV$509,3,))*$E24)</f>
        <v>0</v>
      </c>
      <c r="AD24" s="47">
        <f>IF(VLOOKUP($D24,$C$5:$AV$509,3,)=0,0,(VLOOKUP($D24,$C$5:$AV$509,27,)/VLOOKUP($D24,$C$5:$AV$509,3,))*$E24)</f>
        <v>0</v>
      </c>
      <c r="AE24" s="47">
        <f>IF(VLOOKUP($D24,$C$5:$AV$509,3,)=0,0,(VLOOKUP($D24,$C$5:$AV$509,28,)/VLOOKUP($D24,$C$5:$AV$509,3,))*$E24)</f>
        <v>0</v>
      </c>
      <c r="AF24" s="47">
        <f>IF(VLOOKUP($D24,$C$5:$AV$509,3,)=0,0,(VLOOKUP($D24,$C$5:$AV$509,29,)/VLOOKUP($D24,$C$5:$AV$509,3,))*$E24)</f>
        <v>0</v>
      </c>
      <c r="AG24" s="47">
        <f>IF(VLOOKUP($D24,$C$5:$AV$509,3,)=0,0,(VLOOKUP($D24,$C$5:$AV$509,30,)/VLOOKUP($D24,$C$5:$AV$509,3,))*$E24)</f>
        <v>0</v>
      </c>
      <c r="AH24" s="47">
        <f t="shared" ref="AH24:AH25" si="13">SUM(F24:AG24)</f>
        <v>0</v>
      </c>
      <c r="AI24" s="27" t="str">
        <f>IF(ABS(E24-AH24)&lt;0.01,"ok","err")</f>
        <v>ok</v>
      </c>
    </row>
    <row r="25" spans="1:36" x14ac:dyDescent="0.2">
      <c r="A25" s="90" t="s">
        <v>221</v>
      </c>
      <c r="C25" s="14" t="s">
        <v>226</v>
      </c>
      <c r="D25" s="14" t="s">
        <v>701</v>
      </c>
      <c r="E25" s="47">
        <f>'Func &amp; Classif'!S82</f>
        <v>17827500.465616375</v>
      </c>
      <c r="F25" s="47">
        <f>IF(VLOOKUP($D25,$C$5:$AV$509,3,)=0,0,(VLOOKUP($D25,$C$5:$AV$509,4,)/VLOOKUP($D25,$C$5:$AV$509,3,))*$E25)</f>
        <v>15207026.712805917</v>
      </c>
      <c r="G25" s="47">
        <f>IF(VLOOKUP($D25,$C$5:$AV$509,3,)=0,0,(VLOOKUP($D25,$C$5:$AV$509,5,)/VLOOKUP($D25,$C$5:$AV$509,3,))*$E25)</f>
        <v>591.82824334718498</v>
      </c>
      <c r="H25" s="47">
        <f>IF(VLOOKUP($D25,$C$5:$AV$509,3,)=0,0,(VLOOKUP($D25,$C$5:$AV$509,6,)/VLOOKUP($D25,$C$5:$AV$509,3,))*$E25)</f>
        <v>2201201.2788898065</v>
      </c>
      <c r="I25" s="47">
        <f>IF(VLOOKUP($D25,$C$5:$AV$509,3,)=0,0,(VLOOKUP($D25,$C$5:$AV$509,7,)/VLOOKUP($D25,$C$5:$AV$509,3,))*$E25)</f>
        <v>226633.07410914256</v>
      </c>
      <c r="J25" s="47">
        <f>IF(VLOOKUP($D25,$C$5:$AV$509,3,)=0,0,(VLOOKUP($D25,$C$5:$AV$509,8,)/VLOOKUP($D25,$C$5:$AV$509,3,))*$E25)</f>
        <v>181222.08667719952</v>
      </c>
      <c r="K25" s="47">
        <f>IF(VLOOKUP($D25,$C$5:$AV$509,3,)=0,0,(VLOOKUP($D25,$C$5:$AV$509,9,)/VLOOKUP($D25,$C$5:$AV$509,3,))*$E25)</f>
        <v>0</v>
      </c>
      <c r="L25" s="47">
        <f>IF(VLOOKUP($D25,$C$5:$AV$509,3,)=0,0,(VLOOKUP($D25,$C$5:$AV$509,10,)/VLOOKUP($D25,$C$5:$AV$509,3,))*$E25)</f>
        <v>9302.6102130050276</v>
      </c>
      <c r="M25" s="47">
        <f>IF(VLOOKUP($D25,$C$5:$AV$509,3,)=0,0,(VLOOKUP($D25,$C$5:$AV$509,11,)/VLOOKUP($D25,$C$5:$AV$509,3,))*$E25)</f>
        <v>1522.8746779596599</v>
      </c>
      <c r="N25" s="47">
        <f>IF(VLOOKUP($D25,$C$5:$AV$509,3,)=0,0,(VLOOKUP($D25,$C$5:$AV$509,12,)/VLOOKUP($D25,$C$5:$AV$509,3,))*$E25)</f>
        <v>0</v>
      </c>
      <c r="O25" s="47">
        <f t="shared" si="12"/>
        <v>0</v>
      </c>
      <c r="P25" s="47">
        <f t="shared" si="12"/>
        <v>0</v>
      </c>
      <c r="Q25" s="47">
        <f t="shared" si="12"/>
        <v>0</v>
      </c>
      <c r="R25" s="47">
        <f>IF(VLOOKUP($D25,$C$5:$AV$509,3,)=0,0,(VLOOKUP($D25,$C$5:$AV$509,15,)/VLOOKUP($D25,$C$5:$AV$509,3,))*$E25)</f>
        <v>0</v>
      </c>
      <c r="S25" s="47">
        <f>IF(VLOOKUP($D25,$C$5:$AV$509,3,)=0,0,(VLOOKUP($D25,$C$5:$AV$509,16,)/VLOOKUP($D25,$C$5:$AV$509,3,))*$E25)</f>
        <v>0</v>
      </c>
      <c r="T25" s="47">
        <f>IF(VLOOKUP($D25,$C$5:$AV$509,3,)=0,0,(VLOOKUP($D25,$C$5:$AV$509,17,)/VLOOKUP($D25,$C$5:$AV$509,3,))*$E25)</f>
        <v>0</v>
      </c>
      <c r="U25" s="47">
        <f>IF(VLOOKUP($D25,$C$5:$AV$509,3,)=0,0,(VLOOKUP($D25,$C$5:$AV$509,18,)/VLOOKUP($D25,$C$5:$AV$509,3,))*$E25)</f>
        <v>0</v>
      </c>
      <c r="V25" s="47">
        <f>IF(VLOOKUP($D25,$C$5:$AV$509,3,)=0,0,(VLOOKUP($D25,$C$5:$AV$509,19,)/VLOOKUP($D25,$C$5:$AV$509,3,))*$E25)</f>
        <v>0</v>
      </c>
      <c r="W25" s="47">
        <f>IF(VLOOKUP($D25,$C$5:$AV$509,3,)=0,0,(VLOOKUP($D25,$C$5:$AV$509,20,)/VLOOKUP($D25,$C$5:$AV$509,3,))*$E25)</f>
        <v>0</v>
      </c>
      <c r="X25" s="47">
        <f>IF(VLOOKUP($D25,$C$5:$AV$509,3,)=0,0,(VLOOKUP($D25,$C$5:$AV$509,21,)/VLOOKUP($D25,$C$5:$AV$509,3,))*$E25)</f>
        <v>0</v>
      </c>
      <c r="Y25" s="47">
        <f>IF(VLOOKUP($D25,$C$5:$AV$509,3,)=0,0,(VLOOKUP($D25,$C$5:$AV$509,22,)/VLOOKUP($D25,$C$5:$AV$509,3,))*$E25)</f>
        <v>0</v>
      </c>
      <c r="Z25" s="47">
        <f>IF(VLOOKUP($D25,$C$5:$AV$509,3,)=0,0,(VLOOKUP($D25,$C$5:$AV$509,23,)/VLOOKUP($D25,$C$5:$AV$509,3,))*$E25)</f>
        <v>0</v>
      </c>
      <c r="AA25" s="47">
        <f>IF(VLOOKUP($D25,$C$5:$AV$509,3,)=0,0,(VLOOKUP($D25,$C$5:$AV$509,24,)/VLOOKUP($D25,$C$5:$AV$509,3,))*$E25)</f>
        <v>0</v>
      </c>
      <c r="AB25" s="47">
        <f>IF(VLOOKUP($D25,$C$5:$AV$509,3,)=0,0,(VLOOKUP($D25,$C$5:$AV$509,25,)/VLOOKUP($D25,$C$5:$AV$509,3,))*$E25)</f>
        <v>0</v>
      </c>
      <c r="AC25" s="47">
        <f>IF(VLOOKUP($D25,$C$5:$AV$509,3,)=0,0,(VLOOKUP($D25,$C$5:$AV$509,26,)/VLOOKUP($D25,$C$5:$AV$509,3,))*$E25)</f>
        <v>0</v>
      </c>
      <c r="AD25" s="47">
        <f>IF(VLOOKUP($D25,$C$5:$AV$509,3,)=0,0,(VLOOKUP($D25,$C$5:$AV$509,27,)/VLOOKUP($D25,$C$5:$AV$509,3,))*$E25)</f>
        <v>0</v>
      </c>
      <c r="AE25" s="47">
        <f>IF(VLOOKUP($D25,$C$5:$AV$509,3,)=0,0,(VLOOKUP($D25,$C$5:$AV$509,28,)/VLOOKUP($D25,$C$5:$AV$509,3,))*$E25)</f>
        <v>0</v>
      </c>
      <c r="AF25" s="47">
        <f>IF(VLOOKUP($D25,$C$5:$AV$509,3,)=0,0,(VLOOKUP($D25,$C$5:$AV$509,29,)/VLOOKUP($D25,$C$5:$AV$509,3,))*$E25)</f>
        <v>0</v>
      </c>
      <c r="AG25" s="47">
        <f>IF(VLOOKUP($D25,$C$5:$AV$509,3,)=0,0,(VLOOKUP($D25,$C$5:$AV$509,30,)/VLOOKUP($D25,$C$5:$AV$509,3,))*$E25)</f>
        <v>0</v>
      </c>
      <c r="AH25" s="47">
        <f t="shared" si="13"/>
        <v>17827500.465616375</v>
      </c>
      <c r="AI25" s="27" t="str">
        <f>IF(ABS(E25-AH25)&lt;0.01,"ok","err")</f>
        <v>ok</v>
      </c>
    </row>
    <row r="26" spans="1:36" x14ac:dyDescent="0.2">
      <c r="A26" s="14" t="s">
        <v>228</v>
      </c>
      <c r="E26" s="62">
        <f t="shared" ref="E26:U26" si="14">E24+E25</f>
        <v>17827500.465616375</v>
      </c>
      <c r="F26" s="62">
        <f t="shared" si="14"/>
        <v>15207026.712805917</v>
      </c>
      <c r="G26" s="62">
        <f t="shared" si="14"/>
        <v>591.82824334718498</v>
      </c>
      <c r="H26" s="62">
        <f t="shared" si="14"/>
        <v>2201201.2788898065</v>
      </c>
      <c r="I26" s="62">
        <f t="shared" si="14"/>
        <v>226633.07410914256</v>
      </c>
      <c r="J26" s="62">
        <f t="shared" si="14"/>
        <v>181222.08667719952</v>
      </c>
      <c r="K26" s="62">
        <f t="shared" si="14"/>
        <v>0</v>
      </c>
      <c r="L26" s="62">
        <f t="shared" si="14"/>
        <v>9302.6102130050276</v>
      </c>
      <c r="M26" s="62">
        <f t="shared" ref="M26" si="15">M24+M25</f>
        <v>1522.8746779596599</v>
      </c>
      <c r="N26" s="62">
        <f t="shared" si="14"/>
        <v>0</v>
      </c>
      <c r="O26" s="62">
        <f t="shared" si="14"/>
        <v>0</v>
      </c>
      <c r="P26" s="62">
        <f t="shared" si="14"/>
        <v>0</v>
      </c>
      <c r="Q26" s="62">
        <f t="shared" si="14"/>
        <v>0</v>
      </c>
      <c r="R26" s="62">
        <f t="shared" si="14"/>
        <v>0</v>
      </c>
      <c r="S26" s="62">
        <f t="shared" si="14"/>
        <v>0</v>
      </c>
      <c r="T26" s="62">
        <f t="shared" si="14"/>
        <v>0</v>
      </c>
      <c r="U26" s="62">
        <f t="shared" si="14"/>
        <v>0</v>
      </c>
      <c r="V26" s="62">
        <f t="shared" ref="V26:AG26" si="16">V24+V25</f>
        <v>0</v>
      </c>
      <c r="W26" s="62">
        <f t="shared" si="16"/>
        <v>0</v>
      </c>
      <c r="X26" s="62">
        <f t="shared" si="16"/>
        <v>0</v>
      </c>
      <c r="Y26" s="62">
        <f t="shared" si="16"/>
        <v>0</v>
      </c>
      <c r="Z26" s="62">
        <f t="shared" si="16"/>
        <v>0</v>
      </c>
      <c r="AA26" s="62">
        <f t="shared" si="16"/>
        <v>0</v>
      </c>
      <c r="AB26" s="62">
        <f t="shared" si="16"/>
        <v>0</v>
      </c>
      <c r="AC26" s="62">
        <f t="shared" si="16"/>
        <v>0</v>
      </c>
      <c r="AD26" s="62">
        <f t="shared" si="16"/>
        <v>0</v>
      </c>
      <c r="AE26" s="62">
        <f t="shared" si="16"/>
        <v>0</v>
      </c>
      <c r="AF26" s="62">
        <f t="shared" si="16"/>
        <v>0</v>
      </c>
      <c r="AG26" s="62">
        <f t="shared" si="16"/>
        <v>0</v>
      </c>
      <c r="AH26" s="87">
        <f>SUM(F26:AG26)</f>
        <v>17827500.465616375</v>
      </c>
      <c r="AI26" s="27" t="str">
        <f>IF(ABS(E26-AH26)&lt;0.01,"ok","err")</f>
        <v>ok</v>
      </c>
    </row>
    <row r="27" spans="1:36" x14ac:dyDescent="0.2">
      <c r="E27" s="47"/>
    </row>
    <row r="28" spans="1:36" x14ac:dyDescent="0.2">
      <c r="A28" s="13" t="s">
        <v>4</v>
      </c>
      <c r="E28" s="47"/>
    </row>
    <row r="29" spans="1:36" x14ac:dyDescent="0.2">
      <c r="A29" s="90" t="s">
        <v>221</v>
      </c>
      <c r="C29" s="14" t="s">
        <v>229</v>
      </c>
      <c r="D29" s="14" t="s">
        <v>230</v>
      </c>
      <c r="E29" s="62">
        <f>'Func &amp; Classif'!U82</f>
        <v>7826659.535662083</v>
      </c>
      <c r="F29" s="47">
        <f>IF(VLOOKUP($D29,$C$5:$AV$509,3,)=0,0,(VLOOKUP($D29,$C$5:$AV$509,4,)/VLOOKUP($D29,$C$5:$AV$509,3,))*$E29)</f>
        <v>6959132.9021729548</v>
      </c>
      <c r="G29" s="47">
        <f>IF(VLOOKUP($D29,$C$5:$AV$509,3,)=0,0,(VLOOKUP($D29,$C$5:$AV$509,5,)/VLOOKUP($D29,$C$5:$AV$509,3,))*$E29)</f>
        <v>270.83607325055283</v>
      </c>
      <c r="H29" s="47">
        <f>IF(VLOOKUP($D29,$C$5:$AV$509,3,)=0,0,(VLOOKUP($D29,$C$5:$AV$509,6,)/VLOOKUP($D29,$C$5:$AV$509,3,))*$E29)</f>
        <v>685739.74152924097</v>
      </c>
      <c r="I29" s="47">
        <f>IF(VLOOKUP($D29,$C$5:$AV$509,3,)=0,0,(VLOOKUP($D29,$C$5:$AV$509,7,)/VLOOKUP($D29,$C$5:$AV$509,3,))*$E29)</f>
        <v>85042.527000673595</v>
      </c>
      <c r="J29" s="47">
        <f>IF(VLOOKUP($D29,$C$5:$AV$509,3,)=0,0,(VLOOKUP($D29,$C$5:$AV$509,8,)/VLOOKUP($D29,$C$5:$AV$509,3,))*$E29)</f>
        <v>88503.21015887511</v>
      </c>
      <c r="K29" s="47">
        <f>IF(VLOOKUP($D29,$C$5:$AV$509,3,)=0,0,(VLOOKUP($D29,$C$5:$AV$509,9,)/VLOOKUP($D29,$C$5:$AV$509,3,))*$E29)</f>
        <v>0</v>
      </c>
      <c r="L29" s="47">
        <f>IF(VLOOKUP($D29,$C$5:$AV$509,3,)=0,0,(VLOOKUP($D29,$C$5:$AV$509,10,)/VLOOKUP($D29,$C$5:$AV$509,3,))*$E29)</f>
        <v>7084.7277574112868</v>
      </c>
      <c r="M29" s="47">
        <f>IF(VLOOKUP($D29,$C$5:$AV$509,3,)=0,0,(VLOOKUP($D29,$C$5:$AV$509,11,)/VLOOKUP($D29,$C$5:$AV$509,3,))*$E29)</f>
        <v>885.59096967641085</v>
      </c>
      <c r="N29" s="47">
        <f>IF(VLOOKUP($D29,$C$5:$AV$509,3,)=0,0,(VLOOKUP($D29,$C$5:$AV$509,12,)/VLOOKUP($D29,$C$5:$AV$509,3,))*$E29)</f>
        <v>0</v>
      </c>
      <c r="O29" s="47">
        <f>IF(VLOOKUP($D29,$C$5:$AV$509,3,)=0,0,(VLOOKUP($D29,$C$5:$AV$509,14,)/VLOOKUP($D29,$C$5:$AV$509,3,))*$E29)</f>
        <v>0</v>
      </c>
      <c r="P29" s="47">
        <f>IF(VLOOKUP($D29,$C$5:$AV$509,3,)=0,0,(VLOOKUP($D29,$C$5:$AV$509,14,)/VLOOKUP($D29,$C$5:$AV$509,3,))*$E29)</f>
        <v>0</v>
      </c>
      <c r="Q29" s="47">
        <f>IF(VLOOKUP($D29,$C$5:$AV$509,3,)=0,0,(VLOOKUP($D29,$C$5:$AV$509,14,)/VLOOKUP($D29,$C$5:$AV$509,3,))*$E29)</f>
        <v>0</v>
      </c>
      <c r="R29" s="47">
        <f>IF(VLOOKUP($D29,$C$5:$AV$509,3,)=0,0,(VLOOKUP($D29,$C$5:$AV$509,15,)/VLOOKUP($D29,$C$5:$AV$509,3,))*$E29)</f>
        <v>0</v>
      </c>
      <c r="S29" s="47">
        <f>IF(VLOOKUP($D29,$C$5:$AV$509,3,)=0,0,(VLOOKUP($D29,$C$5:$AV$509,16,)/VLOOKUP($D29,$C$5:$AV$509,3,))*$E29)</f>
        <v>0</v>
      </c>
      <c r="T29" s="47">
        <f>IF(VLOOKUP($D29,$C$5:$AV$509,3,)=0,0,(VLOOKUP($D29,$C$5:$AV$509,17,)/VLOOKUP($D29,$C$5:$AV$509,3,))*$E29)</f>
        <v>0</v>
      </c>
      <c r="U29" s="47">
        <f>IF(VLOOKUP($D29,$C$5:$AV$509,3,)=0,0,(VLOOKUP($D29,$C$5:$AV$509,18,)/VLOOKUP($D29,$C$5:$AV$509,3,))*$E29)</f>
        <v>0</v>
      </c>
      <c r="V29" s="47">
        <f>IF(VLOOKUP($D29,$C$5:$AV$509,3,)=0,0,(VLOOKUP($D29,$C$5:$AV$509,19,)/VLOOKUP($D29,$C$5:$AV$509,3,))*$E29)</f>
        <v>0</v>
      </c>
      <c r="W29" s="47">
        <f>IF(VLOOKUP($D29,$C$5:$AV$509,3,)=0,0,(VLOOKUP($D29,$C$5:$AV$509,20,)/VLOOKUP($D29,$C$5:$AV$509,3,))*$E29)</f>
        <v>0</v>
      </c>
      <c r="X29" s="47">
        <f>IF(VLOOKUP($D29,$C$5:$AV$509,3,)=0,0,(VLOOKUP($D29,$C$5:$AV$509,21,)/VLOOKUP($D29,$C$5:$AV$509,3,))*$E29)</f>
        <v>0</v>
      </c>
      <c r="Y29" s="47">
        <f>IF(VLOOKUP($D29,$C$5:$AV$509,3,)=0,0,(VLOOKUP($D29,$C$5:$AV$509,22,)/VLOOKUP($D29,$C$5:$AV$509,3,))*$E29)</f>
        <v>0</v>
      </c>
      <c r="Z29" s="47">
        <f>IF(VLOOKUP($D29,$C$5:$AV$509,3,)=0,0,(VLOOKUP($D29,$C$5:$AV$509,23,)/VLOOKUP($D29,$C$5:$AV$509,3,))*$E29)</f>
        <v>0</v>
      </c>
      <c r="AA29" s="47">
        <f>IF(VLOOKUP($D29,$C$5:$AV$509,3,)=0,0,(VLOOKUP($D29,$C$5:$AV$509,24,)/VLOOKUP($D29,$C$5:$AV$509,3,))*$E29)</f>
        <v>0</v>
      </c>
      <c r="AB29" s="47">
        <f>IF(VLOOKUP($D29,$C$5:$AV$509,3,)=0,0,(VLOOKUP($D29,$C$5:$AV$509,25,)/VLOOKUP($D29,$C$5:$AV$509,3,))*$E29)</f>
        <v>0</v>
      </c>
      <c r="AC29" s="47">
        <f>IF(VLOOKUP($D29,$C$5:$AV$509,3,)=0,0,(VLOOKUP($D29,$C$5:$AV$509,26,)/VLOOKUP($D29,$C$5:$AV$509,3,))*$E29)</f>
        <v>0</v>
      </c>
      <c r="AD29" s="47">
        <f>IF(VLOOKUP($D29,$C$5:$AV$509,3,)=0,0,(VLOOKUP($D29,$C$5:$AV$509,27,)/VLOOKUP($D29,$C$5:$AV$509,3,))*$E29)</f>
        <v>0</v>
      </c>
      <c r="AE29" s="47">
        <f>IF(VLOOKUP($D29,$C$5:$AV$509,3,)=0,0,(VLOOKUP($D29,$C$5:$AV$509,28,)/VLOOKUP($D29,$C$5:$AV$509,3,))*$E29)</f>
        <v>0</v>
      </c>
      <c r="AF29" s="47">
        <f>IF(VLOOKUP($D29,$C$5:$AV$509,3,)=0,0,(VLOOKUP($D29,$C$5:$AV$509,29,)/VLOOKUP($D29,$C$5:$AV$509,3,))*$E29)</f>
        <v>0</v>
      </c>
      <c r="AG29" s="47">
        <f>IF(VLOOKUP($D29,$C$5:$AV$509,3,)=0,0,(VLOOKUP($D29,$C$5:$AV$509,30,)/VLOOKUP($D29,$C$5:$AV$509,3,))*$E29)</f>
        <v>0</v>
      </c>
      <c r="AH29" s="47">
        <f t="shared" ref="AH29" si="17">SUM(F29:AG29)</f>
        <v>7826659.535662083</v>
      </c>
      <c r="AI29" s="27" t="str">
        <f>IF(ABS(E29-AH29)&lt;0.01,"ok","err")</f>
        <v>ok</v>
      </c>
    </row>
    <row r="30" spans="1:36" x14ac:dyDescent="0.2">
      <c r="E30" s="47"/>
    </row>
    <row r="31" spans="1:36" x14ac:dyDescent="0.2">
      <c r="A31" s="13" t="s">
        <v>5</v>
      </c>
      <c r="E31" s="47"/>
    </row>
    <row r="32" spans="1:36" x14ac:dyDescent="0.2">
      <c r="A32" s="90" t="s">
        <v>221</v>
      </c>
      <c r="C32" s="14" t="s">
        <v>231</v>
      </c>
      <c r="D32" s="14" t="s">
        <v>232</v>
      </c>
      <c r="E32" s="62">
        <f>'Func &amp; Classif'!W82</f>
        <v>5490429.0283871293</v>
      </c>
      <c r="F32" s="47">
        <f>IF(VLOOKUP($D32,$C$5:$AV$509,3,)=0,0,(VLOOKUP($D32,$C$5:$AV$509,4,)/VLOOKUP($D32,$C$5:$AV$509,3,))*$E32)</f>
        <v>0</v>
      </c>
      <c r="G32" s="47">
        <f>IF(VLOOKUP($D32,$C$5:$AV$509,3,)=0,0,(VLOOKUP($D32,$C$5:$AV$509,5,)/VLOOKUP($D32,$C$5:$AV$509,3,))*$E32)</f>
        <v>0</v>
      </c>
      <c r="H32" s="47">
        <f>IF(VLOOKUP($D32,$C$5:$AV$509,3,)=0,0,(VLOOKUP($D32,$C$5:$AV$509,6,)/VLOOKUP($D32,$C$5:$AV$509,3,))*$E32)</f>
        <v>0</v>
      </c>
      <c r="I32" s="47">
        <f>IF(VLOOKUP($D32,$C$5:$AV$509,3,)=0,0,(VLOOKUP($D32,$C$5:$AV$509,7,)/VLOOKUP($D32,$C$5:$AV$509,3,))*$E32)</f>
        <v>0</v>
      </c>
      <c r="J32" s="47">
        <f>IF(VLOOKUP($D32,$C$5:$AV$509,3,)=0,0,(VLOOKUP($D32,$C$5:$AV$509,8,)/VLOOKUP($D32,$C$5:$AV$509,3,))*$E32)</f>
        <v>0</v>
      </c>
      <c r="K32" s="47">
        <f>IF(VLOOKUP($D32,$C$5:$AV$509,3,)=0,0,(VLOOKUP($D32,$C$5:$AV$509,9,)/VLOOKUP($D32,$C$5:$AV$509,3,))*$E32)</f>
        <v>0</v>
      </c>
      <c r="L32" s="47">
        <f>IF(VLOOKUP($D32,$C$5:$AV$509,3,)=0,0,(VLOOKUP($D32,$C$5:$AV$509,10,)/VLOOKUP($D32,$C$5:$AV$509,3,))*$E32)</f>
        <v>0</v>
      </c>
      <c r="M32" s="47">
        <f>IF(VLOOKUP($D32,$C$5:$AV$509,3,)=0,0,(VLOOKUP($D32,$C$5:$AV$509,11,)/VLOOKUP($D32,$C$5:$AV$509,3,))*$E32)</f>
        <v>0</v>
      </c>
      <c r="N32" s="47">
        <f>IF(VLOOKUP($D32,$C$5:$AV$509,3,)=0,0,(VLOOKUP($D32,$C$5:$AV$509,12,)/VLOOKUP($D32,$C$5:$AV$509,3,))*$E32)</f>
        <v>5490429.0283871293</v>
      </c>
      <c r="O32" s="47">
        <f>IF(VLOOKUP($D32,$C$5:$AV$509,3,)=0,0,(VLOOKUP($D32,$C$5:$AV$509,14,)/VLOOKUP($D32,$C$5:$AV$509,3,))*$E32)</f>
        <v>0</v>
      </c>
      <c r="P32" s="47">
        <f>IF(VLOOKUP($D32,$C$5:$AV$509,3,)=0,0,(VLOOKUP($D32,$C$5:$AV$509,14,)/VLOOKUP($D32,$C$5:$AV$509,3,))*$E32)</f>
        <v>0</v>
      </c>
      <c r="Q32" s="47">
        <f>IF(VLOOKUP($D32,$C$5:$AV$509,3,)=0,0,(VLOOKUP($D32,$C$5:$AV$509,14,)/VLOOKUP($D32,$C$5:$AV$509,3,))*$E32)</f>
        <v>0</v>
      </c>
      <c r="R32" s="47">
        <f>IF(VLOOKUP($D32,$C$5:$AV$509,3,)=0,0,(VLOOKUP($D32,$C$5:$AV$509,15,)/VLOOKUP($D32,$C$5:$AV$509,3,))*$E32)</f>
        <v>0</v>
      </c>
      <c r="S32" s="47">
        <f>IF(VLOOKUP($D32,$C$5:$AV$509,3,)=0,0,(VLOOKUP($D32,$C$5:$AV$509,16,)/VLOOKUP($D32,$C$5:$AV$509,3,))*$E32)</f>
        <v>0</v>
      </c>
      <c r="T32" s="47">
        <f>IF(VLOOKUP($D32,$C$5:$AV$509,3,)=0,0,(VLOOKUP($D32,$C$5:$AV$509,17,)/VLOOKUP($D32,$C$5:$AV$509,3,))*$E32)</f>
        <v>0</v>
      </c>
      <c r="U32" s="47">
        <f>IF(VLOOKUP($D32,$C$5:$AV$509,3,)=0,0,(VLOOKUP($D32,$C$5:$AV$509,18,)/VLOOKUP($D32,$C$5:$AV$509,3,))*$E32)</f>
        <v>0</v>
      </c>
      <c r="V32" s="47">
        <f>IF(VLOOKUP($D32,$C$5:$AV$509,3,)=0,0,(VLOOKUP($D32,$C$5:$AV$509,19,)/VLOOKUP($D32,$C$5:$AV$509,3,))*$E32)</f>
        <v>0</v>
      </c>
      <c r="W32" s="47">
        <f>IF(VLOOKUP($D32,$C$5:$AV$509,3,)=0,0,(VLOOKUP($D32,$C$5:$AV$509,20,)/VLOOKUP($D32,$C$5:$AV$509,3,))*$E32)</f>
        <v>0</v>
      </c>
      <c r="X32" s="47">
        <f>IF(VLOOKUP($D32,$C$5:$AV$509,3,)=0,0,(VLOOKUP($D32,$C$5:$AV$509,21,)/VLOOKUP($D32,$C$5:$AV$509,3,))*$E32)</f>
        <v>0</v>
      </c>
      <c r="Y32" s="47">
        <f>IF(VLOOKUP($D32,$C$5:$AV$509,3,)=0,0,(VLOOKUP($D32,$C$5:$AV$509,22,)/VLOOKUP($D32,$C$5:$AV$509,3,))*$E32)</f>
        <v>0</v>
      </c>
      <c r="Z32" s="47">
        <f>IF(VLOOKUP($D32,$C$5:$AV$509,3,)=0,0,(VLOOKUP($D32,$C$5:$AV$509,23,)/VLOOKUP($D32,$C$5:$AV$509,3,))*$E32)</f>
        <v>0</v>
      </c>
      <c r="AA32" s="47">
        <f>IF(VLOOKUP($D32,$C$5:$AV$509,3,)=0,0,(VLOOKUP($D32,$C$5:$AV$509,24,)/VLOOKUP($D32,$C$5:$AV$509,3,))*$E32)</f>
        <v>0</v>
      </c>
      <c r="AB32" s="47">
        <f>IF(VLOOKUP($D32,$C$5:$AV$509,3,)=0,0,(VLOOKUP($D32,$C$5:$AV$509,25,)/VLOOKUP($D32,$C$5:$AV$509,3,))*$E32)</f>
        <v>0</v>
      </c>
      <c r="AC32" s="47">
        <f>IF(VLOOKUP($D32,$C$5:$AV$509,3,)=0,0,(VLOOKUP($D32,$C$5:$AV$509,26,)/VLOOKUP($D32,$C$5:$AV$509,3,))*$E32)</f>
        <v>0</v>
      </c>
      <c r="AD32" s="47">
        <f>IF(VLOOKUP($D32,$C$5:$AV$509,3,)=0,0,(VLOOKUP($D32,$C$5:$AV$509,27,)/VLOOKUP($D32,$C$5:$AV$509,3,))*$E32)</f>
        <v>0</v>
      </c>
      <c r="AE32" s="47">
        <f>IF(VLOOKUP($D32,$C$5:$AV$509,3,)=0,0,(VLOOKUP($D32,$C$5:$AV$509,28,)/VLOOKUP($D32,$C$5:$AV$509,3,))*$E32)</f>
        <v>0</v>
      </c>
      <c r="AF32" s="47">
        <f>IF(VLOOKUP($D32,$C$5:$AV$509,3,)=0,0,(VLOOKUP($D32,$C$5:$AV$509,29,)/VLOOKUP($D32,$C$5:$AV$509,3,))*$E32)</f>
        <v>0</v>
      </c>
      <c r="AG32" s="47">
        <f>IF(VLOOKUP($D32,$C$5:$AV$509,3,)=0,0,(VLOOKUP($D32,$C$5:$AV$509,30,)/VLOOKUP($D32,$C$5:$AV$509,3,))*$E32)</f>
        <v>0</v>
      </c>
      <c r="AH32" s="47">
        <f t="shared" ref="AH32" si="18">SUM(F32:AG32)</f>
        <v>5490429.0283871293</v>
      </c>
      <c r="AI32" s="27" t="str">
        <f>IF(ABS(E32-AH32)&lt;0.01,"ok","err")</f>
        <v>ok</v>
      </c>
    </row>
    <row r="33" spans="1:36" x14ac:dyDescent="0.2">
      <c r="E33" s="47"/>
    </row>
    <row r="34" spans="1:36" x14ac:dyDescent="0.2">
      <c r="A34" s="13" t="s">
        <v>545</v>
      </c>
      <c r="E34" s="47"/>
    </row>
    <row r="35" spans="1:36" x14ac:dyDescent="0.2">
      <c r="A35" s="90" t="s">
        <v>221</v>
      </c>
      <c r="C35" s="14" t="s">
        <v>233</v>
      </c>
      <c r="D35" s="14" t="s">
        <v>234</v>
      </c>
      <c r="E35" s="62">
        <f>'Func &amp; Classif'!Y82</f>
        <v>0</v>
      </c>
      <c r="F35" s="47">
        <f>IF(VLOOKUP($D35,$C$5:$AV$509,3,)=0,0,(VLOOKUP($D35,$C$5:$AV$509,4,)/VLOOKUP($D35,$C$5:$AV$509,3,))*$E35)</f>
        <v>0</v>
      </c>
      <c r="G35" s="47">
        <f>IF(VLOOKUP($D35,$C$5:$AV$509,3,)=0,0,(VLOOKUP($D35,$C$5:$AV$509,5,)/VLOOKUP($D35,$C$5:$AV$509,3,))*$E35)</f>
        <v>0</v>
      </c>
      <c r="H35" s="47">
        <f>IF(VLOOKUP($D35,$C$5:$AV$509,3,)=0,0,(VLOOKUP($D35,$C$5:$AV$509,6,)/VLOOKUP($D35,$C$5:$AV$509,3,))*$E35)</f>
        <v>0</v>
      </c>
      <c r="I35" s="47">
        <f>IF(VLOOKUP($D35,$C$5:$AV$509,3,)=0,0,(VLOOKUP($D35,$C$5:$AV$509,7,)/VLOOKUP($D35,$C$5:$AV$509,3,))*$E35)</f>
        <v>0</v>
      </c>
      <c r="J35" s="47">
        <f>IF(VLOOKUP($D35,$C$5:$AV$509,3,)=0,0,(VLOOKUP($D35,$C$5:$AV$509,8,)/VLOOKUP($D35,$C$5:$AV$509,3,))*$E35)</f>
        <v>0</v>
      </c>
      <c r="K35" s="47">
        <f>IF(VLOOKUP($D35,$C$5:$AV$509,3,)=0,0,(VLOOKUP($D35,$C$5:$AV$509,9,)/VLOOKUP($D35,$C$5:$AV$509,3,))*$E35)</f>
        <v>0</v>
      </c>
      <c r="L35" s="47">
        <f>IF(VLOOKUP($D35,$C$5:$AV$509,3,)=0,0,(VLOOKUP($D35,$C$5:$AV$509,10,)/VLOOKUP($D35,$C$5:$AV$509,3,))*$E35)</f>
        <v>0</v>
      </c>
      <c r="M35" s="47">
        <f>IF(VLOOKUP($D35,$C$5:$AV$509,3,)=0,0,(VLOOKUP($D35,$C$5:$AV$509,11,)/VLOOKUP($D35,$C$5:$AV$509,3,))*$E35)</f>
        <v>0</v>
      </c>
      <c r="N35" s="47">
        <f>IF(VLOOKUP($D35,$C$5:$AV$509,3,)=0,0,(VLOOKUP($D35,$C$5:$AV$509,12,)/VLOOKUP($D35,$C$5:$AV$509,3,))*$E35)</f>
        <v>0</v>
      </c>
      <c r="O35" s="47">
        <f>IF(VLOOKUP($D35,$C$5:$AV$509,3,)=0,0,(VLOOKUP($D35,$C$5:$AV$509,14,)/VLOOKUP($D35,$C$5:$AV$509,3,))*$E35)</f>
        <v>0</v>
      </c>
      <c r="P35" s="47">
        <f>IF(VLOOKUP($D35,$C$5:$AV$509,3,)=0,0,(VLOOKUP($D35,$C$5:$AV$509,14,)/VLOOKUP($D35,$C$5:$AV$509,3,))*$E35)</f>
        <v>0</v>
      </c>
      <c r="Q35" s="47">
        <f>IF(VLOOKUP($D35,$C$5:$AV$509,3,)=0,0,(VLOOKUP($D35,$C$5:$AV$509,14,)/VLOOKUP($D35,$C$5:$AV$509,3,))*$E35)</f>
        <v>0</v>
      </c>
      <c r="R35" s="47">
        <f>IF(VLOOKUP($D35,$C$5:$AV$509,3,)=0,0,(VLOOKUP($D35,$C$5:$AV$509,15,)/VLOOKUP($D35,$C$5:$AV$509,3,))*$E35)</f>
        <v>0</v>
      </c>
      <c r="S35" s="47">
        <f>IF(VLOOKUP($D35,$C$5:$AV$509,3,)=0,0,(VLOOKUP($D35,$C$5:$AV$509,16,)/VLOOKUP($D35,$C$5:$AV$509,3,))*$E35)</f>
        <v>0</v>
      </c>
      <c r="T35" s="47">
        <f>IF(VLOOKUP($D35,$C$5:$AV$509,3,)=0,0,(VLOOKUP($D35,$C$5:$AV$509,17,)/VLOOKUP($D35,$C$5:$AV$509,3,))*$E35)</f>
        <v>0</v>
      </c>
      <c r="U35" s="47">
        <f>IF(VLOOKUP($D35,$C$5:$AV$509,3,)=0,0,(VLOOKUP($D35,$C$5:$AV$509,18,)/VLOOKUP($D35,$C$5:$AV$509,3,))*$E35)</f>
        <v>0</v>
      </c>
      <c r="V35" s="47">
        <f>IF(VLOOKUP($D35,$C$5:$AV$509,3,)=0,0,(VLOOKUP($D35,$C$5:$AV$509,19,)/VLOOKUP($D35,$C$5:$AV$509,3,))*$E35)</f>
        <v>0</v>
      </c>
      <c r="W35" s="47">
        <f>IF(VLOOKUP($D35,$C$5:$AV$509,3,)=0,0,(VLOOKUP($D35,$C$5:$AV$509,20,)/VLOOKUP($D35,$C$5:$AV$509,3,))*$E35)</f>
        <v>0</v>
      </c>
      <c r="X35" s="47">
        <f>IF(VLOOKUP($D35,$C$5:$AV$509,3,)=0,0,(VLOOKUP($D35,$C$5:$AV$509,21,)/VLOOKUP($D35,$C$5:$AV$509,3,))*$E35)</f>
        <v>0</v>
      </c>
      <c r="Y35" s="47">
        <f>IF(VLOOKUP($D35,$C$5:$AV$509,3,)=0,0,(VLOOKUP($D35,$C$5:$AV$509,22,)/VLOOKUP($D35,$C$5:$AV$509,3,))*$E35)</f>
        <v>0</v>
      </c>
      <c r="Z35" s="47">
        <f>IF(VLOOKUP($D35,$C$5:$AV$509,3,)=0,0,(VLOOKUP($D35,$C$5:$AV$509,23,)/VLOOKUP($D35,$C$5:$AV$509,3,))*$E35)</f>
        <v>0</v>
      </c>
      <c r="AA35" s="47">
        <f>IF(VLOOKUP($D35,$C$5:$AV$509,3,)=0,0,(VLOOKUP($D35,$C$5:$AV$509,24,)/VLOOKUP($D35,$C$5:$AV$509,3,))*$E35)</f>
        <v>0</v>
      </c>
      <c r="AB35" s="47">
        <f>IF(VLOOKUP($D35,$C$5:$AV$509,3,)=0,0,(VLOOKUP($D35,$C$5:$AV$509,25,)/VLOOKUP($D35,$C$5:$AV$509,3,))*$E35)</f>
        <v>0</v>
      </c>
      <c r="AC35" s="47">
        <f>IF(VLOOKUP($D35,$C$5:$AV$509,3,)=0,0,(VLOOKUP($D35,$C$5:$AV$509,26,)/VLOOKUP($D35,$C$5:$AV$509,3,))*$E35)</f>
        <v>0</v>
      </c>
      <c r="AD35" s="47">
        <f>IF(VLOOKUP($D35,$C$5:$AV$509,3,)=0,0,(VLOOKUP($D35,$C$5:$AV$509,27,)/VLOOKUP($D35,$C$5:$AV$509,3,))*$E35)</f>
        <v>0</v>
      </c>
      <c r="AE35" s="47">
        <f>IF(VLOOKUP($D35,$C$5:$AV$509,3,)=0,0,(VLOOKUP($D35,$C$5:$AV$509,28,)/VLOOKUP($D35,$C$5:$AV$509,3,))*$E35)</f>
        <v>0</v>
      </c>
      <c r="AF35" s="47">
        <f>IF(VLOOKUP($D35,$C$5:$AV$509,3,)=0,0,(VLOOKUP($D35,$C$5:$AV$509,29,)/VLOOKUP($D35,$C$5:$AV$509,3,))*$E35)</f>
        <v>0</v>
      </c>
      <c r="AG35" s="47">
        <f>IF(VLOOKUP($D35,$C$5:$AV$509,3,)=0,0,(VLOOKUP($D35,$C$5:$AV$509,30,)/VLOOKUP($D35,$C$5:$AV$509,3,))*$E35)</f>
        <v>0</v>
      </c>
      <c r="AH35" s="47">
        <f t="shared" ref="AH35" si="19">SUM(F35:AG35)</f>
        <v>0</v>
      </c>
      <c r="AI35" s="27" t="str">
        <f>IF(ABS(E35-AH35)&lt;0.01,"ok","err")</f>
        <v>ok</v>
      </c>
    </row>
    <row r="36" spans="1:36" x14ac:dyDescent="0.2">
      <c r="E36" s="47"/>
    </row>
    <row r="37" spans="1:36" x14ac:dyDescent="0.2">
      <c r="A37" s="13" t="s">
        <v>470</v>
      </c>
      <c r="E37" s="47"/>
    </row>
    <row r="38" spans="1:36" x14ac:dyDescent="0.2">
      <c r="A38" s="90" t="s">
        <v>221</v>
      </c>
      <c r="C38" s="14" t="s">
        <v>226</v>
      </c>
      <c r="D38" s="14" t="s">
        <v>235</v>
      </c>
      <c r="E38" s="62">
        <f>'Func &amp; Classif'!AA82</f>
        <v>0</v>
      </c>
      <c r="F38" s="47">
        <f>IF(VLOOKUP($D38,$C$5:$AV$509,3,)=0,0,(VLOOKUP($D38,$C$5:$AV$509,4,)/VLOOKUP($D38,$C$5:$AV$509,3,))*$E38)</f>
        <v>0</v>
      </c>
      <c r="G38" s="47">
        <f>IF(VLOOKUP($D38,$C$5:$AV$509,3,)=0,0,(VLOOKUP($D38,$C$5:$AV$509,5,)/VLOOKUP($D38,$C$5:$AV$509,3,))*$E38)</f>
        <v>0</v>
      </c>
      <c r="H38" s="47">
        <f>IF(VLOOKUP($D38,$C$5:$AV$509,3,)=0,0,(VLOOKUP($D38,$C$5:$AV$509,6,)/VLOOKUP($D38,$C$5:$AV$509,3,))*$E38)</f>
        <v>0</v>
      </c>
      <c r="I38" s="47">
        <f>IF(VLOOKUP($D38,$C$5:$AV$509,3,)=0,0,(VLOOKUP($D38,$C$5:$AV$509,7,)/VLOOKUP($D38,$C$5:$AV$509,3,))*$E38)</f>
        <v>0</v>
      </c>
      <c r="J38" s="47">
        <f>IF(VLOOKUP($D38,$C$5:$AV$509,3,)=0,0,(VLOOKUP($D38,$C$5:$AV$509,8,)/VLOOKUP($D38,$C$5:$AV$509,3,))*$E38)</f>
        <v>0</v>
      </c>
      <c r="K38" s="47">
        <f>IF(VLOOKUP($D38,$C$5:$AV$509,3,)=0,0,(VLOOKUP($D38,$C$5:$AV$509,9,)/VLOOKUP($D38,$C$5:$AV$509,3,))*$E38)</f>
        <v>0</v>
      </c>
      <c r="L38" s="47">
        <f>IF(VLOOKUP($D38,$C$5:$AV$509,3,)=0,0,(VLOOKUP($D38,$C$5:$AV$509,10,)/VLOOKUP($D38,$C$5:$AV$509,3,))*$E38)</f>
        <v>0</v>
      </c>
      <c r="M38" s="47">
        <f>IF(VLOOKUP($D38,$C$5:$AV$509,3,)=0,0,(VLOOKUP($D38,$C$5:$AV$509,11,)/VLOOKUP($D38,$C$5:$AV$509,3,))*$E38)</f>
        <v>0</v>
      </c>
      <c r="N38" s="47">
        <f>IF(VLOOKUP($D38,$C$5:$AV$509,3,)=0,0,(VLOOKUP($D38,$C$5:$AV$509,12,)/VLOOKUP($D38,$C$5:$AV$509,3,))*$E38)</f>
        <v>0</v>
      </c>
      <c r="O38" s="47">
        <f>IF(VLOOKUP($D38,$C$5:$AV$509,3,)=0,0,(VLOOKUP($D38,$C$5:$AV$509,14,)/VLOOKUP($D38,$C$5:$AV$509,3,))*$E38)</f>
        <v>0</v>
      </c>
      <c r="P38" s="47">
        <f>IF(VLOOKUP($D38,$C$5:$AV$509,3,)=0,0,(VLOOKUP($D38,$C$5:$AV$509,14,)/VLOOKUP($D38,$C$5:$AV$509,3,))*$E38)</f>
        <v>0</v>
      </c>
      <c r="Q38" s="47">
        <f>IF(VLOOKUP($D38,$C$5:$AV$509,3,)=0,0,(VLOOKUP($D38,$C$5:$AV$509,14,)/VLOOKUP($D38,$C$5:$AV$509,3,))*$E38)</f>
        <v>0</v>
      </c>
      <c r="R38" s="47">
        <f>IF(VLOOKUP($D38,$C$5:$AV$509,3,)=0,0,(VLOOKUP($D38,$C$5:$AV$509,15,)/VLOOKUP($D38,$C$5:$AV$509,3,))*$E38)</f>
        <v>0</v>
      </c>
      <c r="S38" s="47">
        <f>IF(VLOOKUP($D38,$C$5:$AV$509,3,)=0,0,(VLOOKUP($D38,$C$5:$AV$509,16,)/VLOOKUP($D38,$C$5:$AV$509,3,))*$E38)</f>
        <v>0</v>
      </c>
      <c r="T38" s="47">
        <f>IF(VLOOKUP($D38,$C$5:$AV$509,3,)=0,0,(VLOOKUP($D38,$C$5:$AV$509,17,)/VLOOKUP($D38,$C$5:$AV$509,3,))*$E38)</f>
        <v>0</v>
      </c>
      <c r="U38" s="47">
        <f>IF(VLOOKUP($D38,$C$5:$AV$509,3,)=0,0,(VLOOKUP($D38,$C$5:$AV$509,18,)/VLOOKUP($D38,$C$5:$AV$509,3,))*$E38)</f>
        <v>0</v>
      </c>
      <c r="V38" s="47">
        <f>IF(VLOOKUP($D38,$C$5:$AV$509,3,)=0,0,(VLOOKUP($D38,$C$5:$AV$509,19,)/VLOOKUP($D38,$C$5:$AV$509,3,))*$E38)</f>
        <v>0</v>
      </c>
      <c r="W38" s="47">
        <f>IF(VLOOKUP($D38,$C$5:$AV$509,3,)=0,0,(VLOOKUP($D38,$C$5:$AV$509,20,)/VLOOKUP($D38,$C$5:$AV$509,3,))*$E38)</f>
        <v>0</v>
      </c>
      <c r="X38" s="47">
        <f>IF(VLOOKUP($D38,$C$5:$AV$509,3,)=0,0,(VLOOKUP($D38,$C$5:$AV$509,21,)/VLOOKUP($D38,$C$5:$AV$509,3,))*$E38)</f>
        <v>0</v>
      </c>
      <c r="Y38" s="47">
        <f>IF(VLOOKUP($D38,$C$5:$AV$509,3,)=0,0,(VLOOKUP($D38,$C$5:$AV$509,22,)/VLOOKUP($D38,$C$5:$AV$509,3,))*$E38)</f>
        <v>0</v>
      </c>
      <c r="Z38" s="47">
        <f>IF(VLOOKUP($D38,$C$5:$AV$509,3,)=0,0,(VLOOKUP($D38,$C$5:$AV$509,23,)/VLOOKUP($D38,$C$5:$AV$509,3,))*$E38)</f>
        <v>0</v>
      </c>
      <c r="AA38" s="47">
        <f>IF(VLOOKUP($D38,$C$5:$AV$509,3,)=0,0,(VLOOKUP($D38,$C$5:$AV$509,24,)/VLOOKUP($D38,$C$5:$AV$509,3,))*$E38)</f>
        <v>0</v>
      </c>
      <c r="AB38" s="47">
        <f>IF(VLOOKUP($D38,$C$5:$AV$509,3,)=0,0,(VLOOKUP($D38,$C$5:$AV$509,25,)/VLOOKUP($D38,$C$5:$AV$509,3,))*$E38)</f>
        <v>0</v>
      </c>
      <c r="AC38" s="47">
        <f>IF(VLOOKUP($D38,$C$5:$AV$509,3,)=0,0,(VLOOKUP($D38,$C$5:$AV$509,26,)/VLOOKUP($D38,$C$5:$AV$509,3,))*$E38)</f>
        <v>0</v>
      </c>
      <c r="AD38" s="47">
        <f>IF(VLOOKUP($D38,$C$5:$AV$509,3,)=0,0,(VLOOKUP($D38,$C$5:$AV$509,27,)/VLOOKUP($D38,$C$5:$AV$509,3,))*$E38)</f>
        <v>0</v>
      </c>
      <c r="AE38" s="47">
        <f>IF(VLOOKUP($D38,$C$5:$AV$509,3,)=0,0,(VLOOKUP($D38,$C$5:$AV$509,28,)/VLOOKUP($D38,$C$5:$AV$509,3,))*$E38)</f>
        <v>0</v>
      </c>
      <c r="AF38" s="47">
        <f>IF(VLOOKUP($D38,$C$5:$AV$509,3,)=0,0,(VLOOKUP($D38,$C$5:$AV$509,29,)/VLOOKUP($D38,$C$5:$AV$509,3,))*$E38)</f>
        <v>0</v>
      </c>
      <c r="AG38" s="47">
        <f>IF(VLOOKUP($D38,$C$5:$AV$509,3,)=0,0,(VLOOKUP($D38,$C$5:$AV$509,30,)/VLOOKUP($D38,$C$5:$AV$509,3,))*$E38)</f>
        <v>0</v>
      </c>
      <c r="AH38" s="47">
        <f t="shared" ref="AH38" si="20">SUM(F38:AG38)</f>
        <v>0</v>
      </c>
      <c r="AI38" s="27" t="str">
        <f>IF(ABS(E38-AH38)&lt;0.01,"ok","err")</f>
        <v>ok</v>
      </c>
    </row>
    <row r="39" spans="1:36" x14ac:dyDescent="0.2">
      <c r="E39" s="47"/>
    </row>
    <row r="40" spans="1:36" x14ac:dyDescent="0.2">
      <c r="A40" s="14" t="s">
        <v>0</v>
      </c>
      <c r="C40" s="14" t="s">
        <v>236</v>
      </c>
      <c r="E40" s="62">
        <f>E10+E13+E16+E21+E26+E29+E32+E35+E38</f>
        <v>163218446.41</v>
      </c>
      <c r="F40" s="62">
        <f t="shared" ref="F40:S40" si="21">F10+F13+F16+F21+F26+F29+F32+F35+F38</f>
        <v>138584673.5791831</v>
      </c>
      <c r="G40" s="62">
        <f t="shared" si="21"/>
        <v>42985.118978496874</v>
      </c>
      <c r="H40" s="62">
        <f t="shared" si="21"/>
        <v>12068718.987256663</v>
      </c>
      <c r="I40" s="62">
        <f t="shared" si="21"/>
        <v>1606839.6315991511</v>
      </c>
      <c r="J40" s="62">
        <f t="shared" si="21"/>
        <v>3097427.6511055501</v>
      </c>
      <c r="K40" s="62">
        <f t="shared" si="21"/>
        <v>0</v>
      </c>
      <c r="L40" s="62">
        <f t="shared" si="21"/>
        <v>1157043.1473500042</v>
      </c>
      <c r="M40" s="62">
        <f t="shared" ref="M40" si="22">M10+M13+M16+M21+M26+M29+M32+M35+M38</f>
        <v>325834.15893426642</v>
      </c>
      <c r="N40" s="62">
        <f t="shared" si="21"/>
        <v>6334924.1355927847</v>
      </c>
      <c r="O40" s="62">
        <f t="shared" si="21"/>
        <v>0</v>
      </c>
      <c r="P40" s="62">
        <f t="shared" si="21"/>
        <v>0</v>
      </c>
      <c r="Q40" s="62">
        <f t="shared" si="21"/>
        <v>0</v>
      </c>
      <c r="R40" s="62">
        <f t="shared" si="21"/>
        <v>0</v>
      </c>
      <c r="S40" s="62">
        <f t="shared" si="21"/>
        <v>0</v>
      </c>
      <c r="T40" s="62">
        <f t="shared" ref="T40:AG40" si="23">T10+T16+T21+T26+T29+T32+T35+T38</f>
        <v>0</v>
      </c>
      <c r="U40" s="62">
        <f t="shared" si="23"/>
        <v>0</v>
      </c>
      <c r="V40" s="62">
        <f t="shared" si="23"/>
        <v>0</v>
      </c>
      <c r="W40" s="62">
        <f t="shared" si="23"/>
        <v>0</v>
      </c>
      <c r="X40" s="62">
        <f t="shared" si="23"/>
        <v>0</v>
      </c>
      <c r="Y40" s="62">
        <f t="shared" si="23"/>
        <v>0</v>
      </c>
      <c r="Z40" s="62">
        <f t="shared" si="23"/>
        <v>0</v>
      </c>
      <c r="AA40" s="62">
        <f t="shared" si="23"/>
        <v>0</v>
      </c>
      <c r="AB40" s="62">
        <f t="shared" si="23"/>
        <v>0</v>
      </c>
      <c r="AC40" s="62">
        <f t="shared" si="23"/>
        <v>0</v>
      </c>
      <c r="AD40" s="62">
        <f t="shared" si="23"/>
        <v>0</v>
      </c>
      <c r="AE40" s="62">
        <f t="shared" si="23"/>
        <v>0</v>
      </c>
      <c r="AF40" s="62">
        <f t="shared" si="23"/>
        <v>0</v>
      </c>
      <c r="AG40" s="62">
        <f t="shared" si="23"/>
        <v>0</v>
      </c>
      <c r="AH40" s="87">
        <f>SUM(F40:AG40)</f>
        <v>163218446.41000006</v>
      </c>
      <c r="AI40" s="27" t="str">
        <f>IF(ABS(E40-AH40)&lt;0.01,"ok","err")</f>
        <v>ok</v>
      </c>
      <c r="AJ40" s="87"/>
    </row>
    <row r="44" spans="1:36" x14ac:dyDescent="0.2">
      <c r="A44" s="25" t="s">
        <v>83</v>
      </c>
    </row>
    <row r="46" spans="1:36" x14ac:dyDescent="0.2">
      <c r="A46" s="13" t="s">
        <v>896</v>
      </c>
    </row>
    <row r="47" spans="1:36" x14ac:dyDescent="0.2">
      <c r="A47" s="90" t="s">
        <v>209</v>
      </c>
      <c r="C47" s="14" t="s">
        <v>237</v>
      </c>
      <c r="D47" s="14" t="s">
        <v>657</v>
      </c>
      <c r="E47" s="62">
        <f>'Func &amp; Classif'!H126</f>
        <v>0</v>
      </c>
      <c r="F47" s="47">
        <f>IF(VLOOKUP($D47,$C$5:$AV$509,3,)=0,0,(VLOOKUP($D47,$C$5:$AV$509,4,)/VLOOKUP($D47,$C$5:$AV$509,3,))*$E47)</f>
        <v>0</v>
      </c>
      <c r="G47" s="47">
        <f>IF(VLOOKUP($D47,$C$5:$AV$509,3,)=0,0,(VLOOKUP($D47,$C$5:$AV$509,5,)/VLOOKUP($D47,$C$5:$AV$509,3,))*$E47)</f>
        <v>0</v>
      </c>
      <c r="H47" s="47">
        <f>IF(VLOOKUP($D47,$C$5:$AV$509,3,)=0,0,(VLOOKUP($D47,$C$5:$AV$509,6,)/VLOOKUP($D47,$C$5:$AV$509,3,))*$E47)</f>
        <v>0</v>
      </c>
      <c r="I47" s="47">
        <f>IF(VLOOKUP($D47,$C$5:$AV$509,3,)=0,0,(VLOOKUP($D47,$C$5:$AV$509,7,)/VLOOKUP($D47,$C$5:$AV$509,3,))*$E47)</f>
        <v>0</v>
      </c>
      <c r="J47" s="47">
        <f>IF(VLOOKUP($D47,$C$5:$AV$509,3,)=0,0,(VLOOKUP($D47,$C$5:$AV$509,8,)/VLOOKUP($D47,$C$5:$AV$509,3,))*$E47)</f>
        <v>0</v>
      </c>
      <c r="K47" s="47">
        <f>IF(VLOOKUP($D47,$C$5:$AV$509,3,)=0,0,(VLOOKUP($D47,$C$5:$AV$509,9,)/VLOOKUP($D47,$C$5:$AV$509,3,))*$E47)</f>
        <v>0</v>
      </c>
      <c r="L47" s="47">
        <f>IF(VLOOKUP($D47,$C$5:$AV$509,3,)=0,0,(VLOOKUP($D47,$C$5:$AV$509,10,)/VLOOKUP($D47,$C$5:$AV$509,3,))*$E47)</f>
        <v>0</v>
      </c>
      <c r="M47" s="47">
        <f>IF(VLOOKUP($D47,$C$5:$AV$509,3,)=0,0,(VLOOKUP($D47,$C$5:$AV$509,11,)/VLOOKUP($D47,$C$5:$AV$509,3,))*$E47)</f>
        <v>0</v>
      </c>
      <c r="N47" s="47">
        <f>IF(VLOOKUP($D47,$C$5:$AV$509,3,)=0,0,(VLOOKUP($D47,$C$5:$AV$509,12,)/VLOOKUP($D47,$C$5:$AV$509,3,))*$E47)</f>
        <v>0</v>
      </c>
      <c r="O47" s="47">
        <f t="shared" ref="O47:Q48" si="24">IF(VLOOKUP($D47,$C$5:$AV$509,3,)=0,0,(VLOOKUP($D47,$C$5:$AV$509,14,)/VLOOKUP($D47,$C$5:$AV$509,3,))*$E47)</f>
        <v>0</v>
      </c>
      <c r="P47" s="47">
        <f t="shared" si="24"/>
        <v>0</v>
      </c>
      <c r="Q47" s="47">
        <f t="shared" si="24"/>
        <v>0</v>
      </c>
      <c r="R47" s="47">
        <f>IF(VLOOKUP($D47,$C$5:$AV$509,3,)=0,0,(VLOOKUP($D47,$C$5:$AV$509,15,)/VLOOKUP($D47,$C$5:$AV$509,3,))*$E47)</f>
        <v>0</v>
      </c>
      <c r="S47" s="47">
        <f>IF(VLOOKUP($D47,$C$5:$AV$509,3,)=0,0,(VLOOKUP($D47,$C$5:$AV$509,16,)/VLOOKUP($D47,$C$5:$AV$509,3,))*$E47)</f>
        <v>0</v>
      </c>
      <c r="T47" s="47">
        <f>IF(VLOOKUP($D47,$C$5:$AV$509,3,)=0,0,(VLOOKUP($D47,$C$5:$AV$509,17,)/VLOOKUP($D47,$C$5:$AV$509,3,))*$E47)</f>
        <v>0</v>
      </c>
      <c r="U47" s="47">
        <f>IF(VLOOKUP($D47,$C$5:$AV$509,3,)=0,0,(VLOOKUP($D47,$C$5:$AV$509,18,)/VLOOKUP($D47,$C$5:$AV$509,3,))*$E47)</f>
        <v>0</v>
      </c>
      <c r="V47" s="47">
        <f>IF(VLOOKUP($D47,$C$5:$AV$509,3,)=0,0,(VLOOKUP($D47,$C$5:$AV$509,19,)/VLOOKUP($D47,$C$5:$AV$509,3,))*$E47)</f>
        <v>0</v>
      </c>
      <c r="W47" s="47">
        <f>IF(VLOOKUP($D47,$C$5:$AV$509,3,)=0,0,(VLOOKUP($D47,$C$5:$AV$509,20,)/VLOOKUP($D47,$C$5:$AV$509,3,))*$E47)</f>
        <v>0</v>
      </c>
      <c r="X47" s="47">
        <f>IF(VLOOKUP($D47,$C$5:$AV$509,3,)=0,0,(VLOOKUP($D47,$C$5:$AV$509,21,)/VLOOKUP($D47,$C$5:$AV$509,3,))*$E47)</f>
        <v>0</v>
      </c>
      <c r="Y47" s="47">
        <f>IF(VLOOKUP($D47,$C$5:$AV$509,3,)=0,0,(VLOOKUP($D47,$C$5:$AV$509,22,)/VLOOKUP($D47,$C$5:$AV$509,3,))*$E47)</f>
        <v>0</v>
      </c>
      <c r="Z47" s="47">
        <f>IF(VLOOKUP($D47,$C$5:$AV$509,3,)=0,0,(VLOOKUP($D47,$C$5:$AV$509,23,)/VLOOKUP($D47,$C$5:$AV$509,3,))*$E47)</f>
        <v>0</v>
      </c>
      <c r="AA47" s="47">
        <f>IF(VLOOKUP($D47,$C$5:$AV$509,3,)=0,0,(VLOOKUP($D47,$C$5:$AV$509,24,)/VLOOKUP($D47,$C$5:$AV$509,3,))*$E47)</f>
        <v>0</v>
      </c>
      <c r="AB47" s="47">
        <f>IF(VLOOKUP($D47,$C$5:$AV$509,3,)=0,0,(VLOOKUP($D47,$C$5:$AV$509,25,)/VLOOKUP($D47,$C$5:$AV$509,3,))*$E47)</f>
        <v>0</v>
      </c>
      <c r="AC47" s="47">
        <f>IF(VLOOKUP($D47,$C$5:$AV$509,3,)=0,0,(VLOOKUP($D47,$C$5:$AV$509,26,)/VLOOKUP($D47,$C$5:$AV$509,3,))*$E47)</f>
        <v>0</v>
      </c>
      <c r="AD47" s="47">
        <f>IF(VLOOKUP($D47,$C$5:$AV$509,3,)=0,0,(VLOOKUP($D47,$C$5:$AV$509,27,)/VLOOKUP($D47,$C$5:$AV$509,3,))*$E47)</f>
        <v>0</v>
      </c>
      <c r="AE47" s="47">
        <f>IF(VLOOKUP($D47,$C$5:$AV$509,3,)=0,0,(VLOOKUP($D47,$C$5:$AV$509,28,)/VLOOKUP($D47,$C$5:$AV$509,3,))*$E47)</f>
        <v>0</v>
      </c>
      <c r="AF47" s="47">
        <f>IF(VLOOKUP($D47,$C$5:$AV$509,3,)=0,0,(VLOOKUP($D47,$C$5:$AV$509,29,)/VLOOKUP($D47,$C$5:$AV$509,3,))*$E47)</f>
        <v>0</v>
      </c>
      <c r="AG47" s="47">
        <f>IF(VLOOKUP($D47,$C$5:$AV$509,3,)=0,0,(VLOOKUP($D47,$C$5:$AV$509,30,)/VLOOKUP($D47,$C$5:$AV$509,3,))*$E47)</f>
        <v>0</v>
      </c>
      <c r="AH47" s="47">
        <f t="shared" ref="AH47:AH48" si="25">SUM(F47:AG47)</f>
        <v>0</v>
      </c>
      <c r="AI47" s="27" t="str">
        <f>IF(ABS(E47-AH47)&lt;0.01,"ok","err")</f>
        <v>ok</v>
      </c>
    </row>
    <row r="48" spans="1:36" x14ac:dyDescent="0.2">
      <c r="A48" s="90" t="s">
        <v>212</v>
      </c>
      <c r="C48" s="14" t="s">
        <v>238</v>
      </c>
      <c r="D48" s="14" t="s">
        <v>666</v>
      </c>
      <c r="E48" s="47">
        <f>'Func &amp; Classif'!I126</f>
        <v>0</v>
      </c>
      <c r="F48" s="47">
        <f>IF(VLOOKUP($D48,$C$5:$AV$509,3,)=0,0,(VLOOKUP($D48,$C$5:$AV$509,4,)/VLOOKUP($D48,$C$5:$AV$509,3,))*$E48)</f>
        <v>0</v>
      </c>
      <c r="G48" s="47">
        <f>IF(VLOOKUP($D48,$C$5:$AV$509,3,)=0,0,(VLOOKUP($D48,$C$5:$AV$509,5,)/VLOOKUP($D48,$C$5:$AV$509,3,))*$E48)</f>
        <v>0</v>
      </c>
      <c r="H48" s="47">
        <f>IF(VLOOKUP($D48,$C$5:$AV$509,3,)=0,0,(VLOOKUP($D48,$C$5:$AV$509,6,)/VLOOKUP($D48,$C$5:$AV$509,3,))*$E48)</f>
        <v>0</v>
      </c>
      <c r="I48" s="47">
        <f>IF(VLOOKUP($D48,$C$5:$AV$509,3,)=0,0,(VLOOKUP($D48,$C$5:$AV$509,7,)/VLOOKUP($D48,$C$5:$AV$509,3,))*$E48)</f>
        <v>0</v>
      </c>
      <c r="J48" s="47">
        <f>IF(VLOOKUP($D48,$C$5:$AV$509,3,)=0,0,(VLOOKUP($D48,$C$5:$AV$509,8,)/VLOOKUP($D48,$C$5:$AV$509,3,))*$E48)</f>
        <v>0</v>
      </c>
      <c r="K48" s="47">
        <f>IF(VLOOKUP($D48,$C$5:$AV$509,3,)=0,0,(VLOOKUP($D48,$C$5:$AV$509,9,)/VLOOKUP($D48,$C$5:$AV$509,3,))*$E48)</f>
        <v>0</v>
      </c>
      <c r="L48" s="47">
        <f>IF(VLOOKUP($D48,$C$5:$AV$509,3,)=0,0,(VLOOKUP($D48,$C$5:$AV$509,10,)/VLOOKUP($D48,$C$5:$AV$509,3,))*$E48)</f>
        <v>0</v>
      </c>
      <c r="M48" s="47">
        <f>IF(VLOOKUP($D48,$C$5:$AV$509,3,)=0,0,(VLOOKUP($D48,$C$5:$AV$509,11,)/VLOOKUP($D48,$C$5:$AV$509,3,))*$E48)</f>
        <v>0</v>
      </c>
      <c r="N48" s="47">
        <f>IF(VLOOKUP($D48,$C$5:$AV$509,3,)=0,0,(VLOOKUP($D48,$C$5:$AV$509,12,)/VLOOKUP($D48,$C$5:$AV$509,3,))*$E48)</f>
        <v>0</v>
      </c>
      <c r="O48" s="47">
        <f t="shared" si="24"/>
        <v>0</v>
      </c>
      <c r="P48" s="47">
        <f t="shared" si="24"/>
        <v>0</v>
      </c>
      <c r="Q48" s="47">
        <f t="shared" si="24"/>
        <v>0</v>
      </c>
      <c r="R48" s="47">
        <f>IF(VLOOKUP($D48,$C$5:$AV$509,3,)=0,0,(VLOOKUP($D48,$C$5:$AV$509,15,)/VLOOKUP($D48,$C$5:$AV$509,3,))*$E48)</f>
        <v>0</v>
      </c>
      <c r="S48" s="47">
        <f>IF(VLOOKUP($D48,$C$5:$AV$509,3,)=0,0,(VLOOKUP($D48,$C$5:$AV$509,16,)/VLOOKUP($D48,$C$5:$AV$509,3,))*$E48)</f>
        <v>0</v>
      </c>
      <c r="T48" s="47">
        <f>IF(VLOOKUP($D48,$C$5:$AV$509,3,)=0,0,(VLOOKUP($D48,$C$5:$AV$509,17,)/VLOOKUP($D48,$C$5:$AV$509,3,))*$E48)</f>
        <v>0</v>
      </c>
      <c r="U48" s="47">
        <f>IF(VLOOKUP($D48,$C$5:$AV$509,3,)=0,0,(VLOOKUP($D48,$C$5:$AV$509,18,)/VLOOKUP($D48,$C$5:$AV$509,3,))*$E48)</f>
        <v>0</v>
      </c>
      <c r="V48" s="47">
        <f>IF(VLOOKUP($D48,$C$5:$AV$509,3,)=0,0,(VLOOKUP($D48,$C$5:$AV$509,19,)/VLOOKUP($D48,$C$5:$AV$509,3,))*$E48)</f>
        <v>0</v>
      </c>
      <c r="W48" s="47">
        <f>IF(VLOOKUP($D48,$C$5:$AV$509,3,)=0,0,(VLOOKUP($D48,$C$5:$AV$509,20,)/VLOOKUP($D48,$C$5:$AV$509,3,))*$E48)</f>
        <v>0</v>
      </c>
      <c r="X48" s="47">
        <f>IF(VLOOKUP($D48,$C$5:$AV$509,3,)=0,0,(VLOOKUP($D48,$C$5:$AV$509,21,)/VLOOKUP($D48,$C$5:$AV$509,3,))*$E48)</f>
        <v>0</v>
      </c>
      <c r="Y48" s="47">
        <f>IF(VLOOKUP($D48,$C$5:$AV$509,3,)=0,0,(VLOOKUP($D48,$C$5:$AV$509,22,)/VLOOKUP($D48,$C$5:$AV$509,3,))*$E48)</f>
        <v>0</v>
      </c>
      <c r="Z48" s="47">
        <f>IF(VLOOKUP($D48,$C$5:$AV$509,3,)=0,0,(VLOOKUP($D48,$C$5:$AV$509,23,)/VLOOKUP($D48,$C$5:$AV$509,3,))*$E48)</f>
        <v>0</v>
      </c>
      <c r="AA48" s="47">
        <f>IF(VLOOKUP($D48,$C$5:$AV$509,3,)=0,0,(VLOOKUP($D48,$C$5:$AV$509,24,)/VLOOKUP($D48,$C$5:$AV$509,3,))*$E48)</f>
        <v>0</v>
      </c>
      <c r="AB48" s="47">
        <f>IF(VLOOKUP($D48,$C$5:$AV$509,3,)=0,0,(VLOOKUP($D48,$C$5:$AV$509,25,)/VLOOKUP($D48,$C$5:$AV$509,3,))*$E48)</f>
        <v>0</v>
      </c>
      <c r="AC48" s="47">
        <f>IF(VLOOKUP($D48,$C$5:$AV$509,3,)=0,0,(VLOOKUP($D48,$C$5:$AV$509,26,)/VLOOKUP($D48,$C$5:$AV$509,3,))*$E48)</f>
        <v>0</v>
      </c>
      <c r="AD48" s="47">
        <f>IF(VLOOKUP($D48,$C$5:$AV$509,3,)=0,0,(VLOOKUP($D48,$C$5:$AV$509,27,)/VLOOKUP($D48,$C$5:$AV$509,3,))*$E48)</f>
        <v>0</v>
      </c>
      <c r="AE48" s="47">
        <f>IF(VLOOKUP($D48,$C$5:$AV$509,3,)=0,0,(VLOOKUP($D48,$C$5:$AV$509,28,)/VLOOKUP($D48,$C$5:$AV$509,3,))*$E48)</f>
        <v>0</v>
      </c>
      <c r="AF48" s="47">
        <f>IF(VLOOKUP($D48,$C$5:$AV$509,3,)=0,0,(VLOOKUP($D48,$C$5:$AV$509,29,)/VLOOKUP($D48,$C$5:$AV$509,3,))*$E48)</f>
        <v>0</v>
      </c>
      <c r="AG48" s="47">
        <f>IF(VLOOKUP($D48,$C$5:$AV$509,3,)=0,0,(VLOOKUP($D48,$C$5:$AV$509,30,)/VLOOKUP($D48,$C$5:$AV$509,3,))*$E48)</f>
        <v>0</v>
      </c>
      <c r="AH48" s="47">
        <f t="shared" si="25"/>
        <v>0</v>
      </c>
      <c r="AI48" s="27" t="str">
        <f>IF(ABS(E48-AH48)&lt;0.01,"ok","err")</f>
        <v>ok</v>
      </c>
    </row>
    <row r="49" spans="1:35" x14ac:dyDescent="0.2">
      <c r="A49" s="14" t="s">
        <v>215</v>
      </c>
      <c r="C49" s="14" t="s">
        <v>239</v>
      </c>
      <c r="E49" s="47">
        <f t="shared" ref="E49:U49" si="26">E47+E48</f>
        <v>0</v>
      </c>
      <c r="F49" s="62">
        <f t="shared" si="26"/>
        <v>0</v>
      </c>
      <c r="G49" s="62">
        <f t="shared" si="26"/>
        <v>0</v>
      </c>
      <c r="H49" s="62">
        <f t="shared" si="26"/>
        <v>0</v>
      </c>
      <c r="I49" s="62">
        <f t="shared" si="26"/>
        <v>0</v>
      </c>
      <c r="J49" s="62">
        <f t="shared" si="26"/>
        <v>0</v>
      </c>
      <c r="K49" s="62">
        <f t="shared" si="26"/>
        <v>0</v>
      </c>
      <c r="L49" s="62">
        <f t="shared" si="26"/>
        <v>0</v>
      </c>
      <c r="M49" s="62">
        <f t="shared" ref="M49" si="27">M47+M48</f>
        <v>0</v>
      </c>
      <c r="N49" s="62">
        <f t="shared" si="26"/>
        <v>0</v>
      </c>
      <c r="O49" s="62">
        <f t="shared" si="26"/>
        <v>0</v>
      </c>
      <c r="P49" s="62">
        <f t="shared" si="26"/>
        <v>0</v>
      </c>
      <c r="Q49" s="62">
        <f t="shared" si="26"/>
        <v>0</v>
      </c>
      <c r="R49" s="62">
        <f t="shared" si="26"/>
        <v>0</v>
      </c>
      <c r="S49" s="62">
        <f t="shared" si="26"/>
        <v>0</v>
      </c>
      <c r="T49" s="62">
        <f t="shared" si="26"/>
        <v>0</v>
      </c>
      <c r="U49" s="62">
        <f t="shared" si="26"/>
        <v>0</v>
      </c>
      <c r="V49" s="62">
        <f t="shared" ref="V49:AG49" si="28">V47+V48</f>
        <v>0</v>
      </c>
      <c r="W49" s="62">
        <f t="shared" si="28"/>
        <v>0</v>
      </c>
      <c r="X49" s="62">
        <f t="shared" si="28"/>
        <v>0</v>
      </c>
      <c r="Y49" s="62">
        <f t="shared" si="28"/>
        <v>0</v>
      </c>
      <c r="Z49" s="62">
        <f t="shared" si="28"/>
        <v>0</v>
      </c>
      <c r="AA49" s="62">
        <f t="shared" si="28"/>
        <v>0</v>
      </c>
      <c r="AB49" s="62">
        <f t="shared" si="28"/>
        <v>0</v>
      </c>
      <c r="AC49" s="62">
        <f t="shared" si="28"/>
        <v>0</v>
      </c>
      <c r="AD49" s="62">
        <f t="shared" si="28"/>
        <v>0</v>
      </c>
      <c r="AE49" s="62">
        <f t="shared" si="28"/>
        <v>0</v>
      </c>
      <c r="AF49" s="62">
        <f t="shared" si="28"/>
        <v>0</v>
      </c>
      <c r="AG49" s="62">
        <f t="shared" si="28"/>
        <v>0</v>
      </c>
      <c r="AH49" s="87">
        <f>SUM(F49:AG49)</f>
        <v>0</v>
      </c>
      <c r="AI49" s="27" t="str">
        <f>IF(ABS(E49-AH49)&lt;0.01,"ok","err")</f>
        <v>ok</v>
      </c>
    </row>
    <row r="50" spans="1:35" x14ac:dyDescent="0.2">
      <c r="E50" s="47"/>
      <c r="F50" s="47"/>
    </row>
    <row r="51" spans="1:35" x14ac:dyDescent="0.2">
      <c r="A51" s="13" t="s">
        <v>350</v>
      </c>
      <c r="E51" s="47"/>
      <c r="F51" s="47"/>
    </row>
    <row r="52" spans="1:35" x14ac:dyDescent="0.2">
      <c r="A52" s="90" t="s">
        <v>209</v>
      </c>
      <c r="C52" s="14" t="s">
        <v>885</v>
      </c>
      <c r="D52" s="14" t="s">
        <v>599</v>
      </c>
      <c r="E52" s="62">
        <f>'Func &amp; Classif'!K126</f>
        <v>0</v>
      </c>
      <c r="F52" s="47">
        <f>IF(VLOOKUP($D52,$C$5:$AV$509,3,)=0,0,(VLOOKUP($D52,$C$5:$AV$509,4,)/VLOOKUP($D52,$C$5:$AV$509,3,))*$E52)</f>
        <v>0</v>
      </c>
      <c r="G52" s="47">
        <f>IF(VLOOKUP($D52,$C$5:$AV$509,3,)=0,0,(VLOOKUP($D52,$C$5:$AV$509,5,)/VLOOKUP($D52,$C$5:$AV$509,3,))*$E52)</f>
        <v>0</v>
      </c>
      <c r="H52" s="47">
        <f>IF(VLOOKUP($D52,$C$5:$AV$509,3,)=0,0,(VLOOKUP($D52,$C$5:$AV$509,6,)/VLOOKUP($D52,$C$5:$AV$509,3,))*$E52)</f>
        <v>0</v>
      </c>
      <c r="I52" s="47">
        <f>IF(VLOOKUP($D52,$C$5:$AV$509,3,)=0,0,(VLOOKUP($D52,$C$5:$AV$509,7,)/VLOOKUP($D52,$C$5:$AV$509,3,))*$E52)</f>
        <v>0</v>
      </c>
      <c r="J52" s="47">
        <f>IF(VLOOKUP($D52,$C$5:$AV$509,3,)=0,0,(VLOOKUP($D52,$C$5:$AV$509,8,)/VLOOKUP($D52,$C$5:$AV$509,3,))*$E52)</f>
        <v>0</v>
      </c>
      <c r="K52" s="47">
        <f>IF(VLOOKUP($D52,$C$5:$AV$509,3,)=0,0,(VLOOKUP($D52,$C$5:$AV$509,9,)/VLOOKUP($D52,$C$5:$AV$509,3,))*$E52)</f>
        <v>0</v>
      </c>
      <c r="L52" s="47">
        <f>IF(VLOOKUP($D52,$C$5:$AV$509,3,)=0,0,(VLOOKUP($D52,$C$5:$AV$509,10,)/VLOOKUP($D52,$C$5:$AV$509,3,))*$E52)</f>
        <v>0</v>
      </c>
      <c r="M52" s="47">
        <f>IF(VLOOKUP($D52,$C$5:$AV$509,3,)=0,0,(VLOOKUP($D52,$C$5:$AV$509,11,)/VLOOKUP($D52,$C$5:$AV$509,3,))*$E52)</f>
        <v>0</v>
      </c>
      <c r="N52" s="47">
        <f>IF(VLOOKUP($D52,$C$5:$AV$509,3,)=0,0,(VLOOKUP($D52,$C$5:$AV$509,12,)/VLOOKUP($D52,$C$5:$AV$509,3,))*$E52)</f>
        <v>0</v>
      </c>
      <c r="O52" s="47">
        <f>IF(VLOOKUP($D52,$C$5:$AV$509,3,)=0,0,(VLOOKUP($D52,$C$5:$AV$509,14,)/VLOOKUP($D52,$C$5:$AV$509,3,))*$E52)</f>
        <v>0</v>
      </c>
      <c r="P52" s="47">
        <f>IF(VLOOKUP($D52,$C$5:$AV$509,3,)=0,0,(VLOOKUP($D52,$C$5:$AV$509,14,)/VLOOKUP($D52,$C$5:$AV$509,3,))*$E52)</f>
        <v>0</v>
      </c>
      <c r="Q52" s="47">
        <f>IF(VLOOKUP($D52,$C$5:$AV$509,3,)=0,0,(VLOOKUP($D52,$C$5:$AV$509,14,)/VLOOKUP($D52,$C$5:$AV$509,3,))*$E52)</f>
        <v>0</v>
      </c>
      <c r="R52" s="47">
        <f>IF(VLOOKUP($D52,$C$5:$AV$509,3,)=0,0,(VLOOKUP($D52,$C$5:$AV$509,15,)/VLOOKUP($D52,$C$5:$AV$509,3,))*$E52)</f>
        <v>0</v>
      </c>
      <c r="S52" s="47">
        <f>IF(VLOOKUP($D52,$C$5:$AV$509,3,)=0,0,(VLOOKUP($D52,$C$5:$AV$509,16,)/VLOOKUP($D52,$C$5:$AV$509,3,))*$E52)</f>
        <v>0</v>
      </c>
      <c r="T52" s="47">
        <f>IF(VLOOKUP($D52,$C$5:$AV$509,3,)=0,0,(VLOOKUP($D52,$C$5:$AV$509,17,)/VLOOKUP($D52,$C$5:$AV$509,3,))*$E52)</f>
        <v>0</v>
      </c>
      <c r="U52" s="47">
        <f>IF(VLOOKUP($D52,$C$5:$AV$509,3,)=0,0,(VLOOKUP($D52,$C$5:$AV$509,18,)/VLOOKUP($D52,$C$5:$AV$509,3,))*$E52)</f>
        <v>0</v>
      </c>
      <c r="V52" s="47">
        <f>IF(VLOOKUP($D52,$C$5:$AV$509,3,)=0,0,(VLOOKUP($D52,$C$5:$AV$509,19,)/VLOOKUP($D52,$C$5:$AV$509,3,))*$E52)</f>
        <v>0</v>
      </c>
      <c r="W52" s="47">
        <f>IF(VLOOKUP($D52,$C$5:$AV$509,3,)=0,0,(VLOOKUP($D52,$C$5:$AV$509,20,)/VLOOKUP($D52,$C$5:$AV$509,3,))*$E52)</f>
        <v>0</v>
      </c>
      <c r="X52" s="47">
        <f>IF(VLOOKUP($D52,$C$5:$AV$509,3,)=0,0,(VLOOKUP($D52,$C$5:$AV$509,21,)/VLOOKUP($D52,$C$5:$AV$509,3,))*$E52)</f>
        <v>0</v>
      </c>
      <c r="Y52" s="47">
        <f>IF(VLOOKUP($D52,$C$5:$AV$509,3,)=0,0,(VLOOKUP($D52,$C$5:$AV$509,22,)/VLOOKUP($D52,$C$5:$AV$509,3,))*$E52)</f>
        <v>0</v>
      </c>
      <c r="Z52" s="47">
        <f>IF(VLOOKUP($D52,$C$5:$AV$509,3,)=0,0,(VLOOKUP($D52,$C$5:$AV$509,23,)/VLOOKUP($D52,$C$5:$AV$509,3,))*$E52)</f>
        <v>0</v>
      </c>
      <c r="AA52" s="47">
        <f>IF(VLOOKUP($D52,$C$5:$AV$509,3,)=0,0,(VLOOKUP($D52,$C$5:$AV$509,24,)/VLOOKUP($D52,$C$5:$AV$509,3,))*$E52)</f>
        <v>0</v>
      </c>
      <c r="AB52" s="47">
        <f>IF(VLOOKUP($D52,$C$5:$AV$509,3,)=0,0,(VLOOKUP($D52,$C$5:$AV$509,25,)/VLOOKUP($D52,$C$5:$AV$509,3,))*$E52)</f>
        <v>0</v>
      </c>
      <c r="AC52" s="47">
        <f>IF(VLOOKUP($D52,$C$5:$AV$509,3,)=0,0,(VLOOKUP($D52,$C$5:$AV$509,26,)/VLOOKUP($D52,$C$5:$AV$509,3,))*$E52)</f>
        <v>0</v>
      </c>
      <c r="AD52" s="47">
        <f>IF(VLOOKUP($D52,$C$5:$AV$509,3,)=0,0,(VLOOKUP($D52,$C$5:$AV$509,27,)/VLOOKUP($D52,$C$5:$AV$509,3,))*$E52)</f>
        <v>0</v>
      </c>
      <c r="AE52" s="47">
        <f>IF(VLOOKUP($D52,$C$5:$AV$509,3,)=0,0,(VLOOKUP($D52,$C$5:$AV$509,28,)/VLOOKUP($D52,$C$5:$AV$509,3,))*$E52)</f>
        <v>0</v>
      </c>
      <c r="AF52" s="47">
        <f>IF(VLOOKUP($D52,$C$5:$AV$509,3,)=0,0,(VLOOKUP($D52,$C$5:$AV$509,29,)/VLOOKUP($D52,$C$5:$AV$509,3,))*$E52)</f>
        <v>0</v>
      </c>
      <c r="AG52" s="47">
        <f>IF(VLOOKUP($D52,$C$5:$AV$509,3,)=0,0,(VLOOKUP($D52,$C$5:$AV$509,30,)/VLOOKUP($D52,$C$5:$AV$509,3,))*$E52)</f>
        <v>0</v>
      </c>
      <c r="AH52" s="47">
        <f t="shared" ref="AH52" si="29">SUM(F52:AG52)</f>
        <v>0</v>
      </c>
      <c r="AI52" s="27" t="str">
        <f>IF(ABS(E52-AH52)&lt;0.01,"ok","err")</f>
        <v>ok</v>
      </c>
    </row>
    <row r="53" spans="1:35" x14ac:dyDescent="0.2">
      <c r="E53" s="47"/>
    </row>
    <row r="54" spans="1:35" x14ac:dyDescent="0.2">
      <c r="A54" s="13" t="s">
        <v>1</v>
      </c>
      <c r="E54" s="47"/>
      <c r="F54" s="47"/>
    </row>
    <row r="55" spans="1:35" x14ac:dyDescent="0.2">
      <c r="A55" s="90" t="s">
        <v>209</v>
      </c>
      <c r="C55" s="14" t="s">
        <v>240</v>
      </c>
      <c r="D55" s="14" t="s">
        <v>615</v>
      </c>
      <c r="E55" s="62">
        <f>'Func &amp; Classif'!M126</f>
        <v>405265.84074039682</v>
      </c>
      <c r="F55" s="47">
        <f>IF(VLOOKUP($D55,$C$5:$AV$509,3,)=0,0,(VLOOKUP($D55,$C$5:$AV$509,4,)/VLOOKUP($D55,$C$5:$AV$509,3,))*$E55)</f>
        <v>308546.27556045033</v>
      </c>
      <c r="G55" s="47">
        <f>IF(VLOOKUP($D55,$C$5:$AV$509,3,)=0,0,(VLOOKUP($D55,$C$5:$AV$509,5,)/VLOOKUP($D55,$C$5:$AV$509,3,))*$E55)</f>
        <v>232.8113769359982</v>
      </c>
      <c r="H55" s="47">
        <f>IF(VLOOKUP($D55,$C$5:$AV$509,3,)=0,0,(VLOOKUP($D55,$C$5:$AV$509,6,)/VLOOKUP($D55,$C$5:$AV$509,3,))*$E55)</f>
        <v>32376.602099158445</v>
      </c>
      <c r="I55" s="47">
        <f>IF(VLOOKUP($D55,$C$5:$AV$509,3,)=0,0,(VLOOKUP($D55,$C$5:$AV$509,7,)/VLOOKUP($D55,$C$5:$AV$509,3,))*$E55)</f>
        <v>3458.436008459475</v>
      </c>
      <c r="J55" s="47">
        <f>IF(VLOOKUP($D55,$C$5:$AV$509,3,)=0,0,(VLOOKUP($D55,$C$5:$AV$509,8,)/VLOOKUP($D55,$C$5:$AV$509,3,))*$E55)</f>
        <v>32351.090459360476</v>
      </c>
      <c r="K55" s="47">
        <f>IF(VLOOKUP($D55,$C$5:$AV$509,3,)=0,0,(VLOOKUP($D55,$C$5:$AV$509,9,)/VLOOKUP($D55,$C$5:$AV$509,3,))*$E55)</f>
        <v>0</v>
      </c>
      <c r="L55" s="47">
        <f>IF(VLOOKUP($D55,$C$5:$AV$509,3,)=0,0,(VLOOKUP($D55,$C$5:$AV$509,10,)/VLOOKUP($D55,$C$5:$AV$509,3,))*$E55)</f>
        <v>20447.826736114617</v>
      </c>
      <c r="M55" s="47">
        <f>IF(VLOOKUP($D55,$C$5:$AV$509,3,)=0,0,(VLOOKUP($D55,$C$5:$AV$509,11,)/VLOOKUP($D55,$C$5:$AV$509,3,))*$E55)</f>
        <v>5868.0787653239968</v>
      </c>
      <c r="N55" s="47">
        <f>IF(VLOOKUP($D55,$C$5:$AV$509,3,)=0,0,(VLOOKUP($D55,$C$5:$AV$509,12,)/VLOOKUP($D55,$C$5:$AV$509,3,))*$E55)</f>
        <v>1984.7197345934007</v>
      </c>
      <c r="O55" s="47">
        <f>IF(VLOOKUP($D55,$C$5:$AV$509,3,)=0,0,(VLOOKUP($D55,$C$5:$AV$509,14,)/VLOOKUP($D55,$C$5:$AV$509,3,))*$E55)</f>
        <v>0</v>
      </c>
      <c r="P55" s="47">
        <f>IF(VLOOKUP($D55,$C$5:$AV$509,3,)=0,0,(VLOOKUP($D55,$C$5:$AV$509,14,)/VLOOKUP($D55,$C$5:$AV$509,3,))*$E55)</f>
        <v>0</v>
      </c>
      <c r="Q55" s="47">
        <f>IF(VLOOKUP($D55,$C$5:$AV$509,3,)=0,0,(VLOOKUP($D55,$C$5:$AV$509,14,)/VLOOKUP($D55,$C$5:$AV$509,3,))*$E55)</f>
        <v>0</v>
      </c>
      <c r="R55" s="47">
        <f>IF(VLOOKUP($D55,$C$5:$AV$509,3,)=0,0,(VLOOKUP($D55,$C$5:$AV$509,15,)/VLOOKUP($D55,$C$5:$AV$509,3,))*$E55)</f>
        <v>0</v>
      </c>
      <c r="S55" s="47">
        <f>IF(VLOOKUP($D55,$C$5:$AV$509,3,)=0,0,(VLOOKUP($D55,$C$5:$AV$509,16,)/VLOOKUP($D55,$C$5:$AV$509,3,))*$E55)</f>
        <v>0</v>
      </c>
      <c r="T55" s="47">
        <f>IF(VLOOKUP($D55,$C$5:$AV$509,3,)=0,0,(VLOOKUP($D55,$C$5:$AV$509,17,)/VLOOKUP($D55,$C$5:$AV$509,3,))*$E55)</f>
        <v>0</v>
      </c>
      <c r="U55" s="47">
        <f>IF(VLOOKUP($D55,$C$5:$AV$509,3,)=0,0,(VLOOKUP($D55,$C$5:$AV$509,18,)/VLOOKUP($D55,$C$5:$AV$509,3,))*$E55)</f>
        <v>0</v>
      </c>
      <c r="V55" s="47">
        <f>IF(VLOOKUP($D55,$C$5:$AV$509,3,)=0,0,(VLOOKUP($D55,$C$5:$AV$509,19,)/VLOOKUP($D55,$C$5:$AV$509,3,))*$E55)</f>
        <v>0</v>
      </c>
      <c r="W55" s="47">
        <f>IF(VLOOKUP($D55,$C$5:$AV$509,3,)=0,0,(VLOOKUP($D55,$C$5:$AV$509,20,)/VLOOKUP($D55,$C$5:$AV$509,3,))*$E55)</f>
        <v>0</v>
      </c>
      <c r="X55" s="47">
        <f>IF(VLOOKUP($D55,$C$5:$AV$509,3,)=0,0,(VLOOKUP($D55,$C$5:$AV$509,21,)/VLOOKUP($D55,$C$5:$AV$509,3,))*$E55)</f>
        <v>0</v>
      </c>
      <c r="Y55" s="47">
        <f>IF(VLOOKUP($D55,$C$5:$AV$509,3,)=0,0,(VLOOKUP($D55,$C$5:$AV$509,22,)/VLOOKUP($D55,$C$5:$AV$509,3,))*$E55)</f>
        <v>0</v>
      </c>
      <c r="Z55" s="47">
        <f>IF(VLOOKUP($D55,$C$5:$AV$509,3,)=0,0,(VLOOKUP($D55,$C$5:$AV$509,23,)/VLOOKUP($D55,$C$5:$AV$509,3,))*$E55)</f>
        <v>0</v>
      </c>
      <c r="AA55" s="47">
        <f>IF(VLOOKUP($D55,$C$5:$AV$509,3,)=0,0,(VLOOKUP($D55,$C$5:$AV$509,24,)/VLOOKUP($D55,$C$5:$AV$509,3,))*$E55)</f>
        <v>0</v>
      </c>
      <c r="AB55" s="47">
        <f>IF(VLOOKUP($D55,$C$5:$AV$509,3,)=0,0,(VLOOKUP($D55,$C$5:$AV$509,25,)/VLOOKUP($D55,$C$5:$AV$509,3,))*$E55)</f>
        <v>0</v>
      </c>
      <c r="AC55" s="47">
        <f>IF(VLOOKUP($D55,$C$5:$AV$509,3,)=0,0,(VLOOKUP($D55,$C$5:$AV$509,26,)/VLOOKUP($D55,$C$5:$AV$509,3,))*$E55)</f>
        <v>0</v>
      </c>
      <c r="AD55" s="47">
        <f>IF(VLOOKUP($D55,$C$5:$AV$509,3,)=0,0,(VLOOKUP($D55,$C$5:$AV$509,27,)/VLOOKUP($D55,$C$5:$AV$509,3,))*$E55)</f>
        <v>0</v>
      </c>
      <c r="AE55" s="47">
        <f>IF(VLOOKUP($D55,$C$5:$AV$509,3,)=0,0,(VLOOKUP($D55,$C$5:$AV$509,28,)/VLOOKUP($D55,$C$5:$AV$509,3,))*$E55)</f>
        <v>0</v>
      </c>
      <c r="AF55" s="47">
        <f>IF(VLOOKUP($D55,$C$5:$AV$509,3,)=0,0,(VLOOKUP($D55,$C$5:$AV$509,29,)/VLOOKUP($D55,$C$5:$AV$509,3,))*$E55)</f>
        <v>0</v>
      </c>
      <c r="AG55" s="47">
        <f>IF(VLOOKUP($D55,$C$5:$AV$509,3,)=0,0,(VLOOKUP($D55,$C$5:$AV$509,30,)/VLOOKUP($D55,$C$5:$AV$509,3,))*$E55)</f>
        <v>0</v>
      </c>
      <c r="AH55" s="47">
        <f t="shared" ref="AH55" si="30">SUM(F55:AG55)</f>
        <v>405265.84074039676</v>
      </c>
      <c r="AI55" s="27" t="str">
        <f>IF(ABS(E55-AH55)&lt;0.01,"ok","err")</f>
        <v>ok</v>
      </c>
    </row>
    <row r="56" spans="1:35" x14ac:dyDescent="0.2">
      <c r="E56" s="47"/>
    </row>
    <row r="57" spans="1:35" x14ac:dyDescent="0.2">
      <c r="A57" s="13" t="s">
        <v>2</v>
      </c>
      <c r="E57" s="47"/>
    </row>
    <row r="58" spans="1:35" x14ac:dyDescent="0.2">
      <c r="A58" s="90" t="s">
        <v>209</v>
      </c>
      <c r="C58" s="14" t="s">
        <v>241</v>
      </c>
      <c r="D58" s="14" t="s">
        <v>607</v>
      </c>
      <c r="E58" s="62">
        <f>'Func &amp; Classif'!O126</f>
        <v>30485186.299248397</v>
      </c>
      <c r="F58" s="47">
        <f>IF(VLOOKUP($D58,$C$5:$AV$509,3,)=0,0,(VLOOKUP($D58,$C$5:$AV$509,4,)/VLOOKUP($D58,$C$5:$AV$509,3,))*$E58)</f>
        <v>25570187.554125529</v>
      </c>
      <c r="G58" s="47">
        <f>IF(VLOOKUP($D58,$C$5:$AV$509,3,)=0,0,(VLOOKUP($D58,$C$5:$AV$509,5,)/VLOOKUP($D58,$C$5:$AV$509,3,))*$E58)</f>
        <v>25887.956937078015</v>
      </c>
      <c r="H58" s="47">
        <f>IF(VLOOKUP($D58,$C$5:$AV$509,3,)=0,0,(VLOOKUP($D58,$C$5:$AV$509,6,)/VLOOKUP($D58,$C$5:$AV$509,3,))*$E58)</f>
        <v>1997600.9916649745</v>
      </c>
      <c r="I58" s="47">
        <f>IF(VLOOKUP($D58,$C$5:$AV$509,3,)=0,0,(VLOOKUP($D58,$C$5:$AV$509,7,)/VLOOKUP($D58,$C$5:$AV$509,3,))*$E58)</f>
        <v>227607.17315382767</v>
      </c>
      <c r="J58" s="47">
        <f>IF(VLOOKUP($D58,$C$5:$AV$509,3,)=0,0,(VLOOKUP($D58,$C$5:$AV$509,8,)/VLOOKUP($D58,$C$5:$AV$509,3,))*$E58)</f>
        <v>1616388.8870986407</v>
      </c>
      <c r="K58" s="47">
        <f>IF(VLOOKUP($D58,$C$5:$AV$509,3,)=0,0,(VLOOKUP($D58,$C$5:$AV$509,9,)/VLOOKUP($D58,$C$5:$AV$509,3,))*$E58)</f>
        <v>0</v>
      </c>
      <c r="L58" s="47">
        <f>IF(VLOOKUP($D58,$C$5:$AV$509,3,)=0,0,(VLOOKUP($D58,$C$5:$AV$509,10,)/VLOOKUP($D58,$C$5:$AV$509,3,))*$E58)</f>
        <v>725424.932894603</v>
      </c>
      <c r="M58" s="47">
        <f>IF(VLOOKUP($D58,$C$5:$AV$509,3,)=0,0,(VLOOKUP($D58,$C$5:$AV$509,11,)/VLOOKUP($D58,$C$5:$AV$509,3,))*$E58)</f>
        <v>208181.07955878874</v>
      </c>
      <c r="N58" s="47">
        <f>IF(VLOOKUP($D58,$C$5:$AV$509,3,)=0,0,(VLOOKUP($D58,$C$5:$AV$509,12,)/VLOOKUP($D58,$C$5:$AV$509,3,))*$E58)</f>
        <v>113907.72381495948</v>
      </c>
      <c r="O58" s="47">
        <f t="shared" ref="O58:Q59" si="31">IF(VLOOKUP($D58,$C$5:$AV$509,3,)=0,0,(VLOOKUP($D58,$C$5:$AV$509,14,)/VLOOKUP($D58,$C$5:$AV$509,3,))*$E58)</f>
        <v>0</v>
      </c>
      <c r="P58" s="47">
        <f t="shared" si="31"/>
        <v>0</v>
      </c>
      <c r="Q58" s="47">
        <f t="shared" si="31"/>
        <v>0</v>
      </c>
      <c r="R58" s="47">
        <f>IF(VLOOKUP($D58,$C$5:$AV$509,3,)=0,0,(VLOOKUP($D58,$C$5:$AV$509,15,)/VLOOKUP($D58,$C$5:$AV$509,3,))*$E58)</f>
        <v>0</v>
      </c>
      <c r="S58" s="47">
        <f>IF(VLOOKUP($D58,$C$5:$AV$509,3,)=0,0,(VLOOKUP($D58,$C$5:$AV$509,16,)/VLOOKUP($D58,$C$5:$AV$509,3,))*$E58)</f>
        <v>0</v>
      </c>
      <c r="T58" s="47">
        <f>IF(VLOOKUP($D58,$C$5:$AV$509,3,)=0,0,(VLOOKUP($D58,$C$5:$AV$509,17,)/VLOOKUP($D58,$C$5:$AV$509,3,))*$E58)</f>
        <v>0</v>
      </c>
      <c r="U58" s="47">
        <f>IF(VLOOKUP($D58,$C$5:$AV$509,3,)=0,0,(VLOOKUP($D58,$C$5:$AV$509,18,)/VLOOKUP($D58,$C$5:$AV$509,3,))*$E58)</f>
        <v>0</v>
      </c>
      <c r="V58" s="47">
        <f>IF(VLOOKUP($D58,$C$5:$AV$509,3,)=0,0,(VLOOKUP($D58,$C$5:$AV$509,19,)/VLOOKUP($D58,$C$5:$AV$509,3,))*$E58)</f>
        <v>0</v>
      </c>
      <c r="W58" s="47">
        <f>IF(VLOOKUP($D58,$C$5:$AV$509,3,)=0,0,(VLOOKUP($D58,$C$5:$AV$509,20,)/VLOOKUP($D58,$C$5:$AV$509,3,))*$E58)</f>
        <v>0</v>
      </c>
      <c r="X58" s="47">
        <f>IF(VLOOKUP($D58,$C$5:$AV$509,3,)=0,0,(VLOOKUP($D58,$C$5:$AV$509,21,)/VLOOKUP($D58,$C$5:$AV$509,3,))*$E58)</f>
        <v>0</v>
      </c>
      <c r="Y58" s="47">
        <f>IF(VLOOKUP($D58,$C$5:$AV$509,3,)=0,0,(VLOOKUP($D58,$C$5:$AV$509,22,)/VLOOKUP($D58,$C$5:$AV$509,3,))*$E58)</f>
        <v>0</v>
      </c>
      <c r="Z58" s="47">
        <f>IF(VLOOKUP($D58,$C$5:$AV$509,3,)=0,0,(VLOOKUP($D58,$C$5:$AV$509,23,)/VLOOKUP($D58,$C$5:$AV$509,3,))*$E58)</f>
        <v>0</v>
      </c>
      <c r="AA58" s="47">
        <f>IF(VLOOKUP($D58,$C$5:$AV$509,3,)=0,0,(VLOOKUP($D58,$C$5:$AV$509,24,)/VLOOKUP($D58,$C$5:$AV$509,3,))*$E58)</f>
        <v>0</v>
      </c>
      <c r="AB58" s="47">
        <f>IF(VLOOKUP($D58,$C$5:$AV$509,3,)=0,0,(VLOOKUP($D58,$C$5:$AV$509,25,)/VLOOKUP($D58,$C$5:$AV$509,3,))*$E58)</f>
        <v>0</v>
      </c>
      <c r="AC58" s="47">
        <f>IF(VLOOKUP($D58,$C$5:$AV$509,3,)=0,0,(VLOOKUP($D58,$C$5:$AV$509,26,)/VLOOKUP($D58,$C$5:$AV$509,3,))*$E58)</f>
        <v>0</v>
      </c>
      <c r="AD58" s="47">
        <f>IF(VLOOKUP($D58,$C$5:$AV$509,3,)=0,0,(VLOOKUP($D58,$C$5:$AV$509,27,)/VLOOKUP($D58,$C$5:$AV$509,3,))*$E58)</f>
        <v>0</v>
      </c>
      <c r="AE58" s="47">
        <f>IF(VLOOKUP($D58,$C$5:$AV$509,3,)=0,0,(VLOOKUP($D58,$C$5:$AV$509,28,)/VLOOKUP($D58,$C$5:$AV$509,3,))*$E58)</f>
        <v>0</v>
      </c>
      <c r="AF58" s="47">
        <f>IF(VLOOKUP($D58,$C$5:$AV$509,3,)=0,0,(VLOOKUP($D58,$C$5:$AV$509,29,)/VLOOKUP($D58,$C$5:$AV$509,3,))*$E58)</f>
        <v>0</v>
      </c>
      <c r="AG58" s="47">
        <f>IF(VLOOKUP($D58,$C$5:$AV$509,3,)=0,0,(VLOOKUP($D58,$C$5:$AV$509,30,)/VLOOKUP($D58,$C$5:$AV$509,3,))*$E58)</f>
        <v>0</v>
      </c>
      <c r="AH58" s="47">
        <f t="shared" ref="AH58:AH59" si="32">SUM(F58:AG58)</f>
        <v>30485186.299248405</v>
      </c>
      <c r="AI58" s="27" t="str">
        <f>IF(ABS(E58-AH58)&lt;0.01,"ok","err")</f>
        <v>ok</v>
      </c>
    </row>
    <row r="59" spans="1:35" x14ac:dyDescent="0.2">
      <c r="A59" s="90" t="s">
        <v>221</v>
      </c>
      <c r="C59" s="14" t="s">
        <v>242</v>
      </c>
      <c r="D59" s="14" t="s">
        <v>223</v>
      </c>
      <c r="E59" s="47">
        <f>'Func &amp; Classif'!P126</f>
        <v>57343254.308805399</v>
      </c>
      <c r="F59" s="47">
        <f>IF(VLOOKUP($D59,$C$5:$AV$509,3,)=0,0,(VLOOKUP($D59,$C$5:$AV$509,4,)/VLOOKUP($D59,$C$5:$AV$509,3,))*$E59)</f>
        <v>51896211.114505015</v>
      </c>
      <c r="G59" s="47">
        <f>IF(VLOOKUP($D59,$C$5:$AV$509,3,)=0,0,(VLOOKUP($D59,$C$5:$AV$509,5,)/VLOOKUP($D59,$C$5:$AV$509,3,))*$E59)</f>
        <v>2019.7007633588253</v>
      </c>
      <c r="H59" s="47">
        <f>IF(VLOOKUP($D59,$C$5:$AV$509,3,)=0,0,(VLOOKUP($D59,$C$5:$AV$509,6,)/VLOOKUP($D59,$C$5:$AV$509,3,))*$E59)</f>
        <v>4104031.951145133</v>
      </c>
      <c r="I59" s="47">
        <f>IF(VLOOKUP($D59,$C$5:$AV$509,3,)=0,0,(VLOOKUP($D59,$C$5:$AV$509,7,)/VLOOKUP($D59,$C$5:$AV$509,3,))*$E59)</f>
        <v>634186.03969467117</v>
      </c>
      <c r="J59" s="47">
        <f>IF(VLOOKUP($D59,$C$5:$AV$509,3,)=0,0,(VLOOKUP($D59,$C$5:$AV$509,8,)/VLOOKUP($D59,$C$5:$AV$509,3,))*$E59)</f>
        <v>240344.39083970021</v>
      </c>
      <c r="K59" s="47">
        <f>IF(VLOOKUP($D59,$C$5:$AV$509,3,)=0,0,(VLOOKUP($D59,$C$5:$AV$509,9,)/VLOOKUP($D59,$C$5:$AV$509,3,))*$E59)</f>
        <v>0</v>
      </c>
      <c r="L59" s="47">
        <f>IF(VLOOKUP($D59,$C$5:$AV$509,3,)=0,0,(VLOOKUP($D59,$C$5:$AV$509,10,)/VLOOKUP($D59,$C$5:$AV$509,3,))*$E59)</f>
        <v>16157.606106870602</v>
      </c>
      <c r="M59" s="47">
        <f>IF(VLOOKUP($D59,$C$5:$AV$509,3,)=0,0,(VLOOKUP($D59,$C$5:$AV$509,11,)/VLOOKUP($D59,$C$5:$AV$509,3,))*$E59)</f>
        <v>2019.7007633588253</v>
      </c>
      <c r="N59" s="47">
        <f>IF(VLOOKUP($D59,$C$5:$AV$509,3,)=0,0,(VLOOKUP($D59,$C$5:$AV$509,12,)/VLOOKUP($D59,$C$5:$AV$509,3,))*$E59)</f>
        <v>448283.80498728773</v>
      </c>
      <c r="O59" s="47">
        <f t="shared" si="31"/>
        <v>0</v>
      </c>
      <c r="P59" s="47">
        <f t="shared" si="31"/>
        <v>0</v>
      </c>
      <c r="Q59" s="47">
        <f t="shared" si="31"/>
        <v>0</v>
      </c>
      <c r="R59" s="47">
        <f>IF(VLOOKUP($D59,$C$5:$AV$509,3,)=0,0,(VLOOKUP($D59,$C$5:$AV$509,15,)/VLOOKUP($D59,$C$5:$AV$509,3,))*$E59)</f>
        <v>0</v>
      </c>
      <c r="S59" s="47">
        <f>IF(VLOOKUP($D59,$C$5:$AV$509,3,)=0,0,(VLOOKUP($D59,$C$5:$AV$509,16,)/VLOOKUP($D59,$C$5:$AV$509,3,))*$E59)</f>
        <v>0</v>
      </c>
      <c r="T59" s="47">
        <f>IF(VLOOKUP($D59,$C$5:$AV$509,3,)=0,0,(VLOOKUP($D59,$C$5:$AV$509,17,)/VLOOKUP($D59,$C$5:$AV$509,3,))*$E59)</f>
        <v>0</v>
      </c>
      <c r="U59" s="47">
        <f>IF(VLOOKUP($D59,$C$5:$AV$509,3,)=0,0,(VLOOKUP($D59,$C$5:$AV$509,18,)/VLOOKUP($D59,$C$5:$AV$509,3,))*$E59)</f>
        <v>0</v>
      </c>
      <c r="V59" s="47">
        <f>IF(VLOOKUP($D59,$C$5:$AV$509,3,)=0,0,(VLOOKUP($D59,$C$5:$AV$509,19,)/VLOOKUP($D59,$C$5:$AV$509,3,))*$E59)</f>
        <v>0</v>
      </c>
      <c r="W59" s="47">
        <f>IF(VLOOKUP($D59,$C$5:$AV$509,3,)=0,0,(VLOOKUP($D59,$C$5:$AV$509,20,)/VLOOKUP($D59,$C$5:$AV$509,3,))*$E59)</f>
        <v>0</v>
      </c>
      <c r="X59" s="47">
        <f>IF(VLOOKUP($D59,$C$5:$AV$509,3,)=0,0,(VLOOKUP($D59,$C$5:$AV$509,21,)/VLOOKUP($D59,$C$5:$AV$509,3,))*$E59)</f>
        <v>0</v>
      </c>
      <c r="Y59" s="47">
        <f>IF(VLOOKUP($D59,$C$5:$AV$509,3,)=0,0,(VLOOKUP($D59,$C$5:$AV$509,22,)/VLOOKUP($D59,$C$5:$AV$509,3,))*$E59)</f>
        <v>0</v>
      </c>
      <c r="Z59" s="47">
        <f>IF(VLOOKUP($D59,$C$5:$AV$509,3,)=0,0,(VLOOKUP($D59,$C$5:$AV$509,23,)/VLOOKUP($D59,$C$5:$AV$509,3,))*$E59)</f>
        <v>0</v>
      </c>
      <c r="AA59" s="47">
        <f>IF(VLOOKUP($D59,$C$5:$AV$509,3,)=0,0,(VLOOKUP($D59,$C$5:$AV$509,24,)/VLOOKUP($D59,$C$5:$AV$509,3,))*$E59)</f>
        <v>0</v>
      </c>
      <c r="AB59" s="47">
        <f>IF(VLOOKUP($D59,$C$5:$AV$509,3,)=0,0,(VLOOKUP($D59,$C$5:$AV$509,25,)/VLOOKUP($D59,$C$5:$AV$509,3,))*$E59)</f>
        <v>0</v>
      </c>
      <c r="AC59" s="47">
        <f>IF(VLOOKUP($D59,$C$5:$AV$509,3,)=0,0,(VLOOKUP($D59,$C$5:$AV$509,26,)/VLOOKUP($D59,$C$5:$AV$509,3,))*$E59)</f>
        <v>0</v>
      </c>
      <c r="AD59" s="47">
        <f>IF(VLOOKUP($D59,$C$5:$AV$509,3,)=0,0,(VLOOKUP($D59,$C$5:$AV$509,27,)/VLOOKUP($D59,$C$5:$AV$509,3,))*$E59)</f>
        <v>0</v>
      </c>
      <c r="AE59" s="47">
        <f>IF(VLOOKUP($D59,$C$5:$AV$509,3,)=0,0,(VLOOKUP($D59,$C$5:$AV$509,28,)/VLOOKUP($D59,$C$5:$AV$509,3,))*$E59)</f>
        <v>0</v>
      </c>
      <c r="AF59" s="47">
        <f>IF(VLOOKUP($D59,$C$5:$AV$509,3,)=0,0,(VLOOKUP($D59,$C$5:$AV$509,29,)/VLOOKUP($D59,$C$5:$AV$509,3,))*$E59)</f>
        <v>0</v>
      </c>
      <c r="AG59" s="47">
        <f>IF(VLOOKUP($D59,$C$5:$AV$509,3,)=0,0,(VLOOKUP($D59,$C$5:$AV$509,30,)/VLOOKUP($D59,$C$5:$AV$509,3,))*$E59)</f>
        <v>0</v>
      </c>
      <c r="AH59" s="47">
        <f t="shared" si="32"/>
        <v>57343254.308805406</v>
      </c>
      <c r="AI59" s="27" t="str">
        <f>IF(ABS(E59-AH59)&lt;0.01,"ok","err")</f>
        <v>ok</v>
      </c>
    </row>
    <row r="60" spans="1:35" x14ac:dyDescent="0.2">
      <c r="A60" s="14" t="s">
        <v>224</v>
      </c>
      <c r="E60" s="62">
        <f t="shared" ref="E60:U60" si="33">E58+E59</f>
        <v>87828440.608053803</v>
      </c>
      <c r="F60" s="62">
        <f t="shared" si="33"/>
        <v>77466398.66863054</v>
      </c>
      <c r="G60" s="62">
        <f t="shared" si="33"/>
        <v>27907.657700436841</v>
      </c>
      <c r="H60" s="62">
        <f t="shared" si="33"/>
        <v>6101632.942810107</v>
      </c>
      <c r="I60" s="62">
        <f t="shared" si="33"/>
        <v>861793.21284849884</v>
      </c>
      <c r="J60" s="62">
        <f t="shared" si="33"/>
        <v>1856733.2779383408</v>
      </c>
      <c r="K60" s="62">
        <f t="shared" si="33"/>
        <v>0</v>
      </c>
      <c r="L60" s="62">
        <f t="shared" si="33"/>
        <v>741582.53900147357</v>
      </c>
      <c r="M60" s="62">
        <f t="shared" ref="M60" si="34">M58+M59</f>
        <v>210200.78032214756</v>
      </c>
      <c r="N60" s="62">
        <f t="shared" si="33"/>
        <v>562191.52880224725</v>
      </c>
      <c r="O60" s="62">
        <f t="shared" si="33"/>
        <v>0</v>
      </c>
      <c r="P60" s="62">
        <f t="shared" si="33"/>
        <v>0</v>
      </c>
      <c r="Q60" s="62">
        <f t="shared" si="33"/>
        <v>0</v>
      </c>
      <c r="R60" s="62">
        <f t="shared" si="33"/>
        <v>0</v>
      </c>
      <c r="S60" s="62">
        <f t="shared" si="33"/>
        <v>0</v>
      </c>
      <c r="T60" s="62">
        <f t="shared" si="33"/>
        <v>0</v>
      </c>
      <c r="U60" s="62">
        <f t="shared" si="33"/>
        <v>0</v>
      </c>
      <c r="V60" s="62">
        <f t="shared" ref="V60:AG60" si="35">V58+V59</f>
        <v>0</v>
      </c>
      <c r="W60" s="62">
        <f t="shared" si="35"/>
        <v>0</v>
      </c>
      <c r="X60" s="62">
        <f t="shared" si="35"/>
        <v>0</v>
      </c>
      <c r="Y60" s="62">
        <f t="shared" si="35"/>
        <v>0</v>
      </c>
      <c r="Z60" s="62">
        <f t="shared" si="35"/>
        <v>0</v>
      </c>
      <c r="AA60" s="62">
        <f t="shared" si="35"/>
        <v>0</v>
      </c>
      <c r="AB60" s="62">
        <f t="shared" si="35"/>
        <v>0</v>
      </c>
      <c r="AC60" s="62">
        <f t="shared" si="35"/>
        <v>0</v>
      </c>
      <c r="AD60" s="62">
        <f t="shared" si="35"/>
        <v>0</v>
      </c>
      <c r="AE60" s="62">
        <f t="shared" si="35"/>
        <v>0</v>
      </c>
      <c r="AF60" s="62">
        <f t="shared" si="35"/>
        <v>0</v>
      </c>
      <c r="AG60" s="62">
        <f t="shared" si="35"/>
        <v>0</v>
      </c>
      <c r="AH60" s="87">
        <f>SUM(F60:AG60)</f>
        <v>87828440.608053789</v>
      </c>
      <c r="AI60" s="27" t="str">
        <f>IF(ABS(E60-AH60)&lt;0.01,"ok","err")</f>
        <v>ok</v>
      </c>
    </row>
    <row r="61" spans="1:35" x14ac:dyDescent="0.2">
      <c r="E61" s="47"/>
    </row>
    <row r="62" spans="1:35" x14ac:dyDescent="0.2">
      <c r="A62" s="13" t="s">
        <v>3</v>
      </c>
      <c r="E62" s="47"/>
    </row>
    <row r="63" spans="1:35" x14ac:dyDescent="0.2">
      <c r="A63" s="90" t="s">
        <v>209</v>
      </c>
      <c r="C63" s="14" t="s">
        <v>243</v>
      </c>
      <c r="D63" s="14" t="s">
        <v>619</v>
      </c>
      <c r="E63" s="62">
        <f>'Func &amp; Classif'!R126</f>
        <v>0</v>
      </c>
      <c r="F63" s="47">
        <f>IF(VLOOKUP($D63,$C$5:$AV$509,3,)=0,0,(VLOOKUP($D63,$C$5:$AV$509,4,)/VLOOKUP($D63,$C$5:$AV$509,3,))*$E63)</f>
        <v>0</v>
      </c>
      <c r="G63" s="47">
        <f>IF(VLOOKUP($D63,$C$5:$AV$509,3,)=0,0,(VLOOKUP($D63,$C$5:$AV$509,5,)/VLOOKUP($D63,$C$5:$AV$509,3,))*$E63)</f>
        <v>0</v>
      </c>
      <c r="H63" s="47">
        <f>IF(VLOOKUP($D63,$C$5:$AV$509,3,)=0,0,(VLOOKUP($D63,$C$5:$AV$509,6,)/VLOOKUP($D63,$C$5:$AV$509,3,))*$E63)</f>
        <v>0</v>
      </c>
      <c r="I63" s="47">
        <f>IF(VLOOKUP($D63,$C$5:$AV$509,3,)=0,0,(VLOOKUP($D63,$C$5:$AV$509,7,)/VLOOKUP($D63,$C$5:$AV$509,3,))*$E63)</f>
        <v>0</v>
      </c>
      <c r="J63" s="47">
        <f>IF(VLOOKUP($D63,$C$5:$AV$509,3,)=0,0,(VLOOKUP($D63,$C$5:$AV$509,8,)/VLOOKUP($D63,$C$5:$AV$509,3,))*$E63)</f>
        <v>0</v>
      </c>
      <c r="K63" s="47">
        <f>IF(VLOOKUP($D63,$C$5:$AV$509,3,)=0,0,(VLOOKUP($D63,$C$5:$AV$509,9,)/VLOOKUP($D63,$C$5:$AV$509,3,))*$E63)</f>
        <v>0</v>
      </c>
      <c r="L63" s="47">
        <f>IF(VLOOKUP($D63,$C$5:$AV$509,3,)=0,0,(VLOOKUP($D63,$C$5:$AV$509,10,)/VLOOKUP($D63,$C$5:$AV$509,3,))*$E63)</f>
        <v>0</v>
      </c>
      <c r="M63" s="47">
        <f>IF(VLOOKUP($D63,$C$5:$AV$509,3,)=0,0,(VLOOKUP($D63,$C$5:$AV$509,11,)/VLOOKUP($D63,$C$5:$AV$509,3,))*$E63)</f>
        <v>0</v>
      </c>
      <c r="N63" s="47">
        <f>IF(VLOOKUP($D63,$C$5:$AV$509,3,)=0,0,(VLOOKUP($D63,$C$5:$AV$509,12,)/VLOOKUP($D63,$C$5:$AV$509,3,))*$E63)</f>
        <v>0</v>
      </c>
      <c r="O63" s="47">
        <f t="shared" ref="O63:Q64" si="36">IF(VLOOKUP($D63,$C$5:$AV$509,3,)=0,0,(VLOOKUP($D63,$C$5:$AV$509,14,)/VLOOKUP($D63,$C$5:$AV$509,3,))*$E63)</f>
        <v>0</v>
      </c>
      <c r="P63" s="47">
        <f t="shared" si="36"/>
        <v>0</v>
      </c>
      <c r="Q63" s="47">
        <f t="shared" si="36"/>
        <v>0</v>
      </c>
      <c r="R63" s="47">
        <f>IF(VLOOKUP($D63,$C$5:$AV$509,3,)=0,0,(VLOOKUP($D63,$C$5:$AV$509,15,)/VLOOKUP($D63,$C$5:$AV$509,3,))*$E63)</f>
        <v>0</v>
      </c>
      <c r="S63" s="47">
        <f>IF(VLOOKUP($D63,$C$5:$AV$509,3,)=0,0,(VLOOKUP($D63,$C$5:$AV$509,16,)/VLOOKUP($D63,$C$5:$AV$509,3,))*$E63)</f>
        <v>0</v>
      </c>
      <c r="T63" s="47">
        <f>IF(VLOOKUP($D63,$C$5:$AV$509,3,)=0,0,(VLOOKUP($D63,$C$5:$AV$509,17,)/VLOOKUP($D63,$C$5:$AV$509,3,))*$E63)</f>
        <v>0</v>
      </c>
      <c r="U63" s="47">
        <f>IF(VLOOKUP($D63,$C$5:$AV$509,3,)=0,0,(VLOOKUP($D63,$C$5:$AV$509,18,)/VLOOKUP($D63,$C$5:$AV$509,3,))*$E63)</f>
        <v>0</v>
      </c>
      <c r="V63" s="47">
        <f>IF(VLOOKUP($D63,$C$5:$AV$509,3,)=0,0,(VLOOKUP($D63,$C$5:$AV$509,19,)/VLOOKUP($D63,$C$5:$AV$509,3,))*$E63)</f>
        <v>0</v>
      </c>
      <c r="W63" s="47">
        <f>IF(VLOOKUP($D63,$C$5:$AV$509,3,)=0,0,(VLOOKUP($D63,$C$5:$AV$509,20,)/VLOOKUP($D63,$C$5:$AV$509,3,))*$E63)</f>
        <v>0</v>
      </c>
      <c r="X63" s="47">
        <f>IF(VLOOKUP($D63,$C$5:$AV$509,3,)=0,0,(VLOOKUP($D63,$C$5:$AV$509,21,)/VLOOKUP($D63,$C$5:$AV$509,3,))*$E63)</f>
        <v>0</v>
      </c>
      <c r="Y63" s="47">
        <f>IF(VLOOKUP($D63,$C$5:$AV$509,3,)=0,0,(VLOOKUP($D63,$C$5:$AV$509,22,)/VLOOKUP($D63,$C$5:$AV$509,3,))*$E63)</f>
        <v>0</v>
      </c>
      <c r="Z63" s="47">
        <f>IF(VLOOKUP($D63,$C$5:$AV$509,3,)=0,0,(VLOOKUP($D63,$C$5:$AV$509,23,)/VLOOKUP($D63,$C$5:$AV$509,3,))*$E63)</f>
        <v>0</v>
      </c>
      <c r="AA63" s="47">
        <f>IF(VLOOKUP($D63,$C$5:$AV$509,3,)=0,0,(VLOOKUP($D63,$C$5:$AV$509,24,)/VLOOKUP($D63,$C$5:$AV$509,3,))*$E63)</f>
        <v>0</v>
      </c>
      <c r="AB63" s="47">
        <f>IF(VLOOKUP($D63,$C$5:$AV$509,3,)=0,0,(VLOOKUP($D63,$C$5:$AV$509,25,)/VLOOKUP($D63,$C$5:$AV$509,3,))*$E63)</f>
        <v>0</v>
      </c>
      <c r="AC63" s="47">
        <f>IF(VLOOKUP($D63,$C$5:$AV$509,3,)=0,0,(VLOOKUP($D63,$C$5:$AV$509,26,)/VLOOKUP($D63,$C$5:$AV$509,3,))*$E63)</f>
        <v>0</v>
      </c>
      <c r="AD63" s="47">
        <f>IF(VLOOKUP($D63,$C$5:$AV$509,3,)=0,0,(VLOOKUP($D63,$C$5:$AV$509,27,)/VLOOKUP($D63,$C$5:$AV$509,3,))*$E63)</f>
        <v>0</v>
      </c>
      <c r="AE63" s="47">
        <f>IF(VLOOKUP($D63,$C$5:$AV$509,3,)=0,0,(VLOOKUP($D63,$C$5:$AV$509,28,)/VLOOKUP($D63,$C$5:$AV$509,3,))*$E63)</f>
        <v>0</v>
      </c>
      <c r="AF63" s="47">
        <f>IF(VLOOKUP($D63,$C$5:$AV$509,3,)=0,0,(VLOOKUP($D63,$C$5:$AV$509,29,)/VLOOKUP($D63,$C$5:$AV$509,3,))*$E63)</f>
        <v>0</v>
      </c>
      <c r="AG63" s="47">
        <f>IF(VLOOKUP($D63,$C$5:$AV$509,3,)=0,0,(VLOOKUP($D63,$C$5:$AV$509,30,)/VLOOKUP($D63,$C$5:$AV$509,3,))*$E63)</f>
        <v>0</v>
      </c>
      <c r="AH63" s="47">
        <f t="shared" ref="AH63:AH64" si="37">SUM(F63:AG63)</f>
        <v>0</v>
      </c>
      <c r="AI63" s="27" t="str">
        <f>IF(ABS(E63-AH63)&lt;0.01,"ok","err")</f>
        <v>ok</v>
      </c>
    </row>
    <row r="64" spans="1:35" x14ac:dyDescent="0.2">
      <c r="A64" s="90" t="s">
        <v>221</v>
      </c>
      <c r="C64" s="14" t="s">
        <v>244</v>
      </c>
      <c r="D64" s="14" t="s">
        <v>701</v>
      </c>
      <c r="E64" s="47">
        <f>'Func &amp; Classif'!S126</f>
        <v>11909900.066514995</v>
      </c>
      <c r="F64" s="47">
        <f>IF(VLOOKUP($D64,$C$5:$AV$509,3,)=0,0,(VLOOKUP($D64,$C$5:$AV$509,4,)/VLOOKUP($D64,$C$5:$AV$509,3,))*$E64)</f>
        <v>10159257.536279671</v>
      </c>
      <c r="G64" s="47">
        <f>IF(VLOOKUP($D64,$C$5:$AV$509,3,)=0,0,(VLOOKUP($D64,$C$5:$AV$509,5,)/VLOOKUP($D64,$C$5:$AV$509,3,))*$E64)</f>
        <v>395.37877160068774</v>
      </c>
      <c r="H64" s="47">
        <f>IF(VLOOKUP($D64,$C$5:$AV$509,3,)=0,0,(VLOOKUP($D64,$C$5:$AV$509,6,)/VLOOKUP($D64,$C$5:$AV$509,3,))*$E64)</f>
        <v>1470541.947729866</v>
      </c>
      <c r="I64" s="47">
        <f>IF(VLOOKUP($D64,$C$5:$AV$509,3,)=0,0,(VLOOKUP($D64,$C$5:$AV$509,7,)/VLOOKUP($D64,$C$5:$AV$509,3,))*$E64)</f>
        <v>151405.25558323986</v>
      </c>
      <c r="J64" s="47">
        <f>IF(VLOOKUP($D64,$C$5:$AV$509,3,)=0,0,(VLOOKUP($D64,$C$5:$AV$509,8,)/VLOOKUP($D64,$C$5:$AV$509,3,))*$E64)</f>
        <v>121067.83821621633</v>
      </c>
      <c r="K64" s="47">
        <f>IF(VLOOKUP($D64,$C$5:$AV$509,3,)=0,0,(VLOOKUP($D64,$C$5:$AV$509,9,)/VLOOKUP($D64,$C$5:$AV$509,3,))*$E64)</f>
        <v>0</v>
      </c>
      <c r="L64" s="47">
        <f>IF(VLOOKUP($D64,$C$5:$AV$509,3,)=0,0,(VLOOKUP($D64,$C$5:$AV$509,10,)/VLOOKUP($D64,$C$5:$AV$509,3,))*$E64)</f>
        <v>6214.7331426700403</v>
      </c>
      <c r="M64" s="47">
        <f>IF(VLOOKUP($D64,$C$5:$AV$509,3,)=0,0,(VLOOKUP($D64,$C$5:$AV$509,11,)/VLOOKUP($D64,$C$5:$AV$509,3,))*$E64)</f>
        <v>1017.3767917329104</v>
      </c>
      <c r="N64" s="47">
        <f>IF(VLOOKUP($D64,$C$5:$AV$509,3,)=0,0,(VLOOKUP($D64,$C$5:$AV$509,12,)/VLOOKUP($D64,$C$5:$AV$509,3,))*$E64)</f>
        <v>0</v>
      </c>
      <c r="O64" s="47">
        <f t="shared" si="36"/>
        <v>0</v>
      </c>
      <c r="P64" s="47">
        <f t="shared" si="36"/>
        <v>0</v>
      </c>
      <c r="Q64" s="47">
        <f t="shared" si="36"/>
        <v>0</v>
      </c>
      <c r="R64" s="47">
        <f>IF(VLOOKUP($D64,$C$5:$AV$509,3,)=0,0,(VLOOKUP($D64,$C$5:$AV$509,15,)/VLOOKUP($D64,$C$5:$AV$509,3,))*$E64)</f>
        <v>0</v>
      </c>
      <c r="S64" s="47">
        <f>IF(VLOOKUP($D64,$C$5:$AV$509,3,)=0,0,(VLOOKUP($D64,$C$5:$AV$509,16,)/VLOOKUP($D64,$C$5:$AV$509,3,))*$E64)</f>
        <v>0</v>
      </c>
      <c r="T64" s="47">
        <f>IF(VLOOKUP($D64,$C$5:$AV$509,3,)=0,0,(VLOOKUP($D64,$C$5:$AV$509,17,)/VLOOKUP($D64,$C$5:$AV$509,3,))*$E64)</f>
        <v>0</v>
      </c>
      <c r="U64" s="47">
        <f>IF(VLOOKUP($D64,$C$5:$AV$509,3,)=0,0,(VLOOKUP($D64,$C$5:$AV$509,18,)/VLOOKUP($D64,$C$5:$AV$509,3,))*$E64)</f>
        <v>0</v>
      </c>
      <c r="V64" s="47">
        <f>IF(VLOOKUP($D64,$C$5:$AV$509,3,)=0,0,(VLOOKUP($D64,$C$5:$AV$509,19,)/VLOOKUP($D64,$C$5:$AV$509,3,))*$E64)</f>
        <v>0</v>
      </c>
      <c r="W64" s="47">
        <f>IF(VLOOKUP($D64,$C$5:$AV$509,3,)=0,0,(VLOOKUP($D64,$C$5:$AV$509,20,)/VLOOKUP($D64,$C$5:$AV$509,3,))*$E64)</f>
        <v>0</v>
      </c>
      <c r="X64" s="47">
        <f>IF(VLOOKUP($D64,$C$5:$AV$509,3,)=0,0,(VLOOKUP($D64,$C$5:$AV$509,21,)/VLOOKUP($D64,$C$5:$AV$509,3,))*$E64)</f>
        <v>0</v>
      </c>
      <c r="Y64" s="47">
        <f>IF(VLOOKUP($D64,$C$5:$AV$509,3,)=0,0,(VLOOKUP($D64,$C$5:$AV$509,22,)/VLOOKUP($D64,$C$5:$AV$509,3,))*$E64)</f>
        <v>0</v>
      </c>
      <c r="Z64" s="47">
        <f>IF(VLOOKUP($D64,$C$5:$AV$509,3,)=0,0,(VLOOKUP($D64,$C$5:$AV$509,23,)/VLOOKUP($D64,$C$5:$AV$509,3,))*$E64)</f>
        <v>0</v>
      </c>
      <c r="AA64" s="47">
        <f>IF(VLOOKUP($D64,$C$5:$AV$509,3,)=0,0,(VLOOKUP($D64,$C$5:$AV$509,24,)/VLOOKUP($D64,$C$5:$AV$509,3,))*$E64)</f>
        <v>0</v>
      </c>
      <c r="AB64" s="47">
        <f>IF(VLOOKUP($D64,$C$5:$AV$509,3,)=0,0,(VLOOKUP($D64,$C$5:$AV$509,25,)/VLOOKUP($D64,$C$5:$AV$509,3,))*$E64)</f>
        <v>0</v>
      </c>
      <c r="AC64" s="47">
        <f>IF(VLOOKUP($D64,$C$5:$AV$509,3,)=0,0,(VLOOKUP($D64,$C$5:$AV$509,26,)/VLOOKUP($D64,$C$5:$AV$509,3,))*$E64)</f>
        <v>0</v>
      </c>
      <c r="AD64" s="47">
        <f>IF(VLOOKUP($D64,$C$5:$AV$509,3,)=0,0,(VLOOKUP($D64,$C$5:$AV$509,27,)/VLOOKUP($D64,$C$5:$AV$509,3,))*$E64)</f>
        <v>0</v>
      </c>
      <c r="AE64" s="47">
        <f>IF(VLOOKUP($D64,$C$5:$AV$509,3,)=0,0,(VLOOKUP($D64,$C$5:$AV$509,28,)/VLOOKUP($D64,$C$5:$AV$509,3,))*$E64)</f>
        <v>0</v>
      </c>
      <c r="AF64" s="47">
        <f>IF(VLOOKUP($D64,$C$5:$AV$509,3,)=0,0,(VLOOKUP($D64,$C$5:$AV$509,29,)/VLOOKUP($D64,$C$5:$AV$509,3,))*$E64)</f>
        <v>0</v>
      </c>
      <c r="AG64" s="47">
        <f>IF(VLOOKUP($D64,$C$5:$AV$509,3,)=0,0,(VLOOKUP($D64,$C$5:$AV$509,30,)/VLOOKUP($D64,$C$5:$AV$509,3,))*$E64)</f>
        <v>0</v>
      </c>
      <c r="AH64" s="47">
        <f t="shared" si="37"/>
        <v>11909900.066514997</v>
      </c>
      <c r="AI64" s="27" t="str">
        <f>IF(ABS(E64-AH64)&lt;0.01,"ok","err")</f>
        <v>ok</v>
      </c>
    </row>
    <row r="65" spans="1:35" x14ac:dyDescent="0.2">
      <c r="A65" s="14" t="s">
        <v>228</v>
      </c>
      <c r="E65" s="62">
        <f t="shared" ref="E65:U65" si="38">E63+E64</f>
        <v>11909900.066514995</v>
      </c>
      <c r="F65" s="62">
        <f t="shared" si="38"/>
        <v>10159257.536279671</v>
      </c>
      <c r="G65" s="62">
        <f t="shared" si="38"/>
        <v>395.37877160068774</v>
      </c>
      <c r="H65" s="62">
        <f t="shared" si="38"/>
        <v>1470541.947729866</v>
      </c>
      <c r="I65" s="62">
        <f t="shared" si="38"/>
        <v>151405.25558323986</v>
      </c>
      <c r="J65" s="62">
        <f t="shared" si="38"/>
        <v>121067.83821621633</v>
      </c>
      <c r="K65" s="62">
        <f t="shared" si="38"/>
        <v>0</v>
      </c>
      <c r="L65" s="62">
        <f t="shared" si="38"/>
        <v>6214.7331426700403</v>
      </c>
      <c r="M65" s="62">
        <f t="shared" ref="M65" si="39">M63+M64</f>
        <v>1017.3767917329104</v>
      </c>
      <c r="N65" s="62">
        <f t="shared" si="38"/>
        <v>0</v>
      </c>
      <c r="O65" s="62">
        <f t="shared" si="38"/>
        <v>0</v>
      </c>
      <c r="P65" s="62">
        <f t="shared" si="38"/>
        <v>0</v>
      </c>
      <c r="Q65" s="62">
        <f t="shared" si="38"/>
        <v>0</v>
      </c>
      <c r="R65" s="62">
        <f t="shared" si="38"/>
        <v>0</v>
      </c>
      <c r="S65" s="62">
        <f t="shared" si="38"/>
        <v>0</v>
      </c>
      <c r="T65" s="62">
        <f t="shared" si="38"/>
        <v>0</v>
      </c>
      <c r="U65" s="62">
        <f t="shared" si="38"/>
        <v>0</v>
      </c>
      <c r="V65" s="62">
        <f t="shared" ref="V65:AG65" si="40">V63+V64</f>
        <v>0</v>
      </c>
      <c r="W65" s="62">
        <f t="shared" si="40"/>
        <v>0</v>
      </c>
      <c r="X65" s="62">
        <f t="shared" si="40"/>
        <v>0</v>
      </c>
      <c r="Y65" s="62">
        <f t="shared" si="40"/>
        <v>0</v>
      </c>
      <c r="Z65" s="62">
        <f t="shared" si="40"/>
        <v>0</v>
      </c>
      <c r="AA65" s="62">
        <f t="shared" si="40"/>
        <v>0</v>
      </c>
      <c r="AB65" s="62">
        <f t="shared" si="40"/>
        <v>0</v>
      </c>
      <c r="AC65" s="62">
        <f t="shared" si="40"/>
        <v>0</v>
      </c>
      <c r="AD65" s="62">
        <f t="shared" si="40"/>
        <v>0</v>
      </c>
      <c r="AE65" s="62">
        <f t="shared" si="40"/>
        <v>0</v>
      </c>
      <c r="AF65" s="62">
        <f t="shared" si="40"/>
        <v>0</v>
      </c>
      <c r="AG65" s="62">
        <f t="shared" si="40"/>
        <v>0</v>
      </c>
      <c r="AH65" s="87">
        <f>SUM(F65:AG65)</f>
        <v>11909900.066514997</v>
      </c>
      <c r="AI65" s="27" t="str">
        <f>IF(ABS(E65-AH65)&lt;0.01,"ok","err")</f>
        <v>ok</v>
      </c>
    </row>
    <row r="66" spans="1:35" x14ac:dyDescent="0.2">
      <c r="E66" s="47"/>
    </row>
    <row r="67" spans="1:35" x14ac:dyDescent="0.2">
      <c r="A67" s="13" t="s">
        <v>4</v>
      </c>
      <c r="E67" s="47"/>
    </row>
    <row r="68" spans="1:35" x14ac:dyDescent="0.2">
      <c r="A68" s="90" t="s">
        <v>221</v>
      </c>
      <c r="C68" s="14" t="s">
        <v>245</v>
      </c>
      <c r="D68" s="14" t="s">
        <v>230</v>
      </c>
      <c r="E68" s="62">
        <f>'Func &amp; Classif'!U126</f>
        <v>5228704.5569934994</v>
      </c>
      <c r="F68" s="47">
        <f>IF(VLOOKUP($D68,$C$5:$AV$509,3,)=0,0,(VLOOKUP($D68,$C$5:$AV$509,4,)/VLOOKUP($D68,$C$5:$AV$509,3,))*$E68)</f>
        <v>4649141.7893568827</v>
      </c>
      <c r="G68" s="47">
        <f>IF(VLOOKUP($D68,$C$5:$AV$509,3,)=0,0,(VLOOKUP($D68,$C$5:$AV$509,5,)/VLOOKUP($D68,$C$5:$AV$509,3,))*$E68)</f>
        <v>180.935660220155</v>
      </c>
      <c r="H68" s="47">
        <f>IF(VLOOKUP($D68,$C$5:$AV$509,3,)=0,0,(VLOOKUP($D68,$C$5:$AV$509,6,)/VLOOKUP($D68,$C$5:$AV$509,3,))*$E68)</f>
        <v>458117.60369900579</v>
      </c>
      <c r="I68" s="47">
        <f>IF(VLOOKUP($D68,$C$5:$AV$509,3,)=0,0,(VLOOKUP($D68,$C$5:$AV$509,7,)/VLOOKUP($D68,$C$5:$AV$509,3,))*$E68)</f>
        <v>56813.797309128677</v>
      </c>
      <c r="J68" s="47">
        <f>IF(VLOOKUP($D68,$C$5:$AV$509,3,)=0,0,(VLOOKUP($D68,$C$5:$AV$509,8,)/VLOOKUP($D68,$C$5:$AV$509,3,))*$E68)</f>
        <v>59125.752967497327</v>
      </c>
      <c r="K68" s="47">
        <f>IF(VLOOKUP($D68,$C$5:$AV$509,3,)=0,0,(VLOOKUP($D68,$C$5:$AV$509,9,)/VLOOKUP($D68,$C$5:$AV$509,3,))*$E68)</f>
        <v>0</v>
      </c>
      <c r="L68" s="47">
        <f>IF(VLOOKUP($D68,$C$5:$AV$509,3,)=0,0,(VLOOKUP($D68,$C$5:$AV$509,10,)/VLOOKUP($D68,$C$5:$AV$509,3,))*$E68)</f>
        <v>4733.0471117907218</v>
      </c>
      <c r="M68" s="47">
        <f>IF(VLOOKUP($D68,$C$5:$AV$509,3,)=0,0,(VLOOKUP($D68,$C$5:$AV$509,11,)/VLOOKUP($D68,$C$5:$AV$509,3,))*$E68)</f>
        <v>591.63088897384023</v>
      </c>
      <c r="N68" s="47">
        <f>IF(VLOOKUP($D68,$C$5:$AV$509,3,)=0,0,(VLOOKUP($D68,$C$5:$AV$509,12,)/VLOOKUP($D68,$C$5:$AV$509,3,))*$E68)</f>
        <v>0</v>
      </c>
      <c r="O68" s="47">
        <f>IF(VLOOKUP($D68,$C$5:$AV$509,3,)=0,0,(VLOOKUP($D68,$C$5:$AV$509,14,)/VLOOKUP($D68,$C$5:$AV$509,3,))*$E68)</f>
        <v>0</v>
      </c>
      <c r="P68" s="47">
        <f>IF(VLOOKUP($D68,$C$5:$AV$509,3,)=0,0,(VLOOKUP($D68,$C$5:$AV$509,14,)/VLOOKUP($D68,$C$5:$AV$509,3,))*$E68)</f>
        <v>0</v>
      </c>
      <c r="Q68" s="47">
        <f>IF(VLOOKUP($D68,$C$5:$AV$509,3,)=0,0,(VLOOKUP($D68,$C$5:$AV$509,14,)/VLOOKUP($D68,$C$5:$AV$509,3,))*$E68)</f>
        <v>0</v>
      </c>
      <c r="R68" s="47">
        <f>IF(VLOOKUP($D68,$C$5:$AV$509,3,)=0,0,(VLOOKUP($D68,$C$5:$AV$509,15,)/VLOOKUP($D68,$C$5:$AV$509,3,))*$E68)</f>
        <v>0</v>
      </c>
      <c r="S68" s="47">
        <f>IF(VLOOKUP($D68,$C$5:$AV$509,3,)=0,0,(VLOOKUP($D68,$C$5:$AV$509,16,)/VLOOKUP($D68,$C$5:$AV$509,3,))*$E68)</f>
        <v>0</v>
      </c>
      <c r="T68" s="47">
        <f>IF(VLOOKUP($D68,$C$5:$AV$509,3,)=0,0,(VLOOKUP($D68,$C$5:$AV$509,17,)/VLOOKUP($D68,$C$5:$AV$509,3,))*$E68)</f>
        <v>0</v>
      </c>
      <c r="U68" s="47">
        <f>IF(VLOOKUP($D68,$C$5:$AV$509,3,)=0,0,(VLOOKUP($D68,$C$5:$AV$509,18,)/VLOOKUP($D68,$C$5:$AV$509,3,))*$E68)</f>
        <v>0</v>
      </c>
      <c r="V68" s="47">
        <f>IF(VLOOKUP($D68,$C$5:$AV$509,3,)=0,0,(VLOOKUP($D68,$C$5:$AV$509,19,)/VLOOKUP($D68,$C$5:$AV$509,3,))*$E68)</f>
        <v>0</v>
      </c>
      <c r="W68" s="47">
        <f>IF(VLOOKUP($D68,$C$5:$AV$509,3,)=0,0,(VLOOKUP($D68,$C$5:$AV$509,20,)/VLOOKUP($D68,$C$5:$AV$509,3,))*$E68)</f>
        <v>0</v>
      </c>
      <c r="X68" s="47">
        <f>IF(VLOOKUP($D68,$C$5:$AV$509,3,)=0,0,(VLOOKUP($D68,$C$5:$AV$509,21,)/VLOOKUP($D68,$C$5:$AV$509,3,))*$E68)</f>
        <v>0</v>
      </c>
      <c r="Y68" s="47">
        <f>IF(VLOOKUP($D68,$C$5:$AV$509,3,)=0,0,(VLOOKUP($D68,$C$5:$AV$509,22,)/VLOOKUP($D68,$C$5:$AV$509,3,))*$E68)</f>
        <v>0</v>
      </c>
      <c r="Z68" s="47">
        <f>IF(VLOOKUP($D68,$C$5:$AV$509,3,)=0,0,(VLOOKUP($D68,$C$5:$AV$509,23,)/VLOOKUP($D68,$C$5:$AV$509,3,))*$E68)</f>
        <v>0</v>
      </c>
      <c r="AA68" s="47">
        <f>IF(VLOOKUP($D68,$C$5:$AV$509,3,)=0,0,(VLOOKUP($D68,$C$5:$AV$509,24,)/VLOOKUP($D68,$C$5:$AV$509,3,))*$E68)</f>
        <v>0</v>
      </c>
      <c r="AB68" s="47">
        <f>IF(VLOOKUP($D68,$C$5:$AV$509,3,)=0,0,(VLOOKUP($D68,$C$5:$AV$509,25,)/VLOOKUP($D68,$C$5:$AV$509,3,))*$E68)</f>
        <v>0</v>
      </c>
      <c r="AC68" s="47">
        <f>IF(VLOOKUP($D68,$C$5:$AV$509,3,)=0,0,(VLOOKUP($D68,$C$5:$AV$509,26,)/VLOOKUP($D68,$C$5:$AV$509,3,))*$E68)</f>
        <v>0</v>
      </c>
      <c r="AD68" s="47">
        <f>IF(VLOOKUP($D68,$C$5:$AV$509,3,)=0,0,(VLOOKUP($D68,$C$5:$AV$509,27,)/VLOOKUP($D68,$C$5:$AV$509,3,))*$E68)</f>
        <v>0</v>
      </c>
      <c r="AE68" s="47">
        <f>IF(VLOOKUP($D68,$C$5:$AV$509,3,)=0,0,(VLOOKUP($D68,$C$5:$AV$509,28,)/VLOOKUP($D68,$C$5:$AV$509,3,))*$E68)</f>
        <v>0</v>
      </c>
      <c r="AF68" s="47">
        <f>IF(VLOOKUP($D68,$C$5:$AV$509,3,)=0,0,(VLOOKUP($D68,$C$5:$AV$509,29,)/VLOOKUP($D68,$C$5:$AV$509,3,))*$E68)</f>
        <v>0</v>
      </c>
      <c r="AG68" s="47">
        <f>IF(VLOOKUP($D68,$C$5:$AV$509,3,)=0,0,(VLOOKUP($D68,$C$5:$AV$509,30,)/VLOOKUP($D68,$C$5:$AV$509,3,))*$E68)</f>
        <v>0</v>
      </c>
      <c r="AH68" s="47">
        <f t="shared" ref="AH68" si="41">SUM(F68:AG68)</f>
        <v>5228704.5569934994</v>
      </c>
      <c r="AI68" s="27" t="str">
        <f>IF(ABS(E68-AH68)&lt;0.01,"ok","err")</f>
        <v>ok</v>
      </c>
    </row>
    <row r="69" spans="1:35" x14ac:dyDescent="0.2">
      <c r="E69" s="47"/>
    </row>
    <row r="70" spans="1:35" x14ac:dyDescent="0.2">
      <c r="A70" s="13" t="s">
        <v>5</v>
      </c>
      <c r="E70" s="47"/>
    </row>
    <row r="71" spans="1:35" x14ac:dyDescent="0.2">
      <c r="A71" s="90" t="s">
        <v>221</v>
      </c>
      <c r="C71" s="14" t="s">
        <v>246</v>
      </c>
      <c r="D71" s="14" t="s">
        <v>232</v>
      </c>
      <c r="E71" s="62">
        <f>'Func &amp; Classif'!W126</f>
        <v>3667954.5276973248</v>
      </c>
      <c r="F71" s="47">
        <f>IF(VLOOKUP($D71,$C$5:$AV$509,3,)=0,0,(VLOOKUP($D71,$C$5:$AV$509,4,)/VLOOKUP($D71,$C$5:$AV$509,3,))*$E71)</f>
        <v>0</v>
      </c>
      <c r="G71" s="47">
        <f>IF(VLOOKUP($D71,$C$5:$AV$509,3,)=0,0,(VLOOKUP($D71,$C$5:$AV$509,5,)/VLOOKUP($D71,$C$5:$AV$509,3,))*$E71)</f>
        <v>0</v>
      </c>
      <c r="H71" s="47">
        <f>IF(VLOOKUP($D71,$C$5:$AV$509,3,)=0,0,(VLOOKUP($D71,$C$5:$AV$509,6,)/VLOOKUP($D71,$C$5:$AV$509,3,))*$E71)</f>
        <v>0</v>
      </c>
      <c r="I71" s="47">
        <f>IF(VLOOKUP($D71,$C$5:$AV$509,3,)=0,0,(VLOOKUP($D71,$C$5:$AV$509,7,)/VLOOKUP($D71,$C$5:$AV$509,3,))*$E71)</f>
        <v>0</v>
      </c>
      <c r="J71" s="47">
        <f>IF(VLOOKUP($D71,$C$5:$AV$509,3,)=0,0,(VLOOKUP($D71,$C$5:$AV$509,8,)/VLOOKUP($D71,$C$5:$AV$509,3,))*$E71)</f>
        <v>0</v>
      </c>
      <c r="K71" s="47">
        <f>IF(VLOOKUP($D71,$C$5:$AV$509,3,)=0,0,(VLOOKUP($D71,$C$5:$AV$509,9,)/VLOOKUP($D71,$C$5:$AV$509,3,))*$E71)</f>
        <v>0</v>
      </c>
      <c r="L71" s="47">
        <f>IF(VLOOKUP($D71,$C$5:$AV$509,3,)=0,0,(VLOOKUP($D71,$C$5:$AV$509,10,)/VLOOKUP($D71,$C$5:$AV$509,3,))*$E71)</f>
        <v>0</v>
      </c>
      <c r="M71" s="47">
        <f>IF(VLOOKUP($D71,$C$5:$AV$509,3,)=0,0,(VLOOKUP($D71,$C$5:$AV$509,11,)/VLOOKUP($D71,$C$5:$AV$509,3,))*$E71)</f>
        <v>0</v>
      </c>
      <c r="N71" s="47">
        <f>IF(VLOOKUP($D71,$C$5:$AV$509,3,)=0,0,(VLOOKUP($D71,$C$5:$AV$509,12,)/VLOOKUP($D71,$C$5:$AV$509,3,))*$E71)</f>
        <v>3667954.5276973248</v>
      </c>
      <c r="O71" s="47">
        <f>IF(VLOOKUP($D71,$C$5:$AV$509,3,)=0,0,(VLOOKUP($D71,$C$5:$AV$509,14,)/VLOOKUP($D71,$C$5:$AV$509,3,))*$E71)</f>
        <v>0</v>
      </c>
      <c r="P71" s="47">
        <f>IF(VLOOKUP($D71,$C$5:$AV$509,3,)=0,0,(VLOOKUP($D71,$C$5:$AV$509,14,)/VLOOKUP($D71,$C$5:$AV$509,3,))*$E71)</f>
        <v>0</v>
      </c>
      <c r="Q71" s="47">
        <f>IF(VLOOKUP($D71,$C$5:$AV$509,3,)=0,0,(VLOOKUP($D71,$C$5:$AV$509,14,)/VLOOKUP($D71,$C$5:$AV$509,3,))*$E71)</f>
        <v>0</v>
      </c>
      <c r="R71" s="47">
        <f>IF(VLOOKUP($D71,$C$5:$AV$509,3,)=0,0,(VLOOKUP($D71,$C$5:$AV$509,15,)/VLOOKUP($D71,$C$5:$AV$509,3,))*$E71)</f>
        <v>0</v>
      </c>
      <c r="S71" s="47">
        <f>IF(VLOOKUP($D71,$C$5:$AV$509,3,)=0,0,(VLOOKUP($D71,$C$5:$AV$509,16,)/VLOOKUP($D71,$C$5:$AV$509,3,))*$E71)</f>
        <v>0</v>
      </c>
      <c r="T71" s="47">
        <f>IF(VLOOKUP($D71,$C$5:$AV$509,3,)=0,0,(VLOOKUP($D71,$C$5:$AV$509,17,)/VLOOKUP($D71,$C$5:$AV$509,3,))*$E71)</f>
        <v>0</v>
      </c>
      <c r="U71" s="47">
        <f>IF(VLOOKUP($D71,$C$5:$AV$509,3,)=0,0,(VLOOKUP($D71,$C$5:$AV$509,18,)/VLOOKUP($D71,$C$5:$AV$509,3,))*$E71)</f>
        <v>0</v>
      </c>
      <c r="V71" s="47">
        <f>IF(VLOOKUP($D71,$C$5:$AV$509,3,)=0,0,(VLOOKUP($D71,$C$5:$AV$509,19,)/VLOOKUP($D71,$C$5:$AV$509,3,))*$E71)</f>
        <v>0</v>
      </c>
      <c r="W71" s="47">
        <f>IF(VLOOKUP($D71,$C$5:$AV$509,3,)=0,0,(VLOOKUP($D71,$C$5:$AV$509,20,)/VLOOKUP($D71,$C$5:$AV$509,3,))*$E71)</f>
        <v>0</v>
      </c>
      <c r="X71" s="47">
        <f>IF(VLOOKUP($D71,$C$5:$AV$509,3,)=0,0,(VLOOKUP($D71,$C$5:$AV$509,21,)/VLOOKUP($D71,$C$5:$AV$509,3,))*$E71)</f>
        <v>0</v>
      </c>
      <c r="Y71" s="47">
        <f>IF(VLOOKUP($D71,$C$5:$AV$509,3,)=0,0,(VLOOKUP($D71,$C$5:$AV$509,22,)/VLOOKUP($D71,$C$5:$AV$509,3,))*$E71)</f>
        <v>0</v>
      </c>
      <c r="Z71" s="47">
        <f>IF(VLOOKUP($D71,$C$5:$AV$509,3,)=0,0,(VLOOKUP($D71,$C$5:$AV$509,23,)/VLOOKUP($D71,$C$5:$AV$509,3,))*$E71)</f>
        <v>0</v>
      </c>
      <c r="AA71" s="47">
        <f>IF(VLOOKUP($D71,$C$5:$AV$509,3,)=0,0,(VLOOKUP($D71,$C$5:$AV$509,24,)/VLOOKUP($D71,$C$5:$AV$509,3,))*$E71)</f>
        <v>0</v>
      </c>
      <c r="AB71" s="47">
        <f>IF(VLOOKUP($D71,$C$5:$AV$509,3,)=0,0,(VLOOKUP($D71,$C$5:$AV$509,25,)/VLOOKUP($D71,$C$5:$AV$509,3,))*$E71)</f>
        <v>0</v>
      </c>
      <c r="AC71" s="47">
        <f>IF(VLOOKUP($D71,$C$5:$AV$509,3,)=0,0,(VLOOKUP($D71,$C$5:$AV$509,26,)/VLOOKUP($D71,$C$5:$AV$509,3,))*$E71)</f>
        <v>0</v>
      </c>
      <c r="AD71" s="47">
        <f>IF(VLOOKUP($D71,$C$5:$AV$509,3,)=0,0,(VLOOKUP($D71,$C$5:$AV$509,27,)/VLOOKUP($D71,$C$5:$AV$509,3,))*$E71)</f>
        <v>0</v>
      </c>
      <c r="AE71" s="47">
        <f>IF(VLOOKUP($D71,$C$5:$AV$509,3,)=0,0,(VLOOKUP($D71,$C$5:$AV$509,28,)/VLOOKUP($D71,$C$5:$AV$509,3,))*$E71)</f>
        <v>0</v>
      </c>
      <c r="AF71" s="47">
        <f>IF(VLOOKUP($D71,$C$5:$AV$509,3,)=0,0,(VLOOKUP($D71,$C$5:$AV$509,29,)/VLOOKUP($D71,$C$5:$AV$509,3,))*$E71)</f>
        <v>0</v>
      </c>
      <c r="AG71" s="47">
        <f>IF(VLOOKUP($D71,$C$5:$AV$509,3,)=0,0,(VLOOKUP($D71,$C$5:$AV$509,30,)/VLOOKUP($D71,$C$5:$AV$509,3,))*$E71)</f>
        <v>0</v>
      </c>
      <c r="AH71" s="47">
        <f t="shared" ref="AH71" si="42">SUM(F71:AG71)</f>
        <v>3667954.5276973248</v>
      </c>
      <c r="AI71" s="27" t="str">
        <f>IF(ABS(E71-AH71)&lt;0.01,"ok","err")</f>
        <v>ok</v>
      </c>
    </row>
    <row r="72" spans="1:35" x14ac:dyDescent="0.2">
      <c r="E72" s="47"/>
    </row>
    <row r="73" spans="1:35" x14ac:dyDescent="0.2">
      <c r="A73" s="13" t="s">
        <v>545</v>
      </c>
      <c r="E73" s="47"/>
    </row>
    <row r="74" spans="1:35" x14ac:dyDescent="0.2">
      <c r="A74" s="90" t="s">
        <v>221</v>
      </c>
      <c r="C74" s="14" t="s">
        <v>247</v>
      </c>
      <c r="D74" s="14" t="s">
        <v>234</v>
      </c>
      <c r="E74" s="62">
        <f>'Func &amp; Classif'!Y126</f>
        <v>0</v>
      </c>
      <c r="F74" s="47">
        <f>IF(VLOOKUP($D74,$C$5:$AV$509,3,)=0,0,(VLOOKUP($D74,$C$5:$AV$509,4,)/VLOOKUP($D74,$C$5:$AV$509,3,))*$E74)</f>
        <v>0</v>
      </c>
      <c r="G74" s="47">
        <f>IF(VLOOKUP($D74,$C$5:$AV$509,3,)=0,0,(VLOOKUP($D74,$C$5:$AV$509,5,)/VLOOKUP($D74,$C$5:$AV$509,3,))*$E74)</f>
        <v>0</v>
      </c>
      <c r="H74" s="47">
        <f>IF(VLOOKUP($D74,$C$5:$AV$509,3,)=0,0,(VLOOKUP($D74,$C$5:$AV$509,6,)/VLOOKUP($D74,$C$5:$AV$509,3,))*$E74)</f>
        <v>0</v>
      </c>
      <c r="I74" s="47">
        <f>IF(VLOOKUP($D74,$C$5:$AV$509,3,)=0,0,(VLOOKUP($D74,$C$5:$AV$509,7,)/VLOOKUP($D74,$C$5:$AV$509,3,))*$E74)</f>
        <v>0</v>
      </c>
      <c r="J74" s="47">
        <f>IF(VLOOKUP($D74,$C$5:$AV$509,3,)=0,0,(VLOOKUP($D74,$C$5:$AV$509,8,)/VLOOKUP($D74,$C$5:$AV$509,3,))*$E74)</f>
        <v>0</v>
      </c>
      <c r="K74" s="47">
        <f>IF(VLOOKUP($D74,$C$5:$AV$509,3,)=0,0,(VLOOKUP($D74,$C$5:$AV$509,9,)/VLOOKUP($D74,$C$5:$AV$509,3,))*$E74)</f>
        <v>0</v>
      </c>
      <c r="L74" s="47">
        <f>IF(VLOOKUP($D74,$C$5:$AV$509,3,)=0,0,(VLOOKUP($D74,$C$5:$AV$509,10,)/VLOOKUP($D74,$C$5:$AV$509,3,))*$E74)</f>
        <v>0</v>
      </c>
      <c r="M74" s="47">
        <f>IF(VLOOKUP($D74,$C$5:$AV$509,3,)=0,0,(VLOOKUP($D74,$C$5:$AV$509,11,)/VLOOKUP($D74,$C$5:$AV$509,3,))*$E74)</f>
        <v>0</v>
      </c>
      <c r="N74" s="47">
        <f>IF(VLOOKUP($D74,$C$5:$AV$509,3,)=0,0,(VLOOKUP($D74,$C$5:$AV$509,12,)/VLOOKUP($D74,$C$5:$AV$509,3,))*$E74)</f>
        <v>0</v>
      </c>
      <c r="O74" s="47">
        <f>IF(VLOOKUP($D74,$C$5:$AV$509,3,)=0,0,(VLOOKUP($D74,$C$5:$AV$509,14,)/VLOOKUP($D74,$C$5:$AV$509,3,))*$E74)</f>
        <v>0</v>
      </c>
      <c r="P74" s="47">
        <f>IF(VLOOKUP($D74,$C$5:$AV$509,3,)=0,0,(VLOOKUP($D74,$C$5:$AV$509,14,)/VLOOKUP($D74,$C$5:$AV$509,3,))*$E74)</f>
        <v>0</v>
      </c>
      <c r="Q74" s="47">
        <f>IF(VLOOKUP($D74,$C$5:$AV$509,3,)=0,0,(VLOOKUP($D74,$C$5:$AV$509,14,)/VLOOKUP($D74,$C$5:$AV$509,3,))*$E74)</f>
        <v>0</v>
      </c>
      <c r="R74" s="47">
        <f>IF(VLOOKUP($D74,$C$5:$AV$509,3,)=0,0,(VLOOKUP($D74,$C$5:$AV$509,15,)/VLOOKUP($D74,$C$5:$AV$509,3,))*$E74)</f>
        <v>0</v>
      </c>
      <c r="S74" s="47">
        <f>IF(VLOOKUP($D74,$C$5:$AV$509,3,)=0,0,(VLOOKUP($D74,$C$5:$AV$509,16,)/VLOOKUP($D74,$C$5:$AV$509,3,))*$E74)</f>
        <v>0</v>
      </c>
      <c r="T74" s="47">
        <f>IF(VLOOKUP($D74,$C$5:$AV$509,3,)=0,0,(VLOOKUP($D74,$C$5:$AV$509,17,)/VLOOKUP($D74,$C$5:$AV$509,3,))*$E74)</f>
        <v>0</v>
      </c>
      <c r="U74" s="47">
        <f>IF(VLOOKUP($D74,$C$5:$AV$509,3,)=0,0,(VLOOKUP($D74,$C$5:$AV$509,18,)/VLOOKUP($D74,$C$5:$AV$509,3,))*$E74)</f>
        <v>0</v>
      </c>
      <c r="V74" s="47">
        <f>IF(VLOOKUP($D74,$C$5:$AV$509,3,)=0,0,(VLOOKUP($D74,$C$5:$AV$509,19,)/VLOOKUP($D74,$C$5:$AV$509,3,))*$E74)</f>
        <v>0</v>
      </c>
      <c r="W74" s="47">
        <f>IF(VLOOKUP($D74,$C$5:$AV$509,3,)=0,0,(VLOOKUP($D74,$C$5:$AV$509,20,)/VLOOKUP($D74,$C$5:$AV$509,3,))*$E74)</f>
        <v>0</v>
      </c>
      <c r="X74" s="47">
        <f>IF(VLOOKUP($D74,$C$5:$AV$509,3,)=0,0,(VLOOKUP($D74,$C$5:$AV$509,21,)/VLOOKUP($D74,$C$5:$AV$509,3,))*$E74)</f>
        <v>0</v>
      </c>
      <c r="Y74" s="47">
        <f>IF(VLOOKUP($D74,$C$5:$AV$509,3,)=0,0,(VLOOKUP($D74,$C$5:$AV$509,22,)/VLOOKUP($D74,$C$5:$AV$509,3,))*$E74)</f>
        <v>0</v>
      </c>
      <c r="Z74" s="47">
        <f>IF(VLOOKUP($D74,$C$5:$AV$509,3,)=0,0,(VLOOKUP($D74,$C$5:$AV$509,23,)/VLOOKUP($D74,$C$5:$AV$509,3,))*$E74)</f>
        <v>0</v>
      </c>
      <c r="AA74" s="47">
        <f>IF(VLOOKUP($D74,$C$5:$AV$509,3,)=0,0,(VLOOKUP($D74,$C$5:$AV$509,24,)/VLOOKUP($D74,$C$5:$AV$509,3,))*$E74)</f>
        <v>0</v>
      </c>
      <c r="AB74" s="47">
        <f>IF(VLOOKUP($D74,$C$5:$AV$509,3,)=0,0,(VLOOKUP($D74,$C$5:$AV$509,25,)/VLOOKUP($D74,$C$5:$AV$509,3,))*$E74)</f>
        <v>0</v>
      </c>
      <c r="AC74" s="47">
        <f>IF(VLOOKUP($D74,$C$5:$AV$509,3,)=0,0,(VLOOKUP($D74,$C$5:$AV$509,26,)/VLOOKUP($D74,$C$5:$AV$509,3,))*$E74)</f>
        <v>0</v>
      </c>
      <c r="AD74" s="47">
        <f>IF(VLOOKUP($D74,$C$5:$AV$509,3,)=0,0,(VLOOKUP($D74,$C$5:$AV$509,27,)/VLOOKUP($D74,$C$5:$AV$509,3,))*$E74)</f>
        <v>0</v>
      </c>
      <c r="AE74" s="47">
        <f>IF(VLOOKUP($D74,$C$5:$AV$509,3,)=0,0,(VLOOKUP($D74,$C$5:$AV$509,28,)/VLOOKUP($D74,$C$5:$AV$509,3,))*$E74)</f>
        <v>0</v>
      </c>
      <c r="AF74" s="47">
        <f>IF(VLOOKUP($D74,$C$5:$AV$509,3,)=0,0,(VLOOKUP($D74,$C$5:$AV$509,29,)/VLOOKUP($D74,$C$5:$AV$509,3,))*$E74)</f>
        <v>0</v>
      </c>
      <c r="AG74" s="47">
        <f>IF(VLOOKUP($D74,$C$5:$AV$509,3,)=0,0,(VLOOKUP($D74,$C$5:$AV$509,30,)/VLOOKUP($D74,$C$5:$AV$509,3,))*$E74)</f>
        <v>0</v>
      </c>
      <c r="AH74" s="47">
        <f t="shared" ref="AH74" si="43">SUM(F74:AG74)</f>
        <v>0</v>
      </c>
      <c r="AI74" s="27" t="str">
        <f>IF(ABS(E74-AH74)&lt;0.01,"ok","err")</f>
        <v>ok</v>
      </c>
    </row>
    <row r="75" spans="1:35" x14ac:dyDescent="0.2">
      <c r="E75" s="47"/>
    </row>
    <row r="76" spans="1:35" x14ac:dyDescent="0.2">
      <c r="A76" s="13" t="s">
        <v>470</v>
      </c>
      <c r="E76" s="47"/>
    </row>
    <row r="77" spans="1:35" x14ac:dyDescent="0.2">
      <c r="A77" s="90" t="s">
        <v>221</v>
      </c>
      <c r="C77" s="14" t="s">
        <v>244</v>
      </c>
      <c r="D77" s="14" t="s">
        <v>235</v>
      </c>
      <c r="E77" s="62">
        <f>'Func &amp; Classif'!AA126</f>
        <v>0</v>
      </c>
      <c r="F77" s="47">
        <f>IF(VLOOKUP($D77,$C$5:$AV$509,3,)=0,0,(VLOOKUP($D77,$C$5:$AV$509,4,)/VLOOKUP($D77,$C$5:$AV$509,3,))*$E77)</f>
        <v>0</v>
      </c>
      <c r="G77" s="47">
        <f>IF(VLOOKUP($D77,$C$5:$AV$509,3,)=0,0,(VLOOKUP($D77,$C$5:$AV$509,5,)/VLOOKUP($D77,$C$5:$AV$509,3,))*$E77)</f>
        <v>0</v>
      </c>
      <c r="H77" s="47">
        <f>IF(VLOOKUP($D77,$C$5:$AV$509,3,)=0,0,(VLOOKUP($D77,$C$5:$AV$509,6,)/VLOOKUP($D77,$C$5:$AV$509,3,))*$E77)</f>
        <v>0</v>
      </c>
      <c r="I77" s="47">
        <f>IF(VLOOKUP($D77,$C$5:$AV$509,3,)=0,0,(VLOOKUP($D77,$C$5:$AV$509,7,)/VLOOKUP($D77,$C$5:$AV$509,3,))*$E77)</f>
        <v>0</v>
      </c>
      <c r="J77" s="47">
        <f>IF(VLOOKUP($D77,$C$5:$AV$509,3,)=0,0,(VLOOKUP($D77,$C$5:$AV$509,8,)/VLOOKUP($D77,$C$5:$AV$509,3,))*$E77)</f>
        <v>0</v>
      </c>
      <c r="K77" s="47">
        <f>IF(VLOOKUP($D77,$C$5:$AV$509,3,)=0,0,(VLOOKUP($D77,$C$5:$AV$509,9,)/VLOOKUP($D77,$C$5:$AV$509,3,))*$E77)</f>
        <v>0</v>
      </c>
      <c r="L77" s="47">
        <f>IF(VLOOKUP($D77,$C$5:$AV$509,3,)=0,0,(VLOOKUP($D77,$C$5:$AV$509,10,)/VLOOKUP($D77,$C$5:$AV$509,3,))*$E77)</f>
        <v>0</v>
      </c>
      <c r="M77" s="47">
        <f>IF(VLOOKUP($D77,$C$5:$AV$509,3,)=0,0,(VLOOKUP($D77,$C$5:$AV$509,11,)/VLOOKUP($D77,$C$5:$AV$509,3,))*$E77)</f>
        <v>0</v>
      </c>
      <c r="N77" s="47">
        <f>IF(VLOOKUP($D77,$C$5:$AV$509,3,)=0,0,(VLOOKUP($D77,$C$5:$AV$509,12,)/VLOOKUP($D77,$C$5:$AV$509,3,))*$E77)</f>
        <v>0</v>
      </c>
      <c r="O77" s="47">
        <f>IF(VLOOKUP($D77,$C$5:$AV$509,3,)=0,0,(VLOOKUP($D77,$C$5:$AV$509,14,)/VLOOKUP($D77,$C$5:$AV$509,3,))*$E77)</f>
        <v>0</v>
      </c>
      <c r="P77" s="47">
        <f>IF(VLOOKUP($D77,$C$5:$AV$509,3,)=0,0,(VLOOKUP($D77,$C$5:$AV$509,14,)/VLOOKUP($D77,$C$5:$AV$509,3,))*$E77)</f>
        <v>0</v>
      </c>
      <c r="Q77" s="47">
        <f>IF(VLOOKUP($D77,$C$5:$AV$509,3,)=0,0,(VLOOKUP($D77,$C$5:$AV$509,14,)/VLOOKUP($D77,$C$5:$AV$509,3,))*$E77)</f>
        <v>0</v>
      </c>
      <c r="R77" s="47">
        <f>IF(VLOOKUP($D77,$C$5:$AV$509,3,)=0,0,(VLOOKUP($D77,$C$5:$AV$509,15,)/VLOOKUP($D77,$C$5:$AV$509,3,))*$E77)</f>
        <v>0</v>
      </c>
      <c r="S77" s="47">
        <f>IF(VLOOKUP($D77,$C$5:$AV$509,3,)=0,0,(VLOOKUP($D77,$C$5:$AV$509,16,)/VLOOKUP($D77,$C$5:$AV$509,3,))*$E77)</f>
        <v>0</v>
      </c>
      <c r="T77" s="47">
        <f>IF(VLOOKUP($D77,$C$5:$AV$509,3,)=0,0,(VLOOKUP($D77,$C$5:$AV$509,17,)/VLOOKUP($D77,$C$5:$AV$509,3,))*$E77)</f>
        <v>0</v>
      </c>
      <c r="U77" s="47">
        <f>IF(VLOOKUP($D77,$C$5:$AV$509,3,)=0,0,(VLOOKUP($D77,$C$5:$AV$509,18,)/VLOOKUP($D77,$C$5:$AV$509,3,))*$E77)</f>
        <v>0</v>
      </c>
      <c r="V77" s="47">
        <f>IF(VLOOKUP($D77,$C$5:$AV$509,3,)=0,0,(VLOOKUP($D77,$C$5:$AV$509,19,)/VLOOKUP($D77,$C$5:$AV$509,3,))*$E77)</f>
        <v>0</v>
      </c>
      <c r="W77" s="47">
        <f>IF(VLOOKUP($D77,$C$5:$AV$509,3,)=0,0,(VLOOKUP($D77,$C$5:$AV$509,20,)/VLOOKUP($D77,$C$5:$AV$509,3,))*$E77)</f>
        <v>0</v>
      </c>
      <c r="X77" s="47">
        <f>IF(VLOOKUP($D77,$C$5:$AV$509,3,)=0,0,(VLOOKUP($D77,$C$5:$AV$509,21,)/VLOOKUP($D77,$C$5:$AV$509,3,))*$E77)</f>
        <v>0</v>
      </c>
      <c r="Y77" s="47">
        <f>IF(VLOOKUP($D77,$C$5:$AV$509,3,)=0,0,(VLOOKUP($D77,$C$5:$AV$509,22,)/VLOOKUP($D77,$C$5:$AV$509,3,))*$E77)</f>
        <v>0</v>
      </c>
      <c r="Z77" s="47">
        <f>IF(VLOOKUP($D77,$C$5:$AV$509,3,)=0,0,(VLOOKUP($D77,$C$5:$AV$509,23,)/VLOOKUP($D77,$C$5:$AV$509,3,))*$E77)</f>
        <v>0</v>
      </c>
      <c r="AA77" s="47">
        <f>IF(VLOOKUP($D77,$C$5:$AV$509,3,)=0,0,(VLOOKUP($D77,$C$5:$AV$509,24,)/VLOOKUP($D77,$C$5:$AV$509,3,))*$E77)</f>
        <v>0</v>
      </c>
      <c r="AB77" s="47">
        <f>IF(VLOOKUP($D77,$C$5:$AV$509,3,)=0,0,(VLOOKUP($D77,$C$5:$AV$509,25,)/VLOOKUP($D77,$C$5:$AV$509,3,))*$E77)</f>
        <v>0</v>
      </c>
      <c r="AC77" s="47">
        <f>IF(VLOOKUP($D77,$C$5:$AV$509,3,)=0,0,(VLOOKUP($D77,$C$5:$AV$509,26,)/VLOOKUP($D77,$C$5:$AV$509,3,))*$E77)</f>
        <v>0</v>
      </c>
      <c r="AD77" s="47">
        <f>IF(VLOOKUP($D77,$C$5:$AV$509,3,)=0,0,(VLOOKUP($D77,$C$5:$AV$509,27,)/VLOOKUP($D77,$C$5:$AV$509,3,))*$E77)</f>
        <v>0</v>
      </c>
      <c r="AE77" s="47">
        <f>IF(VLOOKUP($D77,$C$5:$AV$509,3,)=0,0,(VLOOKUP($D77,$C$5:$AV$509,28,)/VLOOKUP($D77,$C$5:$AV$509,3,))*$E77)</f>
        <v>0</v>
      </c>
      <c r="AF77" s="47">
        <f>IF(VLOOKUP($D77,$C$5:$AV$509,3,)=0,0,(VLOOKUP($D77,$C$5:$AV$509,29,)/VLOOKUP($D77,$C$5:$AV$509,3,))*$E77)</f>
        <v>0</v>
      </c>
      <c r="AG77" s="47">
        <f>IF(VLOOKUP($D77,$C$5:$AV$509,3,)=0,0,(VLOOKUP($D77,$C$5:$AV$509,30,)/VLOOKUP($D77,$C$5:$AV$509,3,))*$E77)</f>
        <v>0</v>
      </c>
      <c r="AH77" s="47">
        <f t="shared" ref="AH77" si="44">SUM(F77:AG77)</f>
        <v>0</v>
      </c>
      <c r="AI77" s="27" t="str">
        <f>IF(ABS(E77-AH77)&lt;0.01,"ok","err")</f>
        <v>ok</v>
      </c>
    </row>
    <row r="78" spans="1:35" x14ac:dyDescent="0.2">
      <c r="E78" s="47"/>
    </row>
    <row r="79" spans="1:35" x14ac:dyDescent="0.2">
      <c r="A79" s="14" t="s">
        <v>0</v>
      </c>
      <c r="C79" s="14" t="s">
        <v>248</v>
      </c>
      <c r="E79" s="62">
        <f>E49+E52+E55+E60+E65+E68+E71+E74+E77</f>
        <v>109040265.60000002</v>
      </c>
      <c r="F79" s="62">
        <f t="shared" ref="F79:S79" si="45">F49+F52+F55+F60+F65+F68+F71+F74+F77</f>
        <v>92583344.269827545</v>
      </c>
      <c r="G79" s="62">
        <f t="shared" si="45"/>
        <v>28716.783509193683</v>
      </c>
      <c r="H79" s="62">
        <f t="shared" si="45"/>
        <v>8062669.096338138</v>
      </c>
      <c r="I79" s="62">
        <f t="shared" si="45"/>
        <v>1073470.7017493267</v>
      </c>
      <c r="J79" s="62">
        <f t="shared" si="45"/>
        <v>2069277.9595814149</v>
      </c>
      <c r="K79" s="62">
        <f t="shared" si="45"/>
        <v>0</v>
      </c>
      <c r="L79" s="62">
        <f t="shared" si="45"/>
        <v>772978.1459920489</v>
      </c>
      <c r="M79" s="62">
        <f t="shared" ref="M79" si="46">M49+M52+M55+M60+M65+M68+M71+M74+M77</f>
        <v>217677.8667681783</v>
      </c>
      <c r="N79" s="62">
        <f t="shared" si="45"/>
        <v>4232130.7762341658</v>
      </c>
      <c r="O79" s="62">
        <f t="shared" si="45"/>
        <v>0</v>
      </c>
      <c r="P79" s="62">
        <f t="shared" si="45"/>
        <v>0</v>
      </c>
      <c r="Q79" s="62">
        <f t="shared" si="45"/>
        <v>0</v>
      </c>
      <c r="R79" s="62">
        <f t="shared" si="45"/>
        <v>0</v>
      </c>
      <c r="S79" s="62">
        <f t="shared" si="45"/>
        <v>0</v>
      </c>
      <c r="T79" s="62">
        <f t="shared" ref="T79:AG79" si="47">T49+T55+T60+T65+T68+T71+T74+T77</f>
        <v>0</v>
      </c>
      <c r="U79" s="62">
        <f t="shared" si="47"/>
        <v>0</v>
      </c>
      <c r="V79" s="62">
        <f t="shared" si="47"/>
        <v>0</v>
      </c>
      <c r="W79" s="62">
        <f t="shared" si="47"/>
        <v>0</v>
      </c>
      <c r="X79" s="62">
        <f t="shared" si="47"/>
        <v>0</v>
      </c>
      <c r="Y79" s="62">
        <f t="shared" si="47"/>
        <v>0</v>
      </c>
      <c r="Z79" s="62">
        <f t="shared" si="47"/>
        <v>0</v>
      </c>
      <c r="AA79" s="62">
        <f t="shared" si="47"/>
        <v>0</v>
      </c>
      <c r="AB79" s="62">
        <f t="shared" si="47"/>
        <v>0</v>
      </c>
      <c r="AC79" s="62">
        <f t="shared" si="47"/>
        <v>0</v>
      </c>
      <c r="AD79" s="62">
        <f t="shared" si="47"/>
        <v>0</v>
      </c>
      <c r="AE79" s="62">
        <f t="shared" si="47"/>
        <v>0</v>
      </c>
      <c r="AF79" s="62">
        <f t="shared" si="47"/>
        <v>0</v>
      </c>
      <c r="AG79" s="62">
        <f t="shared" si="47"/>
        <v>0</v>
      </c>
      <c r="AH79" s="87">
        <f>SUM(F79:AG79)</f>
        <v>109040265.60000002</v>
      </c>
      <c r="AI79" s="27" t="str">
        <f>IF(ABS(E79-AH79)&lt;0.01,"ok","err")</f>
        <v>ok</v>
      </c>
    </row>
    <row r="80" spans="1:35" x14ac:dyDescent="0.2">
      <c r="F80" s="45">
        <f>F79/E79</f>
        <v>0.84907482351022012</v>
      </c>
    </row>
    <row r="82" spans="1:35" x14ac:dyDescent="0.2">
      <c r="A82" s="25" t="s">
        <v>249</v>
      </c>
    </row>
    <row r="84" spans="1:35" x14ac:dyDescent="0.2">
      <c r="A84" s="13" t="s">
        <v>896</v>
      </c>
    </row>
    <row r="85" spans="1:35" x14ac:dyDescent="0.2">
      <c r="A85" s="90" t="s">
        <v>209</v>
      </c>
      <c r="C85" s="14" t="s">
        <v>250</v>
      </c>
      <c r="D85" s="14" t="s">
        <v>657</v>
      </c>
      <c r="E85" s="62">
        <f>'Func &amp; Classif'!H144</f>
        <v>0</v>
      </c>
      <c r="F85" s="47">
        <f>IF(VLOOKUP($D85,$C$5:$AV$509,3,)=0,0,(VLOOKUP($D85,$C$5:$AV$509,4,)/VLOOKUP($D85,$C$5:$AV$509,3,))*$E85)</f>
        <v>0</v>
      </c>
      <c r="G85" s="47">
        <f>IF(VLOOKUP($D85,$C$5:$AV$509,3,)=0,0,(VLOOKUP($D85,$C$5:$AV$509,5,)/VLOOKUP($D85,$C$5:$AV$509,3,))*$E85)</f>
        <v>0</v>
      </c>
      <c r="H85" s="47">
        <f>IF(VLOOKUP($D85,$C$5:$AV$509,3,)=0,0,(VLOOKUP($D85,$C$5:$AV$509,6,)/VLOOKUP($D85,$C$5:$AV$509,3,))*$E85)</f>
        <v>0</v>
      </c>
      <c r="I85" s="47">
        <f>IF(VLOOKUP($D85,$C$5:$AV$509,3,)=0,0,(VLOOKUP($D85,$C$5:$AV$509,7,)/VLOOKUP($D85,$C$5:$AV$509,3,))*$E85)</f>
        <v>0</v>
      </c>
      <c r="J85" s="47">
        <f>IF(VLOOKUP($D85,$C$5:$AV$509,3,)=0,0,(VLOOKUP($D85,$C$5:$AV$509,8,)/VLOOKUP($D85,$C$5:$AV$509,3,))*$E85)</f>
        <v>0</v>
      </c>
      <c r="K85" s="47">
        <f>IF(VLOOKUP($D85,$C$5:$AV$509,3,)=0,0,(VLOOKUP($D85,$C$5:$AV$509,9,)/VLOOKUP($D85,$C$5:$AV$509,3,))*$E85)</f>
        <v>0</v>
      </c>
      <c r="L85" s="47">
        <f>IF(VLOOKUP($D85,$C$5:$AV$509,3,)=0,0,(VLOOKUP($D85,$C$5:$AV$509,10,)/VLOOKUP($D85,$C$5:$AV$509,3,))*$E85)</f>
        <v>0</v>
      </c>
      <c r="M85" s="47">
        <f>IF(VLOOKUP($D85,$C$5:$AV$509,3,)=0,0,(VLOOKUP($D85,$C$5:$AV$509,11,)/VLOOKUP($D85,$C$5:$AV$509,3,))*$E85)</f>
        <v>0</v>
      </c>
      <c r="N85" s="47">
        <f>IF(VLOOKUP($D85,$C$5:$AV$509,3,)=0,0,(VLOOKUP($D85,$C$5:$AV$509,12,)/VLOOKUP($D85,$C$5:$AV$509,3,))*$E85)</f>
        <v>0</v>
      </c>
      <c r="O85" s="47">
        <f t="shared" ref="O85:Q86" si="48">IF(VLOOKUP($D85,$C$5:$AV$509,3,)=0,0,(VLOOKUP($D85,$C$5:$AV$509,14,)/VLOOKUP($D85,$C$5:$AV$509,3,))*$E85)</f>
        <v>0</v>
      </c>
      <c r="P85" s="47">
        <f t="shared" si="48"/>
        <v>0</v>
      </c>
      <c r="Q85" s="47">
        <f t="shared" si="48"/>
        <v>0</v>
      </c>
      <c r="R85" s="47">
        <f>IF(VLOOKUP($D85,$C$5:$AV$509,3,)=0,0,(VLOOKUP($D85,$C$5:$AV$509,15,)/VLOOKUP($D85,$C$5:$AV$509,3,))*$E85)</f>
        <v>0</v>
      </c>
      <c r="S85" s="47">
        <f>IF(VLOOKUP($D85,$C$5:$AV$509,3,)=0,0,(VLOOKUP($D85,$C$5:$AV$509,16,)/VLOOKUP($D85,$C$5:$AV$509,3,))*$E85)</f>
        <v>0</v>
      </c>
      <c r="T85" s="47">
        <f>IF(VLOOKUP($D85,$C$5:$AV$509,3,)=0,0,(VLOOKUP($D85,$C$5:$AV$509,17,)/VLOOKUP($D85,$C$5:$AV$509,3,))*$E85)</f>
        <v>0</v>
      </c>
      <c r="U85" s="47">
        <f>IF(VLOOKUP($D85,$C$5:$AV$509,3,)=0,0,(VLOOKUP($D85,$C$5:$AV$509,18,)/VLOOKUP($D85,$C$5:$AV$509,3,))*$E85)</f>
        <v>0</v>
      </c>
      <c r="V85" s="47">
        <f>IF(VLOOKUP($D85,$C$5:$AV$509,3,)=0,0,(VLOOKUP($D85,$C$5:$AV$509,19,)/VLOOKUP($D85,$C$5:$AV$509,3,))*$E85)</f>
        <v>0</v>
      </c>
      <c r="W85" s="47">
        <f>IF(VLOOKUP($D85,$C$5:$AV$509,3,)=0,0,(VLOOKUP($D85,$C$5:$AV$509,20,)/VLOOKUP($D85,$C$5:$AV$509,3,))*$E85)</f>
        <v>0</v>
      </c>
      <c r="X85" s="47">
        <f>IF(VLOOKUP($D85,$C$5:$AV$509,3,)=0,0,(VLOOKUP($D85,$C$5:$AV$509,21,)/VLOOKUP($D85,$C$5:$AV$509,3,))*$E85)</f>
        <v>0</v>
      </c>
      <c r="Y85" s="47">
        <f>IF(VLOOKUP($D85,$C$5:$AV$509,3,)=0,0,(VLOOKUP($D85,$C$5:$AV$509,22,)/VLOOKUP($D85,$C$5:$AV$509,3,))*$E85)</f>
        <v>0</v>
      </c>
      <c r="Z85" s="47">
        <f>IF(VLOOKUP($D85,$C$5:$AV$509,3,)=0,0,(VLOOKUP($D85,$C$5:$AV$509,23,)/VLOOKUP($D85,$C$5:$AV$509,3,))*$E85)</f>
        <v>0</v>
      </c>
      <c r="AA85" s="47">
        <f>IF(VLOOKUP($D85,$C$5:$AV$509,3,)=0,0,(VLOOKUP($D85,$C$5:$AV$509,24,)/VLOOKUP($D85,$C$5:$AV$509,3,))*$E85)</f>
        <v>0</v>
      </c>
      <c r="AB85" s="47">
        <f>IF(VLOOKUP($D85,$C$5:$AV$509,3,)=0,0,(VLOOKUP($D85,$C$5:$AV$509,25,)/VLOOKUP($D85,$C$5:$AV$509,3,))*$E85)</f>
        <v>0</v>
      </c>
      <c r="AC85" s="47">
        <f>IF(VLOOKUP($D85,$C$5:$AV$509,3,)=0,0,(VLOOKUP($D85,$C$5:$AV$509,26,)/VLOOKUP($D85,$C$5:$AV$509,3,))*$E85)</f>
        <v>0</v>
      </c>
      <c r="AD85" s="47">
        <f>IF(VLOOKUP($D85,$C$5:$AV$509,3,)=0,0,(VLOOKUP($D85,$C$5:$AV$509,27,)/VLOOKUP($D85,$C$5:$AV$509,3,))*$E85)</f>
        <v>0</v>
      </c>
      <c r="AE85" s="47">
        <f>IF(VLOOKUP($D85,$C$5:$AV$509,3,)=0,0,(VLOOKUP($D85,$C$5:$AV$509,28,)/VLOOKUP($D85,$C$5:$AV$509,3,))*$E85)</f>
        <v>0</v>
      </c>
      <c r="AF85" s="47">
        <f>IF(VLOOKUP($D85,$C$5:$AV$509,3,)=0,0,(VLOOKUP($D85,$C$5:$AV$509,29,)/VLOOKUP($D85,$C$5:$AV$509,3,))*$E85)</f>
        <v>0</v>
      </c>
      <c r="AG85" s="47">
        <f>IF(VLOOKUP($D85,$C$5:$AV$509,3,)=0,0,(VLOOKUP($D85,$C$5:$AV$509,30,)/VLOOKUP($D85,$C$5:$AV$509,3,))*$E85)</f>
        <v>0</v>
      </c>
      <c r="AH85" s="47">
        <f t="shared" ref="AH85:AH86" si="49">SUM(F85:AG85)</f>
        <v>0</v>
      </c>
      <c r="AI85" s="27" t="str">
        <f>IF(ABS(E85-AH85)&lt;0.01,"ok","err")</f>
        <v>ok</v>
      </c>
    </row>
    <row r="86" spans="1:35" x14ac:dyDescent="0.2">
      <c r="A86" s="90" t="s">
        <v>212</v>
      </c>
      <c r="C86" s="14" t="s">
        <v>251</v>
      </c>
      <c r="D86" s="14" t="s">
        <v>666</v>
      </c>
      <c r="E86" s="47">
        <f>'Func &amp; Classif'!I144</f>
        <v>0</v>
      </c>
      <c r="F86" s="47">
        <f>IF(VLOOKUP($D86,$C$5:$AV$509,3,)=0,0,(VLOOKUP($D86,$C$5:$AV$509,4,)/VLOOKUP($D86,$C$5:$AV$509,3,))*$E86)</f>
        <v>0</v>
      </c>
      <c r="G86" s="47">
        <f>IF(VLOOKUP($D86,$C$5:$AV$509,3,)=0,0,(VLOOKUP($D86,$C$5:$AV$509,5,)/VLOOKUP($D86,$C$5:$AV$509,3,))*$E86)</f>
        <v>0</v>
      </c>
      <c r="H86" s="47">
        <f>IF(VLOOKUP($D86,$C$5:$AV$509,3,)=0,0,(VLOOKUP($D86,$C$5:$AV$509,6,)/VLOOKUP($D86,$C$5:$AV$509,3,))*$E86)</f>
        <v>0</v>
      </c>
      <c r="I86" s="47">
        <f>IF(VLOOKUP($D86,$C$5:$AV$509,3,)=0,0,(VLOOKUP($D86,$C$5:$AV$509,7,)/VLOOKUP($D86,$C$5:$AV$509,3,))*$E86)</f>
        <v>0</v>
      </c>
      <c r="J86" s="47">
        <f>IF(VLOOKUP($D86,$C$5:$AV$509,3,)=0,0,(VLOOKUP($D86,$C$5:$AV$509,8,)/VLOOKUP($D86,$C$5:$AV$509,3,))*$E86)</f>
        <v>0</v>
      </c>
      <c r="K86" s="47">
        <f>IF(VLOOKUP($D86,$C$5:$AV$509,3,)=0,0,(VLOOKUP($D86,$C$5:$AV$509,9,)/VLOOKUP($D86,$C$5:$AV$509,3,))*$E86)</f>
        <v>0</v>
      </c>
      <c r="L86" s="47">
        <f>IF(VLOOKUP($D86,$C$5:$AV$509,3,)=0,0,(VLOOKUP($D86,$C$5:$AV$509,10,)/VLOOKUP($D86,$C$5:$AV$509,3,))*$E86)</f>
        <v>0</v>
      </c>
      <c r="M86" s="47">
        <f>IF(VLOOKUP($D86,$C$5:$AV$509,3,)=0,0,(VLOOKUP($D86,$C$5:$AV$509,11,)/VLOOKUP($D86,$C$5:$AV$509,3,))*$E86)</f>
        <v>0</v>
      </c>
      <c r="N86" s="47">
        <f>IF(VLOOKUP($D86,$C$5:$AV$509,3,)=0,0,(VLOOKUP($D86,$C$5:$AV$509,12,)/VLOOKUP($D86,$C$5:$AV$509,3,))*$E86)</f>
        <v>0</v>
      </c>
      <c r="O86" s="47">
        <f t="shared" si="48"/>
        <v>0</v>
      </c>
      <c r="P86" s="47">
        <f t="shared" si="48"/>
        <v>0</v>
      </c>
      <c r="Q86" s="47">
        <f t="shared" si="48"/>
        <v>0</v>
      </c>
      <c r="R86" s="47">
        <f>IF(VLOOKUP($D86,$C$5:$AV$509,3,)=0,0,(VLOOKUP($D86,$C$5:$AV$509,15,)/VLOOKUP($D86,$C$5:$AV$509,3,))*$E86)</f>
        <v>0</v>
      </c>
      <c r="S86" s="47">
        <f>IF(VLOOKUP($D86,$C$5:$AV$509,3,)=0,0,(VLOOKUP($D86,$C$5:$AV$509,16,)/VLOOKUP($D86,$C$5:$AV$509,3,))*$E86)</f>
        <v>0</v>
      </c>
      <c r="T86" s="47">
        <f>IF(VLOOKUP($D86,$C$5:$AV$509,3,)=0,0,(VLOOKUP($D86,$C$5:$AV$509,17,)/VLOOKUP($D86,$C$5:$AV$509,3,))*$E86)</f>
        <v>0</v>
      </c>
      <c r="U86" s="47">
        <f>IF(VLOOKUP($D86,$C$5:$AV$509,3,)=0,0,(VLOOKUP($D86,$C$5:$AV$509,18,)/VLOOKUP($D86,$C$5:$AV$509,3,))*$E86)</f>
        <v>0</v>
      </c>
      <c r="V86" s="47">
        <f>IF(VLOOKUP($D86,$C$5:$AV$509,3,)=0,0,(VLOOKUP($D86,$C$5:$AV$509,19,)/VLOOKUP($D86,$C$5:$AV$509,3,))*$E86)</f>
        <v>0</v>
      </c>
      <c r="W86" s="47">
        <f>IF(VLOOKUP($D86,$C$5:$AV$509,3,)=0,0,(VLOOKUP($D86,$C$5:$AV$509,20,)/VLOOKUP($D86,$C$5:$AV$509,3,))*$E86)</f>
        <v>0</v>
      </c>
      <c r="X86" s="47">
        <f>IF(VLOOKUP($D86,$C$5:$AV$509,3,)=0,0,(VLOOKUP($D86,$C$5:$AV$509,21,)/VLOOKUP($D86,$C$5:$AV$509,3,))*$E86)</f>
        <v>0</v>
      </c>
      <c r="Y86" s="47">
        <f>IF(VLOOKUP($D86,$C$5:$AV$509,3,)=0,0,(VLOOKUP($D86,$C$5:$AV$509,22,)/VLOOKUP($D86,$C$5:$AV$509,3,))*$E86)</f>
        <v>0</v>
      </c>
      <c r="Z86" s="47">
        <f>IF(VLOOKUP($D86,$C$5:$AV$509,3,)=0,0,(VLOOKUP($D86,$C$5:$AV$509,23,)/VLOOKUP($D86,$C$5:$AV$509,3,))*$E86)</f>
        <v>0</v>
      </c>
      <c r="AA86" s="47">
        <f>IF(VLOOKUP($D86,$C$5:$AV$509,3,)=0,0,(VLOOKUP($D86,$C$5:$AV$509,24,)/VLOOKUP($D86,$C$5:$AV$509,3,))*$E86)</f>
        <v>0</v>
      </c>
      <c r="AB86" s="47">
        <f>IF(VLOOKUP($D86,$C$5:$AV$509,3,)=0,0,(VLOOKUP($D86,$C$5:$AV$509,25,)/VLOOKUP($D86,$C$5:$AV$509,3,))*$E86)</f>
        <v>0</v>
      </c>
      <c r="AC86" s="47">
        <f>IF(VLOOKUP($D86,$C$5:$AV$509,3,)=0,0,(VLOOKUP($D86,$C$5:$AV$509,26,)/VLOOKUP($D86,$C$5:$AV$509,3,))*$E86)</f>
        <v>0</v>
      </c>
      <c r="AD86" s="47">
        <f>IF(VLOOKUP($D86,$C$5:$AV$509,3,)=0,0,(VLOOKUP($D86,$C$5:$AV$509,27,)/VLOOKUP($D86,$C$5:$AV$509,3,))*$E86)</f>
        <v>0</v>
      </c>
      <c r="AE86" s="47">
        <f>IF(VLOOKUP($D86,$C$5:$AV$509,3,)=0,0,(VLOOKUP($D86,$C$5:$AV$509,28,)/VLOOKUP($D86,$C$5:$AV$509,3,))*$E86)</f>
        <v>0</v>
      </c>
      <c r="AF86" s="47">
        <f>IF(VLOOKUP($D86,$C$5:$AV$509,3,)=0,0,(VLOOKUP($D86,$C$5:$AV$509,29,)/VLOOKUP($D86,$C$5:$AV$509,3,))*$E86)</f>
        <v>0</v>
      </c>
      <c r="AG86" s="47">
        <f>IF(VLOOKUP($D86,$C$5:$AV$509,3,)=0,0,(VLOOKUP($D86,$C$5:$AV$509,30,)/VLOOKUP($D86,$C$5:$AV$509,3,))*$E86)</f>
        <v>0</v>
      </c>
      <c r="AH86" s="47">
        <f t="shared" si="49"/>
        <v>0</v>
      </c>
      <c r="AI86" s="27" t="str">
        <f>IF(ABS(E86-AH86)&lt;0.01,"ok","err")</f>
        <v>ok</v>
      </c>
    </row>
    <row r="87" spans="1:35" x14ac:dyDescent="0.2">
      <c r="A87" s="14" t="s">
        <v>215</v>
      </c>
      <c r="C87" s="14" t="s">
        <v>252</v>
      </c>
      <c r="E87" s="47">
        <f t="shared" ref="E87:U87" si="50">E85+E86</f>
        <v>0</v>
      </c>
      <c r="F87" s="62">
        <f t="shared" si="50"/>
        <v>0</v>
      </c>
      <c r="G87" s="62">
        <f t="shared" si="50"/>
        <v>0</v>
      </c>
      <c r="H87" s="62">
        <f t="shared" si="50"/>
        <v>0</v>
      </c>
      <c r="I87" s="62">
        <f t="shared" si="50"/>
        <v>0</v>
      </c>
      <c r="J87" s="62">
        <f t="shared" si="50"/>
        <v>0</v>
      </c>
      <c r="K87" s="62">
        <f t="shared" si="50"/>
        <v>0</v>
      </c>
      <c r="L87" s="62">
        <f t="shared" si="50"/>
        <v>0</v>
      </c>
      <c r="M87" s="62">
        <f t="shared" ref="M87" si="51">M85+M86</f>
        <v>0</v>
      </c>
      <c r="N87" s="62">
        <f t="shared" si="50"/>
        <v>0</v>
      </c>
      <c r="O87" s="62">
        <f t="shared" si="50"/>
        <v>0</v>
      </c>
      <c r="P87" s="62">
        <f t="shared" si="50"/>
        <v>0</v>
      </c>
      <c r="Q87" s="62">
        <f t="shared" si="50"/>
        <v>0</v>
      </c>
      <c r="R87" s="62">
        <f t="shared" si="50"/>
        <v>0</v>
      </c>
      <c r="S87" s="62">
        <f t="shared" si="50"/>
        <v>0</v>
      </c>
      <c r="T87" s="62">
        <f t="shared" si="50"/>
        <v>0</v>
      </c>
      <c r="U87" s="62">
        <f t="shared" si="50"/>
        <v>0</v>
      </c>
      <c r="V87" s="62">
        <f t="shared" ref="V87:AG87" si="52">V85+V86</f>
        <v>0</v>
      </c>
      <c r="W87" s="62">
        <f t="shared" si="52"/>
        <v>0</v>
      </c>
      <c r="X87" s="62">
        <f t="shared" si="52"/>
        <v>0</v>
      </c>
      <c r="Y87" s="62">
        <f t="shared" si="52"/>
        <v>0</v>
      </c>
      <c r="Z87" s="62">
        <f t="shared" si="52"/>
        <v>0</v>
      </c>
      <c r="AA87" s="62">
        <f t="shared" si="52"/>
        <v>0</v>
      </c>
      <c r="AB87" s="62">
        <f t="shared" si="52"/>
        <v>0</v>
      </c>
      <c r="AC87" s="62">
        <f t="shared" si="52"/>
        <v>0</v>
      </c>
      <c r="AD87" s="62">
        <f t="shared" si="52"/>
        <v>0</v>
      </c>
      <c r="AE87" s="62">
        <f t="shared" si="52"/>
        <v>0</v>
      </c>
      <c r="AF87" s="62">
        <f t="shared" si="52"/>
        <v>0</v>
      </c>
      <c r="AG87" s="62">
        <f t="shared" si="52"/>
        <v>0</v>
      </c>
      <c r="AH87" s="87">
        <f>SUM(F87:AG87)</f>
        <v>0</v>
      </c>
      <c r="AI87" s="27" t="str">
        <f>IF(ABS(E87-AH87)&lt;0.01,"ok","err")</f>
        <v>ok</v>
      </c>
    </row>
    <row r="88" spans="1:35" x14ac:dyDescent="0.2">
      <c r="E88" s="47"/>
      <c r="F88" s="47"/>
    </row>
    <row r="89" spans="1:35" x14ac:dyDescent="0.2">
      <c r="A89" s="13" t="s">
        <v>350</v>
      </c>
      <c r="E89" s="47"/>
      <c r="F89" s="47"/>
    </row>
    <row r="90" spans="1:35" x14ac:dyDescent="0.2">
      <c r="A90" s="90" t="s">
        <v>209</v>
      </c>
      <c r="C90" s="14" t="s">
        <v>887</v>
      </c>
      <c r="D90" s="14" t="s">
        <v>599</v>
      </c>
      <c r="E90" s="62">
        <f>'Func &amp; Classif'!K144</f>
        <v>0</v>
      </c>
      <c r="F90" s="47">
        <f>IF(VLOOKUP($D90,$C$5:$AV$509,3,)=0,0,(VLOOKUP($D90,$C$5:$AV$509,4,)/VLOOKUP($D90,$C$5:$AV$509,3,))*$E90)</f>
        <v>0</v>
      </c>
      <c r="G90" s="47">
        <f>IF(VLOOKUP($D90,$C$5:$AV$509,3,)=0,0,(VLOOKUP($D90,$C$5:$AV$509,5,)/VLOOKUP($D90,$C$5:$AV$509,3,))*$E90)</f>
        <v>0</v>
      </c>
      <c r="H90" s="47">
        <f>IF(VLOOKUP($D90,$C$5:$AV$509,3,)=0,0,(VLOOKUP($D90,$C$5:$AV$509,6,)/VLOOKUP($D90,$C$5:$AV$509,3,))*$E90)</f>
        <v>0</v>
      </c>
      <c r="I90" s="47">
        <f>IF(VLOOKUP($D90,$C$5:$AV$509,3,)=0,0,(VLOOKUP($D90,$C$5:$AV$509,7,)/VLOOKUP($D90,$C$5:$AV$509,3,))*$E90)</f>
        <v>0</v>
      </c>
      <c r="J90" s="47">
        <f>IF(VLOOKUP($D90,$C$5:$AV$509,3,)=0,0,(VLOOKUP($D90,$C$5:$AV$509,8,)/VLOOKUP($D90,$C$5:$AV$509,3,))*$E90)</f>
        <v>0</v>
      </c>
      <c r="K90" s="47">
        <f>IF(VLOOKUP($D90,$C$5:$AV$509,3,)=0,0,(VLOOKUP($D90,$C$5:$AV$509,9,)/VLOOKUP($D90,$C$5:$AV$509,3,))*$E90)</f>
        <v>0</v>
      </c>
      <c r="L90" s="47">
        <f>IF(VLOOKUP($D90,$C$5:$AV$509,3,)=0,0,(VLOOKUP($D90,$C$5:$AV$509,10,)/VLOOKUP($D90,$C$5:$AV$509,3,))*$E90)</f>
        <v>0</v>
      </c>
      <c r="M90" s="47">
        <f>IF(VLOOKUP($D90,$C$5:$AV$509,3,)=0,0,(VLOOKUP($D90,$C$5:$AV$509,11,)/VLOOKUP($D90,$C$5:$AV$509,3,))*$E90)</f>
        <v>0</v>
      </c>
      <c r="N90" s="47">
        <f>IF(VLOOKUP($D90,$C$5:$AV$509,3,)=0,0,(VLOOKUP($D90,$C$5:$AV$509,12,)/VLOOKUP($D90,$C$5:$AV$509,3,))*$E90)</f>
        <v>0</v>
      </c>
      <c r="O90" s="47">
        <f>IF(VLOOKUP($D90,$C$5:$AV$509,3,)=0,0,(VLOOKUP($D90,$C$5:$AV$509,14,)/VLOOKUP($D90,$C$5:$AV$509,3,))*$E90)</f>
        <v>0</v>
      </c>
      <c r="P90" s="47">
        <f>IF(VLOOKUP($D90,$C$5:$AV$509,3,)=0,0,(VLOOKUP($D90,$C$5:$AV$509,14,)/VLOOKUP($D90,$C$5:$AV$509,3,))*$E90)</f>
        <v>0</v>
      </c>
      <c r="Q90" s="47">
        <f>IF(VLOOKUP($D90,$C$5:$AV$509,3,)=0,0,(VLOOKUP($D90,$C$5:$AV$509,14,)/VLOOKUP($D90,$C$5:$AV$509,3,))*$E90)</f>
        <v>0</v>
      </c>
      <c r="R90" s="47">
        <f>IF(VLOOKUP($D90,$C$5:$AV$509,3,)=0,0,(VLOOKUP($D90,$C$5:$AV$509,15,)/VLOOKUP($D90,$C$5:$AV$509,3,))*$E90)</f>
        <v>0</v>
      </c>
      <c r="S90" s="47">
        <f>IF(VLOOKUP($D90,$C$5:$AV$509,3,)=0,0,(VLOOKUP($D90,$C$5:$AV$509,16,)/VLOOKUP($D90,$C$5:$AV$509,3,))*$E90)</f>
        <v>0</v>
      </c>
      <c r="T90" s="47">
        <f>IF(VLOOKUP($D90,$C$5:$AV$509,3,)=0,0,(VLOOKUP($D90,$C$5:$AV$509,17,)/VLOOKUP($D90,$C$5:$AV$509,3,))*$E90)</f>
        <v>0</v>
      </c>
      <c r="U90" s="47">
        <f>IF(VLOOKUP($D90,$C$5:$AV$509,3,)=0,0,(VLOOKUP($D90,$C$5:$AV$509,18,)/VLOOKUP($D90,$C$5:$AV$509,3,))*$E90)</f>
        <v>0</v>
      </c>
      <c r="V90" s="47">
        <f>IF(VLOOKUP($D90,$C$5:$AV$509,3,)=0,0,(VLOOKUP($D90,$C$5:$AV$509,19,)/VLOOKUP($D90,$C$5:$AV$509,3,))*$E90)</f>
        <v>0</v>
      </c>
      <c r="W90" s="47">
        <f>IF(VLOOKUP($D90,$C$5:$AV$509,3,)=0,0,(VLOOKUP($D90,$C$5:$AV$509,20,)/VLOOKUP($D90,$C$5:$AV$509,3,))*$E90)</f>
        <v>0</v>
      </c>
      <c r="X90" s="47">
        <f>IF(VLOOKUP($D90,$C$5:$AV$509,3,)=0,0,(VLOOKUP($D90,$C$5:$AV$509,21,)/VLOOKUP($D90,$C$5:$AV$509,3,))*$E90)</f>
        <v>0</v>
      </c>
      <c r="Y90" s="47">
        <f>IF(VLOOKUP($D90,$C$5:$AV$509,3,)=0,0,(VLOOKUP($D90,$C$5:$AV$509,22,)/VLOOKUP($D90,$C$5:$AV$509,3,))*$E90)</f>
        <v>0</v>
      </c>
      <c r="Z90" s="47">
        <f>IF(VLOOKUP($D90,$C$5:$AV$509,3,)=0,0,(VLOOKUP($D90,$C$5:$AV$509,23,)/VLOOKUP($D90,$C$5:$AV$509,3,))*$E90)</f>
        <v>0</v>
      </c>
      <c r="AA90" s="47">
        <f>IF(VLOOKUP($D90,$C$5:$AV$509,3,)=0,0,(VLOOKUP($D90,$C$5:$AV$509,24,)/VLOOKUP($D90,$C$5:$AV$509,3,))*$E90)</f>
        <v>0</v>
      </c>
      <c r="AB90" s="47">
        <f>IF(VLOOKUP($D90,$C$5:$AV$509,3,)=0,0,(VLOOKUP($D90,$C$5:$AV$509,25,)/VLOOKUP($D90,$C$5:$AV$509,3,))*$E90)</f>
        <v>0</v>
      </c>
      <c r="AC90" s="47">
        <f>IF(VLOOKUP($D90,$C$5:$AV$509,3,)=0,0,(VLOOKUP($D90,$C$5:$AV$509,26,)/VLOOKUP($D90,$C$5:$AV$509,3,))*$E90)</f>
        <v>0</v>
      </c>
      <c r="AD90" s="47">
        <f>IF(VLOOKUP($D90,$C$5:$AV$509,3,)=0,0,(VLOOKUP($D90,$C$5:$AV$509,27,)/VLOOKUP($D90,$C$5:$AV$509,3,))*$E90)</f>
        <v>0</v>
      </c>
      <c r="AE90" s="47">
        <f>IF(VLOOKUP($D90,$C$5:$AV$509,3,)=0,0,(VLOOKUP($D90,$C$5:$AV$509,28,)/VLOOKUP($D90,$C$5:$AV$509,3,))*$E90)</f>
        <v>0</v>
      </c>
      <c r="AF90" s="47">
        <f>IF(VLOOKUP($D90,$C$5:$AV$509,3,)=0,0,(VLOOKUP($D90,$C$5:$AV$509,29,)/VLOOKUP($D90,$C$5:$AV$509,3,))*$E90)</f>
        <v>0</v>
      </c>
      <c r="AG90" s="47">
        <f>IF(VLOOKUP($D90,$C$5:$AV$509,3,)=0,0,(VLOOKUP($D90,$C$5:$AV$509,30,)/VLOOKUP($D90,$C$5:$AV$509,3,))*$E90)</f>
        <v>0</v>
      </c>
      <c r="AH90" s="47">
        <f t="shared" ref="AH90" si="53">SUM(F90:AG90)</f>
        <v>0</v>
      </c>
      <c r="AI90" s="27" t="str">
        <f>IF(ABS(E90-AH90)&lt;0.01,"ok","err")</f>
        <v>ok</v>
      </c>
    </row>
    <row r="91" spans="1:35" x14ac:dyDescent="0.2">
      <c r="E91" s="47"/>
    </row>
    <row r="92" spans="1:35" x14ac:dyDescent="0.2">
      <c r="A92" s="13" t="s">
        <v>1</v>
      </c>
      <c r="E92" s="47"/>
      <c r="F92" s="47"/>
    </row>
    <row r="93" spans="1:35" x14ac:dyDescent="0.2">
      <c r="A93" s="90" t="s">
        <v>209</v>
      </c>
      <c r="C93" s="14" t="s">
        <v>253</v>
      </c>
      <c r="D93" s="14" t="s">
        <v>615</v>
      </c>
      <c r="E93" s="62">
        <f>'Func &amp; Classif'!M144</f>
        <v>408928.54592122626</v>
      </c>
      <c r="F93" s="47">
        <f>IF(VLOOKUP($D93,$C$5:$AV$509,3,)=0,0,(VLOOKUP($D93,$C$5:$AV$509,4,)/VLOOKUP($D93,$C$5:$AV$509,3,))*$E93)</f>
        <v>311334.85019076272</v>
      </c>
      <c r="G93" s="47">
        <f>IF(VLOOKUP($D93,$C$5:$AV$509,3,)=0,0,(VLOOKUP($D93,$C$5:$AV$509,5,)/VLOOKUP($D93,$C$5:$AV$509,3,))*$E93)</f>
        <v>234.91547590200443</v>
      </c>
      <c r="H93" s="47">
        <f>IF(VLOOKUP($D93,$C$5:$AV$509,3,)=0,0,(VLOOKUP($D93,$C$5:$AV$509,6,)/VLOOKUP($D93,$C$5:$AV$509,3,))*$E93)</f>
        <v>32669.214839550263</v>
      </c>
      <c r="I93" s="47">
        <f>IF(VLOOKUP($D93,$C$5:$AV$509,3,)=0,0,(VLOOKUP($D93,$C$5:$AV$509,7,)/VLOOKUP($D93,$C$5:$AV$509,3,))*$E93)</f>
        <v>3489.6926065053635</v>
      </c>
      <c r="J93" s="47">
        <f>IF(VLOOKUP($D93,$C$5:$AV$509,3,)=0,0,(VLOOKUP($D93,$C$5:$AV$509,8,)/VLOOKUP($D93,$C$5:$AV$509,3,))*$E93)</f>
        <v>32643.47263105919</v>
      </c>
      <c r="K93" s="47">
        <f>IF(VLOOKUP($D93,$C$5:$AV$509,3,)=0,0,(VLOOKUP($D93,$C$5:$AV$509,9,)/VLOOKUP($D93,$C$5:$AV$509,3,))*$E93)</f>
        <v>0</v>
      </c>
      <c r="L93" s="47">
        <f>IF(VLOOKUP($D93,$C$5:$AV$509,3,)=0,0,(VLOOKUP($D93,$C$5:$AV$509,10,)/VLOOKUP($D93,$C$5:$AV$509,3,))*$E93)</f>
        <v>20632.629779929615</v>
      </c>
      <c r="M93" s="47">
        <f>IF(VLOOKUP($D93,$C$5:$AV$509,3,)=0,0,(VLOOKUP($D93,$C$5:$AV$509,11,)/VLOOKUP($D93,$C$5:$AV$509,3,))*$E93)</f>
        <v>5921.1131944187382</v>
      </c>
      <c r="N93" s="47">
        <f>IF(VLOOKUP($D93,$C$5:$AV$509,3,)=0,0,(VLOOKUP($D93,$C$5:$AV$509,12,)/VLOOKUP($D93,$C$5:$AV$509,3,))*$E93)</f>
        <v>2002.6572030982934</v>
      </c>
      <c r="O93" s="47">
        <f>IF(VLOOKUP($D93,$C$5:$AV$509,3,)=0,0,(VLOOKUP($D93,$C$5:$AV$509,14,)/VLOOKUP($D93,$C$5:$AV$509,3,))*$E93)</f>
        <v>0</v>
      </c>
      <c r="P93" s="47">
        <f>IF(VLOOKUP($D93,$C$5:$AV$509,3,)=0,0,(VLOOKUP($D93,$C$5:$AV$509,14,)/VLOOKUP($D93,$C$5:$AV$509,3,))*$E93)</f>
        <v>0</v>
      </c>
      <c r="Q93" s="47">
        <f>IF(VLOOKUP($D93,$C$5:$AV$509,3,)=0,0,(VLOOKUP($D93,$C$5:$AV$509,14,)/VLOOKUP($D93,$C$5:$AV$509,3,))*$E93)</f>
        <v>0</v>
      </c>
      <c r="R93" s="47">
        <f>IF(VLOOKUP($D93,$C$5:$AV$509,3,)=0,0,(VLOOKUP($D93,$C$5:$AV$509,15,)/VLOOKUP($D93,$C$5:$AV$509,3,))*$E93)</f>
        <v>0</v>
      </c>
      <c r="S93" s="47">
        <f>IF(VLOOKUP($D93,$C$5:$AV$509,3,)=0,0,(VLOOKUP($D93,$C$5:$AV$509,16,)/VLOOKUP($D93,$C$5:$AV$509,3,))*$E93)</f>
        <v>0</v>
      </c>
      <c r="T93" s="47">
        <f>IF(VLOOKUP($D93,$C$5:$AV$509,3,)=0,0,(VLOOKUP($D93,$C$5:$AV$509,17,)/VLOOKUP($D93,$C$5:$AV$509,3,))*$E93)</f>
        <v>0</v>
      </c>
      <c r="U93" s="47">
        <f>IF(VLOOKUP($D93,$C$5:$AV$509,3,)=0,0,(VLOOKUP($D93,$C$5:$AV$509,18,)/VLOOKUP($D93,$C$5:$AV$509,3,))*$E93)</f>
        <v>0</v>
      </c>
      <c r="V93" s="47">
        <f>IF(VLOOKUP($D93,$C$5:$AV$509,3,)=0,0,(VLOOKUP($D93,$C$5:$AV$509,19,)/VLOOKUP($D93,$C$5:$AV$509,3,))*$E93)</f>
        <v>0</v>
      </c>
      <c r="W93" s="47">
        <f>IF(VLOOKUP($D93,$C$5:$AV$509,3,)=0,0,(VLOOKUP($D93,$C$5:$AV$509,20,)/VLOOKUP($D93,$C$5:$AV$509,3,))*$E93)</f>
        <v>0</v>
      </c>
      <c r="X93" s="47">
        <f>IF(VLOOKUP($D93,$C$5:$AV$509,3,)=0,0,(VLOOKUP($D93,$C$5:$AV$509,21,)/VLOOKUP($D93,$C$5:$AV$509,3,))*$E93)</f>
        <v>0</v>
      </c>
      <c r="Y93" s="47">
        <f>IF(VLOOKUP($D93,$C$5:$AV$509,3,)=0,0,(VLOOKUP($D93,$C$5:$AV$509,22,)/VLOOKUP($D93,$C$5:$AV$509,3,))*$E93)</f>
        <v>0</v>
      </c>
      <c r="Z93" s="47">
        <f>IF(VLOOKUP($D93,$C$5:$AV$509,3,)=0,0,(VLOOKUP($D93,$C$5:$AV$509,23,)/VLOOKUP($D93,$C$5:$AV$509,3,))*$E93)</f>
        <v>0</v>
      </c>
      <c r="AA93" s="47">
        <f>IF(VLOOKUP($D93,$C$5:$AV$509,3,)=0,0,(VLOOKUP($D93,$C$5:$AV$509,24,)/VLOOKUP($D93,$C$5:$AV$509,3,))*$E93)</f>
        <v>0</v>
      </c>
      <c r="AB93" s="47">
        <f>IF(VLOOKUP($D93,$C$5:$AV$509,3,)=0,0,(VLOOKUP($D93,$C$5:$AV$509,25,)/VLOOKUP($D93,$C$5:$AV$509,3,))*$E93)</f>
        <v>0</v>
      </c>
      <c r="AC93" s="47">
        <f>IF(VLOOKUP($D93,$C$5:$AV$509,3,)=0,0,(VLOOKUP($D93,$C$5:$AV$509,26,)/VLOOKUP($D93,$C$5:$AV$509,3,))*$E93)</f>
        <v>0</v>
      </c>
      <c r="AD93" s="47">
        <f>IF(VLOOKUP($D93,$C$5:$AV$509,3,)=0,0,(VLOOKUP($D93,$C$5:$AV$509,27,)/VLOOKUP($D93,$C$5:$AV$509,3,))*$E93)</f>
        <v>0</v>
      </c>
      <c r="AE93" s="47">
        <f>IF(VLOOKUP($D93,$C$5:$AV$509,3,)=0,0,(VLOOKUP($D93,$C$5:$AV$509,28,)/VLOOKUP($D93,$C$5:$AV$509,3,))*$E93)</f>
        <v>0</v>
      </c>
      <c r="AF93" s="47">
        <f>IF(VLOOKUP($D93,$C$5:$AV$509,3,)=0,0,(VLOOKUP($D93,$C$5:$AV$509,29,)/VLOOKUP($D93,$C$5:$AV$509,3,))*$E93)</f>
        <v>0</v>
      </c>
      <c r="AG93" s="47">
        <f>IF(VLOOKUP($D93,$C$5:$AV$509,3,)=0,0,(VLOOKUP($D93,$C$5:$AV$509,30,)/VLOOKUP($D93,$C$5:$AV$509,3,))*$E93)</f>
        <v>0</v>
      </c>
      <c r="AH93" s="47">
        <f t="shared" ref="AH93" si="54">SUM(F93:AG93)</f>
        <v>408928.54592122615</v>
      </c>
      <c r="AI93" s="27" t="str">
        <f>IF(ABS(E93-AH93)&lt;0.01,"ok","err")</f>
        <v>ok</v>
      </c>
    </row>
    <row r="94" spans="1:35" x14ac:dyDescent="0.2">
      <c r="E94" s="47"/>
    </row>
    <row r="95" spans="1:35" x14ac:dyDescent="0.2">
      <c r="A95" s="13" t="s">
        <v>2</v>
      </c>
      <c r="E95" s="47"/>
    </row>
    <row r="96" spans="1:35" x14ac:dyDescent="0.2">
      <c r="A96" s="90" t="s">
        <v>209</v>
      </c>
      <c r="C96" s="14" t="s">
        <v>254</v>
      </c>
      <c r="D96" s="14" t="s">
        <v>607</v>
      </c>
      <c r="E96" s="62">
        <f>'Func &amp; Classif'!O144</f>
        <v>30960247.353943393</v>
      </c>
      <c r="F96" s="47">
        <f>IF(VLOOKUP($D96,$C$5:$AV$509,3,)=0,0,(VLOOKUP($D96,$C$5:$AV$509,4,)/VLOOKUP($D96,$C$5:$AV$509,3,))*$E96)</f>
        <v>25968656.507176057</v>
      </c>
      <c r="G96" s="47">
        <f>IF(VLOOKUP($D96,$C$5:$AV$509,3,)=0,0,(VLOOKUP($D96,$C$5:$AV$509,5,)/VLOOKUP($D96,$C$5:$AV$509,3,))*$E96)</f>
        <v>26291.377798794387</v>
      </c>
      <c r="H96" s="47">
        <f>IF(VLOOKUP($D96,$C$5:$AV$509,3,)=0,0,(VLOOKUP($D96,$C$5:$AV$509,6,)/VLOOKUP($D96,$C$5:$AV$509,3,))*$E96)</f>
        <v>2028730.2891750745</v>
      </c>
      <c r="I96" s="47">
        <f>IF(VLOOKUP($D96,$C$5:$AV$509,3,)=0,0,(VLOOKUP($D96,$C$5:$AV$509,7,)/VLOOKUP($D96,$C$5:$AV$509,3,))*$E96)</f>
        <v>231154.05335568063</v>
      </c>
      <c r="J96" s="47">
        <f>IF(VLOOKUP($D96,$C$5:$AV$509,3,)=0,0,(VLOOKUP($D96,$C$5:$AV$509,8,)/VLOOKUP($D96,$C$5:$AV$509,3,))*$E96)</f>
        <v>1641577.6263756345</v>
      </c>
      <c r="K96" s="47">
        <f>IF(VLOOKUP($D96,$C$5:$AV$509,3,)=0,0,(VLOOKUP($D96,$C$5:$AV$509,9,)/VLOOKUP($D96,$C$5:$AV$509,3,))*$E96)</f>
        <v>0</v>
      </c>
      <c r="L96" s="47">
        <f>IF(VLOOKUP($D96,$C$5:$AV$509,3,)=0,0,(VLOOKUP($D96,$C$5:$AV$509,10,)/VLOOKUP($D96,$C$5:$AV$509,3,))*$E96)</f>
        <v>736729.47702105471</v>
      </c>
      <c r="M96" s="47">
        <f>IF(VLOOKUP($D96,$C$5:$AV$509,3,)=0,0,(VLOOKUP($D96,$C$5:$AV$509,11,)/VLOOKUP($D96,$C$5:$AV$509,3,))*$E96)</f>
        <v>211425.23631912252</v>
      </c>
      <c r="N96" s="47">
        <f>IF(VLOOKUP($D96,$C$5:$AV$509,3,)=0,0,(VLOOKUP($D96,$C$5:$AV$509,12,)/VLOOKUP($D96,$C$5:$AV$509,3,))*$E96)</f>
        <v>115682.78672198115</v>
      </c>
      <c r="O96" s="47">
        <f t="shared" ref="O96:Q97" si="55">IF(VLOOKUP($D96,$C$5:$AV$509,3,)=0,0,(VLOOKUP($D96,$C$5:$AV$509,14,)/VLOOKUP($D96,$C$5:$AV$509,3,))*$E96)</f>
        <v>0</v>
      </c>
      <c r="P96" s="47">
        <f t="shared" si="55"/>
        <v>0</v>
      </c>
      <c r="Q96" s="47">
        <f t="shared" si="55"/>
        <v>0</v>
      </c>
      <c r="R96" s="47">
        <f>IF(VLOOKUP($D96,$C$5:$AV$509,3,)=0,0,(VLOOKUP($D96,$C$5:$AV$509,15,)/VLOOKUP($D96,$C$5:$AV$509,3,))*$E96)</f>
        <v>0</v>
      </c>
      <c r="S96" s="47">
        <f>IF(VLOOKUP($D96,$C$5:$AV$509,3,)=0,0,(VLOOKUP($D96,$C$5:$AV$509,16,)/VLOOKUP($D96,$C$5:$AV$509,3,))*$E96)</f>
        <v>0</v>
      </c>
      <c r="T96" s="47">
        <f>IF(VLOOKUP($D96,$C$5:$AV$509,3,)=0,0,(VLOOKUP($D96,$C$5:$AV$509,17,)/VLOOKUP($D96,$C$5:$AV$509,3,))*$E96)</f>
        <v>0</v>
      </c>
      <c r="U96" s="47">
        <f>IF(VLOOKUP($D96,$C$5:$AV$509,3,)=0,0,(VLOOKUP($D96,$C$5:$AV$509,18,)/VLOOKUP($D96,$C$5:$AV$509,3,))*$E96)</f>
        <v>0</v>
      </c>
      <c r="V96" s="47">
        <f>IF(VLOOKUP($D96,$C$5:$AV$509,3,)=0,0,(VLOOKUP($D96,$C$5:$AV$509,19,)/VLOOKUP($D96,$C$5:$AV$509,3,))*$E96)</f>
        <v>0</v>
      </c>
      <c r="W96" s="47">
        <f>IF(VLOOKUP($D96,$C$5:$AV$509,3,)=0,0,(VLOOKUP($D96,$C$5:$AV$509,20,)/VLOOKUP($D96,$C$5:$AV$509,3,))*$E96)</f>
        <v>0</v>
      </c>
      <c r="X96" s="47">
        <f>IF(VLOOKUP($D96,$C$5:$AV$509,3,)=0,0,(VLOOKUP($D96,$C$5:$AV$509,21,)/VLOOKUP($D96,$C$5:$AV$509,3,))*$E96)</f>
        <v>0</v>
      </c>
      <c r="Y96" s="47">
        <f>IF(VLOOKUP($D96,$C$5:$AV$509,3,)=0,0,(VLOOKUP($D96,$C$5:$AV$509,22,)/VLOOKUP($D96,$C$5:$AV$509,3,))*$E96)</f>
        <v>0</v>
      </c>
      <c r="Z96" s="47">
        <f>IF(VLOOKUP($D96,$C$5:$AV$509,3,)=0,0,(VLOOKUP($D96,$C$5:$AV$509,23,)/VLOOKUP($D96,$C$5:$AV$509,3,))*$E96)</f>
        <v>0</v>
      </c>
      <c r="AA96" s="47">
        <f>IF(VLOOKUP($D96,$C$5:$AV$509,3,)=0,0,(VLOOKUP($D96,$C$5:$AV$509,24,)/VLOOKUP($D96,$C$5:$AV$509,3,))*$E96)</f>
        <v>0</v>
      </c>
      <c r="AB96" s="47">
        <f>IF(VLOOKUP($D96,$C$5:$AV$509,3,)=0,0,(VLOOKUP($D96,$C$5:$AV$509,25,)/VLOOKUP($D96,$C$5:$AV$509,3,))*$E96)</f>
        <v>0</v>
      </c>
      <c r="AC96" s="47">
        <f>IF(VLOOKUP($D96,$C$5:$AV$509,3,)=0,0,(VLOOKUP($D96,$C$5:$AV$509,26,)/VLOOKUP($D96,$C$5:$AV$509,3,))*$E96)</f>
        <v>0</v>
      </c>
      <c r="AD96" s="47">
        <f>IF(VLOOKUP($D96,$C$5:$AV$509,3,)=0,0,(VLOOKUP($D96,$C$5:$AV$509,27,)/VLOOKUP($D96,$C$5:$AV$509,3,))*$E96)</f>
        <v>0</v>
      </c>
      <c r="AE96" s="47">
        <f>IF(VLOOKUP($D96,$C$5:$AV$509,3,)=0,0,(VLOOKUP($D96,$C$5:$AV$509,28,)/VLOOKUP($D96,$C$5:$AV$509,3,))*$E96)</f>
        <v>0</v>
      </c>
      <c r="AF96" s="47">
        <f>IF(VLOOKUP($D96,$C$5:$AV$509,3,)=0,0,(VLOOKUP($D96,$C$5:$AV$509,29,)/VLOOKUP($D96,$C$5:$AV$509,3,))*$E96)</f>
        <v>0</v>
      </c>
      <c r="AG96" s="47">
        <f>IF(VLOOKUP($D96,$C$5:$AV$509,3,)=0,0,(VLOOKUP($D96,$C$5:$AV$509,30,)/VLOOKUP($D96,$C$5:$AV$509,3,))*$E96)</f>
        <v>0</v>
      </c>
      <c r="AH96" s="47">
        <f t="shared" ref="AH96:AH97" si="56">SUM(F96:AG96)</f>
        <v>30960247.353943396</v>
      </c>
      <c r="AI96" s="27" t="str">
        <f>IF(ABS(E96-AH96)&lt;0.01,"ok","err")</f>
        <v>ok</v>
      </c>
    </row>
    <row r="97" spans="1:35" x14ac:dyDescent="0.2">
      <c r="A97" s="90" t="s">
        <v>221</v>
      </c>
      <c r="C97" s="14" t="s">
        <v>255</v>
      </c>
      <c r="D97" s="14" t="s">
        <v>223</v>
      </c>
      <c r="E97" s="47">
        <f>'Func &amp; Classif'!P144</f>
        <v>58170300.355222136</v>
      </c>
      <c r="F97" s="47">
        <f>IF(VLOOKUP($D97,$C$5:$AV$509,3,)=0,0,(VLOOKUP($D97,$C$5:$AV$509,4,)/VLOOKUP($D97,$C$5:$AV$509,3,))*$E97)</f>
        <v>52644695.949270822</v>
      </c>
      <c r="G97" s="47">
        <f>IF(VLOOKUP($D97,$C$5:$AV$509,3,)=0,0,(VLOOKUP($D97,$C$5:$AV$509,5,)/VLOOKUP($D97,$C$5:$AV$509,3,))*$E97)</f>
        <v>2048.8303541261266</v>
      </c>
      <c r="H97" s="47">
        <f>IF(VLOOKUP($D97,$C$5:$AV$509,3,)=0,0,(VLOOKUP($D97,$C$5:$AV$509,6,)/VLOOKUP($D97,$C$5:$AV$509,3,))*$E97)</f>
        <v>4163223.2795842891</v>
      </c>
      <c r="I97" s="47">
        <f>IF(VLOOKUP($D97,$C$5:$AV$509,3,)=0,0,(VLOOKUP($D97,$C$5:$AV$509,7,)/VLOOKUP($D97,$C$5:$AV$509,3,))*$E97)</f>
        <v>643332.73119560373</v>
      </c>
      <c r="J97" s="47">
        <f>IF(VLOOKUP($D97,$C$5:$AV$509,3,)=0,0,(VLOOKUP($D97,$C$5:$AV$509,8,)/VLOOKUP($D97,$C$5:$AV$509,3,))*$E97)</f>
        <v>243810.81214100905</v>
      </c>
      <c r="K97" s="47">
        <f>IF(VLOOKUP($D97,$C$5:$AV$509,3,)=0,0,(VLOOKUP($D97,$C$5:$AV$509,9,)/VLOOKUP($D97,$C$5:$AV$509,3,))*$E97)</f>
        <v>0</v>
      </c>
      <c r="L97" s="47">
        <f>IF(VLOOKUP($D97,$C$5:$AV$509,3,)=0,0,(VLOOKUP($D97,$C$5:$AV$509,10,)/VLOOKUP($D97,$C$5:$AV$509,3,))*$E97)</f>
        <v>16390.642833009013</v>
      </c>
      <c r="M97" s="47">
        <f>IF(VLOOKUP($D97,$C$5:$AV$509,3,)=0,0,(VLOOKUP($D97,$C$5:$AV$509,11,)/VLOOKUP($D97,$C$5:$AV$509,3,))*$E97)</f>
        <v>2048.8303541261266</v>
      </c>
      <c r="N97" s="47">
        <f>IF(VLOOKUP($D97,$C$5:$AV$509,3,)=0,0,(VLOOKUP($D97,$C$5:$AV$509,12,)/VLOOKUP($D97,$C$5:$AV$509,3,))*$E97)</f>
        <v>454749.27948915004</v>
      </c>
      <c r="O97" s="47">
        <f t="shared" si="55"/>
        <v>0</v>
      </c>
      <c r="P97" s="47">
        <f t="shared" si="55"/>
        <v>0</v>
      </c>
      <c r="Q97" s="47">
        <f t="shared" si="55"/>
        <v>0</v>
      </c>
      <c r="R97" s="47">
        <f>IF(VLOOKUP($D97,$C$5:$AV$509,3,)=0,0,(VLOOKUP($D97,$C$5:$AV$509,15,)/VLOOKUP($D97,$C$5:$AV$509,3,))*$E97)</f>
        <v>0</v>
      </c>
      <c r="S97" s="47">
        <f>IF(VLOOKUP($D97,$C$5:$AV$509,3,)=0,0,(VLOOKUP($D97,$C$5:$AV$509,16,)/VLOOKUP($D97,$C$5:$AV$509,3,))*$E97)</f>
        <v>0</v>
      </c>
      <c r="T97" s="47">
        <f>IF(VLOOKUP($D97,$C$5:$AV$509,3,)=0,0,(VLOOKUP($D97,$C$5:$AV$509,17,)/VLOOKUP($D97,$C$5:$AV$509,3,))*$E97)</f>
        <v>0</v>
      </c>
      <c r="U97" s="47">
        <f>IF(VLOOKUP($D97,$C$5:$AV$509,3,)=0,0,(VLOOKUP($D97,$C$5:$AV$509,18,)/VLOOKUP($D97,$C$5:$AV$509,3,))*$E97)</f>
        <v>0</v>
      </c>
      <c r="V97" s="47">
        <f>IF(VLOOKUP($D97,$C$5:$AV$509,3,)=0,0,(VLOOKUP($D97,$C$5:$AV$509,19,)/VLOOKUP($D97,$C$5:$AV$509,3,))*$E97)</f>
        <v>0</v>
      </c>
      <c r="W97" s="47">
        <f>IF(VLOOKUP($D97,$C$5:$AV$509,3,)=0,0,(VLOOKUP($D97,$C$5:$AV$509,20,)/VLOOKUP($D97,$C$5:$AV$509,3,))*$E97)</f>
        <v>0</v>
      </c>
      <c r="X97" s="47">
        <f>IF(VLOOKUP($D97,$C$5:$AV$509,3,)=0,0,(VLOOKUP($D97,$C$5:$AV$509,21,)/VLOOKUP($D97,$C$5:$AV$509,3,))*$E97)</f>
        <v>0</v>
      </c>
      <c r="Y97" s="47">
        <f>IF(VLOOKUP($D97,$C$5:$AV$509,3,)=0,0,(VLOOKUP($D97,$C$5:$AV$509,22,)/VLOOKUP($D97,$C$5:$AV$509,3,))*$E97)</f>
        <v>0</v>
      </c>
      <c r="Z97" s="47">
        <f>IF(VLOOKUP($D97,$C$5:$AV$509,3,)=0,0,(VLOOKUP($D97,$C$5:$AV$509,23,)/VLOOKUP($D97,$C$5:$AV$509,3,))*$E97)</f>
        <v>0</v>
      </c>
      <c r="AA97" s="47">
        <f>IF(VLOOKUP($D97,$C$5:$AV$509,3,)=0,0,(VLOOKUP($D97,$C$5:$AV$509,24,)/VLOOKUP($D97,$C$5:$AV$509,3,))*$E97)</f>
        <v>0</v>
      </c>
      <c r="AB97" s="47">
        <f>IF(VLOOKUP($D97,$C$5:$AV$509,3,)=0,0,(VLOOKUP($D97,$C$5:$AV$509,25,)/VLOOKUP($D97,$C$5:$AV$509,3,))*$E97)</f>
        <v>0</v>
      </c>
      <c r="AC97" s="47">
        <f>IF(VLOOKUP($D97,$C$5:$AV$509,3,)=0,0,(VLOOKUP($D97,$C$5:$AV$509,26,)/VLOOKUP($D97,$C$5:$AV$509,3,))*$E97)</f>
        <v>0</v>
      </c>
      <c r="AD97" s="47">
        <f>IF(VLOOKUP($D97,$C$5:$AV$509,3,)=0,0,(VLOOKUP($D97,$C$5:$AV$509,27,)/VLOOKUP($D97,$C$5:$AV$509,3,))*$E97)</f>
        <v>0</v>
      </c>
      <c r="AE97" s="47">
        <f>IF(VLOOKUP($D97,$C$5:$AV$509,3,)=0,0,(VLOOKUP($D97,$C$5:$AV$509,28,)/VLOOKUP($D97,$C$5:$AV$509,3,))*$E97)</f>
        <v>0</v>
      </c>
      <c r="AF97" s="47">
        <f>IF(VLOOKUP($D97,$C$5:$AV$509,3,)=0,0,(VLOOKUP($D97,$C$5:$AV$509,29,)/VLOOKUP($D97,$C$5:$AV$509,3,))*$E97)</f>
        <v>0</v>
      </c>
      <c r="AG97" s="47">
        <f>IF(VLOOKUP($D97,$C$5:$AV$509,3,)=0,0,(VLOOKUP($D97,$C$5:$AV$509,30,)/VLOOKUP($D97,$C$5:$AV$509,3,))*$E97)</f>
        <v>0</v>
      </c>
      <c r="AH97" s="47">
        <f t="shared" si="56"/>
        <v>58170300.355222136</v>
      </c>
      <c r="AI97" s="27" t="str">
        <f>IF(ABS(E97-AH97)&lt;0.01,"ok","err")</f>
        <v>ok</v>
      </c>
    </row>
    <row r="98" spans="1:35" x14ac:dyDescent="0.2">
      <c r="A98" s="14" t="s">
        <v>224</v>
      </c>
      <c r="E98" s="62">
        <f t="shared" ref="E98:U98" si="57">E96+E97</f>
        <v>89130547.709165528</v>
      </c>
      <c r="F98" s="62">
        <f t="shared" si="57"/>
        <v>78613352.456446886</v>
      </c>
      <c r="G98" s="62">
        <f t="shared" si="57"/>
        <v>28340.208152920513</v>
      </c>
      <c r="H98" s="62">
        <f t="shared" si="57"/>
        <v>6191953.5687593631</v>
      </c>
      <c r="I98" s="62">
        <f t="shared" si="57"/>
        <v>874486.78455128439</v>
      </c>
      <c r="J98" s="62">
        <f t="shared" si="57"/>
        <v>1885388.4385166436</v>
      </c>
      <c r="K98" s="62">
        <f t="shared" si="57"/>
        <v>0</v>
      </c>
      <c r="L98" s="62">
        <f t="shared" si="57"/>
        <v>753120.11985406373</v>
      </c>
      <c r="M98" s="62">
        <f t="shared" ref="M98" si="58">M96+M97</f>
        <v>213474.06667324866</v>
      </c>
      <c r="N98" s="62">
        <f t="shared" si="57"/>
        <v>570432.06621113117</v>
      </c>
      <c r="O98" s="62">
        <f t="shared" si="57"/>
        <v>0</v>
      </c>
      <c r="P98" s="62">
        <f t="shared" si="57"/>
        <v>0</v>
      </c>
      <c r="Q98" s="62">
        <f t="shared" si="57"/>
        <v>0</v>
      </c>
      <c r="R98" s="62">
        <f t="shared" si="57"/>
        <v>0</v>
      </c>
      <c r="S98" s="62">
        <f t="shared" si="57"/>
        <v>0</v>
      </c>
      <c r="T98" s="62">
        <f t="shared" si="57"/>
        <v>0</v>
      </c>
      <c r="U98" s="62">
        <f t="shared" si="57"/>
        <v>0</v>
      </c>
      <c r="V98" s="62">
        <f t="shared" ref="V98:AG98" si="59">V96+V97</f>
        <v>0</v>
      </c>
      <c r="W98" s="62">
        <f t="shared" si="59"/>
        <v>0</v>
      </c>
      <c r="X98" s="62">
        <f t="shared" si="59"/>
        <v>0</v>
      </c>
      <c r="Y98" s="62">
        <f t="shared" si="59"/>
        <v>0</v>
      </c>
      <c r="Z98" s="62">
        <f t="shared" si="59"/>
        <v>0</v>
      </c>
      <c r="AA98" s="62">
        <f t="shared" si="59"/>
        <v>0</v>
      </c>
      <c r="AB98" s="62">
        <f t="shared" si="59"/>
        <v>0</v>
      </c>
      <c r="AC98" s="62">
        <f t="shared" si="59"/>
        <v>0</v>
      </c>
      <c r="AD98" s="62">
        <f t="shared" si="59"/>
        <v>0</v>
      </c>
      <c r="AE98" s="62">
        <f t="shared" si="59"/>
        <v>0</v>
      </c>
      <c r="AF98" s="62">
        <f t="shared" si="59"/>
        <v>0</v>
      </c>
      <c r="AG98" s="62">
        <f t="shared" si="59"/>
        <v>0</v>
      </c>
      <c r="AH98" s="87">
        <f>SUM(F98:AG98)</f>
        <v>89130547.709165543</v>
      </c>
      <c r="AI98" s="27" t="str">
        <f>IF(ABS(E98-AH98)&lt;0.01,"ok","err")</f>
        <v>ok</v>
      </c>
    </row>
    <row r="99" spans="1:35" x14ac:dyDescent="0.2">
      <c r="E99" s="47"/>
    </row>
    <row r="100" spans="1:35" x14ac:dyDescent="0.2">
      <c r="A100" s="13" t="s">
        <v>3</v>
      </c>
      <c r="E100" s="47"/>
    </row>
    <row r="101" spans="1:35" x14ac:dyDescent="0.2">
      <c r="A101" s="90" t="s">
        <v>209</v>
      </c>
      <c r="C101" s="14" t="s">
        <v>256</v>
      </c>
      <c r="D101" s="14" t="s">
        <v>619</v>
      </c>
      <c r="E101" s="62">
        <f>'Func &amp; Classif'!R144</f>
        <v>0</v>
      </c>
      <c r="F101" s="47">
        <f>IF(VLOOKUP($D101,$C$5:$AV$509,3,)=0,0,(VLOOKUP($D101,$C$5:$AV$509,4,)/VLOOKUP($D101,$C$5:$AV$509,3,))*$E101)</f>
        <v>0</v>
      </c>
      <c r="G101" s="47">
        <f>IF(VLOOKUP($D101,$C$5:$AV$509,3,)=0,0,(VLOOKUP($D101,$C$5:$AV$509,5,)/VLOOKUP($D101,$C$5:$AV$509,3,))*$E101)</f>
        <v>0</v>
      </c>
      <c r="H101" s="47">
        <f>IF(VLOOKUP($D101,$C$5:$AV$509,3,)=0,0,(VLOOKUP($D101,$C$5:$AV$509,6,)/VLOOKUP($D101,$C$5:$AV$509,3,))*$E101)</f>
        <v>0</v>
      </c>
      <c r="I101" s="47">
        <f>IF(VLOOKUP($D101,$C$5:$AV$509,3,)=0,0,(VLOOKUP($D101,$C$5:$AV$509,7,)/VLOOKUP($D101,$C$5:$AV$509,3,))*$E101)</f>
        <v>0</v>
      </c>
      <c r="J101" s="47">
        <f>IF(VLOOKUP($D101,$C$5:$AV$509,3,)=0,0,(VLOOKUP($D101,$C$5:$AV$509,8,)/VLOOKUP($D101,$C$5:$AV$509,3,))*$E101)</f>
        <v>0</v>
      </c>
      <c r="K101" s="47">
        <f>IF(VLOOKUP($D101,$C$5:$AV$509,3,)=0,0,(VLOOKUP($D101,$C$5:$AV$509,9,)/VLOOKUP($D101,$C$5:$AV$509,3,))*$E101)</f>
        <v>0</v>
      </c>
      <c r="L101" s="47">
        <f>IF(VLOOKUP($D101,$C$5:$AV$509,3,)=0,0,(VLOOKUP($D101,$C$5:$AV$509,10,)/VLOOKUP($D101,$C$5:$AV$509,3,))*$E101)</f>
        <v>0</v>
      </c>
      <c r="M101" s="47">
        <f>IF(VLOOKUP($D101,$C$5:$AV$509,3,)=0,0,(VLOOKUP($D101,$C$5:$AV$509,11,)/VLOOKUP($D101,$C$5:$AV$509,3,))*$E101)</f>
        <v>0</v>
      </c>
      <c r="N101" s="47">
        <f>IF(VLOOKUP($D101,$C$5:$AV$509,3,)=0,0,(VLOOKUP($D101,$C$5:$AV$509,12,)/VLOOKUP($D101,$C$5:$AV$509,3,))*$E101)</f>
        <v>0</v>
      </c>
      <c r="O101" s="47">
        <f t="shared" ref="O101:Q102" si="60">IF(VLOOKUP($D101,$C$5:$AV$509,3,)=0,0,(VLOOKUP($D101,$C$5:$AV$509,14,)/VLOOKUP($D101,$C$5:$AV$509,3,))*$E101)</f>
        <v>0</v>
      </c>
      <c r="P101" s="47">
        <f t="shared" si="60"/>
        <v>0</v>
      </c>
      <c r="Q101" s="47">
        <f t="shared" si="60"/>
        <v>0</v>
      </c>
      <c r="R101" s="47">
        <f>IF(VLOOKUP($D101,$C$5:$AV$509,3,)=0,0,(VLOOKUP($D101,$C$5:$AV$509,15,)/VLOOKUP($D101,$C$5:$AV$509,3,))*$E101)</f>
        <v>0</v>
      </c>
      <c r="S101" s="47">
        <f>IF(VLOOKUP($D101,$C$5:$AV$509,3,)=0,0,(VLOOKUP($D101,$C$5:$AV$509,16,)/VLOOKUP($D101,$C$5:$AV$509,3,))*$E101)</f>
        <v>0</v>
      </c>
      <c r="T101" s="47">
        <f>IF(VLOOKUP($D101,$C$5:$AV$509,3,)=0,0,(VLOOKUP($D101,$C$5:$AV$509,17,)/VLOOKUP($D101,$C$5:$AV$509,3,))*$E101)</f>
        <v>0</v>
      </c>
      <c r="U101" s="47">
        <f>IF(VLOOKUP($D101,$C$5:$AV$509,3,)=0,0,(VLOOKUP($D101,$C$5:$AV$509,18,)/VLOOKUP($D101,$C$5:$AV$509,3,))*$E101)</f>
        <v>0</v>
      </c>
      <c r="V101" s="47">
        <f>IF(VLOOKUP($D101,$C$5:$AV$509,3,)=0,0,(VLOOKUP($D101,$C$5:$AV$509,19,)/VLOOKUP($D101,$C$5:$AV$509,3,))*$E101)</f>
        <v>0</v>
      </c>
      <c r="W101" s="47">
        <f>IF(VLOOKUP($D101,$C$5:$AV$509,3,)=0,0,(VLOOKUP($D101,$C$5:$AV$509,20,)/VLOOKUP($D101,$C$5:$AV$509,3,))*$E101)</f>
        <v>0</v>
      </c>
      <c r="X101" s="47">
        <f>IF(VLOOKUP($D101,$C$5:$AV$509,3,)=0,0,(VLOOKUP($D101,$C$5:$AV$509,21,)/VLOOKUP($D101,$C$5:$AV$509,3,))*$E101)</f>
        <v>0</v>
      </c>
      <c r="Y101" s="47">
        <f>IF(VLOOKUP($D101,$C$5:$AV$509,3,)=0,0,(VLOOKUP($D101,$C$5:$AV$509,22,)/VLOOKUP($D101,$C$5:$AV$509,3,))*$E101)</f>
        <v>0</v>
      </c>
      <c r="Z101" s="47">
        <f>IF(VLOOKUP($D101,$C$5:$AV$509,3,)=0,0,(VLOOKUP($D101,$C$5:$AV$509,23,)/VLOOKUP($D101,$C$5:$AV$509,3,))*$E101)</f>
        <v>0</v>
      </c>
      <c r="AA101" s="47">
        <f>IF(VLOOKUP($D101,$C$5:$AV$509,3,)=0,0,(VLOOKUP($D101,$C$5:$AV$509,24,)/VLOOKUP($D101,$C$5:$AV$509,3,))*$E101)</f>
        <v>0</v>
      </c>
      <c r="AB101" s="47">
        <f>IF(VLOOKUP($D101,$C$5:$AV$509,3,)=0,0,(VLOOKUP($D101,$C$5:$AV$509,25,)/VLOOKUP($D101,$C$5:$AV$509,3,))*$E101)</f>
        <v>0</v>
      </c>
      <c r="AC101" s="47">
        <f>IF(VLOOKUP($D101,$C$5:$AV$509,3,)=0,0,(VLOOKUP($D101,$C$5:$AV$509,26,)/VLOOKUP($D101,$C$5:$AV$509,3,))*$E101)</f>
        <v>0</v>
      </c>
      <c r="AD101" s="47">
        <f>IF(VLOOKUP($D101,$C$5:$AV$509,3,)=0,0,(VLOOKUP($D101,$C$5:$AV$509,27,)/VLOOKUP($D101,$C$5:$AV$509,3,))*$E101)</f>
        <v>0</v>
      </c>
      <c r="AE101" s="47">
        <f>IF(VLOOKUP($D101,$C$5:$AV$509,3,)=0,0,(VLOOKUP($D101,$C$5:$AV$509,28,)/VLOOKUP($D101,$C$5:$AV$509,3,))*$E101)</f>
        <v>0</v>
      </c>
      <c r="AF101" s="47">
        <f>IF(VLOOKUP($D101,$C$5:$AV$509,3,)=0,0,(VLOOKUP($D101,$C$5:$AV$509,29,)/VLOOKUP($D101,$C$5:$AV$509,3,))*$E101)</f>
        <v>0</v>
      </c>
      <c r="AG101" s="47">
        <f>IF(VLOOKUP($D101,$C$5:$AV$509,3,)=0,0,(VLOOKUP($D101,$C$5:$AV$509,30,)/VLOOKUP($D101,$C$5:$AV$509,3,))*$E101)</f>
        <v>0</v>
      </c>
      <c r="AH101" s="47">
        <f t="shared" ref="AH101:AH102" si="61">SUM(F101:AG101)</f>
        <v>0</v>
      </c>
      <c r="AI101" s="27" t="str">
        <f>IF(ABS(E101-AH101)&lt;0.01,"ok","err")</f>
        <v>ok</v>
      </c>
    </row>
    <row r="102" spans="1:35" x14ac:dyDescent="0.2">
      <c r="A102" s="90" t="s">
        <v>221</v>
      </c>
      <c r="C102" s="14" t="s">
        <v>257</v>
      </c>
      <c r="D102" s="14" t="s">
        <v>701</v>
      </c>
      <c r="E102" s="47">
        <f>'Func &amp; Classif'!S144</f>
        <v>11996799.005962908</v>
      </c>
      <c r="F102" s="47">
        <f>IF(VLOOKUP($D102,$C$5:$AV$509,3,)=0,0,(VLOOKUP($D102,$C$5:$AV$509,4,)/VLOOKUP($D102,$C$5:$AV$509,3,))*$E102)</f>
        <v>10233383.154509082</v>
      </c>
      <c r="G102" s="47">
        <f>IF(VLOOKUP($D102,$C$5:$AV$509,3,)=0,0,(VLOOKUP($D102,$C$5:$AV$509,5,)/VLOOKUP($D102,$C$5:$AV$509,3,))*$E102)</f>
        <v>398.26359815174476</v>
      </c>
      <c r="H102" s="47">
        <f>IF(VLOOKUP($D102,$C$5:$AV$509,3,)=0,0,(VLOOKUP($D102,$C$5:$AV$509,6,)/VLOOKUP($D102,$C$5:$AV$509,3,))*$E102)</f>
        <v>1481271.5537683477</v>
      </c>
      <c r="I102" s="47">
        <f>IF(VLOOKUP($D102,$C$5:$AV$509,3,)=0,0,(VLOOKUP($D102,$C$5:$AV$509,7,)/VLOOKUP($D102,$C$5:$AV$509,3,))*$E102)</f>
        <v>152509.96310081298</v>
      </c>
      <c r="J102" s="47">
        <f>IF(VLOOKUP($D102,$C$5:$AV$509,3,)=0,0,(VLOOKUP($D102,$C$5:$AV$509,8,)/VLOOKUP($D102,$C$5:$AV$509,3,))*$E102)</f>
        <v>121951.19296172087</v>
      </c>
      <c r="K102" s="47">
        <f>IF(VLOOKUP($D102,$C$5:$AV$509,3,)=0,0,(VLOOKUP($D102,$C$5:$AV$509,9,)/VLOOKUP($D102,$C$5:$AV$509,3,))*$E102)</f>
        <v>0</v>
      </c>
      <c r="L102" s="47">
        <f>IF(VLOOKUP($D102,$C$5:$AV$509,3,)=0,0,(VLOOKUP($D102,$C$5:$AV$509,10,)/VLOOKUP($D102,$C$5:$AV$509,3,))*$E102)</f>
        <v>6260.0780839402187</v>
      </c>
      <c r="M102" s="47">
        <f>IF(VLOOKUP($D102,$C$5:$AV$509,3,)=0,0,(VLOOKUP($D102,$C$5:$AV$509,11,)/VLOOKUP($D102,$C$5:$AV$509,3,))*$E102)</f>
        <v>1024.7999408547973</v>
      </c>
      <c r="N102" s="47">
        <f>IF(VLOOKUP($D102,$C$5:$AV$509,3,)=0,0,(VLOOKUP($D102,$C$5:$AV$509,12,)/VLOOKUP($D102,$C$5:$AV$509,3,))*$E102)</f>
        <v>0</v>
      </c>
      <c r="O102" s="47">
        <f t="shared" si="60"/>
        <v>0</v>
      </c>
      <c r="P102" s="47">
        <f t="shared" si="60"/>
        <v>0</v>
      </c>
      <c r="Q102" s="47">
        <f t="shared" si="60"/>
        <v>0</v>
      </c>
      <c r="R102" s="47">
        <f>IF(VLOOKUP($D102,$C$5:$AV$509,3,)=0,0,(VLOOKUP($D102,$C$5:$AV$509,15,)/VLOOKUP($D102,$C$5:$AV$509,3,))*$E102)</f>
        <v>0</v>
      </c>
      <c r="S102" s="47">
        <f>IF(VLOOKUP($D102,$C$5:$AV$509,3,)=0,0,(VLOOKUP($D102,$C$5:$AV$509,16,)/VLOOKUP($D102,$C$5:$AV$509,3,))*$E102)</f>
        <v>0</v>
      </c>
      <c r="T102" s="47">
        <f>IF(VLOOKUP($D102,$C$5:$AV$509,3,)=0,0,(VLOOKUP($D102,$C$5:$AV$509,17,)/VLOOKUP($D102,$C$5:$AV$509,3,))*$E102)</f>
        <v>0</v>
      </c>
      <c r="U102" s="47">
        <f>IF(VLOOKUP($D102,$C$5:$AV$509,3,)=0,0,(VLOOKUP($D102,$C$5:$AV$509,18,)/VLOOKUP($D102,$C$5:$AV$509,3,))*$E102)</f>
        <v>0</v>
      </c>
      <c r="V102" s="47">
        <f>IF(VLOOKUP($D102,$C$5:$AV$509,3,)=0,0,(VLOOKUP($D102,$C$5:$AV$509,19,)/VLOOKUP($D102,$C$5:$AV$509,3,))*$E102)</f>
        <v>0</v>
      </c>
      <c r="W102" s="47">
        <f>IF(VLOOKUP($D102,$C$5:$AV$509,3,)=0,0,(VLOOKUP($D102,$C$5:$AV$509,20,)/VLOOKUP($D102,$C$5:$AV$509,3,))*$E102)</f>
        <v>0</v>
      </c>
      <c r="X102" s="47">
        <f>IF(VLOOKUP($D102,$C$5:$AV$509,3,)=0,0,(VLOOKUP($D102,$C$5:$AV$509,21,)/VLOOKUP($D102,$C$5:$AV$509,3,))*$E102)</f>
        <v>0</v>
      </c>
      <c r="Y102" s="47">
        <f>IF(VLOOKUP($D102,$C$5:$AV$509,3,)=0,0,(VLOOKUP($D102,$C$5:$AV$509,22,)/VLOOKUP($D102,$C$5:$AV$509,3,))*$E102)</f>
        <v>0</v>
      </c>
      <c r="Z102" s="47">
        <f>IF(VLOOKUP($D102,$C$5:$AV$509,3,)=0,0,(VLOOKUP($D102,$C$5:$AV$509,23,)/VLOOKUP($D102,$C$5:$AV$509,3,))*$E102)</f>
        <v>0</v>
      </c>
      <c r="AA102" s="47">
        <f>IF(VLOOKUP($D102,$C$5:$AV$509,3,)=0,0,(VLOOKUP($D102,$C$5:$AV$509,24,)/VLOOKUP($D102,$C$5:$AV$509,3,))*$E102)</f>
        <v>0</v>
      </c>
      <c r="AB102" s="47">
        <f>IF(VLOOKUP($D102,$C$5:$AV$509,3,)=0,0,(VLOOKUP($D102,$C$5:$AV$509,25,)/VLOOKUP($D102,$C$5:$AV$509,3,))*$E102)</f>
        <v>0</v>
      </c>
      <c r="AC102" s="47">
        <f>IF(VLOOKUP($D102,$C$5:$AV$509,3,)=0,0,(VLOOKUP($D102,$C$5:$AV$509,26,)/VLOOKUP($D102,$C$5:$AV$509,3,))*$E102)</f>
        <v>0</v>
      </c>
      <c r="AD102" s="47">
        <f>IF(VLOOKUP($D102,$C$5:$AV$509,3,)=0,0,(VLOOKUP($D102,$C$5:$AV$509,27,)/VLOOKUP($D102,$C$5:$AV$509,3,))*$E102)</f>
        <v>0</v>
      </c>
      <c r="AE102" s="47">
        <f>IF(VLOOKUP($D102,$C$5:$AV$509,3,)=0,0,(VLOOKUP($D102,$C$5:$AV$509,28,)/VLOOKUP($D102,$C$5:$AV$509,3,))*$E102)</f>
        <v>0</v>
      </c>
      <c r="AF102" s="47">
        <f>IF(VLOOKUP($D102,$C$5:$AV$509,3,)=0,0,(VLOOKUP($D102,$C$5:$AV$509,29,)/VLOOKUP($D102,$C$5:$AV$509,3,))*$E102)</f>
        <v>0</v>
      </c>
      <c r="AG102" s="47">
        <f>IF(VLOOKUP($D102,$C$5:$AV$509,3,)=0,0,(VLOOKUP($D102,$C$5:$AV$509,30,)/VLOOKUP($D102,$C$5:$AV$509,3,))*$E102)</f>
        <v>0</v>
      </c>
      <c r="AH102" s="47">
        <f t="shared" si="61"/>
        <v>11996799.00596291</v>
      </c>
      <c r="AI102" s="27" t="str">
        <f>IF(ABS(E102-AH102)&lt;0.01,"ok","err")</f>
        <v>ok</v>
      </c>
    </row>
    <row r="103" spans="1:35" x14ac:dyDescent="0.2">
      <c r="A103" s="14" t="s">
        <v>228</v>
      </c>
      <c r="E103" s="62">
        <f t="shared" ref="E103:U103" si="62">E101+E102</f>
        <v>11996799.005962908</v>
      </c>
      <c r="F103" s="62">
        <f t="shared" si="62"/>
        <v>10233383.154509082</v>
      </c>
      <c r="G103" s="62">
        <f t="shared" si="62"/>
        <v>398.26359815174476</v>
      </c>
      <c r="H103" s="62">
        <f t="shared" si="62"/>
        <v>1481271.5537683477</v>
      </c>
      <c r="I103" s="62">
        <f t="shared" si="62"/>
        <v>152509.96310081298</v>
      </c>
      <c r="J103" s="62">
        <f t="shared" si="62"/>
        <v>121951.19296172087</v>
      </c>
      <c r="K103" s="62">
        <f t="shared" si="62"/>
        <v>0</v>
      </c>
      <c r="L103" s="62">
        <f t="shared" si="62"/>
        <v>6260.0780839402187</v>
      </c>
      <c r="M103" s="62">
        <f t="shared" ref="M103" si="63">M101+M102</f>
        <v>1024.7999408547973</v>
      </c>
      <c r="N103" s="62">
        <f t="shared" si="62"/>
        <v>0</v>
      </c>
      <c r="O103" s="62">
        <f t="shared" si="62"/>
        <v>0</v>
      </c>
      <c r="P103" s="62">
        <f t="shared" si="62"/>
        <v>0</v>
      </c>
      <c r="Q103" s="62">
        <f t="shared" si="62"/>
        <v>0</v>
      </c>
      <c r="R103" s="62">
        <f t="shared" si="62"/>
        <v>0</v>
      </c>
      <c r="S103" s="62">
        <f t="shared" si="62"/>
        <v>0</v>
      </c>
      <c r="T103" s="62">
        <f t="shared" si="62"/>
        <v>0</v>
      </c>
      <c r="U103" s="62">
        <f t="shared" si="62"/>
        <v>0</v>
      </c>
      <c r="V103" s="62">
        <f t="shared" ref="V103:AG103" si="64">V101+V102</f>
        <v>0</v>
      </c>
      <c r="W103" s="62">
        <f t="shared" si="64"/>
        <v>0</v>
      </c>
      <c r="X103" s="62">
        <f t="shared" si="64"/>
        <v>0</v>
      </c>
      <c r="Y103" s="62">
        <f t="shared" si="64"/>
        <v>0</v>
      </c>
      <c r="Z103" s="62">
        <f t="shared" si="64"/>
        <v>0</v>
      </c>
      <c r="AA103" s="62">
        <f t="shared" si="64"/>
        <v>0</v>
      </c>
      <c r="AB103" s="62">
        <f t="shared" si="64"/>
        <v>0</v>
      </c>
      <c r="AC103" s="62">
        <f t="shared" si="64"/>
        <v>0</v>
      </c>
      <c r="AD103" s="62">
        <f t="shared" si="64"/>
        <v>0</v>
      </c>
      <c r="AE103" s="62">
        <f t="shared" si="64"/>
        <v>0</v>
      </c>
      <c r="AF103" s="62">
        <f t="shared" si="64"/>
        <v>0</v>
      </c>
      <c r="AG103" s="62">
        <f t="shared" si="64"/>
        <v>0</v>
      </c>
      <c r="AH103" s="87">
        <f>SUM(F103:AG103)</f>
        <v>11996799.00596291</v>
      </c>
      <c r="AI103" s="27" t="str">
        <f>IF(ABS(E103-AH103)&lt;0.01,"ok","err")</f>
        <v>ok</v>
      </c>
    </row>
    <row r="104" spans="1:35" x14ac:dyDescent="0.2">
      <c r="E104" s="47"/>
    </row>
    <row r="105" spans="1:35" x14ac:dyDescent="0.2">
      <c r="A105" s="13" t="s">
        <v>4</v>
      </c>
      <c r="E105" s="47"/>
    </row>
    <row r="106" spans="1:35" x14ac:dyDescent="0.2">
      <c r="A106" s="90" t="s">
        <v>221</v>
      </c>
      <c r="C106" s="14" t="s">
        <v>258</v>
      </c>
      <c r="D106" s="14" t="s">
        <v>230</v>
      </c>
      <c r="E106" s="62">
        <f>'Func &amp; Classif'!U144</f>
        <v>5320626.6610663347</v>
      </c>
      <c r="F106" s="47">
        <f>IF(VLOOKUP($D106,$C$5:$AV$509,3,)=0,0,(VLOOKUP($D106,$C$5:$AV$509,4,)/VLOOKUP($D106,$C$5:$AV$509,3,))*$E106)</f>
        <v>4730875.016153763</v>
      </c>
      <c r="G106" s="47">
        <f>IF(VLOOKUP($D106,$C$5:$AV$509,3,)=0,0,(VLOOKUP($D106,$C$5:$AV$509,5,)/VLOOKUP($D106,$C$5:$AV$509,3,))*$E106)</f>
        <v>184.1165602706271</v>
      </c>
      <c r="H106" s="47">
        <f>IF(VLOOKUP($D106,$C$5:$AV$509,3,)=0,0,(VLOOKUP($D106,$C$5:$AV$509,6,)/VLOOKUP($D106,$C$5:$AV$509,3,))*$E106)</f>
        <v>466171.44066489313</v>
      </c>
      <c r="I106" s="47">
        <f>IF(VLOOKUP($D106,$C$5:$AV$509,3,)=0,0,(VLOOKUP($D106,$C$5:$AV$509,7,)/VLOOKUP($D106,$C$5:$AV$509,3,))*$E106)</f>
        <v>57812.599924976908</v>
      </c>
      <c r="J106" s="47">
        <f>IF(VLOOKUP($D106,$C$5:$AV$509,3,)=0,0,(VLOOKUP($D106,$C$5:$AV$509,8,)/VLOOKUP($D106,$C$5:$AV$509,3,))*$E106)</f>
        <v>60165.200417323817</v>
      </c>
      <c r="K106" s="47">
        <f>IF(VLOOKUP($D106,$C$5:$AV$509,3,)=0,0,(VLOOKUP($D106,$C$5:$AV$509,9,)/VLOOKUP($D106,$C$5:$AV$509,3,))*$E106)</f>
        <v>0</v>
      </c>
      <c r="L106" s="47">
        <f>IF(VLOOKUP($D106,$C$5:$AV$509,3,)=0,0,(VLOOKUP($D106,$C$5:$AV$509,10,)/VLOOKUP($D106,$C$5:$AV$509,3,))*$E106)</f>
        <v>4816.2554178729124</v>
      </c>
      <c r="M106" s="47">
        <f>IF(VLOOKUP($D106,$C$5:$AV$509,3,)=0,0,(VLOOKUP($D106,$C$5:$AV$509,11,)/VLOOKUP($D106,$C$5:$AV$509,3,))*$E106)</f>
        <v>602.03192723411405</v>
      </c>
      <c r="N106" s="47">
        <f>IF(VLOOKUP($D106,$C$5:$AV$509,3,)=0,0,(VLOOKUP($D106,$C$5:$AV$509,12,)/VLOOKUP($D106,$C$5:$AV$509,3,))*$E106)</f>
        <v>0</v>
      </c>
      <c r="O106" s="47">
        <f>IF(VLOOKUP($D106,$C$5:$AV$509,3,)=0,0,(VLOOKUP($D106,$C$5:$AV$509,14,)/VLOOKUP($D106,$C$5:$AV$509,3,))*$E106)</f>
        <v>0</v>
      </c>
      <c r="P106" s="47">
        <f>IF(VLOOKUP($D106,$C$5:$AV$509,3,)=0,0,(VLOOKUP($D106,$C$5:$AV$509,14,)/VLOOKUP($D106,$C$5:$AV$509,3,))*$E106)</f>
        <v>0</v>
      </c>
      <c r="Q106" s="47">
        <f>IF(VLOOKUP($D106,$C$5:$AV$509,3,)=0,0,(VLOOKUP($D106,$C$5:$AV$509,14,)/VLOOKUP($D106,$C$5:$AV$509,3,))*$E106)</f>
        <v>0</v>
      </c>
      <c r="R106" s="47">
        <f>IF(VLOOKUP($D106,$C$5:$AV$509,3,)=0,0,(VLOOKUP($D106,$C$5:$AV$509,15,)/VLOOKUP($D106,$C$5:$AV$509,3,))*$E106)</f>
        <v>0</v>
      </c>
      <c r="S106" s="47">
        <f>IF(VLOOKUP($D106,$C$5:$AV$509,3,)=0,0,(VLOOKUP($D106,$C$5:$AV$509,16,)/VLOOKUP($D106,$C$5:$AV$509,3,))*$E106)</f>
        <v>0</v>
      </c>
      <c r="T106" s="47">
        <f>IF(VLOOKUP($D106,$C$5:$AV$509,3,)=0,0,(VLOOKUP($D106,$C$5:$AV$509,17,)/VLOOKUP($D106,$C$5:$AV$509,3,))*$E106)</f>
        <v>0</v>
      </c>
      <c r="U106" s="47">
        <f>IF(VLOOKUP($D106,$C$5:$AV$509,3,)=0,0,(VLOOKUP($D106,$C$5:$AV$509,18,)/VLOOKUP($D106,$C$5:$AV$509,3,))*$E106)</f>
        <v>0</v>
      </c>
      <c r="V106" s="47">
        <f>IF(VLOOKUP($D106,$C$5:$AV$509,3,)=0,0,(VLOOKUP($D106,$C$5:$AV$509,19,)/VLOOKUP($D106,$C$5:$AV$509,3,))*$E106)</f>
        <v>0</v>
      </c>
      <c r="W106" s="47">
        <f>IF(VLOOKUP($D106,$C$5:$AV$509,3,)=0,0,(VLOOKUP($D106,$C$5:$AV$509,20,)/VLOOKUP($D106,$C$5:$AV$509,3,))*$E106)</f>
        <v>0</v>
      </c>
      <c r="X106" s="47">
        <f>IF(VLOOKUP($D106,$C$5:$AV$509,3,)=0,0,(VLOOKUP($D106,$C$5:$AV$509,21,)/VLOOKUP($D106,$C$5:$AV$509,3,))*$E106)</f>
        <v>0</v>
      </c>
      <c r="Y106" s="47">
        <f>IF(VLOOKUP($D106,$C$5:$AV$509,3,)=0,0,(VLOOKUP($D106,$C$5:$AV$509,22,)/VLOOKUP($D106,$C$5:$AV$509,3,))*$E106)</f>
        <v>0</v>
      </c>
      <c r="Z106" s="47">
        <f>IF(VLOOKUP($D106,$C$5:$AV$509,3,)=0,0,(VLOOKUP($D106,$C$5:$AV$509,23,)/VLOOKUP($D106,$C$5:$AV$509,3,))*$E106)</f>
        <v>0</v>
      </c>
      <c r="AA106" s="47">
        <f>IF(VLOOKUP($D106,$C$5:$AV$509,3,)=0,0,(VLOOKUP($D106,$C$5:$AV$509,24,)/VLOOKUP($D106,$C$5:$AV$509,3,))*$E106)</f>
        <v>0</v>
      </c>
      <c r="AB106" s="47">
        <f>IF(VLOOKUP($D106,$C$5:$AV$509,3,)=0,0,(VLOOKUP($D106,$C$5:$AV$509,25,)/VLOOKUP($D106,$C$5:$AV$509,3,))*$E106)</f>
        <v>0</v>
      </c>
      <c r="AC106" s="47">
        <f>IF(VLOOKUP($D106,$C$5:$AV$509,3,)=0,0,(VLOOKUP($D106,$C$5:$AV$509,26,)/VLOOKUP($D106,$C$5:$AV$509,3,))*$E106)</f>
        <v>0</v>
      </c>
      <c r="AD106" s="47">
        <f>IF(VLOOKUP($D106,$C$5:$AV$509,3,)=0,0,(VLOOKUP($D106,$C$5:$AV$509,27,)/VLOOKUP($D106,$C$5:$AV$509,3,))*$E106)</f>
        <v>0</v>
      </c>
      <c r="AE106" s="47">
        <f>IF(VLOOKUP($D106,$C$5:$AV$509,3,)=0,0,(VLOOKUP($D106,$C$5:$AV$509,28,)/VLOOKUP($D106,$C$5:$AV$509,3,))*$E106)</f>
        <v>0</v>
      </c>
      <c r="AF106" s="47">
        <f>IF(VLOOKUP($D106,$C$5:$AV$509,3,)=0,0,(VLOOKUP($D106,$C$5:$AV$509,29,)/VLOOKUP($D106,$C$5:$AV$509,3,))*$E106)</f>
        <v>0</v>
      </c>
      <c r="AG106" s="47">
        <f>IF(VLOOKUP($D106,$C$5:$AV$509,3,)=0,0,(VLOOKUP($D106,$C$5:$AV$509,30,)/VLOOKUP($D106,$C$5:$AV$509,3,))*$E106)</f>
        <v>0</v>
      </c>
      <c r="AH106" s="47">
        <f t="shared" ref="AH106" si="65">SUM(F106:AG106)</f>
        <v>5320626.6610663356</v>
      </c>
      <c r="AI106" s="27" t="str">
        <f>IF(ABS(E106-AH106)&lt;0.01,"ok","err")</f>
        <v>ok</v>
      </c>
    </row>
    <row r="107" spans="1:35" x14ac:dyDescent="0.2">
      <c r="E107" s="47"/>
    </row>
    <row r="108" spans="1:35" x14ac:dyDescent="0.2">
      <c r="A108" s="13" t="s">
        <v>5</v>
      </c>
      <c r="E108" s="47"/>
    </row>
    <row r="109" spans="1:35" x14ac:dyDescent="0.2">
      <c r="A109" s="90" t="s">
        <v>221</v>
      </c>
      <c r="C109" s="14" t="s">
        <v>259</v>
      </c>
      <c r="D109" s="14" t="s">
        <v>232</v>
      </c>
      <c r="E109" s="62">
        <f>'Func &amp; Classif'!W144</f>
        <v>3689164.523772025</v>
      </c>
      <c r="F109" s="47">
        <f>IF(VLOOKUP($D109,$C$5:$AV$509,3,)=0,0,(VLOOKUP($D109,$C$5:$AV$509,4,)/VLOOKUP($D109,$C$5:$AV$509,3,))*$E109)</f>
        <v>0</v>
      </c>
      <c r="G109" s="47">
        <f>IF(VLOOKUP($D109,$C$5:$AV$509,3,)=0,0,(VLOOKUP($D109,$C$5:$AV$509,5,)/VLOOKUP($D109,$C$5:$AV$509,3,))*$E109)</f>
        <v>0</v>
      </c>
      <c r="H109" s="47">
        <f>IF(VLOOKUP($D109,$C$5:$AV$509,3,)=0,0,(VLOOKUP($D109,$C$5:$AV$509,6,)/VLOOKUP($D109,$C$5:$AV$509,3,))*$E109)</f>
        <v>0</v>
      </c>
      <c r="I109" s="47">
        <f>IF(VLOOKUP($D109,$C$5:$AV$509,3,)=0,0,(VLOOKUP($D109,$C$5:$AV$509,7,)/VLOOKUP($D109,$C$5:$AV$509,3,))*$E109)</f>
        <v>0</v>
      </c>
      <c r="J109" s="47">
        <f>IF(VLOOKUP($D109,$C$5:$AV$509,3,)=0,0,(VLOOKUP($D109,$C$5:$AV$509,8,)/VLOOKUP($D109,$C$5:$AV$509,3,))*$E109)</f>
        <v>0</v>
      </c>
      <c r="K109" s="47">
        <f>IF(VLOOKUP($D109,$C$5:$AV$509,3,)=0,0,(VLOOKUP($D109,$C$5:$AV$509,9,)/VLOOKUP($D109,$C$5:$AV$509,3,))*$E109)</f>
        <v>0</v>
      </c>
      <c r="L109" s="47">
        <f>IF(VLOOKUP($D109,$C$5:$AV$509,3,)=0,0,(VLOOKUP($D109,$C$5:$AV$509,10,)/VLOOKUP($D109,$C$5:$AV$509,3,))*$E109)</f>
        <v>0</v>
      </c>
      <c r="M109" s="47">
        <f>IF(VLOOKUP($D109,$C$5:$AV$509,3,)=0,0,(VLOOKUP($D109,$C$5:$AV$509,11,)/VLOOKUP($D109,$C$5:$AV$509,3,))*$E109)</f>
        <v>0</v>
      </c>
      <c r="N109" s="47">
        <f>IF(VLOOKUP($D109,$C$5:$AV$509,3,)=0,0,(VLOOKUP($D109,$C$5:$AV$509,12,)/VLOOKUP($D109,$C$5:$AV$509,3,))*$E109)</f>
        <v>3689164.523772025</v>
      </c>
      <c r="O109" s="47">
        <f>IF(VLOOKUP($D109,$C$5:$AV$509,3,)=0,0,(VLOOKUP($D109,$C$5:$AV$509,14,)/VLOOKUP($D109,$C$5:$AV$509,3,))*$E109)</f>
        <v>0</v>
      </c>
      <c r="P109" s="47">
        <f>IF(VLOOKUP($D109,$C$5:$AV$509,3,)=0,0,(VLOOKUP($D109,$C$5:$AV$509,14,)/VLOOKUP($D109,$C$5:$AV$509,3,))*$E109)</f>
        <v>0</v>
      </c>
      <c r="Q109" s="47">
        <f>IF(VLOOKUP($D109,$C$5:$AV$509,3,)=0,0,(VLOOKUP($D109,$C$5:$AV$509,14,)/VLOOKUP($D109,$C$5:$AV$509,3,))*$E109)</f>
        <v>0</v>
      </c>
      <c r="R109" s="47">
        <f>IF(VLOOKUP($D109,$C$5:$AV$509,3,)=0,0,(VLOOKUP($D109,$C$5:$AV$509,15,)/VLOOKUP($D109,$C$5:$AV$509,3,))*$E109)</f>
        <v>0</v>
      </c>
      <c r="S109" s="47">
        <f>IF(VLOOKUP($D109,$C$5:$AV$509,3,)=0,0,(VLOOKUP($D109,$C$5:$AV$509,16,)/VLOOKUP($D109,$C$5:$AV$509,3,))*$E109)</f>
        <v>0</v>
      </c>
      <c r="T109" s="47">
        <f>IF(VLOOKUP($D109,$C$5:$AV$509,3,)=0,0,(VLOOKUP($D109,$C$5:$AV$509,17,)/VLOOKUP($D109,$C$5:$AV$509,3,))*$E109)</f>
        <v>0</v>
      </c>
      <c r="U109" s="47">
        <f>IF(VLOOKUP($D109,$C$5:$AV$509,3,)=0,0,(VLOOKUP($D109,$C$5:$AV$509,18,)/VLOOKUP($D109,$C$5:$AV$509,3,))*$E109)</f>
        <v>0</v>
      </c>
      <c r="V109" s="47">
        <f>IF(VLOOKUP($D109,$C$5:$AV$509,3,)=0,0,(VLOOKUP($D109,$C$5:$AV$509,19,)/VLOOKUP($D109,$C$5:$AV$509,3,))*$E109)</f>
        <v>0</v>
      </c>
      <c r="W109" s="47">
        <f>IF(VLOOKUP($D109,$C$5:$AV$509,3,)=0,0,(VLOOKUP($D109,$C$5:$AV$509,20,)/VLOOKUP($D109,$C$5:$AV$509,3,))*$E109)</f>
        <v>0</v>
      </c>
      <c r="X109" s="47">
        <f>IF(VLOOKUP($D109,$C$5:$AV$509,3,)=0,0,(VLOOKUP($D109,$C$5:$AV$509,21,)/VLOOKUP($D109,$C$5:$AV$509,3,))*$E109)</f>
        <v>0</v>
      </c>
      <c r="Y109" s="47">
        <f>IF(VLOOKUP($D109,$C$5:$AV$509,3,)=0,0,(VLOOKUP($D109,$C$5:$AV$509,22,)/VLOOKUP($D109,$C$5:$AV$509,3,))*$E109)</f>
        <v>0</v>
      </c>
      <c r="Z109" s="47">
        <f>IF(VLOOKUP($D109,$C$5:$AV$509,3,)=0,0,(VLOOKUP($D109,$C$5:$AV$509,23,)/VLOOKUP($D109,$C$5:$AV$509,3,))*$E109)</f>
        <v>0</v>
      </c>
      <c r="AA109" s="47">
        <f>IF(VLOOKUP($D109,$C$5:$AV$509,3,)=0,0,(VLOOKUP($D109,$C$5:$AV$509,24,)/VLOOKUP($D109,$C$5:$AV$509,3,))*$E109)</f>
        <v>0</v>
      </c>
      <c r="AB109" s="47">
        <f>IF(VLOOKUP($D109,$C$5:$AV$509,3,)=0,0,(VLOOKUP($D109,$C$5:$AV$509,25,)/VLOOKUP($D109,$C$5:$AV$509,3,))*$E109)</f>
        <v>0</v>
      </c>
      <c r="AC109" s="47">
        <f>IF(VLOOKUP($D109,$C$5:$AV$509,3,)=0,0,(VLOOKUP($D109,$C$5:$AV$509,26,)/VLOOKUP($D109,$C$5:$AV$509,3,))*$E109)</f>
        <v>0</v>
      </c>
      <c r="AD109" s="47">
        <f>IF(VLOOKUP($D109,$C$5:$AV$509,3,)=0,0,(VLOOKUP($D109,$C$5:$AV$509,27,)/VLOOKUP($D109,$C$5:$AV$509,3,))*$E109)</f>
        <v>0</v>
      </c>
      <c r="AE109" s="47">
        <f>IF(VLOOKUP($D109,$C$5:$AV$509,3,)=0,0,(VLOOKUP($D109,$C$5:$AV$509,28,)/VLOOKUP($D109,$C$5:$AV$509,3,))*$E109)</f>
        <v>0</v>
      </c>
      <c r="AF109" s="47">
        <f>IF(VLOOKUP($D109,$C$5:$AV$509,3,)=0,0,(VLOOKUP($D109,$C$5:$AV$509,29,)/VLOOKUP($D109,$C$5:$AV$509,3,))*$E109)</f>
        <v>0</v>
      </c>
      <c r="AG109" s="47">
        <f>IF(VLOOKUP($D109,$C$5:$AV$509,3,)=0,0,(VLOOKUP($D109,$C$5:$AV$509,30,)/VLOOKUP($D109,$C$5:$AV$509,3,))*$E109)</f>
        <v>0</v>
      </c>
      <c r="AH109" s="47">
        <f t="shared" ref="AH109" si="66">SUM(F109:AG109)</f>
        <v>3689164.523772025</v>
      </c>
      <c r="AI109" s="27" t="str">
        <f>IF(ABS(E109-AH109)&lt;0.01,"ok","err")</f>
        <v>ok</v>
      </c>
    </row>
    <row r="110" spans="1:35" x14ac:dyDescent="0.2">
      <c r="E110" s="47"/>
    </row>
    <row r="111" spans="1:35" x14ac:dyDescent="0.2">
      <c r="A111" s="13" t="s">
        <v>545</v>
      </c>
      <c r="E111" s="47"/>
    </row>
    <row r="112" spans="1:35" x14ac:dyDescent="0.2">
      <c r="A112" s="90" t="s">
        <v>221</v>
      </c>
      <c r="C112" s="14" t="s">
        <v>260</v>
      </c>
      <c r="D112" s="14" t="s">
        <v>234</v>
      </c>
      <c r="E112" s="62">
        <f>'Func &amp; Classif'!Y144</f>
        <v>272237.21089039539</v>
      </c>
      <c r="F112" s="47">
        <f>IF(VLOOKUP($D112,$C$5:$AV$509,3,)=0,0,(VLOOKUP($D112,$C$5:$AV$509,4,)/VLOOKUP($D112,$C$5:$AV$509,3,))*$E112)</f>
        <v>246377.36277591297</v>
      </c>
      <c r="G112" s="47">
        <f>IF(VLOOKUP($D112,$C$5:$AV$509,3,)=0,0,(VLOOKUP($D112,$C$5:$AV$509,5,)/VLOOKUP($D112,$C$5:$AV$509,3,))*$E112)</f>
        <v>9.5885332856942203</v>
      </c>
      <c r="H112" s="47">
        <f>IF(VLOOKUP($D112,$C$5:$AV$509,3,)=0,0,(VLOOKUP($D112,$C$5:$AV$509,6,)/VLOOKUP($D112,$C$5:$AV$509,3,))*$E112)</f>
        <v>19483.899636530656</v>
      </c>
      <c r="I112" s="47">
        <f>IF(VLOOKUP($D112,$C$5:$AV$509,3,)=0,0,(VLOOKUP($D112,$C$5:$AV$509,7,)/VLOOKUP($D112,$C$5:$AV$509,3,))*$E112)</f>
        <v>3010.7994517079856</v>
      </c>
      <c r="J112" s="47">
        <f>IF(VLOOKUP($D112,$C$5:$AV$509,3,)=0,0,(VLOOKUP($D112,$C$5:$AV$509,8,)/VLOOKUP($D112,$C$5:$AV$509,3,))*$E112)</f>
        <v>1141.0354609976121</v>
      </c>
      <c r="K112" s="47">
        <f>IF(VLOOKUP($D112,$C$5:$AV$509,3,)=0,0,(VLOOKUP($D112,$C$5:$AV$509,9,)/VLOOKUP($D112,$C$5:$AV$509,3,))*$E112)</f>
        <v>0</v>
      </c>
      <c r="L112" s="47">
        <f>IF(VLOOKUP($D112,$C$5:$AV$509,3,)=0,0,(VLOOKUP($D112,$C$5:$AV$509,10,)/VLOOKUP($D112,$C$5:$AV$509,3,))*$E112)</f>
        <v>76.708266285553762</v>
      </c>
      <c r="M112" s="47">
        <f>IF(VLOOKUP($D112,$C$5:$AV$509,3,)=0,0,(VLOOKUP($D112,$C$5:$AV$509,11,)/VLOOKUP($D112,$C$5:$AV$509,3,))*$E112)</f>
        <v>9.5885332856942203</v>
      </c>
      <c r="N112" s="47">
        <f>IF(VLOOKUP($D112,$C$5:$AV$509,3,)=0,0,(VLOOKUP($D112,$C$5:$AV$509,12,)/VLOOKUP($D112,$C$5:$AV$509,3,))*$E112)</f>
        <v>2128.2282323891973</v>
      </c>
      <c r="O112" s="47">
        <f>IF(VLOOKUP($D112,$C$5:$AV$509,3,)=0,0,(VLOOKUP($D112,$C$5:$AV$509,14,)/VLOOKUP($D112,$C$5:$AV$509,3,))*$E112)</f>
        <v>0</v>
      </c>
      <c r="P112" s="47">
        <f>IF(VLOOKUP($D112,$C$5:$AV$509,3,)=0,0,(VLOOKUP($D112,$C$5:$AV$509,14,)/VLOOKUP($D112,$C$5:$AV$509,3,))*$E112)</f>
        <v>0</v>
      </c>
      <c r="Q112" s="47">
        <f>IF(VLOOKUP($D112,$C$5:$AV$509,3,)=0,0,(VLOOKUP($D112,$C$5:$AV$509,14,)/VLOOKUP($D112,$C$5:$AV$509,3,))*$E112)</f>
        <v>0</v>
      </c>
      <c r="R112" s="47">
        <f>IF(VLOOKUP($D112,$C$5:$AV$509,3,)=0,0,(VLOOKUP($D112,$C$5:$AV$509,15,)/VLOOKUP($D112,$C$5:$AV$509,3,))*$E112)</f>
        <v>0</v>
      </c>
      <c r="S112" s="47">
        <f>IF(VLOOKUP($D112,$C$5:$AV$509,3,)=0,0,(VLOOKUP($D112,$C$5:$AV$509,16,)/VLOOKUP($D112,$C$5:$AV$509,3,))*$E112)</f>
        <v>0</v>
      </c>
      <c r="T112" s="47">
        <f>IF(VLOOKUP($D112,$C$5:$AV$509,3,)=0,0,(VLOOKUP($D112,$C$5:$AV$509,17,)/VLOOKUP($D112,$C$5:$AV$509,3,))*$E112)</f>
        <v>0</v>
      </c>
      <c r="U112" s="47">
        <f>IF(VLOOKUP($D112,$C$5:$AV$509,3,)=0,0,(VLOOKUP($D112,$C$5:$AV$509,18,)/VLOOKUP($D112,$C$5:$AV$509,3,))*$E112)</f>
        <v>0</v>
      </c>
      <c r="V112" s="47">
        <f>IF(VLOOKUP($D112,$C$5:$AV$509,3,)=0,0,(VLOOKUP($D112,$C$5:$AV$509,19,)/VLOOKUP($D112,$C$5:$AV$509,3,))*$E112)</f>
        <v>0</v>
      </c>
      <c r="W112" s="47">
        <f>IF(VLOOKUP($D112,$C$5:$AV$509,3,)=0,0,(VLOOKUP($D112,$C$5:$AV$509,20,)/VLOOKUP($D112,$C$5:$AV$509,3,))*$E112)</f>
        <v>0</v>
      </c>
      <c r="X112" s="47">
        <f>IF(VLOOKUP($D112,$C$5:$AV$509,3,)=0,0,(VLOOKUP($D112,$C$5:$AV$509,21,)/VLOOKUP($D112,$C$5:$AV$509,3,))*$E112)</f>
        <v>0</v>
      </c>
      <c r="Y112" s="47">
        <f>IF(VLOOKUP($D112,$C$5:$AV$509,3,)=0,0,(VLOOKUP($D112,$C$5:$AV$509,22,)/VLOOKUP($D112,$C$5:$AV$509,3,))*$E112)</f>
        <v>0</v>
      </c>
      <c r="Z112" s="47">
        <f>IF(VLOOKUP($D112,$C$5:$AV$509,3,)=0,0,(VLOOKUP($D112,$C$5:$AV$509,23,)/VLOOKUP($D112,$C$5:$AV$509,3,))*$E112)</f>
        <v>0</v>
      </c>
      <c r="AA112" s="47">
        <f>IF(VLOOKUP($D112,$C$5:$AV$509,3,)=0,0,(VLOOKUP($D112,$C$5:$AV$509,24,)/VLOOKUP($D112,$C$5:$AV$509,3,))*$E112)</f>
        <v>0</v>
      </c>
      <c r="AB112" s="47">
        <f>IF(VLOOKUP($D112,$C$5:$AV$509,3,)=0,0,(VLOOKUP($D112,$C$5:$AV$509,25,)/VLOOKUP($D112,$C$5:$AV$509,3,))*$E112)</f>
        <v>0</v>
      </c>
      <c r="AC112" s="47">
        <f>IF(VLOOKUP($D112,$C$5:$AV$509,3,)=0,0,(VLOOKUP($D112,$C$5:$AV$509,26,)/VLOOKUP($D112,$C$5:$AV$509,3,))*$E112)</f>
        <v>0</v>
      </c>
      <c r="AD112" s="47">
        <f>IF(VLOOKUP($D112,$C$5:$AV$509,3,)=0,0,(VLOOKUP($D112,$C$5:$AV$509,27,)/VLOOKUP($D112,$C$5:$AV$509,3,))*$E112)</f>
        <v>0</v>
      </c>
      <c r="AE112" s="47">
        <f>IF(VLOOKUP($D112,$C$5:$AV$509,3,)=0,0,(VLOOKUP($D112,$C$5:$AV$509,28,)/VLOOKUP($D112,$C$5:$AV$509,3,))*$E112)</f>
        <v>0</v>
      </c>
      <c r="AF112" s="47">
        <f>IF(VLOOKUP($D112,$C$5:$AV$509,3,)=0,0,(VLOOKUP($D112,$C$5:$AV$509,29,)/VLOOKUP($D112,$C$5:$AV$509,3,))*$E112)</f>
        <v>0</v>
      </c>
      <c r="AG112" s="47">
        <f>IF(VLOOKUP($D112,$C$5:$AV$509,3,)=0,0,(VLOOKUP($D112,$C$5:$AV$509,30,)/VLOOKUP($D112,$C$5:$AV$509,3,))*$E112)</f>
        <v>0</v>
      </c>
      <c r="AH112" s="47">
        <f t="shared" ref="AH112" si="67">SUM(F112:AG112)</f>
        <v>272237.21089039533</v>
      </c>
      <c r="AI112" s="27" t="str">
        <f>IF(ABS(E112-AH112)&lt;0.01,"ok","err")</f>
        <v>ok</v>
      </c>
    </row>
    <row r="113" spans="1:37" x14ac:dyDescent="0.2">
      <c r="E113" s="47"/>
    </row>
    <row r="114" spans="1:37" x14ac:dyDescent="0.2">
      <c r="A114" s="13" t="s">
        <v>470</v>
      </c>
      <c r="E114" s="47"/>
    </row>
    <row r="115" spans="1:37" x14ac:dyDescent="0.2">
      <c r="A115" s="90" t="s">
        <v>221</v>
      </c>
      <c r="C115" s="14" t="s">
        <v>257</v>
      </c>
      <c r="D115" s="14" t="s">
        <v>235</v>
      </c>
      <c r="E115" s="62">
        <f>'Func &amp; Classif'!AA144</f>
        <v>1321.8947600585484</v>
      </c>
      <c r="F115" s="47">
        <f>IF(VLOOKUP($D115,$C$5:$AV$509,3,)=0,0,(VLOOKUP($D115,$C$5:$AV$509,4,)/VLOOKUP($D115,$C$5:$AV$509,3,))*$E115)</f>
        <v>890.14324282468692</v>
      </c>
      <c r="G115" s="47">
        <f>IF(VLOOKUP($D115,$C$5:$AV$509,3,)=0,0,(VLOOKUP($D115,$C$5:$AV$509,5,)/VLOOKUP($D115,$C$5:$AV$509,3,))*$E115)</f>
        <v>3.464266366315185E-2</v>
      </c>
      <c r="H115" s="47">
        <f>IF(VLOOKUP($D115,$C$5:$AV$509,3,)=0,0,(VLOOKUP($D115,$C$5:$AV$509,6,)/VLOOKUP($D115,$C$5:$AV$509,3,))*$E115)</f>
        <v>70.39389256352456</v>
      </c>
      <c r="I115" s="47">
        <f>IF(VLOOKUP($D115,$C$5:$AV$509,3,)=0,0,(VLOOKUP($D115,$C$5:$AV$509,7,)/VLOOKUP($D115,$C$5:$AV$509,3,))*$E115)</f>
        <v>10.877796390229681</v>
      </c>
      <c r="J115" s="47">
        <f>IF(VLOOKUP($D115,$C$5:$AV$509,3,)=0,0,(VLOOKUP($D115,$C$5:$AV$509,8,)/VLOOKUP($D115,$C$5:$AV$509,3,))*$E115)</f>
        <v>4.1224769759150703</v>
      </c>
      <c r="K115" s="47">
        <f>IF(VLOOKUP($D115,$C$5:$AV$509,3,)=0,0,(VLOOKUP($D115,$C$5:$AV$509,9,)/VLOOKUP($D115,$C$5:$AV$509,3,))*$E115)</f>
        <v>0</v>
      </c>
      <c r="L115" s="47">
        <f>IF(VLOOKUP($D115,$C$5:$AV$509,3,)=0,0,(VLOOKUP($D115,$C$5:$AV$509,10,)/VLOOKUP($D115,$C$5:$AV$509,3,))*$E115)</f>
        <v>0.2771413093052148</v>
      </c>
      <c r="M115" s="47">
        <f>IF(VLOOKUP($D115,$C$5:$AV$509,3,)=0,0,(VLOOKUP($D115,$C$5:$AV$509,11,)/VLOOKUP($D115,$C$5:$AV$509,3,))*$E115)</f>
        <v>3.464266366315185E-2</v>
      </c>
      <c r="N115" s="47">
        <f>IF(VLOOKUP($D115,$C$5:$AV$509,3,)=0,0,(VLOOKUP($D115,$C$5:$AV$509,12,)/VLOOKUP($D115,$C$5:$AV$509,3,))*$E115)</f>
        <v>346.01092466756074</v>
      </c>
      <c r="O115" s="47">
        <f>IF(VLOOKUP($D115,$C$5:$AV$509,3,)=0,0,(VLOOKUP($D115,$C$5:$AV$509,14,)/VLOOKUP($D115,$C$5:$AV$509,3,))*$E115)</f>
        <v>0</v>
      </c>
      <c r="P115" s="47">
        <f>IF(VLOOKUP($D115,$C$5:$AV$509,3,)=0,0,(VLOOKUP($D115,$C$5:$AV$509,14,)/VLOOKUP($D115,$C$5:$AV$509,3,))*$E115)</f>
        <v>0</v>
      </c>
      <c r="Q115" s="47">
        <f>IF(VLOOKUP($D115,$C$5:$AV$509,3,)=0,0,(VLOOKUP($D115,$C$5:$AV$509,14,)/VLOOKUP($D115,$C$5:$AV$509,3,))*$E115)</f>
        <v>0</v>
      </c>
      <c r="R115" s="47">
        <f>IF(VLOOKUP($D115,$C$5:$AV$509,3,)=0,0,(VLOOKUP($D115,$C$5:$AV$509,15,)/VLOOKUP($D115,$C$5:$AV$509,3,))*$E115)</f>
        <v>0</v>
      </c>
      <c r="S115" s="47">
        <f>IF(VLOOKUP($D115,$C$5:$AV$509,3,)=0,0,(VLOOKUP($D115,$C$5:$AV$509,16,)/VLOOKUP($D115,$C$5:$AV$509,3,))*$E115)</f>
        <v>0</v>
      </c>
      <c r="T115" s="47">
        <f>IF(VLOOKUP($D115,$C$5:$AV$509,3,)=0,0,(VLOOKUP($D115,$C$5:$AV$509,17,)/VLOOKUP($D115,$C$5:$AV$509,3,))*$E115)</f>
        <v>0</v>
      </c>
      <c r="U115" s="47">
        <f>IF(VLOOKUP($D115,$C$5:$AV$509,3,)=0,0,(VLOOKUP($D115,$C$5:$AV$509,18,)/VLOOKUP($D115,$C$5:$AV$509,3,))*$E115)</f>
        <v>0</v>
      </c>
      <c r="V115" s="47">
        <f>IF(VLOOKUP($D115,$C$5:$AV$509,3,)=0,0,(VLOOKUP($D115,$C$5:$AV$509,19,)/VLOOKUP($D115,$C$5:$AV$509,3,))*$E115)</f>
        <v>0</v>
      </c>
      <c r="W115" s="47">
        <f>IF(VLOOKUP($D115,$C$5:$AV$509,3,)=0,0,(VLOOKUP($D115,$C$5:$AV$509,20,)/VLOOKUP($D115,$C$5:$AV$509,3,))*$E115)</f>
        <v>0</v>
      </c>
      <c r="X115" s="47">
        <f>IF(VLOOKUP($D115,$C$5:$AV$509,3,)=0,0,(VLOOKUP($D115,$C$5:$AV$509,21,)/VLOOKUP($D115,$C$5:$AV$509,3,))*$E115)</f>
        <v>0</v>
      </c>
      <c r="Y115" s="47">
        <f>IF(VLOOKUP($D115,$C$5:$AV$509,3,)=0,0,(VLOOKUP($D115,$C$5:$AV$509,22,)/VLOOKUP($D115,$C$5:$AV$509,3,))*$E115)</f>
        <v>0</v>
      </c>
      <c r="Z115" s="47">
        <f>IF(VLOOKUP($D115,$C$5:$AV$509,3,)=0,0,(VLOOKUP($D115,$C$5:$AV$509,23,)/VLOOKUP($D115,$C$5:$AV$509,3,))*$E115)</f>
        <v>0</v>
      </c>
      <c r="AA115" s="47">
        <f>IF(VLOOKUP($D115,$C$5:$AV$509,3,)=0,0,(VLOOKUP($D115,$C$5:$AV$509,24,)/VLOOKUP($D115,$C$5:$AV$509,3,))*$E115)</f>
        <v>0</v>
      </c>
      <c r="AB115" s="47">
        <f>IF(VLOOKUP($D115,$C$5:$AV$509,3,)=0,0,(VLOOKUP($D115,$C$5:$AV$509,25,)/VLOOKUP($D115,$C$5:$AV$509,3,))*$E115)</f>
        <v>0</v>
      </c>
      <c r="AC115" s="47">
        <f>IF(VLOOKUP($D115,$C$5:$AV$509,3,)=0,0,(VLOOKUP($D115,$C$5:$AV$509,26,)/VLOOKUP($D115,$C$5:$AV$509,3,))*$E115)</f>
        <v>0</v>
      </c>
      <c r="AD115" s="47">
        <f>IF(VLOOKUP($D115,$C$5:$AV$509,3,)=0,0,(VLOOKUP($D115,$C$5:$AV$509,27,)/VLOOKUP($D115,$C$5:$AV$509,3,))*$E115)</f>
        <v>0</v>
      </c>
      <c r="AE115" s="47">
        <f>IF(VLOOKUP($D115,$C$5:$AV$509,3,)=0,0,(VLOOKUP($D115,$C$5:$AV$509,28,)/VLOOKUP($D115,$C$5:$AV$509,3,))*$E115)</f>
        <v>0</v>
      </c>
      <c r="AF115" s="47">
        <f>IF(VLOOKUP($D115,$C$5:$AV$509,3,)=0,0,(VLOOKUP($D115,$C$5:$AV$509,29,)/VLOOKUP($D115,$C$5:$AV$509,3,))*$E115)</f>
        <v>0</v>
      </c>
      <c r="AG115" s="47">
        <f>IF(VLOOKUP($D115,$C$5:$AV$509,3,)=0,0,(VLOOKUP($D115,$C$5:$AV$509,30,)/VLOOKUP($D115,$C$5:$AV$509,3,))*$E115)</f>
        <v>0</v>
      </c>
      <c r="AH115" s="47">
        <f t="shared" ref="AH115" si="68">SUM(F115:AG115)</f>
        <v>1321.8947600585484</v>
      </c>
      <c r="AI115" s="27" t="str">
        <f>IF(ABS(E115-AH115)&lt;0.01,"ok","err")</f>
        <v>ok</v>
      </c>
    </row>
    <row r="116" spans="1:37" x14ac:dyDescent="0.2">
      <c r="E116" s="47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</row>
    <row r="117" spans="1:37" x14ac:dyDescent="0.2">
      <c r="A117" s="14" t="s">
        <v>0</v>
      </c>
      <c r="C117" s="14" t="s">
        <v>261</v>
      </c>
      <c r="E117" s="62">
        <f>E87+E90+E93+E98+E103+E106+E109+E112+E115</f>
        <v>110819625.55153848</v>
      </c>
      <c r="F117" s="62">
        <f t="shared" ref="F117:S117" si="69">F87+F90+F93+F98+F103+F106+F109+F112+F115</f>
        <v>94136212.983319223</v>
      </c>
      <c r="G117" s="62">
        <f t="shared" si="69"/>
        <v>29167.126963194252</v>
      </c>
      <c r="H117" s="62">
        <f t="shared" si="69"/>
        <v>8191620.071561249</v>
      </c>
      <c r="I117" s="62">
        <f t="shared" si="69"/>
        <v>1091320.717431678</v>
      </c>
      <c r="J117" s="62">
        <f t="shared" si="69"/>
        <v>2101293.4624647214</v>
      </c>
      <c r="K117" s="62">
        <f t="shared" si="69"/>
        <v>0</v>
      </c>
      <c r="L117" s="62">
        <f t="shared" si="69"/>
        <v>784906.06854340143</v>
      </c>
      <c r="M117" s="62">
        <f t="shared" ref="M117" si="70">M87+M90+M93+M98+M103+M106+M109+M112+M115</f>
        <v>221031.63491170568</v>
      </c>
      <c r="N117" s="62">
        <f t="shared" si="69"/>
        <v>4264073.4863433111</v>
      </c>
      <c r="O117" s="62">
        <f t="shared" si="69"/>
        <v>0</v>
      </c>
      <c r="P117" s="62">
        <f t="shared" si="69"/>
        <v>0</v>
      </c>
      <c r="Q117" s="62">
        <f t="shared" si="69"/>
        <v>0</v>
      </c>
      <c r="R117" s="62">
        <f t="shared" si="69"/>
        <v>0</v>
      </c>
      <c r="S117" s="62">
        <f t="shared" si="69"/>
        <v>0</v>
      </c>
      <c r="T117" s="62">
        <f t="shared" ref="T117:AG117" si="71">T87+T93+T98+T103+T106+T109+T112+T115</f>
        <v>0</v>
      </c>
      <c r="U117" s="62">
        <f t="shared" si="71"/>
        <v>0</v>
      </c>
      <c r="V117" s="62">
        <f t="shared" si="71"/>
        <v>0</v>
      </c>
      <c r="W117" s="62">
        <f t="shared" si="71"/>
        <v>0</v>
      </c>
      <c r="X117" s="62">
        <f t="shared" si="71"/>
        <v>0</v>
      </c>
      <c r="Y117" s="62">
        <f t="shared" si="71"/>
        <v>0</v>
      </c>
      <c r="Z117" s="62">
        <f t="shared" si="71"/>
        <v>0</v>
      </c>
      <c r="AA117" s="62">
        <f t="shared" si="71"/>
        <v>0</v>
      </c>
      <c r="AB117" s="62">
        <f t="shared" si="71"/>
        <v>0</v>
      </c>
      <c r="AC117" s="62">
        <f t="shared" si="71"/>
        <v>0</v>
      </c>
      <c r="AD117" s="62">
        <f t="shared" si="71"/>
        <v>0</v>
      </c>
      <c r="AE117" s="62">
        <f t="shared" si="71"/>
        <v>0</v>
      </c>
      <c r="AF117" s="62">
        <f t="shared" si="71"/>
        <v>0</v>
      </c>
      <c r="AG117" s="62">
        <f t="shared" si="71"/>
        <v>0</v>
      </c>
      <c r="AH117" s="87">
        <f>SUM(F117:AG117)</f>
        <v>110819625.55153848</v>
      </c>
      <c r="AI117" s="27" t="str">
        <f>IF(ABS(E117-AH117)&lt;0.01,"ok","err")</f>
        <v>ok</v>
      </c>
    </row>
    <row r="118" spans="1:37" x14ac:dyDescent="0.2">
      <c r="E118" s="45">
        <f>E117/$E117</f>
        <v>1</v>
      </c>
      <c r="F118" s="45">
        <f>F117/$E117</f>
        <v>0.84945434993858226</v>
      </c>
      <c r="G118" s="45">
        <f t="shared" ref="G118:P118" si="72">G117/$E117</f>
        <v>2.6319459949474021E-4</v>
      </c>
      <c r="H118" s="45">
        <f t="shared" si="72"/>
        <v>7.3918496212131687E-2</v>
      </c>
      <c r="I118" s="45">
        <f t="shared" si="72"/>
        <v>9.8477206722210175E-3</v>
      </c>
      <c r="J118" s="45">
        <f t="shared" si="72"/>
        <v>1.8961383888519642E-2</v>
      </c>
      <c r="K118" s="45">
        <f t="shared" si="72"/>
        <v>0</v>
      </c>
      <c r="L118" s="45">
        <f t="shared" si="72"/>
        <v>7.0827352523255734E-3</v>
      </c>
      <c r="M118" s="45">
        <f t="shared" ref="M118" si="73">M117/$E117</f>
        <v>1.9945170705247626E-3</v>
      </c>
      <c r="N118" s="45">
        <f t="shared" si="72"/>
        <v>3.8477602366200327E-2</v>
      </c>
      <c r="O118" s="45">
        <f t="shared" si="72"/>
        <v>0</v>
      </c>
      <c r="P118" s="45">
        <f t="shared" si="72"/>
        <v>0</v>
      </c>
      <c r="AH118" s="161">
        <f>SUM(F118:AG118)</f>
        <v>1</v>
      </c>
      <c r="AI118" s="27" t="str">
        <f>IF(ABS(E118-AH118)&lt;0.01,"ok","err")</f>
        <v>ok</v>
      </c>
    </row>
    <row r="119" spans="1:37" x14ac:dyDescent="0.2">
      <c r="E119" s="87"/>
    </row>
    <row r="120" spans="1:37" x14ac:dyDescent="0.2">
      <c r="A120" s="25" t="s">
        <v>86</v>
      </c>
    </row>
    <row r="122" spans="1:37" x14ac:dyDescent="0.2">
      <c r="A122" s="13" t="s">
        <v>896</v>
      </c>
    </row>
    <row r="123" spans="1:37" x14ac:dyDescent="0.2">
      <c r="A123" s="90" t="s">
        <v>209</v>
      </c>
      <c r="C123" s="14" t="s">
        <v>262</v>
      </c>
      <c r="D123" s="14" t="s">
        <v>657</v>
      </c>
      <c r="E123" s="62">
        <f>'Func &amp; Classif'!H285</f>
        <v>11589879.04854697</v>
      </c>
      <c r="F123" s="47">
        <f>IF(VLOOKUP($D123,$C$5:$AV$509,3,)=0,0,(VLOOKUP($D123,$C$5:$AV$509,4,)/VLOOKUP($D123,$C$5:$AV$509,3,))*$E123)</f>
        <v>8806531.2937083058</v>
      </c>
      <c r="G123" s="47">
        <f>IF(VLOOKUP($D123,$C$5:$AV$509,3,)=0,0,(VLOOKUP($D123,$C$5:$AV$509,5,)/VLOOKUP($D123,$C$5:$AV$509,3,))*$E123)</f>
        <v>6644.9049588884154</v>
      </c>
      <c r="H123" s="47">
        <f>IF(VLOOKUP($D123,$C$5:$AV$509,3,)=0,0,(VLOOKUP($D123,$C$5:$AV$509,6,)/VLOOKUP($D123,$C$5:$AV$509,3,))*$E123)</f>
        <v>924093.34402845241</v>
      </c>
      <c r="I123" s="47">
        <f>IF(VLOOKUP($D123,$C$5:$AV$509,3,)=0,0,(VLOOKUP($D123,$C$5:$AV$509,7,)/VLOOKUP($D123,$C$5:$AV$509,3,))*$E123)</f>
        <v>98710.719746863106</v>
      </c>
      <c r="J123" s="47">
        <f>IF(VLOOKUP($D123,$C$5:$AV$509,3,)=0,0,(VLOOKUP($D123,$C$5:$AV$509,8,)/VLOOKUP($D123,$C$5:$AV$509,3,))*$E123)</f>
        <v>923365.19051622297</v>
      </c>
      <c r="K123" s="47">
        <f>IF(VLOOKUP($D123,$C$5:$AV$509,3,)=0,0,(VLOOKUP($D123,$C$5:$AV$509,9,)/VLOOKUP($D123,$C$5:$AV$509,3,))*$E123)</f>
        <v>0</v>
      </c>
      <c r="L123" s="47">
        <f>IF(VLOOKUP($D123,$C$5:$AV$509,3,)=0,0,(VLOOKUP($D123,$C$5:$AV$509,10,)/VLOOKUP($D123,$C$5:$AV$509,3,))*$E123)</f>
        <v>583622.10243123991</v>
      </c>
      <c r="M123" s="47">
        <f>IF(VLOOKUP($D123,$C$5:$AV$509,3,)=0,0,(VLOOKUP($D123,$C$5:$AV$509,11,)/VLOOKUP($D123,$C$5:$AV$509,3,))*$E123)</f>
        <v>190263.6</v>
      </c>
      <c r="N123" s="47">
        <f>IF(VLOOKUP($D123,$C$5:$AV$509,3,)=0,0,(VLOOKUP($D123,$C$5:$AV$509,12,)/VLOOKUP($D123,$C$5:$AV$509,3,))*$E123)</f>
        <v>56647.893156995335</v>
      </c>
      <c r="O123" s="47">
        <f t="shared" ref="O123:Q124" si="74">IF(VLOOKUP($D123,$C$5:$AV$509,3,)=0,0,(VLOOKUP($D123,$C$5:$AV$509,14,)/VLOOKUP($D123,$C$5:$AV$509,3,))*$E123)</f>
        <v>0</v>
      </c>
      <c r="P123" s="47">
        <f t="shared" si="74"/>
        <v>0</v>
      </c>
      <c r="Q123" s="47">
        <f t="shared" si="74"/>
        <v>0</v>
      </c>
      <c r="R123" s="47">
        <f>IF(VLOOKUP($D123,$C$5:$AV$509,3,)=0,0,(VLOOKUP($D123,$C$5:$AV$509,15,)/VLOOKUP($D123,$C$5:$AV$509,3,))*$E123)</f>
        <v>0</v>
      </c>
      <c r="S123" s="47">
        <f>IF(VLOOKUP($D123,$C$5:$AV$509,3,)=0,0,(VLOOKUP($D123,$C$5:$AV$509,16,)/VLOOKUP($D123,$C$5:$AV$509,3,))*$E123)</f>
        <v>0</v>
      </c>
      <c r="T123" s="47">
        <f>IF(VLOOKUP($D123,$C$5:$AV$509,3,)=0,0,(VLOOKUP($D123,$C$5:$AV$509,17,)/VLOOKUP($D123,$C$5:$AV$509,3,))*$E123)</f>
        <v>0</v>
      </c>
      <c r="U123" s="47">
        <f>IF(VLOOKUP($D123,$C$5:$AV$509,3,)=0,0,(VLOOKUP($D123,$C$5:$AV$509,18,)/VLOOKUP($D123,$C$5:$AV$509,3,))*$E123)</f>
        <v>0</v>
      </c>
      <c r="V123" s="47">
        <f>IF(VLOOKUP($D123,$C$5:$AV$509,3,)=0,0,(VLOOKUP($D123,$C$5:$AV$509,19,)/VLOOKUP($D123,$C$5:$AV$509,3,))*$E123)</f>
        <v>0</v>
      </c>
      <c r="W123" s="47">
        <f>IF(VLOOKUP($D123,$C$5:$AV$509,3,)=0,0,(VLOOKUP($D123,$C$5:$AV$509,20,)/VLOOKUP($D123,$C$5:$AV$509,3,))*$E123)</f>
        <v>0</v>
      </c>
      <c r="X123" s="47">
        <f>IF(VLOOKUP($D123,$C$5:$AV$509,3,)=0,0,(VLOOKUP($D123,$C$5:$AV$509,21,)/VLOOKUP($D123,$C$5:$AV$509,3,))*$E123)</f>
        <v>0</v>
      </c>
      <c r="Y123" s="47">
        <f>IF(VLOOKUP($D123,$C$5:$AV$509,3,)=0,0,(VLOOKUP($D123,$C$5:$AV$509,22,)/VLOOKUP($D123,$C$5:$AV$509,3,))*$E123)</f>
        <v>0</v>
      </c>
      <c r="Z123" s="47">
        <f>IF(VLOOKUP($D123,$C$5:$AV$509,3,)=0,0,(VLOOKUP($D123,$C$5:$AV$509,23,)/VLOOKUP($D123,$C$5:$AV$509,3,))*$E123)</f>
        <v>0</v>
      </c>
      <c r="AA123" s="47">
        <f>IF(VLOOKUP($D123,$C$5:$AV$509,3,)=0,0,(VLOOKUP($D123,$C$5:$AV$509,24,)/VLOOKUP($D123,$C$5:$AV$509,3,))*$E123)</f>
        <v>0</v>
      </c>
      <c r="AB123" s="47">
        <f>IF(VLOOKUP($D123,$C$5:$AV$509,3,)=0,0,(VLOOKUP($D123,$C$5:$AV$509,25,)/VLOOKUP($D123,$C$5:$AV$509,3,))*$E123)</f>
        <v>0</v>
      </c>
      <c r="AC123" s="47">
        <f>IF(VLOOKUP($D123,$C$5:$AV$509,3,)=0,0,(VLOOKUP($D123,$C$5:$AV$509,26,)/VLOOKUP($D123,$C$5:$AV$509,3,))*$E123)</f>
        <v>0</v>
      </c>
      <c r="AD123" s="47">
        <f>IF(VLOOKUP($D123,$C$5:$AV$509,3,)=0,0,(VLOOKUP($D123,$C$5:$AV$509,27,)/VLOOKUP($D123,$C$5:$AV$509,3,))*$E123)</f>
        <v>0</v>
      </c>
      <c r="AE123" s="47">
        <f>IF(VLOOKUP($D123,$C$5:$AV$509,3,)=0,0,(VLOOKUP($D123,$C$5:$AV$509,28,)/VLOOKUP($D123,$C$5:$AV$509,3,))*$E123)</f>
        <v>0</v>
      </c>
      <c r="AF123" s="47">
        <f>IF(VLOOKUP($D123,$C$5:$AV$509,3,)=0,0,(VLOOKUP($D123,$C$5:$AV$509,29,)/VLOOKUP($D123,$C$5:$AV$509,3,))*$E123)</f>
        <v>0</v>
      </c>
      <c r="AG123" s="47">
        <f>IF(VLOOKUP($D123,$C$5:$AV$509,3,)=0,0,(VLOOKUP($D123,$C$5:$AV$509,30,)/VLOOKUP($D123,$C$5:$AV$509,3,))*$E123)</f>
        <v>0</v>
      </c>
      <c r="AH123" s="47">
        <f t="shared" ref="AH123:AH124" si="75">SUM(F123:AG123)</f>
        <v>11589879.048546968</v>
      </c>
      <c r="AI123" s="27" t="str">
        <f>IF(ABS(E123-AH123)&lt;0.01,"ok","err")</f>
        <v>ok</v>
      </c>
      <c r="AK123" s="45">
        <f>H123/I123</f>
        <v>9.3616311014470028</v>
      </c>
    </row>
    <row r="124" spans="1:37" x14ac:dyDescent="0.2">
      <c r="A124" s="90" t="s">
        <v>212</v>
      </c>
      <c r="C124" s="14" t="s">
        <v>263</v>
      </c>
      <c r="D124" s="14" t="s">
        <v>666</v>
      </c>
      <c r="E124" s="47">
        <f>'Func &amp; Classif'!I285</f>
        <v>27577089.951453038</v>
      </c>
      <c r="F124" s="47">
        <f>IF(VLOOKUP($D124,$C$5:$AV$509,3,)=0,0,(VLOOKUP($D124,$C$5:$AV$509,4,)/VLOOKUP($D124,$C$5:$AV$509,3,))*$E124)</f>
        <v>20463239.343723658</v>
      </c>
      <c r="G124" s="47">
        <f>IF(VLOOKUP($D124,$C$5:$AV$509,3,)=0,0,(VLOOKUP($D124,$C$5:$AV$509,5,)/VLOOKUP($D124,$C$5:$AV$509,3,))*$E124)</f>
        <v>20833.18538957182</v>
      </c>
      <c r="H124" s="47">
        <f>IF(VLOOKUP($D124,$C$5:$AV$509,3,)=0,0,(VLOOKUP($D124,$C$5:$AV$509,6,)/VLOOKUP($D124,$C$5:$AV$509,3,))*$E124)</f>
        <v>2042133.9924593822</v>
      </c>
      <c r="I124" s="47">
        <f>IF(VLOOKUP($D124,$C$5:$AV$509,3,)=0,0,(VLOOKUP($D124,$C$5:$AV$509,7,)/VLOOKUP($D124,$C$5:$AV$509,3,))*$E124)</f>
        <v>232385.30903613954</v>
      </c>
      <c r="J124" s="47">
        <f>IF(VLOOKUP($D124,$C$5:$AV$509,3,)=0,0,(VLOOKUP($D124,$C$5:$AV$509,8,)/VLOOKUP($D124,$C$5:$AV$509,3,))*$E124)</f>
        <v>2705915.7402133741</v>
      </c>
      <c r="K124" s="47">
        <f>IF(VLOOKUP($D124,$C$5:$AV$509,3,)=0,0,(VLOOKUP($D124,$C$5:$AV$509,9,)/VLOOKUP($D124,$C$5:$AV$509,3,))*$E124)</f>
        <v>0</v>
      </c>
      <c r="L124" s="47">
        <f>IF(VLOOKUP($D124,$C$5:$AV$509,3,)=0,0,(VLOOKUP($D124,$C$5:$AV$509,10,)/VLOOKUP($D124,$C$5:$AV$509,3,))*$E124)</f>
        <v>1352271.3325883246</v>
      </c>
      <c r="M124" s="47">
        <f>IF(VLOOKUP($D124,$C$5:$AV$509,3,)=0,0,(VLOOKUP($D124,$C$5:$AV$509,11,)/VLOOKUP($D124,$C$5:$AV$509,3,))*$E124)</f>
        <v>506972.39999999991</v>
      </c>
      <c r="N124" s="47">
        <f>IF(VLOOKUP($D124,$C$5:$AV$509,3,)=0,0,(VLOOKUP($D124,$C$5:$AV$509,12,)/VLOOKUP($D124,$C$5:$AV$509,3,))*$E124)</f>
        <v>253338.64804258672</v>
      </c>
      <c r="O124" s="47">
        <f t="shared" si="74"/>
        <v>0</v>
      </c>
      <c r="P124" s="47">
        <f t="shared" si="74"/>
        <v>0</v>
      </c>
      <c r="Q124" s="47">
        <f t="shared" si="74"/>
        <v>0</v>
      </c>
      <c r="R124" s="47">
        <f>IF(VLOOKUP($D124,$C$5:$AV$509,3,)=0,0,(VLOOKUP($D124,$C$5:$AV$509,15,)/VLOOKUP($D124,$C$5:$AV$509,3,))*$E124)</f>
        <v>0</v>
      </c>
      <c r="S124" s="47">
        <f>IF(VLOOKUP($D124,$C$5:$AV$509,3,)=0,0,(VLOOKUP($D124,$C$5:$AV$509,16,)/VLOOKUP($D124,$C$5:$AV$509,3,))*$E124)</f>
        <v>0</v>
      </c>
      <c r="T124" s="47">
        <f>IF(VLOOKUP($D124,$C$5:$AV$509,3,)=0,0,(VLOOKUP($D124,$C$5:$AV$509,17,)/VLOOKUP($D124,$C$5:$AV$509,3,))*$E124)</f>
        <v>0</v>
      </c>
      <c r="U124" s="47">
        <f>IF(VLOOKUP($D124,$C$5:$AV$509,3,)=0,0,(VLOOKUP($D124,$C$5:$AV$509,18,)/VLOOKUP($D124,$C$5:$AV$509,3,))*$E124)</f>
        <v>0</v>
      </c>
      <c r="V124" s="47">
        <f>IF(VLOOKUP($D124,$C$5:$AV$509,3,)=0,0,(VLOOKUP($D124,$C$5:$AV$509,19,)/VLOOKUP($D124,$C$5:$AV$509,3,))*$E124)</f>
        <v>0</v>
      </c>
      <c r="W124" s="47">
        <f>IF(VLOOKUP($D124,$C$5:$AV$509,3,)=0,0,(VLOOKUP($D124,$C$5:$AV$509,20,)/VLOOKUP($D124,$C$5:$AV$509,3,))*$E124)</f>
        <v>0</v>
      </c>
      <c r="X124" s="47">
        <f>IF(VLOOKUP($D124,$C$5:$AV$509,3,)=0,0,(VLOOKUP($D124,$C$5:$AV$509,21,)/VLOOKUP($D124,$C$5:$AV$509,3,))*$E124)</f>
        <v>0</v>
      </c>
      <c r="Y124" s="47">
        <f>IF(VLOOKUP($D124,$C$5:$AV$509,3,)=0,0,(VLOOKUP($D124,$C$5:$AV$509,22,)/VLOOKUP($D124,$C$5:$AV$509,3,))*$E124)</f>
        <v>0</v>
      </c>
      <c r="Z124" s="47">
        <f>IF(VLOOKUP($D124,$C$5:$AV$509,3,)=0,0,(VLOOKUP($D124,$C$5:$AV$509,23,)/VLOOKUP($D124,$C$5:$AV$509,3,))*$E124)</f>
        <v>0</v>
      </c>
      <c r="AA124" s="47">
        <f>IF(VLOOKUP($D124,$C$5:$AV$509,3,)=0,0,(VLOOKUP($D124,$C$5:$AV$509,24,)/VLOOKUP($D124,$C$5:$AV$509,3,))*$E124)</f>
        <v>0</v>
      </c>
      <c r="AB124" s="47">
        <f>IF(VLOOKUP($D124,$C$5:$AV$509,3,)=0,0,(VLOOKUP($D124,$C$5:$AV$509,25,)/VLOOKUP($D124,$C$5:$AV$509,3,))*$E124)</f>
        <v>0</v>
      </c>
      <c r="AC124" s="47">
        <f>IF(VLOOKUP($D124,$C$5:$AV$509,3,)=0,0,(VLOOKUP($D124,$C$5:$AV$509,26,)/VLOOKUP($D124,$C$5:$AV$509,3,))*$E124)</f>
        <v>0</v>
      </c>
      <c r="AD124" s="47">
        <f>IF(VLOOKUP($D124,$C$5:$AV$509,3,)=0,0,(VLOOKUP($D124,$C$5:$AV$509,27,)/VLOOKUP($D124,$C$5:$AV$509,3,))*$E124)</f>
        <v>0</v>
      </c>
      <c r="AE124" s="47">
        <f>IF(VLOOKUP($D124,$C$5:$AV$509,3,)=0,0,(VLOOKUP($D124,$C$5:$AV$509,28,)/VLOOKUP($D124,$C$5:$AV$509,3,))*$E124)</f>
        <v>0</v>
      </c>
      <c r="AF124" s="47">
        <f>IF(VLOOKUP($D124,$C$5:$AV$509,3,)=0,0,(VLOOKUP($D124,$C$5:$AV$509,29,)/VLOOKUP($D124,$C$5:$AV$509,3,))*$E124)</f>
        <v>0</v>
      </c>
      <c r="AG124" s="47">
        <f>IF(VLOOKUP($D124,$C$5:$AV$509,3,)=0,0,(VLOOKUP($D124,$C$5:$AV$509,30,)/VLOOKUP($D124,$C$5:$AV$509,3,))*$E124)</f>
        <v>0</v>
      </c>
      <c r="AH124" s="47">
        <f t="shared" si="75"/>
        <v>27577089.951453038</v>
      </c>
      <c r="AI124" s="27" t="str">
        <f>IF(ABS(E124-AH124)&lt;0.01,"ok","err")</f>
        <v>ok</v>
      </c>
      <c r="AK124" s="45">
        <f>H124/I124</f>
        <v>8.7877069377987169</v>
      </c>
    </row>
    <row r="125" spans="1:37" x14ac:dyDescent="0.2">
      <c r="A125" s="14" t="s">
        <v>215</v>
      </c>
      <c r="C125" s="14" t="s">
        <v>264</v>
      </c>
      <c r="E125" s="159">
        <f t="shared" ref="E125:U125" si="76">E123+E124</f>
        <v>39166969.000000007</v>
      </c>
      <c r="F125" s="96">
        <f t="shared" si="76"/>
        <v>29269770.637431964</v>
      </c>
      <c r="G125" s="96">
        <f t="shared" si="76"/>
        <v>27478.090348460235</v>
      </c>
      <c r="H125" s="96">
        <f t="shared" si="76"/>
        <v>2966227.3364878343</v>
      </c>
      <c r="I125" s="96">
        <f t="shared" si="76"/>
        <v>331096.02878300264</v>
      </c>
      <c r="J125" s="96">
        <f t="shared" si="76"/>
        <v>3629280.9307295969</v>
      </c>
      <c r="K125" s="96">
        <f t="shared" si="76"/>
        <v>0</v>
      </c>
      <c r="L125" s="96">
        <f t="shared" si="76"/>
        <v>1935893.4350195643</v>
      </c>
      <c r="M125" s="96">
        <f t="shared" ref="M125" si="77">M123+M124</f>
        <v>697235.99999999988</v>
      </c>
      <c r="N125" s="96">
        <f t="shared" si="76"/>
        <v>309986.54119958205</v>
      </c>
      <c r="O125" s="96">
        <f t="shared" si="76"/>
        <v>0</v>
      </c>
      <c r="P125" s="96">
        <f t="shared" si="76"/>
        <v>0</v>
      </c>
      <c r="Q125" s="96">
        <f t="shared" si="76"/>
        <v>0</v>
      </c>
      <c r="R125" s="96">
        <f t="shared" si="76"/>
        <v>0</v>
      </c>
      <c r="S125" s="96">
        <f t="shared" si="76"/>
        <v>0</v>
      </c>
      <c r="T125" s="96">
        <f t="shared" si="76"/>
        <v>0</v>
      </c>
      <c r="U125" s="96">
        <f t="shared" si="76"/>
        <v>0</v>
      </c>
      <c r="V125" s="96">
        <f t="shared" ref="V125:AG125" si="78">V123+V124</f>
        <v>0</v>
      </c>
      <c r="W125" s="96">
        <f t="shared" si="78"/>
        <v>0</v>
      </c>
      <c r="X125" s="96">
        <f t="shared" si="78"/>
        <v>0</v>
      </c>
      <c r="Y125" s="96">
        <f t="shared" si="78"/>
        <v>0</v>
      </c>
      <c r="Z125" s="96">
        <f t="shared" si="78"/>
        <v>0</v>
      </c>
      <c r="AA125" s="96">
        <f t="shared" si="78"/>
        <v>0</v>
      </c>
      <c r="AB125" s="96">
        <f t="shared" si="78"/>
        <v>0</v>
      </c>
      <c r="AC125" s="96">
        <f t="shared" si="78"/>
        <v>0</v>
      </c>
      <c r="AD125" s="96">
        <f t="shared" si="78"/>
        <v>0</v>
      </c>
      <c r="AE125" s="96">
        <f t="shared" si="78"/>
        <v>0</v>
      </c>
      <c r="AF125" s="96">
        <f t="shared" si="78"/>
        <v>0</v>
      </c>
      <c r="AG125" s="96">
        <f t="shared" si="78"/>
        <v>0</v>
      </c>
      <c r="AH125" s="98">
        <f>SUM(F125:AG125)</f>
        <v>39166969</v>
      </c>
      <c r="AI125" s="27" t="str">
        <f>IF(ABS(E125-AH125)&lt;0.01,"ok","err")</f>
        <v>ok</v>
      </c>
      <c r="AK125" s="45">
        <f>H125/I125</f>
        <v>8.9588127873073127</v>
      </c>
    </row>
    <row r="126" spans="1:37" x14ac:dyDescent="0.2">
      <c r="E126" s="47"/>
      <c r="F126" s="47"/>
      <c r="K126" s="87"/>
      <c r="L126" s="87"/>
      <c r="M126" s="87"/>
      <c r="N126" s="87"/>
    </row>
    <row r="127" spans="1:37" x14ac:dyDescent="0.2">
      <c r="A127" s="13" t="s">
        <v>350</v>
      </c>
      <c r="E127" s="47"/>
      <c r="F127" s="47"/>
    </row>
    <row r="128" spans="1:37" x14ac:dyDescent="0.2">
      <c r="A128" s="90" t="s">
        <v>209</v>
      </c>
      <c r="C128" s="14" t="s">
        <v>888</v>
      </c>
      <c r="D128" s="14" t="s">
        <v>625</v>
      </c>
      <c r="E128" s="62">
        <f>'Func &amp; Classif'!K285</f>
        <v>0</v>
      </c>
      <c r="F128" s="47">
        <f>IF(VLOOKUP($D128,$C$5:$AV$509,3,)=0,0,(VLOOKUP($D128,$C$5:$AV$509,4,)/VLOOKUP($D128,$C$5:$AV$509,3,))*$E128)</f>
        <v>0</v>
      </c>
      <c r="G128" s="47">
        <f>IF(VLOOKUP($D128,$C$5:$AV$509,3,)=0,0,(VLOOKUP($D128,$C$5:$AV$509,5,)/VLOOKUP($D128,$C$5:$AV$509,3,))*$E128)</f>
        <v>0</v>
      </c>
      <c r="H128" s="47">
        <f>IF(VLOOKUP($D128,$C$5:$AV$509,3,)=0,0,(VLOOKUP($D128,$C$5:$AV$509,6,)/VLOOKUP($D128,$C$5:$AV$509,3,))*$E128)</f>
        <v>0</v>
      </c>
      <c r="I128" s="47">
        <f>IF(VLOOKUP($D128,$C$5:$AV$509,3,)=0,0,(VLOOKUP($D128,$C$5:$AV$509,7,)/VLOOKUP($D128,$C$5:$AV$509,3,))*$E128)</f>
        <v>0</v>
      </c>
      <c r="J128" s="47">
        <f>IF(VLOOKUP($D128,$C$5:$AV$509,3,)=0,0,(VLOOKUP($D128,$C$5:$AV$509,8,)/VLOOKUP($D128,$C$5:$AV$509,3,))*$E128)</f>
        <v>0</v>
      </c>
      <c r="K128" s="47">
        <f>IF(VLOOKUP($D128,$C$5:$AV$509,3,)=0,0,(VLOOKUP($D128,$C$5:$AV$509,9,)/VLOOKUP($D128,$C$5:$AV$509,3,))*$E128)</f>
        <v>0</v>
      </c>
      <c r="L128" s="47">
        <f>IF(VLOOKUP($D128,$C$5:$AV$509,3,)=0,0,(VLOOKUP($D128,$C$5:$AV$509,10,)/VLOOKUP($D128,$C$5:$AV$509,3,))*$E128)</f>
        <v>0</v>
      </c>
      <c r="M128" s="47">
        <f>IF(VLOOKUP($D128,$C$5:$AV$509,3,)=0,0,(VLOOKUP($D128,$C$5:$AV$509,11,)/VLOOKUP($D128,$C$5:$AV$509,3,))*$E128)</f>
        <v>0</v>
      </c>
      <c r="N128" s="47">
        <f>IF(VLOOKUP($D128,$C$5:$AV$509,3,)=0,0,(VLOOKUP($D128,$C$5:$AV$509,12,)/VLOOKUP($D128,$C$5:$AV$509,3,))*$E128)</f>
        <v>0</v>
      </c>
      <c r="O128" s="47">
        <f>IF(VLOOKUP($D128,$C$5:$AV$509,3,)=0,0,(VLOOKUP($D128,$C$5:$AV$509,14,)/VLOOKUP($D128,$C$5:$AV$509,3,))*$E128)</f>
        <v>0</v>
      </c>
      <c r="P128" s="47">
        <f>IF(VLOOKUP($D128,$C$5:$AV$509,3,)=0,0,(VLOOKUP($D128,$C$5:$AV$509,14,)/VLOOKUP($D128,$C$5:$AV$509,3,))*$E128)</f>
        <v>0</v>
      </c>
      <c r="Q128" s="47">
        <f>IF(VLOOKUP($D128,$C$5:$AV$509,3,)=0,0,(VLOOKUP($D128,$C$5:$AV$509,14,)/VLOOKUP($D128,$C$5:$AV$509,3,))*$E128)</f>
        <v>0</v>
      </c>
      <c r="R128" s="47">
        <f>IF(VLOOKUP($D128,$C$5:$AV$509,3,)=0,0,(VLOOKUP($D128,$C$5:$AV$509,15,)/VLOOKUP($D128,$C$5:$AV$509,3,))*$E128)</f>
        <v>0</v>
      </c>
      <c r="S128" s="47">
        <f>IF(VLOOKUP($D128,$C$5:$AV$509,3,)=0,0,(VLOOKUP($D128,$C$5:$AV$509,16,)/VLOOKUP($D128,$C$5:$AV$509,3,))*$E128)</f>
        <v>0</v>
      </c>
      <c r="T128" s="47">
        <f>IF(VLOOKUP($D128,$C$5:$AV$509,3,)=0,0,(VLOOKUP($D128,$C$5:$AV$509,17,)/VLOOKUP($D128,$C$5:$AV$509,3,))*$E128)</f>
        <v>0</v>
      </c>
      <c r="U128" s="47">
        <f>IF(VLOOKUP($D128,$C$5:$AV$509,3,)=0,0,(VLOOKUP($D128,$C$5:$AV$509,18,)/VLOOKUP($D128,$C$5:$AV$509,3,))*$E128)</f>
        <v>0</v>
      </c>
      <c r="V128" s="47">
        <f>IF(VLOOKUP($D128,$C$5:$AV$509,3,)=0,0,(VLOOKUP($D128,$C$5:$AV$509,19,)/VLOOKUP($D128,$C$5:$AV$509,3,))*$E128)</f>
        <v>0</v>
      </c>
      <c r="W128" s="47">
        <f>IF(VLOOKUP($D128,$C$5:$AV$509,3,)=0,0,(VLOOKUP($D128,$C$5:$AV$509,20,)/VLOOKUP($D128,$C$5:$AV$509,3,))*$E128)</f>
        <v>0</v>
      </c>
      <c r="X128" s="47">
        <f>IF(VLOOKUP($D128,$C$5:$AV$509,3,)=0,0,(VLOOKUP($D128,$C$5:$AV$509,21,)/VLOOKUP($D128,$C$5:$AV$509,3,))*$E128)</f>
        <v>0</v>
      </c>
      <c r="Y128" s="47">
        <f>IF(VLOOKUP($D128,$C$5:$AV$509,3,)=0,0,(VLOOKUP($D128,$C$5:$AV$509,22,)/VLOOKUP($D128,$C$5:$AV$509,3,))*$E128)</f>
        <v>0</v>
      </c>
      <c r="Z128" s="47">
        <f>IF(VLOOKUP($D128,$C$5:$AV$509,3,)=0,0,(VLOOKUP($D128,$C$5:$AV$509,23,)/VLOOKUP($D128,$C$5:$AV$509,3,))*$E128)</f>
        <v>0</v>
      </c>
      <c r="AA128" s="47">
        <f>IF(VLOOKUP($D128,$C$5:$AV$509,3,)=0,0,(VLOOKUP($D128,$C$5:$AV$509,24,)/VLOOKUP($D128,$C$5:$AV$509,3,))*$E128)</f>
        <v>0</v>
      </c>
      <c r="AB128" s="47">
        <f>IF(VLOOKUP($D128,$C$5:$AV$509,3,)=0,0,(VLOOKUP($D128,$C$5:$AV$509,25,)/VLOOKUP($D128,$C$5:$AV$509,3,))*$E128)</f>
        <v>0</v>
      </c>
      <c r="AC128" s="47">
        <f>IF(VLOOKUP($D128,$C$5:$AV$509,3,)=0,0,(VLOOKUP($D128,$C$5:$AV$509,26,)/VLOOKUP($D128,$C$5:$AV$509,3,))*$E128)</f>
        <v>0</v>
      </c>
      <c r="AD128" s="47">
        <f>IF(VLOOKUP($D128,$C$5:$AV$509,3,)=0,0,(VLOOKUP($D128,$C$5:$AV$509,27,)/VLOOKUP($D128,$C$5:$AV$509,3,))*$E128)</f>
        <v>0</v>
      </c>
      <c r="AE128" s="47">
        <f>IF(VLOOKUP($D128,$C$5:$AV$509,3,)=0,0,(VLOOKUP($D128,$C$5:$AV$509,28,)/VLOOKUP($D128,$C$5:$AV$509,3,))*$E128)</f>
        <v>0</v>
      </c>
      <c r="AF128" s="47">
        <f>IF(VLOOKUP($D128,$C$5:$AV$509,3,)=0,0,(VLOOKUP($D128,$C$5:$AV$509,29,)/VLOOKUP($D128,$C$5:$AV$509,3,))*$E128)</f>
        <v>0</v>
      </c>
      <c r="AG128" s="47">
        <f>IF(VLOOKUP($D128,$C$5:$AV$509,3,)=0,0,(VLOOKUP($D128,$C$5:$AV$509,30,)/VLOOKUP($D128,$C$5:$AV$509,3,))*$E128)</f>
        <v>0</v>
      </c>
      <c r="AH128" s="47">
        <f t="shared" ref="AH128" si="79">SUM(F128:AG128)</f>
        <v>0</v>
      </c>
      <c r="AI128" s="27" t="str">
        <f>IF(ABS(E128-AH128)&lt;0.01,"ok","err")</f>
        <v>ok</v>
      </c>
      <c r="AK128" s="45" t="e">
        <f>H128/I128</f>
        <v>#DIV/0!</v>
      </c>
    </row>
    <row r="129" spans="1:37" x14ac:dyDescent="0.2">
      <c r="E129" s="47"/>
    </row>
    <row r="130" spans="1:37" x14ac:dyDescent="0.2">
      <c r="A130" s="13" t="s">
        <v>1</v>
      </c>
      <c r="E130" s="47"/>
      <c r="F130" s="47"/>
    </row>
    <row r="131" spans="1:37" x14ac:dyDescent="0.2">
      <c r="A131" s="90" t="s">
        <v>209</v>
      </c>
      <c r="C131" s="14" t="s">
        <v>265</v>
      </c>
      <c r="D131" s="14" t="s">
        <v>632</v>
      </c>
      <c r="E131" s="62">
        <f>'Func &amp; Classif'!M285</f>
        <v>17234.509610876208</v>
      </c>
      <c r="F131" s="47">
        <f>IF(VLOOKUP($D131,$C$5:$AV$509,3,)=0,0,(VLOOKUP($D131,$C$5:$AV$509,4,)/VLOOKUP($D131,$C$5:$AV$509,3,))*$E131)</f>
        <v>13121.371744116452</v>
      </c>
      <c r="G131" s="47">
        <f>IF(VLOOKUP($D131,$C$5:$AV$509,3,)=0,0,(VLOOKUP($D131,$C$5:$AV$509,5,)/VLOOKUP($D131,$C$5:$AV$509,3,))*$E131)</f>
        <v>9.9006368412259587</v>
      </c>
      <c r="H131" s="47">
        <f>IF(VLOOKUP($D131,$C$5:$AV$509,3,)=0,0,(VLOOKUP($D131,$C$5:$AV$509,6,)/VLOOKUP($D131,$C$5:$AV$509,3,))*$E131)</f>
        <v>1376.8613190444014</v>
      </c>
      <c r="I131" s="47">
        <f>IF(VLOOKUP($D131,$C$5:$AV$509,3,)=0,0,(VLOOKUP($D131,$C$5:$AV$509,7,)/VLOOKUP($D131,$C$5:$AV$509,3,))*$E131)</f>
        <v>147.07493855761777</v>
      </c>
      <c r="J131" s="47">
        <f>IF(VLOOKUP($D131,$C$5:$AV$509,3,)=0,0,(VLOOKUP($D131,$C$5:$AV$509,8,)/VLOOKUP($D131,$C$5:$AV$509,3,))*$E131)</f>
        <v>1375.7764000675538</v>
      </c>
      <c r="K131" s="47">
        <f>IF(VLOOKUP($D131,$C$5:$AV$509,3,)=0,0,(VLOOKUP($D131,$C$5:$AV$509,9,)/VLOOKUP($D131,$C$5:$AV$509,3,))*$E131)</f>
        <v>0</v>
      </c>
      <c r="L131" s="47">
        <f>IF(VLOOKUP($D131,$C$5:$AV$509,3,)=0,0,(VLOOKUP($D131,$C$5:$AV$509,10,)/VLOOKUP($D131,$C$5:$AV$509,3,))*$E131)</f>
        <v>869.57308259997853</v>
      </c>
      <c r="M131" s="47">
        <f>IF(VLOOKUP($D131,$C$5:$AV$509,3,)=0,0,(VLOOKUP($D131,$C$5:$AV$509,11,)/VLOOKUP($D131,$C$5:$AV$509,3,))*$E131)</f>
        <v>249.54844379084639</v>
      </c>
      <c r="N131" s="47">
        <f>IF(VLOOKUP($D131,$C$5:$AV$509,3,)=0,0,(VLOOKUP($D131,$C$5:$AV$509,12,)/VLOOKUP($D131,$C$5:$AV$509,3,))*$E131)</f>
        <v>84.403045858130795</v>
      </c>
      <c r="O131" s="47">
        <f>IF(VLOOKUP($D131,$C$5:$AV$509,3,)=0,0,(VLOOKUP($D131,$C$5:$AV$509,14,)/VLOOKUP($D131,$C$5:$AV$509,3,))*$E131)</f>
        <v>0</v>
      </c>
      <c r="P131" s="47">
        <f>IF(VLOOKUP($D131,$C$5:$AV$509,3,)=0,0,(VLOOKUP($D131,$C$5:$AV$509,14,)/VLOOKUP($D131,$C$5:$AV$509,3,))*$E131)</f>
        <v>0</v>
      </c>
      <c r="Q131" s="47">
        <f>IF(VLOOKUP($D131,$C$5:$AV$509,3,)=0,0,(VLOOKUP($D131,$C$5:$AV$509,14,)/VLOOKUP($D131,$C$5:$AV$509,3,))*$E131)</f>
        <v>0</v>
      </c>
      <c r="R131" s="47">
        <f>IF(VLOOKUP($D131,$C$5:$AV$509,3,)=0,0,(VLOOKUP($D131,$C$5:$AV$509,15,)/VLOOKUP($D131,$C$5:$AV$509,3,))*$E131)</f>
        <v>0</v>
      </c>
      <c r="S131" s="47">
        <f>IF(VLOOKUP($D131,$C$5:$AV$509,3,)=0,0,(VLOOKUP($D131,$C$5:$AV$509,16,)/VLOOKUP($D131,$C$5:$AV$509,3,))*$E131)</f>
        <v>0</v>
      </c>
      <c r="T131" s="47">
        <f>IF(VLOOKUP($D131,$C$5:$AV$509,3,)=0,0,(VLOOKUP($D131,$C$5:$AV$509,17,)/VLOOKUP($D131,$C$5:$AV$509,3,))*$E131)</f>
        <v>0</v>
      </c>
      <c r="U131" s="47">
        <f>IF(VLOOKUP($D131,$C$5:$AV$509,3,)=0,0,(VLOOKUP($D131,$C$5:$AV$509,18,)/VLOOKUP($D131,$C$5:$AV$509,3,))*$E131)</f>
        <v>0</v>
      </c>
      <c r="V131" s="47">
        <f>IF(VLOOKUP($D131,$C$5:$AV$509,3,)=0,0,(VLOOKUP($D131,$C$5:$AV$509,19,)/VLOOKUP($D131,$C$5:$AV$509,3,))*$E131)</f>
        <v>0</v>
      </c>
      <c r="W131" s="47">
        <f>IF(VLOOKUP($D131,$C$5:$AV$509,3,)=0,0,(VLOOKUP($D131,$C$5:$AV$509,20,)/VLOOKUP($D131,$C$5:$AV$509,3,))*$E131)</f>
        <v>0</v>
      </c>
      <c r="X131" s="47">
        <f>IF(VLOOKUP($D131,$C$5:$AV$509,3,)=0,0,(VLOOKUP($D131,$C$5:$AV$509,21,)/VLOOKUP($D131,$C$5:$AV$509,3,))*$E131)</f>
        <v>0</v>
      </c>
      <c r="Y131" s="47">
        <f>IF(VLOOKUP($D131,$C$5:$AV$509,3,)=0,0,(VLOOKUP($D131,$C$5:$AV$509,22,)/VLOOKUP($D131,$C$5:$AV$509,3,))*$E131)</f>
        <v>0</v>
      </c>
      <c r="Z131" s="47">
        <f>IF(VLOOKUP($D131,$C$5:$AV$509,3,)=0,0,(VLOOKUP($D131,$C$5:$AV$509,23,)/VLOOKUP($D131,$C$5:$AV$509,3,))*$E131)</f>
        <v>0</v>
      </c>
      <c r="AA131" s="47">
        <f>IF(VLOOKUP($D131,$C$5:$AV$509,3,)=0,0,(VLOOKUP($D131,$C$5:$AV$509,24,)/VLOOKUP($D131,$C$5:$AV$509,3,))*$E131)</f>
        <v>0</v>
      </c>
      <c r="AB131" s="47">
        <f>IF(VLOOKUP($D131,$C$5:$AV$509,3,)=0,0,(VLOOKUP($D131,$C$5:$AV$509,25,)/VLOOKUP($D131,$C$5:$AV$509,3,))*$E131)</f>
        <v>0</v>
      </c>
      <c r="AC131" s="47">
        <f>IF(VLOOKUP($D131,$C$5:$AV$509,3,)=0,0,(VLOOKUP($D131,$C$5:$AV$509,26,)/VLOOKUP($D131,$C$5:$AV$509,3,))*$E131)</f>
        <v>0</v>
      </c>
      <c r="AD131" s="47">
        <f>IF(VLOOKUP($D131,$C$5:$AV$509,3,)=0,0,(VLOOKUP($D131,$C$5:$AV$509,27,)/VLOOKUP($D131,$C$5:$AV$509,3,))*$E131)</f>
        <v>0</v>
      </c>
      <c r="AE131" s="47">
        <f>IF(VLOOKUP($D131,$C$5:$AV$509,3,)=0,0,(VLOOKUP($D131,$C$5:$AV$509,28,)/VLOOKUP($D131,$C$5:$AV$509,3,))*$E131)</f>
        <v>0</v>
      </c>
      <c r="AF131" s="47">
        <f>IF(VLOOKUP($D131,$C$5:$AV$509,3,)=0,0,(VLOOKUP($D131,$C$5:$AV$509,29,)/VLOOKUP($D131,$C$5:$AV$509,3,))*$E131)</f>
        <v>0</v>
      </c>
      <c r="AG131" s="47">
        <f>IF(VLOOKUP($D131,$C$5:$AV$509,3,)=0,0,(VLOOKUP($D131,$C$5:$AV$509,30,)/VLOOKUP($D131,$C$5:$AV$509,3,))*$E131)</f>
        <v>0</v>
      </c>
      <c r="AH131" s="47">
        <f t="shared" ref="AH131" si="80">SUM(F131:AG131)</f>
        <v>17234.509610876205</v>
      </c>
      <c r="AI131" s="27" t="str">
        <f>IF(ABS(E131-AH131)&lt;0.01,"ok","err")</f>
        <v>ok</v>
      </c>
      <c r="AK131" s="45">
        <f>H131/I131</f>
        <v>9.3616311014470028</v>
      </c>
    </row>
    <row r="132" spans="1:37" x14ac:dyDescent="0.2">
      <c r="E132" s="47"/>
    </row>
    <row r="133" spans="1:37" x14ac:dyDescent="0.2">
      <c r="A133" s="13" t="s">
        <v>2</v>
      </c>
      <c r="E133" s="47"/>
    </row>
    <row r="134" spans="1:37" x14ac:dyDescent="0.2">
      <c r="A134" s="90" t="s">
        <v>209</v>
      </c>
      <c r="C134" s="14" t="s">
        <v>266</v>
      </c>
      <c r="D134" s="14" t="s">
        <v>629</v>
      </c>
      <c r="E134" s="62">
        <f>'Func &amp; Classif'!O285</f>
        <v>2892766.332389073</v>
      </c>
      <c r="F134" s="47">
        <f>IF(VLOOKUP($D134,$C$5:$AV$509,3,)=0,0,(VLOOKUP($D134,$C$5:$AV$509,4,)/VLOOKUP($D134,$C$5:$AV$509,3,))*$E134)</f>
        <v>2426377.7476495891</v>
      </c>
      <c r="G134" s="47">
        <f>IF(VLOOKUP($D134,$C$5:$AV$509,3,)=0,0,(VLOOKUP($D134,$C$5:$AV$509,5,)/VLOOKUP($D134,$C$5:$AV$509,3,))*$E134)</f>
        <v>2456.5311658851092</v>
      </c>
      <c r="H134" s="47">
        <f>IF(VLOOKUP($D134,$C$5:$AV$509,3,)=0,0,(VLOOKUP($D134,$C$5:$AV$509,6,)/VLOOKUP($D134,$C$5:$AV$509,3,))*$E134)</f>
        <v>189554.12761830268</v>
      </c>
      <c r="I134" s="47">
        <f>IF(VLOOKUP($D134,$C$5:$AV$509,3,)=0,0,(VLOOKUP($D134,$C$5:$AV$509,7,)/VLOOKUP($D134,$C$5:$AV$509,3,))*$E134)</f>
        <v>21597.846280043093</v>
      </c>
      <c r="J134" s="47">
        <f>IF(VLOOKUP($D134,$C$5:$AV$509,3,)=0,0,(VLOOKUP($D134,$C$5:$AV$509,8,)/VLOOKUP($D134,$C$5:$AV$509,3,))*$E134)</f>
        <v>153380.57332987568</v>
      </c>
      <c r="K134" s="47">
        <f>IF(VLOOKUP($D134,$C$5:$AV$509,3,)=0,0,(VLOOKUP($D134,$C$5:$AV$509,9,)/VLOOKUP($D134,$C$5:$AV$509,3,))*$E134)</f>
        <v>0</v>
      </c>
      <c r="L134" s="47">
        <f>IF(VLOOKUP($D134,$C$5:$AV$509,3,)=0,0,(VLOOKUP($D134,$C$5:$AV$509,10,)/VLOOKUP($D134,$C$5:$AV$509,3,))*$E134)</f>
        <v>68836.214479845497</v>
      </c>
      <c r="M134" s="47">
        <f>IF(VLOOKUP($D134,$C$5:$AV$509,3,)=0,0,(VLOOKUP($D134,$C$5:$AV$509,11,)/VLOOKUP($D134,$C$5:$AV$509,3,))*$E134)</f>
        <v>19754.487050745778</v>
      </c>
      <c r="N134" s="47">
        <f>IF(VLOOKUP($D134,$C$5:$AV$509,3,)=0,0,(VLOOKUP($D134,$C$5:$AV$509,12,)/VLOOKUP($D134,$C$5:$AV$509,3,))*$E134)</f>
        <v>10808.804814786772</v>
      </c>
      <c r="O134" s="47">
        <f t="shared" ref="O134:Q135" si="81">IF(VLOOKUP($D134,$C$5:$AV$509,3,)=0,0,(VLOOKUP($D134,$C$5:$AV$509,14,)/VLOOKUP($D134,$C$5:$AV$509,3,))*$E134)</f>
        <v>0</v>
      </c>
      <c r="P134" s="47">
        <f t="shared" si="81"/>
        <v>0</v>
      </c>
      <c r="Q134" s="47">
        <f t="shared" si="81"/>
        <v>0</v>
      </c>
      <c r="R134" s="47">
        <f>IF(VLOOKUP($D134,$C$5:$AV$509,3,)=0,0,(VLOOKUP($D134,$C$5:$AV$509,15,)/VLOOKUP($D134,$C$5:$AV$509,3,))*$E134)</f>
        <v>0</v>
      </c>
      <c r="S134" s="47">
        <f>IF(VLOOKUP($D134,$C$5:$AV$509,3,)=0,0,(VLOOKUP($D134,$C$5:$AV$509,16,)/VLOOKUP($D134,$C$5:$AV$509,3,))*$E134)</f>
        <v>0</v>
      </c>
      <c r="T134" s="47">
        <f>IF(VLOOKUP($D134,$C$5:$AV$509,3,)=0,0,(VLOOKUP($D134,$C$5:$AV$509,17,)/VLOOKUP($D134,$C$5:$AV$509,3,))*$E134)</f>
        <v>0</v>
      </c>
      <c r="U134" s="47">
        <f>IF(VLOOKUP($D134,$C$5:$AV$509,3,)=0,0,(VLOOKUP($D134,$C$5:$AV$509,18,)/VLOOKUP($D134,$C$5:$AV$509,3,))*$E134)</f>
        <v>0</v>
      </c>
      <c r="V134" s="47">
        <f>IF(VLOOKUP($D134,$C$5:$AV$509,3,)=0,0,(VLOOKUP($D134,$C$5:$AV$509,19,)/VLOOKUP($D134,$C$5:$AV$509,3,))*$E134)</f>
        <v>0</v>
      </c>
      <c r="W134" s="47">
        <f>IF(VLOOKUP($D134,$C$5:$AV$509,3,)=0,0,(VLOOKUP($D134,$C$5:$AV$509,20,)/VLOOKUP($D134,$C$5:$AV$509,3,))*$E134)</f>
        <v>0</v>
      </c>
      <c r="X134" s="47">
        <f>IF(VLOOKUP($D134,$C$5:$AV$509,3,)=0,0,(VLOOKUP($D134,$C$5:$AV$509,21,)/VLOOKUP($D134,$C$5:$AV$509,3,))*$E134)</f>
        <v>0</v>
      </c>
      <c r="Y134" s="47">
        <f>IF(VLOOKUP($D134,$C$5:$AV$509,3,)=0,0,(VLOOKUP($D134,$C$5:$AV$509,22,)/VLOOKUP($D134,$C$5:$AV$509,3,))*$E134)</f>
        <v>0</v>
      </c>
      <c r="Z134" s="47">
        <f>IF(VLOOKUP($D134,$C$5:$AV$509,3,)=0,0,(VLOOKUP($D134,$C$5:$AV$509,23,)/VLOOKUP($D134,$C$5:$AV$509,3,))*$E134)</f>
        <v>0</v>
      </c>
      <c r="AA134" s="47">
        <f>IF(VLOOKUP($D134,$C$5:$AV$509,3,)=0,0,(VLOOKUP($D134,$C$5:$AV$509,24,)/VLOOKUP($D134,$C$5:$AV$509,3,))*$E134)</f>
        <v>0</v>
      </c>
      <c r="AB134" s="47">
        <f>IF(VLOOKUP($D134,$C$5:$AV$509,3,)=0,0,(VLOOKUP($D134,$C$5:$AV$509,25,)/VLOOKUP($D134,$C$5:$AV$509,3,))*$E134)</f>
        <v>0</v>
      </c>
      <c r="AC134" s="47">
        <f>IF(VLOOKUP($D134,$C$5:$AV$509,3,)=0,0,(VLOOKUP($D134,$C$5:$AV$509,26,)/VLOOKUP($D134,$C$5:$AV$509,3,))*$E134)</f>
        <v>0</v>
      </c>
      <c r="AD134" s="47">
        <f>IF(VLOOKUP($D134,$C$5:$AV$509,3,)=0,0,(VLOOKUP($D134,$C$5:$AV$509,27,)/VLOOKUP($D134,$C$5:$AV$509,3,))*$E134)</f>
        <v>0</v>
      </c>
      <c r="AE134" s="47">
        <f>IF(VLOOKUP($D134,$C$5:$AV$509,3,)=0,0,(VLOOKUP($D134,$C$5:$AV$509,28,)/VLOOKUP($D134,$C$5:$AV$509,3,))*$E134)</f>
        <v>0</v>
      </c>
      <c r="AF134" s="47">
        <f>IF(VLOOKUP($D134,$C$5:$AV$509,3,)=0,0,(VLOOKUP($D134,$C$5:$AV$509,29,)/VLOOKUP($D134,$C$5:$AV$509,3,))*$E134)</f>
        <v>0</v>
      </c>
      <c r="AG134" s="47">
        <f>IF(VLOOKUP($D134,$C$5:$AV$509,3,)=0,0,(VLOOKUP($D134,$C$5:$AV$509,30,)/VLOOKUP($D134,$C$5:$AV$509,3,))*$E134)</f>
        <v>0</v>
      </c>
      <c r="AH134" s="47">
        <f t="shared" ref="AH134:AH135" si="82">SUM(F134:AG134)</f>
        <v>2892766.3323890734</v>
      </c>
      <c r="AI134" s="27" t="str">
        <f>IF(ABS(E134-AH134)&lt;0.01,"ok","err")</f>
        <v>ok</v>
      </c>
      <c r="AK134" s="45">
        <f>H134/I134</f>
        <v>8.7765291576065643</v>
      </c>
    </row>
    <row r="135" spans="1:37" x14ac:dyDescent="0.2">
      <c r="A135" s="90" t="s">
        <v>221</v>
      </c>
      <c r="C135" s="14" t="s">
        <v>267</v>
      </c>
      <c r="D135" s="14" t="s">
        <v>223</v>
      </c>
      <c r="E135" s="47">
        <f>'Func &amp; Classif'!P285</f>
        <v>4908924.663836482</v>
      </c>
      <c r="F135" s="47">
        <f>IF(VLOOKUP($D135,$C$5:$AV$509,3,)=0,0,(VLOOKUP($D135,$C$5:$AV$509,4,)/VLOOKUP($D135,$C$5:$AV$509,3,))*$E135)</f>
        <v>4442625.2707555098</v>
      </c>
      <c r="G135" s="47">
        <f>IF(VLOOKUP($D135,$C$5:$AV$509,3,)=0,0,(VLOOKUP($D135,$C$5:$AV$509,5,)/VLOOKUP($D135,$C$5:$AV$509,3,))*$E135)</f>
        <v>172.89843435514729</v>
      </c>
      <c r="H135" s="47">
        <f>IF(VLOOKUP($D135,$C$5:$AV$509,3,)=0,0,(VLOOKUP($D135,$C$5:$AV$509,6,)/VLOOKUP($D135,$C$5:$AV$509,3,))*$E135)</f>
        <v>351329.61860965932</v>
      </c>
      <c r="I135" s="47">
        <f>IF(VLOOKUP($D135,$C$5:$AV$509,3,)=0,0,(VLOOKUP($D135,$C$5:$AV$509,7,)/VLOOKUP($D135,$C$5:$AV$509,3,))*$E135)</f>
        <v>54290.108387516251</v>
      </c>
      <c r="J135" s="47">
        <f>IF(VLOOKUP($D135,$C$5:$AV$509,3,)=0,0,(VLOOKUP($D135,$C$5:$AV$509,8,)/VLOOKUP($D135,$C$5:$AV$509,3,))*$E135)</f>
        <v>20574.913688262528</v>
      </c>
      <c r="K135" s="47">
        <f>IF(VLOOKUP($D135,$C$5:$AV$509,3,)=0,0,(VLOOKUP($D135,$C$5:$AV$509,9,)/VLOOKUP($D135,$C$5:$AV$509,3,))*$E135)</f>
        <v>0</v>
      </c>
      <c r="L135" s="47">
        <f>IF(VLOOKUP($D135,$C$5:$AV$509,3,)=0,0,(VLOOKUP($D135,$C$5:$AV$509,10,)/VLOOKUP($D135,$C$5:$AV$509,3,))*$E135)</f>
        <v>1383.1874748411783</v>
      </c>
      <c r="M135" s="47">
        <f>IF(VLOOKUP($D135,$C$5:$AV$509,3,)=0,0,(VLOOKUP($D135,$C$5:$AV$509,11,)/VLOOKUP($D135,$C$5:$AV$509,3,))*$E135)</f>
        <v>172.89843435514729</v>
      </c>
      <c r="N135" s="47">
        <f>IF(VLOOKUP($D135,$C$5:$AV$509,3,)=0,0,(VLOOKUP($D135,$C$5:$AV$509,12,)/VLOOKUP($D135,$C$5:$AV$509,3,))*$E135)</f>
        <v>38375.768051982472</v>
      </c>
      <c r="O135" s="47">
        <f t="shared" si="81"/>
        <v>0</v>
      </c>
      <c r="P135" s="47">
        <f t="shared" si="81"/>
        <v>0</v>
      </c>
      <c r="Q135" s="47">
        <f t="shared" si="81"/>
        <v>0</v>
      </c>
      <c r="R135" s="47">
        <f>IF(VLOOKUP($D135,$C$5:$AV$509,3,)=0,0,(VLOOKUP($D135,$C$5:$AV$509,15,)/VLOOKUP($D135,$C$5:$AV$509,3,))*$E135)</f>
        <v>0</v>
      </c>
      <c r="S135" s="47">
        <f>IF(VLOOKUP($D135,$C$5:$AV$509,3,)=0,0,(VLOOKUP($D135,$C$5:$AV$509,16,)/VLOOKUP($D135,$C$5:$AV$509,3,))*$E135)</f>
        <v>0</v>
      </c>
      <c r="T135" s="47">
        <f>IF(VLOOKUP($D135,$C$5:$AV$509,3,)=0,0,(VLOOKUP($D135,$C$5:$AV$509,17,)/VLOOKUP($D135,$C$5:$AV$509,3,))*$E135)</f>
        <v>0</v>
      </c>
      <c r="U135" s="47">
        <f>IF(VLOOKUP($D135,$C$5:$AV$509,3,)=0,0,(VLOOKUP($D135,$C$5:$AV$509,18,)/VLOOKUP($D135,$C$5:$AV$509,3,))*$E135)</f>
        <v>0</v>
      </c>
      <c r="V135" s="47">
        <f>IF(VLOOKUP($D135,$C$5:$AV$509,3,)=0,0,(VLOOKUP($D135,$C$5:$AV$509,19,)/VLOOKUP($D135,$C$5:$AV$509,3,))*$E135)</f>
        <v>0</v>
      </c>
      <c r="W135" s="47">
        <f>IF(VLOOKUP($D135,$C$5:$AV$509,3,)=0,0,(VLOOKUP($D135,$C$5:$AV$509,20,)/VLOOKUP($D135,$C$5:$AV$509,3,))*$E135)</f>
        <v>0</v>
      </c>
      <c r="X135" s="47">
        <f>IF(VLOOKUP($D135,$C$5:$AV$509,3,)=0,0,(VLOOKUP($D135,$C$5:$AV$509,21,)/VLOOKUP($D135,$C$5:$AV$509,3,))*$E135)</f>
        <v>0</v>
      </c>
      <c r="Y135" s="47">
        <f>IF(VLOOKUP($D135,$C$5:$AV$509,3,)=0,0,(VLOOKUP($D135,$C$5:$AV$509,22,)/VLOOKUP($D135,$C$5:$AV$509,3,))*$E135)</f>
        <v>0</v>
      </c>
      <c r="Z135" s="47">
        <f>IF(VLOOKUP($D135,$C$5:$AV$509,3,)=0,0,(VLOOKUP($D135,$C$5:$AV$509,23,)/VLOOKUP($D135,$C$5:$AV$509,3,))*$E135)</f>
        <v>0</v>
      </c>
      <c r="AA135" s="47">
        <f>IF(VLOOKUP($D135,$C$5:$AV$509,3,)=0,0,(VLOOKUP($D135,$C$5:$AV$509,24,)/VLOOKUP($D135,$C$5:$AV$509,3,))*$E135)</f>
        <v>0</v>
      </c>
      <c r="AB135" s="47">
        <f>IF(VLOOKUP($D135,$C$5:$AV$509,3,)=0,0,(VLOOKUP($D135,$C$5:$AV$509,25,)/VLOOKUP($D135,$C$5:$AV$509,3,))*$E135)</f>
        <v>0</v>
      </c>
      <c r="AC135" s="47">
        <f>IF(VLOOKUP($D135,$C$5:$AV$509,3,)=0,0,(VLOOKUP($D135,$C$5:$AV$509,26,)/VLOOKUP($D135,$C$5:$AV$509,3,))*$E135)</f>
        <v>0</v>
      </c>
      <c r="AD135" s="47">
        <f>IF(VLOOKUP($D135,$C$5:$AV$509,3,)=0,0,(VLOOKUP($D135,$C$5:$AV$509,27,)/VLOOKUP($D135,$C$5:$AV$509,3,))*$E135)</f>
        <v>0</v>
      </c>
      <c r="AE135" s="47">
        <f>IF(VLOOKUP($D135,$C$5:$AV$509,3,)=0,0,(VLOOKUP($D135,$C$5:$AV$509,28,)/VLOOKUP($D135,$C$5:$AV$509,3,))*$E135)</f>
        <v>0</v>
      </c>
      <c r="AF135" s="47">
        <f>IF(VLOOKUP($D135,$C$5:$AV$509,3,)=0,0,(VLOOKUP($D135,$C$5:$AV$509,29,)/VLOOKUP($D135,$C$5:$AV$509,3,))*$E135)</f>
        <v>0</v>
      </c>
      <c r="AG135" s="47">
        <f>IF(VLOOKUP($D135,$C$5:$AV$509,3,)=0,0,(VLOOKUP($D135,$C$5:$AV$509,30,)/VLOOKUP($D135,$C$5:$AV$509,3,))*$E135)</f>
        <v>0</v>
      </c>
      <c r="AH135" s="47">
        <f t="shared" si="82"/>
        <v>4908924.663836482</v>
      </c>
      <c r="AI135" s="27" t="str">
        <f>IF(ABS(E135-AH135)&lt;0.01,"ok","err")</f>
        <v>ok</v>
      </c>
      <c r="AK135" s="45">
        <f>H135/I135</f>
        <v>6.4713375796178347</v>
      </c>
    </row>
    <row r="136" spans="1:37" x14ac:dyDescent="0.2">
      <c r="A136" s="14" t="s">
        <v>224</v>
      </c>
      <c r="E136" s="62">
        <f t="shared" ref="E136:U136" si="83">E134+E135</f>
        <v>7801690.9962255545</v>
      </c>
      <c r="F136" s="62">
        <f t="shared" si="83"/>
        <v>6869003.0184050985</v>
      </c>
      <c r="G136" s="62">
        <f t="shared" si="83"/>
        <v>2629.4296002402566</v>
      </c>
      <c r="H136" s="62">
        <f t="shared" si="83"/>
        <v>540883.74622796196</v>
      </c>
      <c r="I136" s="62">
        <f t="shared" si="83"/>
        <v>75887.954667559345</v>
      </c>
      <c r="J136" s="62">
        <f t="shared" si="83"/>
        <v>173955.4870181382</v>
      </c>
      <c r="K136" s="62">
        <f t="shared" si="83"/>
        <v>0</v>
      </c>
      <c r="L136" s="62">
        <f t="shared" si="83"/>
        <v>70219.401954686677</v>
      </c>
      <c r="M136" s="62">
        <f t="shared" ref="M136" si="84">M134+M135</f>
        <v>19927.385485100924</v>
      </c>
      <c r="N136" s="62">
        <f t="shared" si="83"/>
        <v>49184.572866769246</v>
      </c>
      <c r="O136" s="62">
        <f t="shared" si="83"/>
        <v>0</v>
      </c>
      <c r="P136" s="62">
        <f t="shared" si="83"/>
        <v>0</v>
      </c>
      <c r="Q136" s="62">
        <f t="shared" si="83"/>
        <v>0</v>
      </c>
      <c r="R136" s="62">
        <f t="shared" si="83"/>
        <v>0</v>
      </c>
      <c r="S136" s="62">
        <f t="shared" si="83"/>
        <v>0</v>
      </c>
      <c r="T136" s="62">
        <f t="shared" si="83"/>
        <v>0</v>
      </c>
      <c r="U136" s="62">
        <f t="shared" si="83"/>
        <v>0</v>
      </c>
      <c r="V136" s="62">
        <f t="shared" ref="V136:AG136" si="85">V134+V135</f>
        <v>0</v>
      </c>
      <c r="W136" s="62">
        <f t="shared" si="85"/>
        <v>0</v>
      </c>
      <c r="X136" s="62">
        <f t="shared" si="85"/>
        <v>0</v>
      </c>
      <c r="Y136" s="62">
        <f t="shared" si="85"/>
        <v>0</v>
      </c>
      <c r="Z136" s="62">
        <f t="shared" si="85"/>
        <v>0</v>
      </c>
      <c r="AA136" s="62">
        <f t="shared" si="85"/>
        <v>0</v>
      </c>
      <c r="AB136" s="62">
        <f t="shared" si="85"/>
        <v>0</v>
      </c>
      <c r="AC136" s="62">
        <f t="shared" si="85"/>
        <v>0</v>
      </c>
      <c r="AD136" s="62">
        <f t="shared" si="85"/>
        <v>0</v>
      </c>
      <c r="AE136" s="62">
        <f t="shared" si="85"/>
        <v>0</v>
      </c>
      <c r="AF136" s="62">
        <f t="shared" si="85"/>
        <v>0</v>
      </c>
      <c r="AG136" s="62">
        <f t="shared" si="85"/>
        <v>0</v>
      </c>
      <c r="AH136" s="87">
        <f>SUM(F136:AG136)</f>
        <v>7801690.9962255545</v>
      </c>
      <c r="AI136" s="27" t="str">
        <f>IF(ABS(E136-AH136)&lt;0.01,"ok","err")</f>
        <v>ok</v>
      </c>
      <c r="AK136" s="45">
        <f>H136/I136</f>
        <v>7.1273991847243643</v>
      </c>
    </row>
    <row r="137" spans="1:37" x14ac:dyDescent="0.2">
      <c r="E137" s="47"/>
    </row>
    <row r="138" spans="1:37" x14ac:dyDescent="0.2">
      <c r="A138" s="13" t="s">
        <v>3</v>
      </c>
      <c r="E138" s="47"/>
    </row>
    <row r="139" spans="1:37" x14ac:dyDescent="0.2">
      <c r="A139" s="90" t="s">
        <v>209</v>
      </c>
      <c r="C139" s="14" t="s">
        <v>268</v>
      </c>
      <c r="D139" s="14" t="s">
        <v>701</v>
      </c>
      <c r="E139" s="62">
        <f>'Func &amp; Classif'!R285</f>
        <v>0</v>
      </c>
      <c r="F139" s="47">
        <f>IF(VLOOKUP($D139,$C$5:$AV$509,3,)=0,0,(VLOOKUP($D139,$C$5:$AV$509,4,)/VLOOKUP($D139,$C$5:$AV$509,3,))*$E139)</f>
        <v>0</v>
      </c>
      <c r="G139" s="47">
        <f>IF(VLOOKUP($D139,$C$5:$AV$509,3,)=0,0,(VLOOKUP($D139,$C$5:$AV$509,5,)/VLOOKUP($D139,$C$5:$AV$509,3,))*$E139)</f>
        <v>0</v>
      </c>
      <c r="H139" s="47">
        <f>IF(VLOOKUP($D139,$C$5:$AV$509,3,)=0,0,(VLOOKUP($D139,$C$5:$AV$509,6,)/VLOOKUP($D139,$C$5:$AV$509,3,))*$E139)</f>
        <v>0</v>
      </c>
      <c r="I139" s="47">
        <f>IF(VLOOKUP($D139,$C$5:$AV$509,3,)=0,0,(VLOOKUP($D139,$C$5:$AV$509,7,)/VLOOKUP($D139,$C$5:$AV$509,3,))*$E139)</f>
        <v>0</v>
      </c>
      <c r="J139" s="47">
        <f>IF(VLOOKUP($D139,$C$5:$AV$509,3,)=0,0,(VLOOKUP($D139,$C$5:$AV$509,8,)/VLOOKUP($D139,$C$5:$AV$509,3,))*$E139)</f>
        <v>0</v>
      </c>
      <c r="K139" s="47">
        <f>IF(VLOOKUP($D139,$C$5:$AV$509,3,)=0,0,(VLOOKUP($D139,$C$5:$AV$509,9,)/VLOOKUP($D139,$C$5:$AV$509,3,))*$E139)</f>
        <v>0</v>
      </c>
      <c r="L139" s="47">
        <f>IF(VLOOKUP($D139,$C$5:$AV$509,3,)=0,0,(VLOOKUP($D139,$C$5:$AV$509,10,)/VLOOKUP($D139,$C$5:$AV$509,3,))*$E139)</f>
        <v>0</v>
      </c>
      <c r="M139" s="47">
        <f>IF(VLOOKUP($D139,$C$5:$AV$509,3,)=0,0,(VLOOKUP($D139,$C$5:$AV$509,11,)/VLOOKUP($D139,$C$5:$AV$509,3,))*$E139)</f>
        <v>0</v>
      </c>
      <c r="N139" s="47">
        <f>IF(VLOOKUP($D139,$C$5:$AV$509,3,)=0,0,(VLOOKUP($D139,$C$5:$AV$509,12,)/VLOOKUP($D139,$C$5:$AV$509,3,))*$E139)</f>
        <v>0</v>
      </c>
      <c r="O139" s="47">
        <f t="shared" ref="O139:Q140" si="86">IF(VLOOKUP($D139,$C$5:$AV$509,3,)=0,0,(VLOOKUP($D139,$C$5:$AV$509,14,)/VLOOKUP($D139,$C$5:$AV$509,3,))*$E139)</f>
        <v>0</v>
      </c>
      <c r="P139" s="47">
        <f t="shared" si="86"/>
        <v>0</v>
      </c>
      <c r="Q139" s="47">
        <f t="shared" si="86"/>
        <v>0</v>
      </c>
      <c r="R139" s="47">
        <f>IF(VLOOKUP($D139,$C$5:$AV$509,3,)=0,0,(VLOOKUP($D139,$C$5:$AV$509,15,)/VLOOKUP($D139,$C$5:$AV$509,3,))*$E139)</f>
        <v>0</v>
      </c>
      <c r="S139" s="47">
        <f>IF(VLOOKUP($D139,$C$5:$AV$509,3,)=0,0,(VLOOKUP($D139,$C$5:$AV$509,16,)/VLOOKUP($D139,$C$5:$AV$509,3,))*$E139)</f>
        <v>0</v>
      </c>
      <c r="T139" s="47">
        <f>IF(VLOOKUP($D139,$C$5:$AV$509,3,)=0,0,(VLOOKUP($D139,$C$5:$AV$509,17,)/VLOOKUP($D139,$C$5:$AV$509,3,))*$E139)</f>
        <v>0</v>
      </c>
      <c r="U139" s="47">
        <f>IF(VLOOKUP($D139,$C$5:$AV$509,3,)=0,0,(VLOOKUP($D139,$C$5:$AV$509,18,)/VLOOKUP($D139,$C$5:$AV$509,3,))*$E139)</f>
        <v>0</v>
      </c>
      <c r="V139" s="47">
        <f>IF(VLOOKUP($D139,$C$5:$AV$509,3,)=0,0,(VLOOKUP($D139,$C$5:$AV$509,19,)/VLOOKUP($D139,$C$5:$AV$509,3,))*$E139)</f>
        <v>0</v>
      </c>
      <c r="W139" s="47">
        <f>IF(VLOOKUP($D139,$C$5:$AV$509,3,)=0,0,(VLOOKUP($D139,$C$5:$AV$509,20,)/VLOOKUP($D139,$C$5:$AV$509,3,))*$E139)</f>
        <v>0</v>
      </c>
      <c r="X139" s="47">
        <f>IF(VLOOKUP($D139,$C$5:$AV$509,3,)=0,0,(VLOOKUP($D139,$C$5:$AV$509,21,)/VLOOKUP($D139,$C$5:$AV$509,3,))*$E139)</f>
        <v>0</v>
      </c>
      <c r="Y139" s="47">
        <f>IF(VLOOKUP($D139,$C$5:$AV$509,3,)=0,0,(VLOOKUP($D139,$C$5:$AV$509,22,)/VLOOKUP($D139,$C$5:$AV$509,3,))*$E139)</f>
        <v>0</v>
      </c>
      <c r="Z139" s="47">
        <f>IF(VLOOKUP($D139,$C$5:$AV$509,3,)=0,0,(VLOOKUP($D139,$C$5:$AV$509,23,)/VLOOKUP($D139,$C$5:$AV$509,3,))*$E139)</f>
        <v>0</v>
      </c>
      <c r="AA139" s="47">
        <f>IF(VLOOKUP($D139,$C$5:$AV$509,3,)=0,0,(VLOOKUP($D139,$C$5:$AV$509,24,)/VLOOKUP($D139,$C$5:$AV$509,3,))*$E139)</f>
        <v>0</v>
      </c>
      <c r="AB139" s="47">
        <f>IF(VLOOKUP($D139,$C$5:$AV$509,3,)=0,0,(VLOOKUP($D139,$C$5:$AV$509,25,)/VLOOKUP($D139,$C$5:$AV$509,3,))*$E139)</f>
        <v>0</v>
      </c>
      <c r="AC139" s="47">
        <f>IF(VLOOKUP($D139,$C$5:$AV$509,3,)=0,0,(VLOOKUP($D139,$C$5:$AV$509,26,)/VLOOKUP($D139,$C$5:$AV$509,3,))*$E139)</f>
        <v>0</v>
      </c>
      <c r="AD139" s="47">
        <f>IF(VLOOKUP($D139,$C$5:$AV$509,3,)=0,0,(VLOOKUP($D139,$C$5:$AV$509,27,)/VLOOKUP($D139,$C$5:$AV$509,3,))*$E139)</f>
        <v>0</v>
      </c>
      <c r="AE139" s="47">
        <f>IF(VLOOKUP($D139,$C$5:$AV$509,3,)=0,0,(VLOOKUP($D139,$C$5:$AV$509,28,)/VLOOKUP($D139,$C$5:$AV$509,3,))*$E139)</f>
        <v>0</v>
      </c>
      <c r="AF139" s="47">
        <f>IF(VLOOKUP($D139,$C$5:$AV$509,3,)=0,0,(VLOOKUP($D139,$C$5:$AV$509,29,)/VLOOKUP($D139,$C$5:$AV$509,3,))*$E139)</f>
        <v>0</v>
      </c>
      <c r="AG139" s="47">
        <f>IF(VLOOKUP($D139,$C$5:$AV$509,3,)=0,0,(VLOOKUP($D139,$C$5:$AV$509,30,)/VLOOKUP($D139,$C$5:$AV$509,3,))*$E139)</f>
        <v>0</v>
      </c>
      <c r="AH139" s="47">
        <f t="shared" ref="AH139:AH140" si="87">SUM(F139:AG139)</f>
        <v>0</v>
      </c>
      <c r="AI139" s="27" t="str">
        <f>IF(ABS(E139-AH139)&lt;0.01,"ok","err")</f>
        <v>ok</v>
      </c>
      <c r="AK139" s="45" t="e">
        <f>H139/I139</f>
        <v>#DIV/0!</v>
      </c>
    </row>
    <row r="140" spans="1:37" x14ac:dyDescent="0.2">
      <c r="A140" s="90" t="s">
        <v>221</v>
      </c>
      <c r="C140" s="14" t="s">
        <v>269</v>
      </c>
      <c r="D140" s="14" t="s">
        <v>701</v>
      </c>
      <c r="E140" s="47">
        <f>'Func &amp; Classif'!S285</f>
        <v>340564.20726936113</v>
      </c>
      <c r="F140" s="47">
        <f>IF(VLOOKUP($D140,$C$5:$AV$509,3,)=0,0,(VLOOKUP($D140,$C$5:$AV$509,4,)/VLOOKUP($D140,$C$5:$AV$509,3,))*$E140)</f>
        <v>290504.49373760185</v>
      </c>
      <c r="G140" s="47">
        <f>IF(VLOOKUP($D140,$C$5:$AV$509,3,)=0,0,(VLOOKUP($D140,$C$5:$AV$509,5,)/VLOOKUP($D140,$C$5:$AV$509,3,))*$E140)</f>
        <v>11.305876385973995</v>
      </c>
      <c r="H140" s="47">
        <f>IF(VLOOKUP($D140,$C$5:$AV$509,3,)=0,0,(VLOOKUP($D140,$C$5:$AV$509,6,)/VLOOKUP($D140,$C$5:$AV$509,3,))*$E140)</f>
        <v>42050.222914381622</v>
      </c>
      <c r="I140" s="47">
        <f>IF(VLOOKUP($D140,$C$5:$AV$509,3,)=0,0,(VLOOKUP($D140,$C$5:$AV$509,7,)/VLOOKUP($D140,$C$5:$AV$509,3,))*$E140)</f>
        <v>4329.4410999377278</v>
      </c>
      <c r="J140" s="47">
        <f>IF(VLOOKUP($D140,$C$5:$AV$509,3,)=0,0,(VLOOKUP($D140,$C$5:$AV$509,8,)/VLOOKUP($D140,$C$5:$AV$509,3,))*$E140)</f>
        <v>3461.9410841106965</v>
      </c>
      <c r="K140" s="47">
        <f>IF(VLOOKUP($D140,$C$5:$AV$509,3,)=0,0,(VLOOKUP($D140,$C$5:$AV$509,9,)/VLOOKUP($D140,$C$5:$AV$509,3,))*$E140)</f>
        <v>0</v>
      </c>
      <c r="L140" s="47">
        <f>IF(VLOOKUP($D140,$C$5:$AV$509,3,)=0,0,(VLOOKUP($D140,$C$5:$AV$509,10,)/VLOOKUP($D140,$C$5:$AV$509,3,))*$E140)</f>
        <v>177.71061506004474</v>
      </c>
      <c r="M140" s="47">
        <f>IF(VLOOKUP($D140,$C$5:$AV$509,3,)=0,0,(VLOOKUP($D140,$C$5:$AV$509,11,)/VLOOKUP($D140,$C$5:$AV$509,3,))*$E140)</f>
        <v>29.091941883283166</v>
      </c>
      <c r="N140" s="47">
        <f>IF(VLOOKUP($D140,$C$5:$AV$509,3,)=0,0,(VLOOKUP($D140,$C$5:$AV$509,12,)/VLOOKUP($D140,$C$5:$AV$509,3,))*$E140)</f>
        <v>0</v>
      </c>
      <c r="O140" s="47">
        <f t="shared" si="86"/>
        <v>0</v>
      </c>
      <c r="P140" s="47">
        <f t="shared" si="86"/>
        <v>0</v>
      </c>
      <c r="Q140" s="47">
        <f t="shared" si="86"/>
        <v>0</v>
      </c>
      <c r="R140" s="47">
        <f>IF(VLOOKUP($D140,$C$5:$AV$509,3,)=0,0,(VLOOKUP($D140,$C$5:$AV$509,15,)/VLOOKUP($D140,$C$5:$AV$509,3,))*$E140)</f>
        <v>0</v>
      </c>
      <c r="S140" s="47">
        <f>IF(VLOOKUP($D140,$C$5:$AV$509,3,)=0,0,(VLOOKUP($D140,$C$5:$AV$509,16,)/VLOOKUP($D140,$C$5:$AV$509,3,))*$E140)</f>
        <v>0</v>
      </c>
      <c r="T140" s="47">
        <f>IF(VLOOKUP($D140,$C$5:$AV$509,3,)=0,0,(VLOOKUP($D140,$C$5:$AV$509,17,)/VLOOKUP($D140,$C$5:$AV$509,3,))*$E140)</f>
        <v>0</v>
      </c>
      <c r="U140" s="47">
        <f>IF(VLOOKUP($D140,$C$5:$AV$509,3,)=0,0,(VLOOKUP($D140,$C$5:$AV$509,18,)/VLOOKUP($D140,$C$5:$AV$509,3,))*$E140)</f>
        <v>0</v>
      </c>
      <c r="V140" s="47">
        <f>IF(VLOOKUP($D140,$C$5:$AV$509,3,)=0,0,(VLOOKUP($D140,$C$5:$AV$509,19,)/VLOOKUP($D140,$C$5:$AV$509,3,))*$E140)</f>
        <v>0</v>
      </c>
      <c r="W140" s="47">
        <f>IF(VLOOKUP($D140,$C$5:$AV$509,3,)=0,0,(VLOOKUP($D140,$C$5:$AV$509,20,)/VLOOKUP($D140,$C$5:$AV$509,3,))*$E140)</f>
        <v>0</v>
      </c>
      <c r="X140" s="47">
        <f>IF(VLOOKUP($D140,$C$5:$AV$509,3,)=0,0,(VLOOKUP($D140,$C$5:$AV$509,21,)/VLOOKUP($D140,$C$5:$AV$509,3,))*$E140)</f>
        <v>0</v>
      </c>
      <c r="Y140" s="47">
        <f>IF(VLOOKUP($D140,$C$5:$AV$509,3,)=0,0,(VLOOKUP($D140,$C$5:$AV$509,22,)/VLOOKUP($D140,$C$5:$AV$509,3,))*$E140)</f>
        <v>0</v>
      </c>
      <c r="Z140" s="47">
        <f>IF(VLOOKUP($D140,$C$5:$AV$509,3,)=0,0,(VLOOKUP($D140,$C$5:$AV$509,23,)/VLOOKUP($D140,$C$5:$AV$509,3,))*$E140)</f>
        <v>0</v>
      </c>
      <c r="AA140" s="47">
        <f>IF(VLOOKUP($D140,$C$5:$AV$509,3,)=0,0,(VLOOKUP($D140,$C$5:$AV$509,24,)/VLOOKUP($D140,$C$5:$AV$509,3,))*$E140)</f>
        <v>0</v>
      </c>
      <c r="AB140" s="47">
        <f>IF(VLOOKUP($D140,$C$5:$AV$509,3,)=0,0,(VLOOKUP($D140,$C$5:$AV$509,25,)/VLOOKUP($D140,$C$5:$AV$509,3,))*$E140)</f>
        <v>0</v>
      </c>
      <c r="AC140" s="47">
        <f>IF(VLOOKUP($D140,$C$5:$AV$509,3,)=0,0,(VLOOKUP($D140,$C$5:$AV$509,26,)/VLOOKUP($D140,$C$5:$AV$509,3,))*$E140)</f>
        <v>0</v>
      </c>
      <c r="AD140" s="47">
        <f>IF(VLOOKUP($D140,$C$5:$AV$509,3,)=0,0,(VLOOKUP($D140,$C$5:$AV$509,27,)/VLOOKUP($D140,$C$5:$AV$509,3,))*$E140)</f>
        <v>0</v>
      </c>
      <c r="AE140" s="47">
        <f>IF(VLOOKUP($D140,$C$5:$AV$509,3,)=0,0,(VLOOKUP($D140,$C$5:$AV$509,28,)/VLOOKUP($D140,$C$5:$AV$509,3,))*$E140)</f>
        <v>0</v>
      </c>
      <c r="AF140" s="47">
        <f>IF(VLOOKUP($D140,$C$5:$AV$509,3,)=0,0,(VLOOKUP($D140,$C$5:$AV$509,29,)/VLOOKUP($D140,$C$5:$AV$509,3,))*$E140)</f>
        <v>0</v>
      </c>
      <c r="AG140" s="47">
        <f>IF(VLOOKUP($D140,$C$5:$AV$509,3,)=0,0,(VLOOKUP($D140,$C$5:$AV$509,30,)/VLOOKUP($D140,$C$5:$AV$509,3,))*$E140)</f>
        <v>0</v>
      </c>
      <c r="AH140" s="47">
        <f t="shared" si="87"/>
        <v>340564.20726936118</v>
      </c>
      <c r="AI140" s="27" t="str">
        <f>IF(ABS(E140-AH140)&lt;0.01,"ok","err")</f>
        <v>ok</v>
      </c>
      <c r="AK140" s="45">
        <f>H140/I140</f>
        <v>9.7126215471522297</v>
      </c>
    </row>
    <row r="141" spans="1:37" x14ac:dyDescent="0.2">
      <c r="A141" s="14" t="s">
        <v>228</v>
      </c>
      <c r="E141" s="62">
        <f t="shared" ref="E141:U141" si="88">E139+E140</f>
        <v>340564.20726936113</v>
      </c>
      <c r="F141" s="62">
        <f t="shared" si="88"/>
        <v>290504.49373760185</v>
      </c>
      <c r="G141" s="62">
        <f t="shared" si="88"/>
        <v>11.305876385973995</v>
      </c>
      <c r="H141" s="62">
        <f t="shared" si="88"/>
        <v>42050.222914381622</v>
      </c>
      <c r="I141" s="62">
        <f t="shared" si="88"/>
        <v>4329.4410999377278</v>
      </c>
      <c r="J141" s="62">
        <f t="shared" si="88"/>
        <v>3461.9410841106965</v>
      </c>
      <c r="K141" s="62">
        <f t="shared" si="88"/>
        <v>0</v>
      </c>
      <c r="L141" s="62">
        <f t="shared" si="88"/>
        <v>177.71061506004474</v>
      </c>
      <c r="M141" s="62">
        <f t="shared" ref="M141" si="89">M139+M140</f>
        <v>29.091941883283166</v>
      </c>
      <c r="N141" s="62">
        <f t="shared" si="88"/>
        <v>0</v>
      </c>
      <c r="O141" s="62">
        <f t="shared" si="88"/>
        <v>0</v>
      </c>
      <c r="P141" s="62">
        <f t="shared" si="88"/>
        <v>0</v>
      </c>
      <c r="Q141" s="62">
        <f t="shared" si="88"/>
        <v>0</v>
      </c>
      <c r="R141" s="62">
        <f t="shared" si="88"/>
        <v>0</v>
      </c>
      <c r="S141" s="62">
        <f t="shared" si="88"/>
        <v>0</v>
      </c>
      <c r="T141" s="62">
        <f t="shared" si="88"/>
        <v>0</v>
      </c>
      <c r="U141" s="62">
        <f t="shared" si="88"/>
        <v>0</v>
      </c>
      <c r="V141" s="62">
        <f t="shared" ref="V141:AG141" si="90">V139+V140</f>
        <v>0</v>
      </c>
      <c r="W141" s="62">
        <f t="shared" si="90"/>
        <v>0</v>
      </c>
      <c r="X141" s="62">
        <f t="shared" si="90"/>
        <v>0</v>
      </c>
      <c r="Y141" s="62">
        <f t="shared" si="90"/>
        <v>0</v>
      </c>
      <c r="Z141" s="62">
        <f t="shared" si="90"/>
        <v>0</v>
      </c>
      <c r="AA141" s="62">
        <f t="shared" si="90"/>
        <v>0</v>
      </c>
      <c r="AB141" s="62">
        <f t="shared" si="90"/>
        <v>0</v>
      </c>
      <c r="AC141" s="62">
        <f t="shared" si="90"/>
        <v>0</v>
      </c>
      <c r="AD141" s="62">
        <f t="shared" si="90"/>
        <v>0</v>
      </c>
      <c r="AE141" s="62">
        <f t="shared" si="90"/>
        <v>0</v>
      </c>
      <c r="AF141" s="62">
        <f t="shared" si="90"/>
        <v>0</v>
      </c>
      <c r="AG141" s="62">
        <f t="shared" si="90"/>
        <v>0</v>
      </c>
      <c r="AH141" s="87">
        <f>SUM(F141:AG141)</f>
        <v>340564.20726936118</v>
      </c>
      <c r="AI141" s="27" t="str">
        <f>IF(ABS(E141-AH141)&lt;0.01,"ok","err")</f>
        <v>ok</v>
      </c>
      <c r="AK141" s="45">
        <f>H141/I141</f>
        <v>9.7126215471522297</v>
      </c>
    </row>
    <row r="142" spans="1:37" x14ac:dyDescent="0.2">
      <c r="E142" s="47"/>
    </row>
    <row r="143" spans="1:37" x14ac:dyDescent="0.2">
      <c r="A143" s="13" t="s">
        <v>4</v>
      </c>
      <c r="E143" s="47"/>
    </row>
    <row r="144" spans="1:37" x14ac:dyDescent="0.2">
      <c r="A144" s="90" t="s">
        <v>221</v>
      </c>
      <c r="C144" s="14" t="s">
        <v>270</v>
      </c>
      <c r="D144" s="14" t="s">
        <v>230</v>
      </c>
      <c r="E144" s="62">
        <f>'Func &amp; Classif'!U285</f>
        <v>579687.7493275929</v>
      </c>
      <c r="F144" s="47">
        <f>IF(VLOOKUP($D144,$C$5:$AV$509,3,)=0,0,(VLOOKUP($D144,$C$5:$AV$509,4,)/VLOOKUP($D144,$C$5:$AV$509,3,))*$E144)</f>
        <v>515433.70079544157</v>
      </c>
      <c r="G144" s="47">
        <f>IF(VLOOKUP($D144,$C$5:$AV$509,3,)=0,0,(VLOOKUP($D144,$C$5:$AV$509,5,)/VLOOKUP($D144,$C$5:$AV$509,3,))*$E144)</f>
        <v>20.059688686337484</v>
      </c>
      <c r="H144" s="47">
        <f>IF(VLOOKUP($D144,$C$5:$AV$509,3,)=0,0,(VLOOKUP($D144,$C$5:$AV$509,6,)/VLOOKUP($D144,$C$5:$AV$509,3,))*$E144)</f>
        <v>50789.858122778794</v>
      </c>
      <c r="I144" s="47">
        <f>IF(VLOOKUP($D144,$C$5:$AV$509,3,)=0,0,(VLOOKUP($D144,$C$5:$AV$509,7,)/VLOOKUP($D144,$C$5:$AV$509,3,))*$E144)</f>
        <v>6298.7422475099693</v>
      </c>
      <c r="J144" s="47">
        <f>IF(VLOOKUP($D144,$C$5:$AV$509,3,)=0,0,(VLOOKUP($D144,$C$5:$AV$509,8,)/VLOOKUP($D144,$C$5:$AV$509,3,))*$E144)</f>
        <v>6555.0604918353929</v>
      </c>
      <c r="K144" s="47">
        <f>IF(VLOOKUP($D144,$C$5:$AV$509,3,)=0,0,(VLOOKUP($D144,$C$5:$AV$509,9,)/VLOOKUP($D144,$C$5:$AV$509,3,))*$E144)</f>
        <v>0</v>
      </c>
      <c r="L144" s="47">
        <f>IF(VLOOKUP($D144,$C$5:$AV$509,3,)=0,0,(VLOOKUP($D144,$C$5:$AV$509,10,)/VLOOKUP($D144,$C$5:$AV$509,3,))*$E144)</f>
        <v>524.73598341403454</v>
      </c>
      <c r="M144" s="47">
        <f>IF(VLOOKUP($D144,$C$5:$AV$509,3,)=0,0,(VLOOKUP($D144,$C$5:$AV$509,11,)/VLOOKUP($D144,$C$5:$AV$509,3,))*$E144)</f>
        <v>65.591997926754317</v>
      </c>
      <c r="N144" s="47">
        <f>IF(VLOOKUP($D144,$C$5:$AV$509,3,)=0,0,(VLOOKUP($D144,$C$5:$AV$509,12,)/VLOOKUP($D144,$C$5:$AV$509,3,))*$E144)</f>
        <v>0</v>
      </c>
      <c r="O144" s="47">
        <f>IF(VLOOKUP($D144,$C$5:$AV$509,3,)=0,0,(VLOOKUP($D144,$C$5:$AV$509,14,)/VLOOKUP($D144,$C$5:$AV$509,3,))*$E144)</f>
        <v>0</v>
      </c>
      <c r="P144" s="47">
        <f>IF(VLOOKUP($D144,$C$5:$AV$509,3,)=0,0,(VLOOKUP($D144,$C$5:$AV$509,14,)/VLOOKUP($D144,$C$5:$AV$509,3,))*$E144)</f>
        <v>0</v>
      </c>
      <c r="Q144" s="47">
        <f>IF(VLOOKUP($D144,$C$5:$AV$509,3,)=0,0,(VLOOKUP($D144,$C$5:$AV$509,14,)/VLOOKUP($D144,$C$5:$AV$509,3,))*$E144)</f>
        <v>0</v>
      </c>
      <c r="R144" s="47">
        <f>IF(VLOOKUP($D144,$C$5:$AV$509,3,)=0,0,(VLOOKUP($D144,$C$5:$AV$509,15,)/VLOOKUP($D144,$C$5:$AV$509,3,))*$E144)</f>
        <v>0</v>
      </c>
      <c r="S144" s="47">
        <f>IF(VLOOKUP($D144,$C$5:$AV$509,3,)=0,0,(VLOOKUP($D144,$C$5:$AV$509,16,)/VLOOKUP($D144,$C$5:$AV$509,3,))*$E144)</f>
        <v>0</v>
      </c>
      <c r="T144" s="47">
        <f>IF(VLOOKUP($D144,$C$5:$AV$509,3,)=0,0,(VLOOKUP($D144,$C$5:$AV$509,17,)/VLOOKUP($D144,$C$5:$AV$509,3,))*$E144)</f>
        <v>0</v>
      </c>
      <c r="U144" s="47">
        <f>IF(VLOOKUP($D144,$C$5:$AV$509,3,)=0,0,(VLOOKUP($D144,$C$5:$AV$509,18,)/VLOOKUP($D144,$C$5:$AV$509,3,))*$E144)</f>
        <v>0</v>
      </c>
      <c r="V144" s="47">
        <f>IF(VLOOKUP($D144,$C$5:$AV$509,3,)=0,0,(VLOOKUP($D144,$C$5:$AV$509,19,)/VLOOKUP($D144,$C$5:$AV$509,3,))*$E144)</f>
        <v>0</v>
      </c>
      <c r="W144" s="47">
        <f>IF(VLOOKUP($D144,$C$5:$AV$509,3,)=0,0,(VLOOKUP($D144,$C$5:$AV$509,20,)/VLOOKUP($D144,$C$5:$AV$509,3,))*$E144)</f>
        <v>0</v>
      </c>
      <c r="X144" s="47">
        <f>IF(VLOOKUP($D144,$C$5:$AV$509,3,)=0,0,(VLOOKUP($D144,$C$5:$AV$509,21,)/VLOOKUP($D144,$C$5:$AV$509,3,))*$E144)</f>
        <v>0</v>
      </c>
      <c r="Y144" s="47">
        <f>IF(VLOOKUP($D144,$C$5:$AV$509,3,)=0,0,(VLOOKUP($D144,$C$5:$AV$509,22,)/VLOOKUP($D144,$C$5:$AV$509,3,))*$E144)</f>
        <v>0</v>
      </c>
      <c r="Z144" s="47">
        <f>IF(VLOOKUP($D144,$C$5:$AV$509,3,)=0,0,(VLOOKUP($D144,$C$5:$AV$509,23,)/VLOOKUP($D144,$C$5:$AV$509,3,))*$E144)</f>
        <v>0</v>
      </c>
      <c r="AA144" s="47">
        <f>IF(VLOOKUP($D144,$C$5:$AV$509,3,)=0,0,(VLOOKUP($D144,$C$5:$AV$509,24,)/VLOOKUP($D144,$C$5:$AV$509,3,))*$E144)</f>
        <v>0</v>
      </c>
      <c r="AB144" s="47">
        <f>IF(VLOOKUP($D144,$C$5:$AV$509,3,)=0,0,(VLOOKUP($D144,$C$5:$AV$509,25,)/VLOOKUP($D144,$C$5:$AV$509,3,))*$E144)</f>
        <v>0</v>
      </c>
      <c r="AC144" s="47">
        <f>IF(VLOOKUP($D144,$C$5:$AV$509,3,)=0,0,(VLOOKUP($D144,$C$5:$AV$509,26,)/VLOOKUP($D144,$C$5:$AV$509,3,))*$E144)</f>
        <v>0</v>
      </c>
      <c r="AD144" s="47">
        <f>IF(VLOOKUP($D144,$C$5:$AV$509,3,)=0,0,(VLOOKUP($D144,$C$5:$AV$509,27,)/VLOOKUP($D144,$C$5:$AV$509,3,))*$E144)</f>
        <v>0</v>
      </c>
      <c r="AE144" s="47">
        <f>IF(VLOOKUP($D144,$C$5:$AV$509,3,)=0,0,(VLOOKUP($D144,$C$5:$AV$509,28,)/VLOOKUP($D144,$C$5:$AV$509,3,))*$E144)</f>
        <v>0</v>
      </c>
      <c r="AF144" s="47">
        <f>IF(VLOOKUP($D144,$C$5:$AV$509,3,)=0,0,(VLOOKUP($D144,$C$5:$AV$509,29,)/VLOOKUP($D144,$C$5:$AV$509,3,))*$E144)</f>
        <v>0</v>
      </c>
      <c r="AG144" s="47">
        <f>IF(VLOOKUP($D144,$C$5:$AV$509,3,)=0,0,(VLOOKUP($D144,$C$5:$AV$509,30,)/VLOOKUP($D144,$C$5:$AV$509,3,))*$E144)</f>
        <v>0</v>
      </c>
      <c r="AH144" s="47">
        <f t="shared" ref="AH144" si="91">SUM(F144:AG144)</f>
        <v>579687.74932759278</v>
      </c>
      <c r="AI144" s="27" t="str">
        <f>IF(ABS(E144-AH144)&lt;0.01,"ok","err")</f>
        <v>ok</v>
      </c>
      <c r="AK144" s="45">
        <f>H144/I144</f>
        <v>8.0634920634920633</v>
      </c>
    </row>
    <row r="145" spans="1:37" x14ac:dyDescent="0.2">
      <c r="E145" s="47"/>
    </row>
    <row r="146" spans="1:37" x14ac:dyDescent="0.2">
      <c r="A146" s="13" t="s">
        <v>5</v>
      </c>
      <c r="E146" s="47"/>
    </row>
    <row r="147" spans="1:37" x14ac:dyDescent="0.2">
      <c r="A147" s="90" t="s">
        <v>221</v>
      </c>
      <c r="C147" s="14" t="s">
        <v>271</v>
      </c>
      <c r="D147" s="14" t="s">
        <v>232</v>
      </c>
      <c r="E147" s="62">
        <f>'Func &amp; Classif'!W285</f>
        <v>60463.532362982674</v>
      </c>
      <c r="F147" s="47">
        <f>IF(VLOOKUP($D147,$C$5:$AV$509,3,)=0,0,(VLOOKUP($D147,$C$5:$AV$509,4,)/VLOOKUP($D147,$C$5:$AV$509,3,))*$E147)</f>
        <v>0</v>
      </c>
      <c r="G147" s="47">
        <f>IF(VLOOKUP($D147,$C$5:$AV$509,3,)=0,0,(VLOOKUP($D147,$C$5:$AV$509,5,)/VLOOKUP($D147,$C$5:$AV$509,3,))*$E147)</f>
        <v>0</v>
      </c>
      <c r="H147" s="47">
        <f>IF(VLOOKUP($D147,$C$5:$AV$509,3,)=0,0,(VLOOKUP($D147,$C$5:$AV$509,6,)/VLOOKUP($D147,$C$5:$AV$509,3,))*$E147)</f>
        <v>0</v>
      </c>
      <c r="I147" s="47">
        <f>IF(VLOOKUP($D147,$C$5:$AV$509,3,)=0,0,(VLOOKUP($D147,$C$5:$AV$509,7,)/VLOOKUP($D147,$C$5:$AV$509,3,))*$E147)</f>
        <v>0</v>
      </c>
      <c r="J147" s="47">
        <f>IF(VLOOKUP($D147,$C$5:$AV$509,3,)=0,0,(VLOOKUP($D147,$C$5:$AV$509,8,)/VLOOKUP($D147,$C$5:$AV$509,3,))*$E147)</f>
        <v>0</v>
      </c>
      <c r="K147" s="47">
        <f>IF(VLOOKUP($D147,$C$5:$AV$509,3,)=0,0,(VLOOKUP($D147,$C$5:$AV$509,9,)/VLOOKUP($D147,$C$5:$AV$509,3,))*$E147)</f>
        <v>0</v>
      </c>
      <c r="L147" s="47">
        <f>IF(VLOOKUP($D147,$C$5:$AV$509,3,)=0,0,(VLOOKUP($D147,$C$5:$AV$509,10,)/VLOOKUP($D147,$C$5:$AV$509,3,))*$E147)</f>
        <v>0</v>
      </c>
      <c r="M147" s="47">
        <f>IF(VLOOKUP($D147,$C$5:$AV$509,3,)=0,0,(VLOOKUP($D147,$C$5:$AV$509,11,)/VLOOKUP($D147,$C$5:$AV$509,3,))*$E147)</f>
        <v>0</v>
      </c>
      <c r="N147" s="47">
        <f>IF(VLOOKUP($D147,$C$5:$AV$509,3,)=0,0,(VLOOKUP($D147,$C$5:$AV$509,12,)/VLOOKUP($D147,$C$5:$AV$509,3,))*$E147)</f>
        <v>60463.532362982674</v>
      </c>
      <c r="O147" s="47">
        <f>IF(VLOOKUP($D147,$C$5:$AV$509,3,)=0,0,(VLOOKUP($D147,$C$5:$AV$509,14,)/VLOOKUP($D147,$C$5:$AV$509,3,))*$E147)</f>
        <v>0</v>
      </c>
      <c r="P147" s="47">
        <f>IF(VLOOKUP($D147,$C$5:$AV$509,3,)=0,0,(VLOOKUP($D147,$C$5:$AV$509,14,)/VLOOKUP($D147,$C$5:$AV$509,3,))*$E147)</f>
        <v>0</v>
      </c>
      <c r="Q147" s="47">
        <f>IF(VLOOKUP($D147,$C$5:$AV$509,3,)=0,0,(VLOOKUP($D147,$C$5:$AV$509,14,)/VLOOKUP($D147,$C$5:$AV$509,3,))*$E147)</f>
        <v>0</v>
      </c>
      <c r="R147" s="47">
        <f>IF(VLOOKUP($D147,$C$5:$AV$509,3,)=0,0,(VLOOKUP($D147,$C$5:$AV$509,15,)/VLOOKUP($D147,$C$5:$AV$509,3,))*$E147)</f>
        <v>0</v>
      </c>
      <c r="S147" s="47">
        <f>IF(VLOOKUP($D147,$C$5:$AV$509,3,)=0,0,(VLOOKUP($D147,$C$5:$AV$509,16,)/VLOOKUP($D147,$C$5:$AV$509,3,))*$E147)</f>
        <v>0</v>
      </c>
      <c r="T147" s="47">
        <f>IF(VLOOKUP($D147,$C$5:$AV$509,3,)=0,0,(VLOOKUP($D147,$C$5:$AV$509,17,)/VLOOKUP($D147,$C$5:$AV$509,3,))*$E147)</f>
        <v>0</v>
      </c>
      <c r="U147" s="47">
        <f>IF(VLOOKUP($D147,$C$5:$AV$509,3,)=0,0,(VLOOKUP($D147,$C$5:$AV$509,18,)/VLOOKUP($D147,$C$5:$AV$509,3,))*$E147)</f>
        <v>0</v>
      </c>
      <c r="V147" s="47">
        <f>IF(VLOOKUP($D147,$C$5:$AV$509,3,)=0,0,(VLOOKUP($D147,$C$5:$AV$509,19,)/VLOOKUP($D147,$C$5:$AV$509,3,))*$E147)</f>
        <v>0</v>
      </c>
      <c r="W147" s="47">
        <f>IF(VLOOKUP($D147,$C$5:$AV$509,3,)=0,0,(VLOOKUP($D147,$C$5:$AV$509,20,)/VLOOKUP($D147,$C$5:$AV$509,3,))*$E147)</f>
        <v>0</v>
      </c>
      <c r="X147" s="47">
        <f>IF(VLOOKUP($D147,$C$5:$AV$509,3,)=0,0,(VLOOKUP($D147,$C$5:$AV$509,21,)/VLOOKUP($D147,$C$5:$AV$509,3,))*$E147)</f>
        <v>0</v>
      </c>
      <c r="Y147" s="47">
        <f>IF(VLOOKUP($D147,$C$5:$AV$509,3,)=0,0,(VLOOKUP($D147,$C$5:$AV$509,22,)/VLOOKUP($D147,$C$5:$AV$509,3,))*$E147)</f>
        <v>0</v>
      </c>
      <c r="Z147" s="47">
        <f>IF(VLOOKUP($D147,$C$5:$AV$509,3,)=0,0,(VLOOKUP($D147,$C$5:$AV$509,23,)/VLOOKUP($D147,$C$5:$AV$509,3,))*$E147)</f>
        <v>0</v>
      </c>
      <c r="AA147" s="47">
        <f>IF(VLOOKUP($D147,$C$5:$AV$509,3,)=0,0,(VLOOKUP($D147,$C$5:$AV$509,24,)/VLOOKUP($D147,$C$5:$AV$509,3,))*$E147)</f>
        <v>0</v>
      </c>
      <c r="AB147" s="47">
        <f>IF(VLOOKUP($D147,$C$5:$AV$509,3,)=0,0,(VLOOKUP($D147,$C$5:$AV$509,25,)/VLOOKUP($D147,$C$5:$AV$509,3,))*$E147)</f>
        <v>0</v>
      </c>
      <c r="AC147" s="47">
        <f>IF(VLOOKUP($D147,$C$5:$AV$509,3,)=0,0,(VLOOKUP($D147,$C$5:$AV$509,26,)/VLOOKUP($D147,$C$5:$AV$509,3,))*$E147)</f>
        <v>0</v>
      </c>
      <c r="AD147" s="47">
        <f>IF(VLOOKUP($D147,$C$5:$AV$509,3,)=0,0,(VLOOKUP($D147,$C$5:$AV$509,27,)/VLOOKUP($D147,$C$5:$AV$509,3,))*$E147)</f>
        <v>0</v>
      </c>
      <c r="AE147" s="47">
        <f>IF(VLOOKUP($D147,$C$5:$AV$509,3,)=0,0,(VLOOKUP($D147,$C$5:$AV$509,28,)/VLOOKUP($D147,$C$5:$AV$509,3,))*$E147)</f>
        <v>0</v>
      </c>
      <c r="AF147" s="47">
        <f>IF(VLOOKUP($D147,$C$5:$AV$509,3,)=0,0,(VLOOKUP($D147,$C$5:$AV$509,29,)/VLOOKUP($D147,$C$5:$AV$509,3,))*$E147)</f>
        <v>0</v>
      </c>
      <c r="AG147" s="47">
        <f>IF(VLOOKUP($D147,$C$5:$AV$509,3,)=0,0,(VLOOKUP($D147,$C$5:$AV$509,30,)/VLOOKUP($D147,$C$5:$AV$509,3,))*$E147)</f>
        <v>0</v>
      </c>
      <c r="AH147" s="47">
        <f t="shared" ref="AH147" si="92">SUM(F147:AG147)</f>
        <v>60463.532362982674</v>
      </c>
      <c r="AI147" s="27" t="str">
        <f>IF(ABS(E147-AH147)&lt;0.01,"ok","err")</f>
        <v>ok</v>
      </c>
      <c r="AK147" s="45" t="e">
        <f>H147/I147</f>
        <v>#DIV/0!</v>
      </c>
    </row>
    <row r="148" spans="1:37" x14ac:dyDescent="0.2">
      <c r="E148" s="47"/>
    </row>
    <row r="149" spans="1:37" x14ac:dyDescent="0.2">
      <c r="A149" s="13" t="s">
        <v>545</v>
      </c>
      <c r="E149" s="47"/>
    </row>
    <row r="150" spans="1:37" x14ac:dyDescent="0.2">
      <c r="A150" s="90" t="s">
        <v>221</v>
      </c>
      <c r="C150" s="14" t="s">
        <v>272</v>
      </c>
      <c r="D150" s="14" t="s">
        <v>234</v>
      </c>
      <c r="E150" s="62">
        <f>'Func &amp; Classif'!Y285</f>
        <v>2177897.6871231631</v>
      </c>
      <c r="F150" s="47">
        <f>IF(VLOOKUP($D150,$C$5:$AV$509,3,)=0,0,(VLOOKUP($D150,$C$5:$AV$509,4,)/VLOOKUP($D150,$C$5:$AV$509,3,))*$E150)</f>
        <v>1971018.9022073038</v>
      </c>
      <c r="G150" s="47">
        <f>IF(VLOOKUP($D150,$C$5:$AV$509,3,)=0,0,(VLOOKUP($D150,$C$5:$AV$509,5,)/VLOOKUP($D150,$C$5:$AV$509,3,))*$E150)</f>
        <v>76.708266285553762</v>
      </c>
      <c r="H150" s="47">
        <f>IF(VLOOKUP($D150,$C$5:$AV$509,3,)=0,0,(VLOOKUP($D150,$C$5:$AV$509,6,)/VLOOKUP($D150,$C$5:$AV$509,3,))*$E150)</f>
        <v>155871.19709224525</v>
      </c>
      <c r="I150" s="47">
        <f>IF(VLOOKUP($D150,$C$5:$AV$509,3,)=0,0,(VLOOKUP($D150,$C$5:$AV$509,7,)/VLOOKUP($D150,$C$5:$AV$509,3,))*$E150)</f>
        <v>24086.395613663884</v>
      </c>
      <c r="J150" s="47">
        <f>IF(VLOOKUP($D150,$C$5:$AV$509,3,)=0,0,(VLOOKUP($D150,$C$5:$AV$509,8,)/VLOOKUP($D150,$C$5:$AV$509,3,))*$E150)</f>
        <v>9128.2836879808965</v>
      </c>
      <c r="K150" s="47">
        <f>IF(VLOOKUP($D150,$C$5:$AV$509,3,)=0,0,(VLOOKUP($D150,$C$5:$AV$509,9,)/VLOOKUP($D150,$C$5:$AV$509,3,))*$E150)</f>
        <v>0</v>
      </c>
      <c r="L150" s="47">
        <f>IF(VLOOKUP($D150,$C$5:$AV$509,3,)=0,0,(VLOOKUP($D150,$C$5:$AV$509,10,)/VLOOKUP($D150,$C$5:$AV$509,3,))*$E150)</f>
        <v>613.6661302844301</v>
      </c>
      <c r="M150" s="47">
        <f>IF(VLOOKUP($D150,$C$5:$AV$509,3,)=0,0,(VLOOKUP($D150,$C$5:$AV$509,11,)/VLOOKUP($D150,$C$5:$AV$509,3,))*$E150)</f>
        <v>76.708266285553762</v>
      </c>
      <c r="N150" s="47">
        <f>IF(VLOOKUP($D150,$C$5:$AV$509,3,)=0,0,(VLOOKUP($D150,$C$5:$AV$509,12,)/VLOOKUP($D150,$C$5:$AV$509,3,))*$E150)</f>
        <v>17025.825859113578</v>
      </c>
      <c r="O150" s="47">
        <f>IF(VLOOKUP($D150,$C$5:$AV$509,3,)=0,0,(VLOOKUP($D150,$C$5:$AV$509,14,)/VLOOKUP($D150,$C$5:$AV$509,3,))*$E150)</f>
        <v>0</v>
      </c>
      <c r="P150" s="47">
        <f>IF(VLOOKUP($D150,$C$5:$AV$509,3,)=0,0,(VLOOKUP($D150,$C$5:$AV$509,14,)/VLOOKUP($D150,$C$5:$AV$509,3,))*$E150)</f>
        <v>0</v>
      </c>
      <c r="Q150" s="47">
        <f>IF(VLOOKUP($D150,$C$5:$AV$509,3,)=0,0,(VLOOKUP($D150,$C$5:$AV$509,14,)/VLOOKUP($D150,$C$5:$AV$509,3,))*$E150)</f>
        <v>0</v>
      </c>
      <c r="R150" s="47">
        <f>IF(VLOOKUP($D150,$C$5:$AV$509,3,)=0,0,(VLOOKUP($D150,$C$5:$AV$509,15,)/VLOOKUP($D150,$C$5:$AV$509,3,))*$E150)</f>
        <v>0</v>
      </c>
      <c r="S150" s="47">
        <f>IF(VLOOKUP($D150,$C$5:$AV$509,3,)=0,0,(VLOOKUP($D150,$C$5:$AV$509,16,)/VLOOKUP($D150,$C$5:$AV$509,3,))*$E150)</f>
        <v>0</v>
      </c>
      <c r="T150" s="47">
        <f>IF(VLOOKUP($D150,$C$5:$AV$509,3,)=0,0,(VLOOKUP($D150,$C$5:$AV$509,17,)/VLOOKUP($D150,$C$5:$AV$509,3,))*$E150)</f>
        <v>0</v>
      </c>
      <c r="U150" s="47">
        <f>IF(VLOOKUP($D150,$C$5:$AV$509,3,)=0,0,(VLOOKUP($D150,$C$5:$AV$509,18,)/VLOOKUP($D150,$C$5:$AV$509,3,))*$E150)</f>
        <v>0</v>
      </c>
      <c r="V150" s="47">
        <f>IF(VLOOKUP($D150,$C$5:$AV$509,3,)=0,0,(VLOOKUP($D150,$C$5:$AV$509,19,)/VLOOKUP($D150,$C$5:$AV$509,3,))*$E150)</f>
        <v>0</v>
      </c>
      <c r="W150" s="47">
        <f>IF(VLOOKUP($D150,$C$5:$AV$509,3,)=0,0,(VLOOKUP($D150,$C$5:$AV$509,20,)/VLOOKUP($D150,$C$5:$AV$509,3,))*$E150)</f>
        <v>0</v>
      </c>
      <c r="X150" s="47">
        <f>IF(VLOOKUP($D150,$C$5:$AV$509,3,)=0,0,(VLOOKUP($D150,$C$5:$AV$509,21,)/VLOOKUP($D150,$C$5:$AV$509,3,))*$E150)</f>
        <v>0</v>
      </c>
      <c r="Y150" s="47">
        <f>IF(VLOOKUP($D150,$C$5:$AV$509,3,)=0,0,(VLOOKUP($D150,$C$5:$AV$509,22,)/VLOOKUP($D150,$C$5:$AV$509,3,))*$E150)</f>
        <v>0</v>
      </c>
      <c r="Z150" s="47">
        <f>IF(VLOOKUP($D150,$C$5:$AV$509,3,)=0,0,(VLOOKUP($D150,$C$5:$AV$509,23,)/VLOOKUP($D150,$C$5:$AV$509,3,))*$E150)</f>
        <v>0</v>
      </c>
      <c r="AA150" s="47">
        <f>IF(VLOOKUP($D150,$C$5:$AV$509,3,)=0,0,(VLOOKUP($D150,$C$5:$AV$509,24,)/VLOOKUP($D150,$C$5:$AV$509,3,))*$E150)</f>
        <v>0</v>
      </c>
      <c r="AB150" s="47">
        <f>IF(VLOOKUP($D150,$C$5:$AV$509,3,)=0,0,(VLOOKUP($D150,$C$5:$AV$509,25,)/VLOOKUP($D150,$C$5:$AV$509,3,))*$E150)</f>
        <v>0</v>
      </c>
      <c r="AC150" s="47">
        <f>IF(VLOOKUP($D150,$C$5:$AV$509,3,)=0,0,(VLOOKUP($D150,$C$5:$AV$509,26,)/VLOOKUP($D150,$C$5:$AV$509,3,))*$E150)</f>
        <v>0</v>
      </c>
      <c r="AD150" s="47">
        <f>IF(VLOOKUP($D150,$C$5:$AV$509,3,)=0,0,(VLOOKUP($D150,$C$5:$AV$509,27,)/VLOOKUP($D150,$C$5:$AV$509,3,))*$E150)</f>
        <v>0</v>
      </c>
      <c r="AE150" s="47">
        <f>IF(VLOOKUP($D150,$C$5:$AV$509,3,)=0,0,(VLOOKUP($D150,$C$5:$AV$509,28,)/VLOOKUP($D150,$C$5:$AV$509,3,))*$E150)</f>
        <v>0</v>
      </c>
      <c r="AF150" s="47">
        <f>IF(VLOOKUP($D150,$C$5:$AV$509,3,)=0,0,(VLOOKUP($D150,$C$5:$AV$509,29,)/VLOOKUP($D150,$C$5:$AV$509,3,))*$E150)</f>
        <v>0</v>
      </c>
      <c r="AG150" s="47">
        <f>IF(VLOOKUP($D150,$C$5:$AV$509,3,)=0,0,(VLOOKUP($D150,$C$5:$AV$509,30,)/VLOOKUP($D150,$C$5:$AV$509,3,))*$E150)</f>
        <v>0</v>
      </c>
      <c r="AH150" s="47">
        <f t="shared" ref="AH150" si="93">SUM(F150:AG150)</f>
        <v>2177897.6871231627</v>
      </c>
      <c r="AI150" s="27" t="str">
        <f>IF(ABS(E150-AH150)&lt;0.01,"ok","err")</f>
        <v>ok</v>
      </c>
      <c r="AK150" s="45">
        <f>H150/I150</f>
        <v>6.4713375796178338</v>
      </c>
    </row>
    <row r="151" spans="1:37" x14ac:dyDescent="0.2">
      <c r="E151" s="47"/>
    </row>
    <row r="152" spans="1:37" x14ac:dyDescent="0.2">
      <c r="A152" s="13" t="s">
        <v>470</v>
      </c>
      <c r="E152" s="47"/>
    </row>
    <row r="153" spans="1:37" x14ac:dyDescent="0.2">
      <c r="A153" s="90" t="s">
        <v>221</v>
      </c>
      <c r="C153" s="14" t="s">
        <v>269</v>
      </c>
      <c r="D153" s="14" t="s">
        <v>235</v>
      </c>
      <c r="E153" s="62">
        <f>'Func &amp; Classif'!AA285</f>
        <v>10575.158080468387</v>
      </c>
      <c r="F153" s="47">
        <f>IF(VLOOKUP($D153,$C$5:$AV$509,3,)=0,0,(VLOOKUP($D153,$C$5:$AV$509,4,)/VLOOKUP($D153,$C$5:$AV$509,3,))*$E153)</f>
        <v>7121.1459425974954</v>
      </c>
      <c r="G153" s="47">
        <f>IF(VLOOKUP($D153,$C$5:$AV$509,3,)=0,0,(VLOOKUP($D153,$C$5:$AV$509,5,)/VLOOKUP($D153,$C$5:$AV$509,3,))*$E153)</f>
        <v>0.2771413093052148</v>
      </c>
      <c r="H153" s="47">
        <f>IF(VLOOKUP($D153,$C$5:$AV$509,3,)=0,0,(VLOOKUP($D153,$C$5:$AV$509,6,)/VLOOKUP($D153,$C$5:$AV$509,3,))*$E153)</f>
        <v>563.15114050819648</v>
      </c>
      <c r="I153" s="47">
        <f>IF(VLOOKUP($D153,$C$5:$AV$509,3,)=0,0,(VLOOKUP($D153,$C$5:$AV$509,7,)/VLOOKUP($D153,$C$5:$AV$509,3,))*$E153)</f>
        <v>87.022371121837452</v>
      </c>
      <c r="J153" s="47">
        <f>IF(VLOOKUP($D153,$C$5:$AV$509,3,)=0,0,(VLOOKUP($D153,$C$5:$AV$509,8,)/VLOOKUP($D153,$C$5:$AV$509,3,))*$E153)</f>
        <v>32.979815807320563</v>
      </c>
      <c r="K153" s="47">
        <f>IF(VLOOKUP($D153,$C$5:$AV$509,3,)=0,0,(VLOOKUP($D153,$C$5:$AV$509,9,)/VLOOKUP($D153,$C$5:$AV$509,3,))*$E153)</f>
        <v>0</v>
      </c>
      <c r="L153" s="47">
        <f>IF(VLOOKUP($D153,$C$5:$AV$509,3,)=0,0,(VLOOKUP($D153,$C$5:$AV$509,10,)/VLOOKUP($D153,$C$5:$AV$509,3,))*$E153)</f>
        <v>2.2171304744417184</v>
      </c>
      <c r="M153" s="47">
        <f>IF(VLOOKUP($D153,$C$5:$AV$509,3,)=0,0,(VLOOKUP($D153,$C$5:$AV$509,11,)/VLOOKUP($D153,$C$5:$AV$509,3,))*$E153)</f>
        <v>0.2771413093052148</v>
      </c>
      <c r="N153" s="47">
        <f>IF(VLOOKUP($D153,$C$5:$AV$509,3,)=0,0,(VLOOKUP($D153,$C$5:$AV$509,12,)/VLOOKUP($D153,$C$5:$AV$509,3,))*$E153)</f>
        <v>2768.0873973404859</v>
      </c>
      <c r="O153" s="47">
        <f>IF(VLOOKUP($D153,$C$5:$AV$509,3,)=0,0,(VLOOKUP($D153,$C$5:$AV$509,14,)/VLOOKUP($D153,$C$5:$AV$509,3,))*$E153)</f>
        <v>0</v>
      </c>
      <c r="P153" s="47">
        <f>IF(VLOOKUP($D153,$C$5:$AV$509,3,)=0,0,(VLOOKUP($D153,$C$5:$AV$509,14,)/VLOOKUP($D153,$C$5:$AV$509,3,))*$E153)</f>
        <v>0</v>
      </c>
      <c r="Q153" s="47">
        <f>IF(VLOOKUP($D153,$C$5:$AV$509,3,)=0,0,(VLOOKUP($D153,$C$5:$AV$509,14,)/VLOOKUP($D153,$C$5:$AV$509,3,))*$E153)</f>
        <v>0</v>
      </c>
      <c r="R153" s="47">
        <f>IF(VLOOKUP($D153,$C$5:$AV$509,3,)=0,0,(VLOOKUP($D153,$C$5:$AV$509,15,)/VLOOKUP($D153,$C$5:$AV$509,3,))*$E153)</f>
        <v>0</v>
      </c>
      <c r="S153" s="47">
        <f>IF(VLOOKUP($D153,$C$5:$AV$509,3,)=0,0,(VLOOKUP($D153,$C$5:$AV$509,16,)/VLOOKUP($D153,$C$5:$AV$509,3,))*$E153)</f>
        <v>0</v>
      </c>
      <c r="T153" s="47">
        <f>IF(VLOOKUP($D153,$C$5:$AV$509,3,)=0,0,(VLOOKUP($D153,$C$5:$AV$509,17,)/VLOOKUP($D153,$C$5:$AV$509,3,))*$E153)</f>
        <v>0</v>
      </c>
      <c r="U153" s="47">
        <f>IF(VLOOKUP($D153,$C$5:$AV$509,3,)=0,0,(VLOOKUP($D153,$C$5:$AV$509,18,)/VLOOKUP($D153,$C$5:$AV$509,3,))*$E153)</f>
        <v>0</v>
      </c>
      <c r="V153" s="47">
        <f>IF(VLOOKUP($D153,$C$5:$AV$509,3,)=0,0,(VLOOKUP($D153,$C$5:$AV$509,19,)/VLOOKUP($D153,$C$5:$AV$509,3,))*$E153)</f>
        <v>0</v>
      </c>
      <c r="W153" s="47">
        <f>IF(VLOOKUP($D153,$C$5:$AV$509,3,)=0,0,(VLOOKUP($D153,$C$5:$AV$509,20,)/VLOOKUP($D153,$C$5:$AV$509,3,))*$E153)</f>
        <v>0</v>
      </c>
      <c r="X153" s="47">
        <f>IF(VLOOKUP($D153,$C$5:$AV$509,3,)=0,0,(VLOOKUP($D153,$C$5:$AV$509,21,)/VLOOKUP($D153,$C$5:$AV$509,3,))*$E153)</f>
        <v>0</v>
      </c>
      <c r="Y153" s="47">
        <f>IF(VLOOKUP($D153,$C$5:$AV$509,3,)=0,0,(VLOOKUP($D153,$C$5:$AV$509,22,)/VLOOKUP($D153,$C$5:$AV$509,3,))*$E153)</f>
        <v>0</v>
      </c>
      <c r="Z153" s="47">
        <f>IF(VLOOKUP($D153,$C$5:$AV$509,3,)=0,0,(VLOOKUP($D153,$C$5:$AV$509,23,)/VLOOKUP($D153,$C$5:$AV$509,3,))*$E153)</f>
        <v>0</v>
      </c>
      <c r="AA153" s="47">
        <f>IF(VLOOKUP($D153,$C$5:$AV$509,3,)=0,0,(VLOOKUP($D153,$C$5:$AV$509,24,)/VLOOKUP($D153,$C$5:$AV$509,3,))*$E153)</f>
        <v>0</v>
      </c>
      <c r="AB153" s="47">
        <f>IF(VLOOKUP($D153,$C$5:$AV$509,3,)=0,0,(VLOOKUP($D153,$C$5:$AV$509,25,)/VLOOKUP($D153,$C$5:$AV$509,3,))*$E153)</f>
        <v>0</v>
      </c>
      <c r="AC153" s="47">
        <f>IF(VLOOKUP($D153,$C$5:$AV$509,3,)=0,0,(VLOOKUP($D153,$C$5:$AV$509,26,)/VLOOKUP($D153,$C$5:$AV$509,3,))*$E153)</f>
        <v>0</v>
      </c>
      <c r="AD153" s="47">
        <f>IF(VLOOKUP($D153,$C$5:$AV$509,3,)=0,0,(VLOOKUP($D153,$C$5:$AV$509,27,)/VLOOKUP($D153,$C$5:$AV$509,3,))*$E153)</f>
        <v>0</v>
      </c>
      <c r="AE153" s="47">
        <f>IF(VLOOKUP($D153,$C$5:$AV$509,3,)=0,0,(VLOOKUP($D153,$C$5:$AV$509,28,)/VLOOKUP($D153,$C$5:$AV$509,3,))*$E153)</f>
        <v>0</v>
      </c>
      <c r="AF153" s="47">
        <f>IF(VLOOKUP($D153,$C$5:$AV$509,3,)=0,0,(VLOOKUP($D153,$C$5:$AV$509,29,)/VLOOKUP($D153,$C$5:$AV$509,3,))*$E153)</f>
        <v>0</v>
      </c>
      <c r="AG153" s="47">
        <f>IF(VLOOKUP($D153,$C$5:$AV$509,3,)=0,0,(VLOOKUP($D153,$C$5:$AV$509,30,)/VLOOKUP($D153,$C$5:$AV$509,3,))*$E153)</f>
        <v>0</v>
      </c>
      <c r="AH153" s="47">
        <f t="shared" ref="AH153" si="94">SUM(F153:AG153)</f>
        <v>10575.158080468387</v>
      </c>
      <c r="AI153" s="27" t="str">
        <f>IF(ABS(E153-AH153)&lt;0.01,"ok","err")</f>
        <v>ok</v>
      </c>
      <c r="AK153" s="45">
        <f>H153/I153</f>
        <v>6.4713375796178338</v>
      </c>
    </row>
    <row r="154" spans="1:37" x14ac:dyDescent="0.2">
      <c r="E154" s="47"/>
    </row>
    <row r="155" spans="1:37" x14ac:dyDescent="0.2">
      <c r="A155" s="14" t="s">
        <v>0</v>
      </c>
      <c r="C155" s="14" t="s">
        <v>273</v>
      </c>
      <c r="E155" s="62">
        <f>E125+E128+E131+E136+E141+E144+E147+E150+E153</f>
        <v>50155082.840000011</v>
      </c>
      <c r="F155" s="62">
        <f t="shared" ref="F155:S155" si="95">F125+F128+F131+F136+F141+F144+F147+F150+F153</f>
        <v>38935973.270264119</v>
      </c>
      <c r="G155" s="62">
        <f t="shared" si="95"/>
        <v>30225.771558208889</v>
      </c>
      <c r="H155" s="62">
        <f t="shared" si="95"/>
        <v>3757762.3733047545</v>
      </c>
      <c r="I155" s="62">
        <f t="shared" si="95"/>
        <v>441932.65972135303</v>
      </c>
      <c r="J155" s="62">
        <f t="shared" si="95"/>
        <v>3823790.4592275363</v>
      </c>
      <c r="K155" s="62">
        <f t="shared" si="95"/>
        <v>0</v>
      </c>
      <c r="L155" s="62">
        <f t="shared" si="95"/>
        <v>2008300.7399160843</v>
      </c>
      <c r="M155" s="62">
        <f t="shared" ref="M155" si="96">M125+M128+M131+M136+M141+M144+M147+M150+M153</f>
        <v>717584.60327629664</v>
      </c>
      <c r="N155" s="62">
        <f t="shared" si="95"/>
        <v>439512.96273164626</v>
      </c>
      <c r="O155" s="62">
        <f t="shared" si="95"/>
        <v>0</v>
      </c>
      <c r="P155" s="62">
        <f t="shared" si="95"/>
        <v>0</v>
      </c>
      <c r="Q155" s="62">
        <f t="shared" si="95"/>
        <v>0</v>
      </c>
      <c r="R155" s="62">
        <f t="shared" si="95"/>
        <v>0</v>
      </c>
      <c r="S155" s="62">
        <f t="shared" si="95"/>
        <v>0</v>
      </c>
      <c r="T155" s="62">
        <f t="shared" ref="T155:AG155" si="97">T125+T131+T136+T141+T144+T147+T150+T153</f>
        <v>0</v>
      </c>
      <c r="U155" s="62">
        <f t="shared" si="97"/>
        <v>0</v>
      </c>
      <c r="V155" s="62">
        <f t="shared" si="97"/>
        <v>0</v>
      </c>
      <c r="W155" s="62">
        <f t="shared" si="97"/>
        <v>0</v>
      </c>
      <c r="X155" s="62">
        <f t="shared" si="97"/>
        <v>0</v>
      </c>
      <c r="Y155" s="62">
        <f t="shared" si="97"/>
        <v>0</v>
      </c>
      <c r="Z155" s="62">
        <f t="shared" si="97"/>
        <v>0</v>
      </c>
      <c r="AA155" s="62">
        <f t="shared" si="97"/>
        <v>0</v>
      </c>
      <c r="AB155" s="62">
        <f t="shared" si="97"/>
        <v>0</v>
      </c>
      <c r="AC155" s="62">
        <f t="shared" si="97"/>
        <v>0</v>
      </c>
      <c r="AD155" s="62">
        <f t="shared" si="97"/>
        <v>0</v>
      </c>
      <c r="AE155" s="62">
        <f t="shared" si="97"/>
        <v>0</v>
      </c>
      <c r="AF155" s="62">
        <f t="shared" si="97"/>
        <v>0</v>
      </c>
      <c r="AG155" s="62">
        <f t="shared" si="97"/>
        <v>0</v>
      </c>
      <c r="AH155" s="87">
        <f>SUM(F155:AG155)</f>
        <v>50155082.840000004</v>
      </c>
      <c r="AI155" s="27" t="str">
        <f>IF(ABS(E155-AH155)&lt;0.01,"ok","err")</f>
        <v>ok</v>
      </c>
      <c r="AK155" s="45">
        <f>H155/I155</f>
        <v>8.5030202919922129</v>
      </c>
    </row>
    <row r="158" spans="1:37" x14ac:dyDescent="0.2">
      <c r="A158" s="25" t="s">
        <v>183</v>
      </c>
    </row>
    <row r="160" spans="1:37" x14ac:dyDescent="0.2">
      <c r="A160" s="13" t="s">
        <v>896</v>
      </c>
    </row>
    <row r="161" spans="1:35" x14ac:dyDescent="0.2">
      <c r="A161" s="90" t="s">
        <v>209</v>
      </c>
      <c r="C161" s="14" t="s">
        <v>274</v>
      </c>
      <c r="D161" s="14" t="s">
        <v>657</v>
      </c>
      <c r="E161" s="62">
        <f>'Func &amp; Classif'!H465</f>
        <v>0</v>
      </c>
      <c r="F161" s="47">
        <f>IF(VLOOKUP($D161,$C$5:$AV$509,3,)=0,0,(VLOOKUP($D161,$C$5:$AV$509,4,)/VLOOKUP($D161,$C$5:$AV$509,3,))*$E161)</f>
        <v>0</v>
      </c>
      <c r="G161" s="47">
        <f>IF(VLOOKUP($D161,$C$5:$AV$509,3,)=0,0,(VLOOKUP($D161,$C$5:$AV$509,5,)/VLOOKUP($D161,$C$5:$AV$509,3,))*$E161)</f>
        <v>0</v>
      </c>
      <c r="H161" s="47">
        <f>IF(VLOOKUP($D161,$C$5:$AV$509,3,)=0,0,(VLOOKUP($D161,$C$5:$AV$509,6,)/VLOOKUP($D161,$C$5:$AV$509,3,))*$E161)</f>
        <v>0</v>
      </c>
      <c r="I161" s="47">
        <f>IF(VLOOKUP($D161,$C$5:$AV$509,3,)=0,0,(VLOOKUP($D161,$C$5:$AV$509,7,)/VLOOKUP($D161,$C$5:$AV$509,3,))*$E161)</f>
        <v>0</v>
      </c>
      <c r="J161" s="47">
        <f>IF(VLOOKUP($D161,$C$5:$AV$509,3,)=0,0,(VLOOKUP($D161,$C$5:$AV$509,8,)/VLOOKUP($D161,$C$5:$AV$509,3,))*$E161)</f>
        <v>0</v>
      </c>
      <c r="K161" s="47">
        <f>IF(VLOOKUP($D161,$C$5:$AV$509,3,)=0,0,(VLOOKUP($D161,$C$5:$AV$509,9,)/VLOOKUP($D161,$C$5:$AV$509,3,))*$E161)</f>
        <v>0</v>
      </c>
      <c r="L161" s="47">
        <f>IF(VLOOKUP($D161,$C$5:$AV$509,3,)=0,0,(VLOOKUP($D161,$C$5:$AV$509,10,)/VLOOKUP($D161,$C$5:$AV$509,3,))*$E161)</f>
        <v>0</v>
      </c>
      <c r="M161" s="47">
        <f>IF(VLOOKUP($D161,$C$5:$AV$509,3,)=0,0,(VLOOKUP($D161,$C$5:$AV$509,11,)/VLOOKUP($D161,$C$5:$AV$509,3,))*$E161)</f>
        <v>0</v>
      </c>
      <c r="N161" s="47">
        <f>IF(VLOOKUP($D161,$C$5:$AV$509,3,)=0,0,(VLOOKUP($D161,$C$5:$AV$509,12,)/VLOOKUP($D161,$C$5:$AV$509,3,))*$E161)</f>
        <v>0</v>
      </c>
      <c r="O161" s="47">
        <f t="shared" ref="O161:Q162" si="98">IF(VLOOKUP($D161,$C$5:$AV$509,3,)=0,0,(VLOOKUP($D161,$C$5:$AV$509,14,)/VLOOKUP($D161,$C$5:$AV$509,3,))*$E161)</f>
        <v>0</v>
      </c>
      <c r="P161" s="47">
        <f t="shared" si="98"/>
        <v>0</v>
      </c>
      <c r="Q161" s="47">
        <f t="shared" si="98"/>
        <v>0</v>
      </c>
      <c r="R161" s="47">
        <f>IF(VLOOKUP($D161,$C$5:$AV$509,3,)=0,0,(VLOOKUP($D161,$C$5:$AV$509,15,)/VLOOKUP($D161,$C$5:$AV$509,3,))*$E161)</f>
        <v>0</v>
      </c>
      <c r="S161" s="47">
        <f>IF(VLOOKUP($D161,$C$5:$AV$509,3,)=0,0,(VLOOKUP($D161,$C$5:$AV$509,16,)/VLOOKUP($D161,$C$5:$AV$509,3,))*$E161)</f>
        <v>0</v>
      </c>
      <c r="T161" s="47">
        <f>IF(VLOOKUP($D161,$C$5:$AV$509,3,)=0,0,(VLOOKUP($D161,$C$5:$AV$509,17,)/VLOOKUP($D161,$C$5:$AV$509,3,))*$E161)</f>
        <v>0</v>
      </c>
      <c r="U161" s="47">
        <f>IF(VLOOKUP($D161,$C$5:$AV$509,3,)=0,0,(VLOOKUP($D161,$C$5:$AV$509,18,)/VLOOKUP($D161,$C$5:$AV$509,3,))*$E161)</f>
        <v>0</v>
      </c>
      <c r="V161" s="47">
        <f>IF(VLOOKUP($D161,$C$5:$AV$509,3,)=0,0,(VLOOKUP($D161,$C$5:$AV$509,19,)/VLOOKUP($D161,$C$5:$AV$509,3,))*$E161)</f>
        <v>0</v>
      </c>
      <c r="W161" s="47">
        <f>IF(VLOOKUP($D161,$C$5:$AV$509,3,)=0,0,(VLOOKUP($D161,$C$5:$AV$509,20,)/VLOOKUP($D161,$C$5:$AV$509,3,))*$E161)</f>
        <v>0</v>
      </c>
      <c r="X161" s="47">
        <f>IF(VLOOKUP($D161,$C$5:$AV$509,3,)=0,0,(VLOOKUP($D161,$C$5:$AV$509,21,)/VLOOKUP($D161,$C$5:$AV$509,3,))*$E161)</f>
        <v>0</v>
      </c>
      <c r="Y161" s="47">
        <f>IF(VLOOKUP($D161,$C$5:$AV$509,3,)=0,0,(VLOOKUP($D161,$C$5:$AV$509,22,)/VLOOKUP($D161,$C$5:$AV$509,3,))*$E161)</f>
        <v>0</v>
      </c>
      <c r="Z161" s="47">
        <f>IF(VLOOKUP($D161,$C$5:$AV$509,3,)=0,0,(VLOOKUP($D161,$C$5:$AV$509,23,)/VLOOKUP($D161,$C$5:$AV$509,3,))*$E161)</f>
        <v>0</v>
      </c>
      <c r="AA161" s="47">
        <f>IF(VLOOKUP($D161,$C$5:$AV$509,3,)=0,0,(VLOOKUP($D161,$C$5:$AV$509,24,)/VLOOKUP($D161,$C$5:$AV$509,3,))*$E161)</f>
        <v>0</v>
      </c>
      <c r="AB161" s="47">
        <f>IF(VLOOKUP($D161,$C$5:$AV$509,3,)=0,0,(VLOOKUP($D161,$C$5:$AV$509,25,)/VLOOKUP($D161,$C$5:$AV$509,3,))*$E161)</f>
        <v>0</v>
      </c>
      <c r="AC161" s="47">
        <f>IF(VLOOKUP($D161,$C$5:$AV$509,3,)=0,0,(VLOOKUP($D161,$C$5:$AV$509,26,)/VLOOKUP($D161,$C$5:$AV$509,3,))*$E161)</f>
        <v>0</v>
      </c>
      <c r="AD161" s="47">
        <f>IF(VLOOKUP($D161,$C$5:$AV$509,3,)=0,0,(VLOOKUP($D161,$C$5:$AV$509,27,)/VLOOKUP($D161,$C$5:$AV$509,3,))*$E161)</f>
        <v>0</v>
      </c>
      <c r="AE161" s="47">
        <f>IF(VLOOKUP($D161,$C$5:$AV$509,3,)=0,0,(VLOOKUP($D161,$C$5:$AV$509,28,)/VLOOKUP($D161,$C$5:$AV$509,3,))*$E161)</f>
        <v>0</v>
      </c>
      <c r="AF161" s="47">
        <f>IF(VLOOKUP($D161,$C$5:$AV$509,3,)=0,0,(VLOOKUP($D161,$C$5:$AV$509,29,)/VLOOKUP($D161,$C$5:$AV$509,3,))*$E161)</f>
        <v>0</v>
      </c>
      <c r="AG161" s="47">
        <f>IF(VLOOKUP($D161,$C$5:$AV$509,3,)=0,0,(VLOOKUP($D161,$C$5:$AV$509,30,)/VLOOKUP($D161,$C$5:$AV$509,3,))*$E161)</f>
        <v>0</v>
      </c>
      <c r="AH161" s="47">
        <f t="shared" ref="AH161:AH162" si="99">SUM(F161:AG161)</f>
        <v>0</v>
      </c>
      <c r="AI161" s="27" t="str">
        <f>IF(ABS(E161-AH161)&lt;0.01,"ok","err")</f>
        <v>ok</v>
      </c>
    </row>
    <row r="162" spans="1:35" x14ac:dyDescent="0.2">
      <c r="A162" s="90" t="s">
        <v>212</v>
      </c>
      <c r="C162" s="14" t="s">
        <v>275</v>
      </c>
      <c r="D162" s="14" t="s">
        <v>666</v>
      </c>
      <c r="E162" s="47">
        <f>'Func &amp; Classif'!I465</f>
        <v>0</v>
      </c>
      <c r="F162" s="47">
        <f>IF(VLOOKUP($D162,$C$5:$AV$509,3,)=0,0,(VLOOKUP($D162,$C$5:$AV$509,4,)/VLOOKUP($D162,$C$5:$AV$509,3,))*$E162)</f>
        <v>0</v>
      </c>
      <c r="G162" s="47">
        <f>IF(VLOOKUP($D162,$C$5:$AV$509,3,)=0,0,(VLOOKUP($D162,$C$5:$AV$509,5,)/VLOOKUP($D162,$C$5:$AV$509,3,))*$E162)</f>
        <v>0</v>
      </c>
      <c r="H162" s="47">
        <f>IF(VLOOKUP($D162,$C$5:$AV$509,3,)=0,0,(VLOOKUP($D162,$C$5:$AV$509,6,)/VLOOKUP($D162,$C$5:$AV$509,3,))*$E162)</f>
        <v>0</v>
      </c>
      <c r="I162" s="47">
        <f>IF(VLOOKUP($D162,$C$5:$AV$509,3,)=0,0,(VLOOKUP($D162,$C$5:$AV$509,7,)/VLOOKUP($D162,$C$5:$AV$509,3,))*$E162)</f>
        <v>0</v>
      </c>
      <c r="J162" s="47">
        <f>IF(VLOOKUP($D162,$C$5:$AV$509,3,)=0,0,(VLOOKUP($D162,$C$5:$AV$509,8,)/VLOOKUP($D162,$C$5:$AV$509,3,))*$E162)</f>
        <v>0</v>
      </c>
      <c r="K162" s="47">
        <f>IF(VLOOKUP($D162,$C$5:$AV$509,3,)=0,0,(VLOOKUP($D162,$C$5:$AV$509,9,)/VLOOKUP($D162,$C$5:$AV$509,3,))*$E162)</f>
        <v>0</v>
      </c>
      <c r="L162" s="47">
        <f>IF(VLOOKUP($D162,$C$5:$AV$509,3,)=0,0,(VLOOKUP($D162,$C$5:$AV$509,10,)/VLOOKUP($D162,$C$5:$AV$509,3,))*$E162)</f>
        <v>0</v>
      </c>
      <c r="M162" s="47">
        <f>IF(VLOOKUP($D162,$C$5:$AV$509,3,)=0,0,(VLOOKUP($D162,$C$5:$AV$509,11,)/VLOOKUP($D162,$C$5:$AV$509,3,))*$E162)</f>
        <v>0</v>
      </c>
      <c r="N162" s="47">
        <f>IF(VLOOKUP($D162,$C$5:$AV$509,3,)=0,0,(VLOOKUP($D162,$C$5:$AV$509,12,)/VLOOKUP($D162,$C$5:$AV$509,3,))*$E162)</f>
        <v>0</v>
      </c>
      <c r="O162" s="47">
        <f t="shared" si="98"/>
        <v>0</v>
      </c>
      <c r="P162" s="47">
        <f t="shared" si="98"/>
        <v>0</v>
      </c>
      <c r="Q162" s="47">
        <f t="shared" si="98"/>
        <v>0</v>
      </c>
      <c r="R162" s="47">
        <f>IF(VLOOKUP($D162,$C$5:$AV$509,3,)=0,0,(VLOOKUP($D162,$C$5:$AV$509,15,)/VLOOKUP($D162,$C$5:$AV$509,3,))*$E162)</f>
        <v>0</v>
      </c>
      <c r="S162" s="47">
        <f>IF(VLOOKUP($D162,$C$5:$AV$509,3,)=0,0,(VLOOKUP($D162,$C$5:$AV$509,16,)/VLOOKUP($D162,$C$5:$AV$509,3,))*$E162)</f>
        <v>0</v>
      </c>
      <c r="T162" s="47">
        <f>IF(VLOOKUP($D162,$C$5:$AV$509,3,)=0,0,(VLOOKUP($D162,$C$5:$AV$509,17,)/VLOOKUP($D162,$C$5:$AV$509,3,))*$E162)</f>
        <v>0</v>
      </c>
      <c r="U162" s="47">
        <f>IF(VLOOKUP($D162,$C$5:$AV$509,3,)=0,0,(VLOOKUP($D162,$C$5:$AV$509,18,)/VLOOKUP($D162,$C$5:$AV$509,3,))*$E162)</f>
        <v>0</v>
      </c>
      <c r="V162" s="47">
        <f>IF(VLOOKUP($D162,$C$5:$AV$509,3,)=0,0,(VLOOKUP($D162,$C$5:$AV$509,19,)/VLOOKUP($D162,$C$5:$AV$509,3,))*$E162)</f>
        <v>0</v>
      </c>
      <c r="W162" s="47">
        <f>IF(VLOOKUP($D162,$C$5:$AV$509,3,)=0,0,(VLOOKUP($D162,$C$5:$AV$509,20,)/VLOOKUP($D162,$C$5:$AV$509,3,))*$E162)</f>
        <v>0</v>
      </c>
      <c r="X162" s="47">
        <f>IF(VLOOKUP($D162,$C$5:$AV$509,3,)=0,0,(VLOOKUP($D162,$C$5:$AV$509,21,)/VLOOKUP($D162,$C$5:$AV$509,3,))*$E162)</f>
        <v>0</v>
      </c>
      <c r="Y162" s="47">
        <f>IF(VLOOKUP($D162,$C$5:$AV$509,3,)=0,0,(VLOOKUP($D162,$C$5:$AV$509,22,)/VLOOKUP($D162,$C$5:$AV$509,3,))*$E162)</f>
        <v>0</v>
      </c>
      <c r="Z162" s="47">
        <f>IF(VLOOKUP($D162,$C$5:$AV$509,3,)=0,0,(VLOOKUP($D162,$C$5:$AV$509,23,)/VLOOKUP($D162,$C$5:$AV$509,3,))*$E162)</f>
        <v>0</v>
      </c>
      <c r="AA162" s="47">
        <f>IF(VLOOKUP($D162,$C$5:$AV$509,3,)=0,0,(VLOOKUP($D162,$C$5:$AV$509,24,)/VLOOKUP($D162,$C$5:$AV$509,3,))*$E162)</f>
        <v>0</v>
      </c>
      <c r="AB162" s="47">
        <f>IF(VLOOKUP($D162,$C$5:$AV$509,3,)=0,0,(VLOOKUP($D162,$C$5:$AV$509,25,)/VLOOKUP($D162,$C$5:$AV$509,3,))*$E162)</f>
        <v>0</v>
      </c>
      <c r="AC162" s="47">
        <f>IF(VLOOKUP($D162,$C$5:$AV$509,3,)=0,0,(VLOOKUP($D162,$C$5:$AV$509,26,)/VLOOKUP($D162,$C$5:$AV$509,3,))*$E162)</f>
        <v>0</v>
      </c>
      <c r="AD162" s="47">
        <f>IF(VLOOKUP($D162,$C$5:$AV$509,3,)=0,0,(VLOOKUP($D162,$C$5:$AV$509,27,)/VLOOKUP($D162,$C$5:$AV$509,3,))*$E162)</f>
        <v>0</v>
      </c>
      <c r="AE162" s="47">
        <f>IF(VLOOKUP($D162,$C$5:$AV$509,3,)=0,0,(VLOOKUP($D162,$C$5:$AV$509,28,)/VLOOKUP($D162,$C$5:$AV$509,3,))*$E162)</f>
        <v>0</v>
      </c>
      <c r="AF162" s="47">
        <f>IF(VLOOKUP($D162,$C$5:$AV$509,3,)=0,0,(VLOOKUP($D162,$C$5:$AV$509,29,)/VLOOKUP($D162,$C$5:$AV$509,3,))*$E162)</f>
        <v>0</v>
      </c>
      <c r="AG162" s="47">
        <f>IF(VLOOKUP($D162,$C$5:$AV$509,3,)=0,0,(VLOOKUP($D162,$C$5:$AV$509,30,)/VLOOKUP($D162,$C$5:$AV$509,3,))*$E162)</f>
        <v>0</v>
      </c>
      <c r="AH162" s="47">
        <f t="shared" si="99"/>
        <v>0</v>
      </c>
      <c r="AI162" s="27" t="str">
        <f>IF(ABS(E162-AH162)&lt;0.01,"ok","err")</f>
        <v>ok</v>
      </c>
    </row>
    <row r="163" spans="1:35" x14ac:dyDescent="0.2">
      <c r="A163" s="14" t="s">
        <v>215</v>
      </c>
      <c r="C163" s="14" t="s">
        <v>276</v>
      </c>
      <c r="E163" s="47">
        <f t="shared" ref="E163:U163" si="100">E161+E162</f>
        <v>0</v>
      </c>
      <c r="F163" s="62">
        <f t="shared" si="100"/>
        <v>0</v>
      </c>
      <c r="G163" s="62">
        <f t="shared" si="100"/>
        <v>0</v>
      </c>
      <c r="H163" s="62">
        <f t="shared" si="100"/>
        <v>0</v>
      </c>
      <c r="I163" s="62">
        <f t="shared" si="100"/>
        <v>0</v>
      </c>
      <c r="J163" s="62">
        <f t="shared" si="100"/>
        <v>0</v>
      </c>
      <c r="K163" s="62">
        <f t="shared" si="100"/>
        <v>0</v>
      </c>
      <c r="L163" s="62">
        <f t="shared" si="100"/>
        <v>0</v>
      </c>
      <c r="M163" s="62">
        <f t="shared" ref="M163" si="101">M161+M162</f>
        <v>0</v>
      </c>
      <c r="N163" s="62">
        <f t="shared" si="100"/>
        <v>0</v>
      </c>
      <c r="O163" s="62">
        <f t="shared" si="100"/>
        <v>0</v>
      </c>
      <c r="P163" s="62">
        <f t="shared" si="100"/>
        <v>0</v>
      </c>
      <c r="Q163" s="62">
        <f t="shared" si="100"/>
        <v>0</v>
      </c>
      <c r="R163" s="62">
        <f t="shared" si="100"/>
        <v>0</v>
      </c>
      <c r="S163" s="62">
        <f t="shared" si="100"/>
        <v>0</v>
      </c>
      <c r="T163" s="62">
        <f t="shared" si="100"/>
        <v>0</v>
      </c>
      <c r="U163" s="62">
        <f t="shared" si="100"/>
        <v>0</v>
      </c>
      <c r="V163" s="62">
        <f t="shared" ref="V163:AG163" si="102">V161+V162</f>
        <v>0</v>
      </c>
      <c r="W163" s="62">
        <f t="shared" si="102"/>
        <v>0</v>
      </c>
      <c r="X163" s="62">
        <f t="shared" si="102"/>
        <v>0</v>
      </c>
      <c r="Y163" s="62">
        <f t="shared" si="102"/>
        <v>0</v>
      </c>
      <c r="Z163" s="62">
        <f t="shared" si="102"/>
        <v>0</v>
      </c>
      <c r="AA163" s="62">
        <f t="shared" si="102"/>
        <v>0</v>
      </c>
      <c r="AB163" s="62">
        <f t="shared" si="102"/>
        <v>0</v>
      </c>
      <c r="AC163" s="62">
        <f t="shared" si="102"/>
        <v>0</v>
      </c>
      <c r="AD163" s="62">
        <f t="shared" si="102"/>
        <v>0</v>
      </c>
      <c r="AE163" s="62">
        <f t="shared" si="102"/>
        <v>0</v>
      </c>
      <c r="AF163" s="62">
        <f t="shared" si="102"/>
        <v>0</v>
      </c>
      <c r="AG163" s="62">
        <f t="shared" si="102"/>
        <v>0</v>
      </c>
      <c r="AH163" s="87">
        <f>SUM(F163:AG163)</f>
        <v>0</v>
      </c>
      <c r="AI163" s="27" t="str">
        <f>IF(ABS(E163-AH163)&lt;0.01,"ok","err")</f>
        <v>ok</v>
      </c>
    </row>
    <row r="164" spans="1:35" x14ac:dyDescent="0.2">
      <c r="E164" s="47"/>
      <c r="F164" s="47"/>
    </row>
    <row r="165" spans="1:35" x14ac:dyDescent="0.2">
      <c r="A165" s="13" t="s">
        <v>350</v>
      </c>
      <c r="E165" s="47"/>
      <c r="F165" s="47"/>
    </row>
    <row r="166" spans="1:35" x14ac:dyDescent="0.2">
      <c r="A166" s="90" t="s">
        <v>209</v>
      </c>
      <c r="C166" s="14" t="s">
        <v>889</v>
      </c>
      <c r="D166" s="14" t="s">
        <v>625</v>
      </c>
      <c r="E166" s="62">
        <f>'Func &amp; Classif'!K465</f>
        <v>0</v>
      </c>
      <c r="F166" s="47">
        <f>IF(VLOOKUP($D166,$C$5:$AV$509,3,)=0,0,(VLOOKUP($D166,$C$5:$AV$509,4,)/VLOOKUP($D166,$C$5:$AV$509,3,))*$E166)</f>
        <v>0</v>
      </c>
      <c r="G166" s="47">
        <f>IF(VLOOKUP($D166,$C$5:$AV$509,3,)=0,0,(VLOOKUP($D166,$C$5:$AV$509,5,)/VLOOKUP($D166,$C$5:$AV$509,3,))*$E166)</f>
        <v>0</v>
      </c>
      <c r="H166" s="47">
        <f>IF(VLOOKUP($D166,$C$5:$AV$509,3,)=0,0,(VLOOKUP($D166,$C$5:$AV$509,6,)/VLOOKUP($D166,$C$5:$AV$509,3,))*$E166)</f>
        <v>0</v>
      </c>
      <c r="I166" s="47">
        <f>IF(VLOOKUP($D166,$C$5:$AV$509,3,)=0,0,(VLOOKUP($D166,$C$5:$AV$509,7,)/VLOOKUP($D166,$C$5:$AV$509,3,))*$E166)</f>
        <v>0</v>
      </c>
      <c r="J166" s="47">
        <f>IF(VLOOKUP($D166,$C$5:$AV$509,3,)=0,0,(VLOOKUP($D166,$C$5:$AV$509,8,)/VLOOKUP($D166,$C$5:$AV$509,3,))*$E166)</f>
        <v>0</v>
      </c>
      <c r="K166" s="47">
        <f>IF(VLOOKUP($D166,$C$5:$AV$509,3,)=0,0,(VLOOKUP($D166,$C$5:$AV$509,9,)/VLOOKUP($D166,$C$5:$AV$509,3,))*$E166)</f>
        <v>0</v>
      </c>
      <c r="L166" s="47">
        <f>IF(VLOOKUP($D166,$C$5:$AV$509,3,)=0,0,(VLOOKUP($D166,$C$5:$AV$509,10,)/VLOOKUP($D166,$C$5:$AV$509,3,))*$E166)</f>
        <v>0</v>
      </c>
      <c r="M166" s="47">
        <f>IF(VLOOKUP($D166,$C$5:$AV$509,3,)=0,0,(VLOOKUP($D166,$C$5:$AV$509,11,)/VLOOKUP($D166,$C$5:$AV$509,3,))*$E166)</f>
        <v>0</v>
      </c>
      <c r="N166" s="47">
        <f>IF(VLOOKUP($D166,$C$5:$AV$509,3,)=0,0,(VLOOKUP($D166,$C$5:$AV$509,12,)/VLOOKUP($D166,$C$5:$AV$509,3,))*$E166)</f>
        <v>0</v>
      </c>
      <c r="O166" s="47">
        <f>IF(VLOOKUP($D166,$C$5:$AV$509,3,)=0,0,(VLOOKUP($D166,$C$5:$AV$509,14,)/VLOOKUP($D166,$C$5:$AV$509,3,))*$E166)</f>
        <v>0</v>
      </c>
      <c r="P166" s="47">
        <f>IF(VLOOKUP($D166,$C$5:$AV$509,3,)=0,0,(VLOOKUP($D166,$C$5:$AV$509,14,)/VLOOKUP($D166,$C$5:$AV$509,3,))*$E166)</f>
        <v>0</v>
      </c>
      <c r="Q166" s="47">
        <f>IF(VLOOKUP($D166,$C$5:$AV$509,3,)=0,0,(VLOOKUP($D166,$C$5:$AV$509,14,)/VLOOKUP($D166,$C$5:$AV$509,3,))*$E166)</f>
        <v>0</v>
      </c>
      <c r="R166" s="47">
        <f>IF(VLOOKUP($D166,$C$5:$AV$509,3,)=0,0,(VLOOKUP($D166,$C$5:$AV$509,15,)/VLOOKUP($D166,$C$5:$AV$509,3,))*$E166)</f>
        <v>0</v>
      </c>
      <c r="S166" s="47">
        <f>IF(VLOOKUP($D166,$C$5:$AV$509,3,)=0,0,(VLOOKUP($D166,$C$5:$AV$509,16,)/VLOOKUP($D166,$C$5:$AV$509,3,))*$E166)</f>
        <v>0</v>
      </c>
      <c r="T166" s="47">
        <f>IF(VLOOKUP($D166,$C$5:$AV$509,3,)=0,0,(VLOOKUP($D166,$C$5:$AV$509,17,)/VLOOKUP($D166,$C$5:$AV$509,3,))*$E166)</f>
        <v>0</v>
      </c>
      <c r="U166" s="47">
        <f>IF(VLOOKUP($D166,$C$5:$AV$509,3,)=0,0,(VLOOKUP($D166,$C$5:$AV$509,18,)/VLOOKUP($D166,$C$5:$AV$509,3,))*$E166)</f>
        <v>0</v>
      </c>
      <c r="V166" s="47">
        <f>IF(VLOOKUP($D166,$C$5:$AV$509,3,)=0,0,(VLOOKUP($D166,$C$5:$AV$509,19,)/VLOOKUP($D166,$C$5:$AV$509,3,))*$E166)</f>
        <v>0</v>
      </c>
      <c r="W166" s="47">
        <f>IF(VLOOKUP($D166,$C$5:$AV$509,3,)=0,0,(VLOOKUP($D166,$C$5:$AV$509,20,)/VLOOKUP($D166,$C$5:$AV$509,3,))*$E166)</f>
        <v>0</v>
      </c>
      <c r="X166" s="47">
        <f>IF(VLOOKUP($D166,$C$5:$AV$509,3,)=0,0,(VLOOKUP($D166,$C$5:$AV$509,21,)/VLOOKUP($D166,$C$5:$AV$509,3,))*$E166)</f>
        <v>0</v>
      </c>
      <c r="Y166" s="47">
        <f>IF(VLOOKUP($D166,$C$5:$AV$509,3,)=0,0,(VLOOKUP($D166,$C$5:$AV$509,22,)/VLOOKUP($D166,$C$5:$AV$509,3,))*$E166)</f>
        <v>0</v>
      </c>
      <c r="Z166" s="47">
        <f>IF(VLOOKUP($D166,$C$5:$AV$509,3,)=0,0,(VLOOKUP($D166,$C$5:$AV$509,23,)/VLOOKUP($D166,$C$5:$AV$509,3,))*$E166)</f>
        <v>0</v>
      </c>
      <c r="AA166" s="47">
        <f>IF(VLOOKUP($D166,$C$5:$AV$509,3,)=0,0,(VLOOKUP($D166,$C$5:$AV$509,24,)/VLOOKUP($D166,$C$5:$AV$509,3,))*$E166)</f>
        <v>0</v>
      </c>
      <c r="AB166" s="47">
        <f>IF(VLOOKUP($D166,$C$5:$AV$509,3,)=0,0,(VLOOKUP($D166,$C$5:$AV$509,25,)/VLOOKUP($D166,$C$5:$AV$509,3,))*$E166)</f>
        <v>0</v>
      </c>
      <c r="AC166" s="47">
        <f>IF(VLOOKUP($D166,$C$5:$AV$509,3,)=0,0,(VLOOKUP($D166,$C$5:$AV$509,26,)/VLOOKUP($D166,$C$5:$AV$509,3,))*$E166)</f>
        <v>0</v>
      </c>
      <c r="AD166" s="47">
        <f>IF(VLOOKUP($D166,$C$5:$AV$509,3,)=0,0,(VLOOKUP($D166,$C$5:$AV$509,27,)/VLOOKUP($D166,$C$5:$AV$509,3,))*$E166)</f>
        <v>0</v>
      </c>
      <c r="AE166" s="47">
        <f>IF(VLOOKUP($D166,$C$5:$AV$509,3,)=0,0,(VLOOKUP($D166,$C$5:$AV$509,28,)/VLOOKUP($D166,$C$5:$AV$509,3,))*$E166)</f>
        <v>0</v>
      </c>
      <c r="AF166" s="47">
        <f>IF(VLOOKUP($D166,$C$5:$AV$509,3,)=0,0,(VLOOKUP($D166,$C$5:$AV$509,29,)/VLOOKUP($D166,$C$5:$AV$509,3,))*$E166)</f>
        <v>0</v>
      </c>
      <c r="AG166" s="47">
        <f>IF(VLOOKUP($D166,$C$5:$AV$509,3,)=0,0,(VLOOKUP($D166,$C$5:$AV$509,30,)/VLOOKUP($D166,$C$5:$AV$509,3,))*$E166)</f>
        <v>0</v>
      </c>
      <c r="AH166" s="47">
        <f t="shared" ref="AH166" si="103">SUM(F166:AG166)</f>
        <v>0</v>
      </c>
      <c r="AI166" s="27" t="str">
        <f>IF(ABS(E166-AH166)&lt;0.01,"ok","err")</f>
        <v>ok</v>
      </c>
    </row>
    <row r="167" spans="1:35" x14ac:dyDescent="0.2">
      <c r="E167" s="47"/>
    </row>
    <row r="168" spans="1:35" x14ac:dyDescent="0.2">
      <c r="A168" s="13" t="s">
        <v>1</v>
      </c>
      <c r="E168" s="47"/>
      <c r="F168" s="47"/>
    </row>
    <row r="169" spans="1:35" x14ac:dyDescent="0.2">
      <c r="A169" s="90" t="s">
        <v>209</v>
      </c>
      <c r="C169" s="14" t="s">
        <v>277</v>
      </c>
      <c r="D169" s="14" t="s">
        <v>632</v>
      </c>
      <c r="E169" s="62">
        <f>'Func &amp; Classif'!M465</f>
        <v>4294.3666482297604</v>
      </c>
      <c r="F169" s="47">
        <f>IF(VLOOKUP($D169,$C$5:$AV$509,3,)=0,0,(VLOOKUP($D169,$C$5:$AV$509,4,)/VLOOKUP($D169,$C$5:$AV$509,3,))*$E169)</f>
        <v>3269.4856116705778</v>
      </c>
      <c r="G169" s="47">
        <f>IF(VLOOKUP($D169,$C$5:$AV$509,3,)=0,0,(VLOOKUP($D169,$C$5:$AV$509,5,)/VLOOKUP($D169,$C$5:$AV$509,3,))*$E169)</f>
        <v>2.4669668941647376</v>
      </c>
      <c r="H169" s="47">
        <f>IF(VLOOKUP($D169,$C$5:$AV$509,3,)=0,0,(VLOOKUP($D169,$C$5:$AV$509,6,)/VLOOKUP($D169,$C$5:$AV$509,3,))*$E169)</f>
        <v>343.07604110827418</v>
      </c>
      <c r="I169" s="47">
        <f>IF(VLOOKUP($D169,$C$5:$AV$509,3,)=0,0,(VLOOKUP($D169,$C$5:$AV$509,7,)/VLOOKUP($D169,$C$5:$AV$509,3,))*$E169)</f>
        <v>36.64703697363656</v>
      </c>
      <c r="J169" s="47">
        <f>IF(VLOOKUP($D169,$C$5:$AV$509,3,)=0,0,(VLOOKUP($D169,$C$5:$AV$509,8,)/VLOOKUP($D169,$C$5:$AV$509,3,))*$E169)</f>
        <v>342.80570908401597</v>
      </c>
      <c r="K169" s="47">
        <f>IF(VLOOKUP($D169,$C$5:$AV$509,3,)=0,0,(VLOOKUP($D169,$C$5:$AV$509,9,)/VLOOKUP($D169,$C$5:$AV$509,3,))*$E169)</f>
        <v>0</v>
      </c>
      <c r="L169" s="47">
        <f>IF(VLOOKUP($D169,$C$5:$AV$509,3,)=0,0,(VLOOKUP($D169,$C$5:$AV$509,10,)/VLOOKUP($D169,$C$5:$AV$509,3,))*$E169)</f>
        <v>216.67373940011046</v>
      </c>
      <c r="M169" s="47">
        <f>IF(VLOOKUP($D169,$C$5:$AV$509,3,)=0,0,(VLOOKUP($D169,$C$5:$AV$509,11,)/VLOOKUP($D169,$C$5:$AV$509,3,))*$E169)</f>
        <v>62.180621226191455</v>
      </c>
      <c r="N169" s="47">
        <f>IF(VLOOKUP($D169,$C$5:$AV$509,3,)=0,0,(VLOOKUP($D169,$C$5:$AV$509,12,)/VLOOKUP($D169,$C$5:$AV$509,3,))*$E169)</f>
        <v>21.030921872788724</v>
      </c>
      <c r="O169" s="47">
        <f>IF(VLOOKUP($D169,$C$5:$AV$509,3,)=0,0,(VLOOKUP($D169,$C$5:$AV$509,14,)/VLOOKUP($D169,$C$5:$AV$509,3,))*$E169)</f>
        <v>0</v>
      </c>
      <c r="P169" s="47">
        <f>IF(VLOOKUP($D169,$C$5:$AV$509,3,)=0,0,(VLOOKUP($D169,$C$5:$AV$509,14,)/VLOOKUP($D169,$C$5:$AV$509,3,))*$E169)</f>
        <v>0</v>
      </c>
      <c r="Q169" s="47">
        <f>IF(VLOOKUP($D169,$C$5:$AV$509,3,)=0,0,(VLOOKUP($D169,$C$5:$AV$509,14,)/VLOOKUP($D169,$C$5:$AV$509,3,))*$E169)</f>
        <v>0</v>
      </c>
      <c r="R169" s="47">
        <f>IF(VLOOKUP($D169,$C$5:$AV$509,3,)=0,0,(VLOOKUP($D169,$C$5:$AV$509,15,)/VLOOKUP($D169,$C$5:$AV$509,3,))*$E169)</f>
        <v>0</v>
      </c>
      <c r="S169" s="47">
        <f>IF(VLOOKUP($D169,$C$5:$AV$509,3,)=0,0,(VLOOKUP($D169,$C$5:$AV$509,16,)/VLOOKUP($D169,$C$5:$AV$509,3,))*$E169)</f>
        <v>0</v>
      </c>
      <c r="T169" s="47">
        <f>IF(VLOOKUP($D169,$C$5:$AV$509,3,)=0,0,(VLOOKUP($D169,$C$5:$AV$509,17,)/VLOOKUP($D169,$C$5:$AV$509,3,))*$E169)</f>
        <v>0</v>
      </c>
      <c r="U169" s="47">
        <f>IF(VLOOKUP($D169,$C$5:$AV$509,3,)=0,0,(VLOOKUP($D169,$C$5:$AV$509,18,)/VLOOKUP($D169,$C$5:$AV$509,3,))*$E169)</f>
        <v>0</v>
      </c>
      <c r="V169" s="47">
        <f>IF(VLOOKUP($D169,$C$5:$AV$509,3,)=0,0,(VLOOKUP($D169,$C$5:$AV$509,19,)/VLOOKUP($D169,$C$5:$AV$509,3,))*$E169)</f>
        <v>0</v>
      </c>
      <c r="W169" s="47">
        <f>IF(VLOOKUP($D169,$C$5:$AV$509,3,)=0,0,(VLOOKUP($D169,$C$5:$AV$509,20,)/VLOOKUP($D169,$C$5:$AV$509,3,))*$E169)</f>
        <v>0</v>
      </c>
      <c r="X169" s="47">
        <f>IF(VLOOKUP($D169,$C$5:$AV$509,3,)=0,0,(VLOOKUP($D169,$C$5:$AV$509,21,)/VLOOKUP($D169,$C$5:$AV$509,3,))*$E169)</f>
        <v>0</v>
      </c>
      <c r="Y169" s="47">
        <f>IF(VLOOKUP($D169,$C$5:$AV$509,3,)=0,0,(VLOOKUP($D169,$C$5:$AV$509,22,)/VLOOKUP($D169,$C$5:$AV$509,3,))*$E169)</f>
        <v>0</v>
      </c>
      <c r="Z169" s="47">
        <f>IF(VLOOKUP($D169,$C$5:$AV$509,3,)=0,0,(VLOOKUP($D169,$C$5:$AV$509,23,)/VLOOKUP($D169,$C$5:$AV$509,3,))*$E169)</f>
        <v>0</v>
      </c>
      <c r="AA169" s="47">
        <f>IF(VLOOKUP($D169,$C$5:$AV$509,3,)=0,0,(VLOOKUP($D169,$C$5:$AV$509,24,)/VLOOKUP($D169,$C$5:$AV$509,3,))*$E169)</f>
        <v>0</v>
      </c>
      <c r="AB169" s="47">
        <f>IF(VLOOKUP($D169,$C$5:$AV$509,3,)=0,0,(VLOOKUP($D169,$C$5:$AV$509,25,)/VLOOKUP($D169,$C$5:$AV$509,3,))*$E169)</f>
        <v>0</v>
      </c>
      <c r="AC169" s="47">
        <f>IF(VLOOKUP($D169,$C$5:$AV$509,3,)=0,0,(VLOOKUP($D169,$C$5:$AV$509,26,)/VLOOKUP($D169,$C$5:$AV$509,3,))*$E169)</f>
        <v>0</v>
      </c>
      <c r="AD169" s="47">
        <f>IF(VLOOKUP($D169,$C$5:$AV$509,3,)=0,0,(VLOOKUP($D169,$C$5:$AV$509,27,)/VLOOKUP($D169,$C$5:$AV$509,3,))*$E169)</f>
        <v>0</v>
      </c>
      <c r="AE169" s="47">
        <f>IF(VLOOKUP($D169,$C$5:$AV$509,3,)=0,0,(VLOOKUP($D169,$C$5:$AV$509,28,)/VLOOKUP($D169,$C$5:$AV$509,3,))*$E169)</f>
        <v>0</v>
      </c>
      <c r="AF169" s="47">
        <f>IF(VLOOKUP($D169,$C$5:$AV$509,3,)=0,0,(VLOOKUP($D169,$C$5:$AV$509,29,)/VLOOKUP($D169,$C$5:$AV$509,3,))*$E169)</f>
        <v>0</v>
      </c>
      <c r="AG169" s="47">
        <f>IF(VLOOKUP($D169,$C$5:$AV$509,3,)=0,0,(VLOOKUP($D169,$C$5:$AV$509,30,)/VLOOKUP($D169,$C$5:$AV$509,3,))*$E169)</f>
        <v>0</v>
      </c>
      <c r="AH169" s="47">
        <f t="shared" ref="AH169" si="104">SUM(F169:AG169)</f>
        <v>4294.3666482297604</v>
      </c>
      <c r="AI169" s="27" t="str">
        <f>IF(ABS(E169-AH169)&lt;0.01,"ok","err")</f>
        <v>ok</v>
      </c>
    </row>
    <row r="170" spans="1:35" x14ac:dyDescent="0.2">
      <c r="E170" s="47"/>
    </row>
    <row r="171" spans="1:35" x14ac:dyDescent="0.2">
      <c r="A171" s="13" t="s">
        <v>2</v>
      </c>
      <c r="E171" s="47"/>
    </row>
    <row r="172" spans="1:35" x14ac:dyDescent="0.2">
      <c r="A172" s="90" t="s">
        <v>209</v>
      </c>
      <c r="C172" s="14" t="s">
        <v>278</v>
      </c>
      <c r="D172" s="14" t="s">
        <v>629</v>
      </c>
      <c r="E172" s="62">
        <f>'Func &amp; Classif'!O465</f>
        <v>1174717.6765033747</v>
      </c>
      <c r="F172" s="47">
        <f>IF(VLOOKUP($D172,$C$5:$AV$509,3,)=0,0,(VLOOKUP($D172,$C$5:$AV$509,4,)/VLOOKUP($D172,$C$5:$AV$509,3,))*$E172)</f>
        <v>985322.8717870235</v>
      </c>
      <c r="G172" s="47">
        <f>IF(VLOOKUP($D172,$C$5:$AV$509,3,)=0,0,(VLOOKUP($D172,$C$5:$AV$509,5,)/VLOOKUP($D172,$C$5:$AV$509,3,))*$E172)</f>
        <v>997.56781290503318</v>
      </c>
      <c r="H172" s="47">
        <f>IF(VLOOKUP($D172,$C$5:$AV$509,3,)=0,0,(VLOOKUP($D172,$C$5:$AV$509,6,)/VLOOKUP($D172,$C$5:$AV$509,3,))*$E172)</f>
        <v>76975.655404388031</v>
      </c>
      <c r="I172" s="47">
        <f>IF(VLOOKUP($D172,$C$5:$AV$509,3,)=0,0,(VLOOKUP($D172,$C$5:$AV$509,7,)/VLOOKUP($D172,$C$5:$AV$509,3,))*$E172)</f>
        <v>8770.6260666465969</v>
      </c>
      <c r="J172" s="47">
        <f>IF(VLOOKUP($D172,$C$5:$AV$509,3,)=0,0,(VLOOKUP($D172,$C$5:$AV$509,8,)/VLOOKUP($D172,$C$5:$AV$509,3,))*$E172)</f>
        <v>62286.009314143674</v>
      </c>
      <c r="K172" s="47">
        <f>IF(VLOOKUP($D172,$C$5:$AV$509,3,)=0,0,(VLOOKUP($D172,$C$5:$AV$509,9,)/VLOOKUP($D172,$C$5:$AV$509,3,))*$E172)</f>
        <v>0</v>
      </c>
      <c r="L172" s="47">
        <f>IF(VLOOKUP($D172,$C$5:$AV$509,3,)=0,0,(VLOOKUP($D172,$C$5:$AV$509,10,)/VLOOKUP($D172,$C$5:$AV$509,3,))*$E172)</f>
        <v>27953.56024012799</v>
      </c>
      <c r="M172" s="47">
        <f>IF(VLOOKUP($D172,$C$5:$AV$509,3,)=0,0,(VLOOKUP($D172,$C$5:$AV$509,11,)/VLOOKUP($D172,$C$5:$AV$509,3,))*$E172)</f>
        <v>8022.0600153358391</v>
      </c>
      <c r="N172" s="47">
        <f>IF(VLOOKUP($D172,$C$5:$AV$509,3,)=0,0,(VLOOKUP($D172,$C$5:$AV$509,12,)/VLOOKUP($D172,$C$5:$AV$509,3,))*$E172)</f>
        <v>4389.3258628042677</v>
      </c>
      <c r="O172" s="47">
        <f t="shared" ref="O172:Q173" si="105">IF(VLOOKUP($D172,$C$5:$AV$509,3,)=0,0,(VLOOKUP($D172,$C$5:$AV$509,14,)/VLOOKUP($D172,$C$5:$AV$509,3,))*$E172)</f>
        <v>0</v>
      </c>
      <c r="P172" s="47">
        <f t="shared" si="105"/>
        <v>0</v>
      </c>
      <c r="Q172" s="47">
        <f t="shared" si="105"/>
        <v>0</v>
      </c>
      <c r="R172" s="47">
        <f>IF(VLOOKUP($D172,$C$5:$AV$509,3,)=0,0,(VLOOKUP($D172,$C$5:$AV$509,15,)/VLOOKUP($D172,$C$5:$AV$509,3,))*$E172)</f>
        <v>0</v>
      </c>
      <c r="S172" s="47">
        <f>IF(VLOOKUP($D172,$C$5:$AV$509,3,)=0,0,(VLOOKUP($D172,$C$5:$AV$509,16,)/VLOOKUP($D172,$C$5:$AV$509,3,))*$E172)</f>
        <v>0</v>
      </c>
      <c r="T172" s="47">
        <f>IF(VLOOKUP($D172,$C$5:$AV$509,3,)=0,0,(VLOOKUP($D172,$C$5:$AV$509,17,)/VLOOKUP($D172,$C$5:$AV$509,3,))*$E172)</f>
        <v>0</v>
      </c>
      <c r="U172" s="47">
        <f>IF(VLOOKUP($D172,$C$5:$AV$509,3,)=0,0,(VLOOKUP($D172,$C$5:$AV$509,18,)/VLOOKUP($D172,$C$5:$AV$509,3,))*$E172)</f>
        <v>0</v>
      </c>
      <c r="V172" s="47">
        <f>IF(VLOOKUP($D172,$C$5:$AV$509,3,)=0,0,(VLOOKUP($D172,$C$5:$AV$509,19,)/VLOOKUP($D172,$C$5:$AV$509,3,))*$E172)</f>
        <v>0</v>
      </c>
      <c r="W172" s="47">
        <f>IF(VLOOKUP($D172,$C$5:$AV$509,3,)=0,0,(VLOOKUP($D172,$C$5:$AV$509,20,)/VLOOKUP($D172,$C$5:$AV$509,3,))*$E172)</f>
        <v>0</v>
      </c>
      <c r="X172" s="47">
        <f>IF(VLOOKUP($D172,$C$5:$AV$509,3,)=0,0,(VLOOKUP($D172,$C$5:$AV$509,21,)/VLOOKUP($D172,$C$5:$AV$509,3,))*$E172)</f>
        <v>0</v>
      </c>
      <c r="Y172" s="47">
        <f>IF(VLOOKUP($D172,$C$5:$AV$509,3,)=0,0,(VLOOKUP($D172,$C$5:$AV$509,22,)/VLOOKUP($D172,$C$5:$AV$509,3,))*$E172)</f>
        <v>0</v>
      </c>
      <c r="Z172" s="47">
        <f>IF(VLOOKUP($D172,$C$5:$AV$509,3,)=0,0,(VLOOKUP($D172,$C$5:$AV$509,23,)/VLOOKUP($D172,$C$5:$AV$509,3,))*$E172)</f>
        <v>0</v>
      </c>
      <c r="AA172" s="47">
        <f>IF(VLOOKUP($D172,$C$5:$AV$509,3,)=0,0,(VLOOKUP($D172,$C$5:$AV$509,24,)/VLOOKUP($D172,$C$5:$AV$509,3,))*$E172)</f>
        <v>0</v>
      </c>
      <c r="AB172" s="47">
        <f>IF(VLOOKUP($D172,$C$5:$AV$509,3,)=0,0,(VLOOKUP($D172,$C$5:$AV$509,25,)/VLOOKUP($D172,$C$5:$AV$509,3,))*$E172)</f>
        <v>0</v>
      </c>
      <c r="AC172" s="47">
        <f>IF(VLOOKUP($D172,$C$5:$AV$509,3,)=0,0,(VLOOKUP($D172,$C$5:$AV$509,26,)/VLOOKUP($D172,$C$5:$AV$509,3,))*$E172)</f>
        <v>0</v>
      </c>
      <c r="AD172" s="47">
        <f>IF(VLOOKUP($D172,$C$5:$AV$509,3,)=0,0,(VLOOKUP($D172,$C$5:$AV$509,27,)/VLOOKUP($D172,$C$5:$AV$509,3,))*$E172)</f>
        <v>0</v>
      </c>
      <c r="AE172" s="47">
        <f>IF(VLOOKUP($D172,$C$5:$AV$509,3,)=0,0,(VLOOKUP($D172,$C$5:$AV$509,28,)/VLOOKUP($D172,$C$5:$AV$509,3,))*$E172)</f>
        <v>0</v>
      </c>
      <c r="AF172" s="47">
        <f>IF(VLOOKUP($D172,$C$5:$AV$509,3,)=0,0,(VLOOKUP($D172,$C$5:$AV$509,29,)/VLOOKUP($D172,$C$5:$AV$509,3,))*$E172)</f>
        <v>0</v>
      </c>
      <c r="AG172" s="47">
        <f>IF(VLOOKUP($D172,$C$5:$AV$509,3,)=0,0,(VLOOKUP($D172,$C$5:$AV$509,30,)/VLOOKUP($D172,$C$5:$AV$509,3,))*$E172)</f>
        <v>0</v>
      </c>
      <c r="AH172" s="47">
        <f t="shared" ref="AH172:AH173" si="106">SUM(F172:AG172)</f>
        <v>1174717.6765033749</v>
      </c>
      <c r="AI172" s="27" t="str">
        <f>IF(ABS(E172-AH172)&lt;0.01,"ok","err")</f>
        <v>ok</v>
      </c>
    </row>
    <row r="173" spans="1:35" x14ac:dyDescent="0.2">
      <c r="A173" s="90" t="s">
        <v>221</v>
      </c>
      <c r="C173" s="14" t="s">
        <v>279</v>
      </c>
      <c r="D173" s="14" t="s">
        <v>223</v>
      </c>
      <c r="E173" s="47">
        <f>'Func &amp; Classif'!P465</f>
        <v>1877575.0523019671</v>
      </c>
      <c r="F173" s="47">
        <f>IF(VLOOKUP($D173,$C$5:$AV$509,3,)=0,0,(VLOOKUP($D173,$C$5:$AV$509,4,)/VLOOKUP($D173,$C$5:$AV$509,3,))*$E173)</f>
        <v>1699223.9535771923</v>
      </c>
      <c r="G173" s="47">
        <f>IF(VLOOKUP($D173,$C$5:$AV$509,3,)=0,0,(VLOOKUP($D173,$C$5:$AV$509,5,)/VLOOKUP($D173,$C$5:$AV$509,3,))*$E173)</f>
        <v>66.130529425070719</v>
      </c>
      <c r="H173" s="47">
        <f>IF(VLOOKUP($D173,$C$5:$AV$509,3,)=0,0,(VLOOKUP($D173,$C$5:$AV$509,6,)/VLOOKUP($D173,$C$5:$AV$509,3,))*$E173)</f>
        <v>134377.23579174373</v>
      </c>
      <c r="I173" s="47">
        <f>IF(VLOOKUP($D173,$C$5:$AV$509,3,)=0,0,(VLOOKUP($D173,$C$5:$AV$509,7,)/VLOOKUP($D173,$C$5:$AV$509,3,))*$E173)</f>
        <v>20764.986239472211</v>
      </c>
      <c r="J173" s="47">
        <f>IF(VLOOKUP($D173,$C$5:$AV$509,3,)=0,0,(VLOOKUP($D173,$C$5:$AV$509,8,)/VLOOKUP($D173,$C$5:$AV$509,3,))*$E173)</f>
        <v>7869.5330015834161</v>
      </c>
      <c r="K173" s="47">
        <f>IF(VLOOKUP($D173,$C$5:$AV$509,3,)=0,0,(VLOOKUP($D173,$C$5:$AV$509,9,)/VLOOKUP($D173,$C$5:$AV$509,3,))*$E173)</f>
        <v>0</v>
      </c>
      <c r="L173" s="47">
        <f>IF(VLOOKUP($D173,$C$5:$AV$509,3,)=0,0,(VLOOKUP($D173,$C$5:$AV$509,10,)/VLOOKUP($D173,$C$5:$AV$509,3,))*$E173)</f>
        <v>529.04423540056575</v>
      </c>
      <c r="M173" s="47">
        <f>IF(VLOOKUP($D173,$C$5:$AV$509,3,)=0,0,(VLOOKUP($D173,$C$5:$AV$509,11,)/VLOOKUP($D173,$C$5:$AV$509,3,))*$E173)</f>
        <v>66.130529425070719</v>
      </c>
      <c r="N173" s="47">
        <f>IF(VLOOKUP($D173,$C$5:$AV$509,3,)=0,0,(VLOOKUP($D173,$C$5:$AV$509,12,)/VLOOKUP($D173,$C$5:$AV$509,3,))*$E173)</f>
        <v>14678.038397724587</v>
      </c>
      <c r="O173" s="47">
        <f t="shared" si="105"/>
        <v>0</v>
      </c>
      <c r="P173" s="47">
        <f t="shared" si="105"/>
        <v>0</v>
      </c>
      <c r="Q173" s="47">
        <f t="shared" si="105"/>
        <v>0</v>
      </c>
      <c r="R173" s="47">
        <f>IF(VLOOKUP($D173,$C$5:$AV$509,3,)=0,0,(VLOOKUP($D173,$C$5:$AV$509,15,)/VLOOKUP($D173,$C$5:$AV$509,3,))*$E173)</f>
        <v>0</v>
      </c>
      <c r="S173" s="47">
        <f>IF(VLOOKUP($D173,$C$5:$AV$509,3,)=0,0,(VLOOKUP($D173,$C$5:$AV$509,16,)/VLOOKUP($D173,$C$5:$AV$509,3,))*$E173)</f>
        <v>0</v>
      </c>
      <c r="T173" s="47">
        <f>IF(VLOOKUP($D173,$C$5:$AV$509,3,)=0,0,(VLOOKUP($D173,$C$5:$AV$509,17,)/VLOOKUP($D173,$C$5:$AV$509,3,))*$E173)</f>
        <v>0</v>
      </c>
      <c r="U173" s="47">
        <f>IF(VLOOKUP($D173,$C$5:$AV$509,3,)=0,0,(VLOOKUP($D173,$C$5:$AV$509,18,)/VLOOKUP($D173,$C$5:$AV$509,3,))*$E173)</f>
        <v>0</v>
      </c>
      <c r="V173" s="47">
        <f>IF(VLOOKUP($D173,$C$5:$AV$509,3,)=0,0,(VLOOKUP($D173,$C$5:$AV$509,19,)/VLOOKUP($D173,$C$5:$AV$509,3,))*$E173)</f>
        <v>0</v>
      </c>
      <c r="W173" s="47">
        <f>IF(VLOOKUP($D173,$C$5:$AV$509,3,)=0,0,(VLOOKUP($D173,$C$5:$AV$509,20,)/VLOOKUP($D173,$C$5:$AV$509,3,))*$E173)</f>
        <v>0</v>
      </c>
      <c r="X173" s="47">
        <f>IF(VLOOKUP($D173,$C$5:$AV$509,3,)=0,0,(VLOOKUP($D173,$C$5:$AV$509,21,)/VLOOKUP($D173,$C$5:$AV$509,3,))*$E173)</f>
        <v>0</v>
      </c>
      <c r="Y173" s="47">
        <f>IF(VLOOKUP($D173,$C$5:$AV$509,3,)=0,0,(VLOOKUP($D173,$C$5:$AV$509,22,)/VLOOKUP($D173,$C$5:$AV$509,3,))*$E173)</f>
        <v>0</v>
      </c>
      <c r="Z173" s="47">
        <f>IF(VLOOKUP($D173,$C$5:$AV$509,3,)=0,0,(VLOOKUP($D173,$C$5:$AV$509,23,)/VLOOKUP($D173,$C$5:$AV$509,3,))*$E173)</f>
        <v>0</v>
      </c>
      <c r="AA173" s="47">
        <f>IF(VLOOKUP($D173,$C$5:$AV$509,3,)=0,0,(VLOOKUP($D173,$C$5:$AV$509,24,)/VLOOKUP($D173,$C$5:$AV$509,3,))*$E173)</f>
        <v>0</v>
      </c>
      <c r="AB173" s="47">
        <f>IF(VLOOKUP($D173,$C$5:$AV$509,3,)=0,0,(VLOOKUP($D173,$C$5:$AV$509,25,)/VLOOKUP($D173,$C$5:$AV$509,3,))*$E173)</f>
        <v>0</v>
      </c>
      <c r="AC173" s="47">
        <f>IF(VLOOKUP($D173,$C$5:$AV$509,3,)=0,0,(VLOOKUP($D173,$C$5:$AV$509,26,)/VLOOKUP($D173,$C$5:$AV$509,3,))*$E173)</f>
        <v>0</v>
      </c>
      <c r="AD173" s="47">
        <f>IF(VLOOKUP($D173,$C$5:$AV$509,3,)=0,0,(VLOOKUP($D173,$C$5:$AV$509,27,)/VLOOKUP($D173,$C$5:$AV$509,3,))*$E173)</f>
        <v>0</v>
      </c>
      <c r="AE173" s="47">
        <f>IF(VLOOKUP($D173,$C$5:$AV$509,3,)=0,0,(VLOOKUP($D173,$C$5:$AV$509,28,)/VLOOKUP($D173,$C$5:$AV$509,3,))*$E173)</f>
        <v>0</v>
      </c>
      <c r="AF173" s="47">
        <f>IF(VLOOKUP($D173,$C$5:$AV$509,3,)=0,0,(VLOOKUP($D173,$C$5:$AV$509,29,)/VLOOKUP($D173,$C$5:$AV$509,3,))*$E173)</f>
        <v>0</v>
      </c>
      <c r="AG173" s="47">
        <f>IF(VLOOKUP($D173,$C$5:$AV$509,3,)=0,0,(VLOOKUP($D173,$C$5:$AV$509,30,)/VLOOKUP($D173,$C$5:$AV$509,3,))*$E173)</f>
        <v>0</v>
      </c>
      <c r="AH173" s="47">
        <f t="shared" si="106"/>
        <v>1877575.0523019668</v>
      </c>
      <c r="AI173" s="27" t="str">
        <f>IF(ABS(E173-AH173)&lt;0.01,"ok","err")</f>
        <v>ok</v>
      </c>
    </row>
    <row r="174" spans="1:35" x14ac:dyDescent="0.2">
      <c r="A174" s="14" t="s">
        <v>224</v>
      </c>
      <c r="E174" s="62">
        <f t="shared" ref="E174:U174" si="107">E172+E173</f>
        <v>3052292.7288053418</v>
      </c>
      <c r="F174" s="62">
        <f t="shared" si="107"/>
        <v>2684546.8253642158</v>
      </c>
      <c r="G174" s="62">
        <f t="shared" si="107"/>
        <v>1063.698342330104</v>
      </c>
      <c r="H174" s="62">
        <f t="shared" si="107"/>
        <v>211352.89119613176</v>
      </c>
      <c r="I174" s="62">
        <f t="shared" si="107"/>
        <v>29535.612306118808</v>
      </c>
      <c r="J174" s="62">
        <f t="shared" si="107"/>
        <v>70155.542315727085</v>
      </c>
      <c r="K174" s="62">
        <f t="shared" si="107"/>
        <v>0</v>
      </c>
      <c r="L174" s="62">
        <f t="shared" si="107"/>
        <v>28482.604475528555</v>
      </c>
      <c r="M174" s="62">
        <f t="shared" ref="M174" si="108">M172+M173</f>
        <v>8088.1905447609097</v>
      </c>
      <c r="N174" s="62">
        <f t="shared" si="107"/>
        <v>19067.364260528855</v>
      </c>
      <c r="O174" s="62">
        <f t="shared" si="107"/>
        <v>0</v>
      </c>
      <c r="P174" s="62">
        <f t="shared" si="107"/>
        <v>0</v>
      </c>
      <c r="Q174" s="62">
        <f t="shared" si="107"/>
        <v>0</v>
      </c>
      <c r="R174" s="62">
        <f t="shared" si="107"/>
        <v>0</v>
      </c>
      <c r="S174" s="62">
        <f t="shared" si="107"/>
        <v>0</v>
      </c>
      <c r="T174" s="62">
        <f t="shared" si="107"/>
        <v>0</v>
      </c>
      <c r="U174" s="62">
        <f t="shared" si="107"/>
        <v>0</v>
      </c>
      <c r="V174" s="62">
        <f t="shared" ref="V174:AG174" si="109">V172+V173</f>
        <v>0</v>
      </c>
      <c r="W174" s="62">
        <f t="shared" si="109"/>
        <v>0</v>
      </c>
      <c r="X174" s="62">
        <f t="shared" si="109"/>
        <v>0</v>
      </c>
      <c r="Y174" s="62">
        <f t="shared" si="109"/>
        <v>0</v>
      </c>
      <c r="Z174" s="62">
        <f t="shared" si="109"/>
        <v>0</v>
      </c>
      <c r="AA174" s="62">
        <f t="shared" si="109"/>
        <v>0</v>
      </c>
      <c r="AB174" s="62">
        <f t="shared" si="109"/>
        <v>0</v>
      </c>
      <c r="AC174" s="62">
        <f t="shared" si="109"/>
        <v>0</v>
      </c>
      <c r="AD174" s="62">
        <f t="shared" si="109"/>
        <v>0</v>
      </c>
      <c r="AE174" s="62">
        <f t="shared" si="109"/>
        <v>0</v>
      </c>
      <c r="AF174" s="62">
        <f t="shared" si="109"/>
        <v>0</v>
      </c>
      <c r="AG174" s="62">
        <f t="shared" si="109"/>
        <v>0</v>
      </c>
      <c r="AH174" s="87">
        <f>SUM(F174:AG174)</f>
        <v>3052292.7288053418</v>
      </c>
      <c r="AI174" s="27" t="str">
        <f>IF(ABS(E174-AH174)&lt;0.01,"ok","err")</f>
        <v>ok</v>
      </c>
    </row>
    <row r="175" spans="1:35" x14ac:dyDescent="0.2">
      <c r="E175" s="47"/>
    </row>
    <row r="176" spans="1:35" x14ac:dyDescent="0.2">
      <c r="A176" s="13" t="s">
        <v>3</v>
      </c>
      <c r="E176" s="47"/>
    </row>
    <row r="177" spans="1:35" x14ac:dyDescent="0.2">
      <c r="A177" s="90" t="s">
        <v>209</v>
      </c>
      <c r="C177" s="14" t="s">
        <v>280</v>
      </c>
      <c r="D177" s="14" t="s">
        <v>701</v>
      </c>
      <c r="E177" s="62">
        <f>'Func &amp; Classif'!R465</f>
        <v>0</v>
      </c>
      <c r="F177" s="47">
        <f>IF(VLOOKUP($D177,$C$5:$AV$509,3,)=0,0,(VLOOKUP($D177,$C$5:$AV$509,4,)/VLOOKUP($D177,$C$5:$AV$509,3,))*$E177)</f>
        <v>0</v>
      </c>
      <c r="G177" s="47">
        <f>IF(VLOOKUP($D177,$C$5:$AV$509,3,)=0,0,(VLOOKUP($D177,$C$5:$AV$509,5,)/VLOOKUP($D177,$C$5:$AV$509,3,))*$E177)</f>
        <v>0</v>
      </c>
      <c r="H177" s="47">
        <f>IF(VLOOKUP($D177,$C$5:$AV$509,3,)=0,0,(VLOOKUP($D177,$C$5:$AV$509,6,)/VLOOKUP($D177,$C$5:$AV$509,3,))*$E177)</f>
        <v>0</v>
      </c>
      <c r="I177" s="47">
        <f>IF(VLOOKUP($D177,$C$5:$AV$509,3,)=0,0,(VLOOKUP($D177,$C$5:$AV$509,7,)/VLOOKUP($D177,$C$5:$AV$509,3,))*$E177)</f>
        <v>0</v>
      </c>
      <c r="J177" s="47">
        <f>IF(VLOOKUP($D177,$C$5:$AV$509,3,)=0,0,(VLOOKUP($D177,$C$5:$AV$509,8,)/VLOOKUP($D177,$C$5:$AV$509,3,))*$E177)</f>
        <v>0</v>
      </c>
      <c r="K177" s="47">
        <f>IF(VLOOKUP($D177,$C$5:$AV$509,3,)=0,0,(VLOOKUP($D177,$C$5:$AV$509,9,)/VLOOKUP($D177,$C$5:$AV$509,3,))*$E177)</f>
        <v>0</v>
      </c>
      <c r="L177" s="47">
        <f>IF(VLOOKUP($D177,$C$5:$AV$509,3,)=0,0,(VLOOKUP($D177,$C$5:$AV$509,10,)/VLOOKUP($D177,$C$5:$AV$509,3,))*$E177)</f>
        <v>0</v>
      </c>
      <c r="M177" s="47">
        <f>IF(VLOOKUP($D177,$C$5:$AV$509,3,)=0,0,(VLOOKUP($D177,$C$5:$AV$509,11,)/VLOOKUP($D177,$C$5:$AV$509,3,))*$E177)</f>
        <v>0</v>
      </c>
      <c r="N177" s="47">
        <f>IF(VLOOKUP($D177,$C$5:$AV$509,3,)=0,0,(VLOOKUP($D177,$C$5:$AV$509,12,)/VLOOKUP($D177,$C$5:$AV$509,3,))*$E177)</f>
        <v>0</v>
      </c>
      <c r="O177" s="47">
        <f t="shared" ref="O177:Q178" si="110">IF(VLOOKUP($D177,$C$5:$AV$509,3,)=0,0,(VLOOKUP($D177,$C$5:$AV$509,14,)/VLOOKUP($D177,$C$5:$AV$509,3,))*$E177)</f>
        <v>0</v>
      </c>
      <c r="P177" s="47">
        <f t="shared" si="110"/>
        <v>0</v>
      </c>
      <c r="Q177" s="47">
        <f t="shared" si="110"/>
        <v>0</v>
      </c>
      <c r="R177" s="47">
        <f>IF(VLOOKUP($D177,$C$5:$AV$509,3,)=0,0,(VLOOKUP($D177,$C$5:$AV$509,15,)/VLOOKUP($D177,$C$5:$AV$509,3,))*$E177)</f>
        <v>0</v>
      </c>
      <c r="S177" s="47">
        <f>IF(VLOOKUP($D177,$C$5:$AV$509,3,)=0,0,(VLOOKUP($D177,$C$5:$AV$509,16,)/VLOOKUP($D177,$C$5:$AV$509,3,))*$E177)</f>
        <v>0</v>
      </c>
      <c r="T177" s="47">
        <f>IF(VLOOKUP($D177,$C$5:$AV$509,3,)=0,0,(VLOOKUP($D177,$C$5:$AV$509,17,)/VLOOKUP($D177,$C$5:$AV$509,3,))*$E177)</f>
        <v>0</v>
      </c>
      <c r="U177" s="47">
        <f>IF(VLOOKUP($D177,$C$5:$AV$509,3,)=0,0,(VLOOKUP($D177,$C$5:$AV$509,18,)/VLOOKUP($D177,$C$5:$AV$509,3,))*$E177)</f>
        <v>0</v>
      </c>
      <c r="V177" s="47">
        <f>IF(VLOOKUP($D177,$C$5:$AV$509,3,)=0,0,(VLOOKUP($D177,$C$5:$AV$509,19,)/VLOOKUP($D177,$C$5:$AV$509,3,))*$E177)</f>
        <v>0</v>
      </c>
      <c r="W177" s="47">
        <f>IF(VLOOKUP($D177,$C$5:$AV$509,3,)=0,0,(VLOOKUP($D177,$C$5:$AV$509,20,)/VLOOKUP($D177,$C$5:$AV$509,3,))*$E177)</f>
        <v>0</v>
      </c>
      <c r="X177" s="47">
        <f>IF(VLOOKUP($D177,$C$5:$AV$509,3,)=0,0,(VLOOKUP($D177,$C$5:$AV$509,21,)/VLOOKUP($D177,$C$5:$AV$509,3,))*$E177)</f>
        <v>0</v>
      </c>
      <c r="Y177" s="47">
        <f>IF(VLOOKUP($D177,$C$5:$AV$509,3,)=0,0,(VLOOKUP($D177,$C$5:$AV$509,22,)/VLOOKUP($D177,$C$5:$AV$509,3,))*$E177)</f>
        <v>0</v>
      </c>
      <c r="Z177" s="47">
        <f>IF(VLOOKUP($D177,$C$5:$AV$509,3,)=0,0,(VLOOKUP($D177,$C$5:$AV$509,23,)/VLOOKUP($D177,$C$5:$AV$509,3,))*$E177)</f>
        <v>0</v>
      </c>
      <c r="AA177" s="47">
        <f>IF(VLOOKUP($D177,$C$5:$AV$509,3,)=0,0,(VLOOKUP($D177,$C$5:$AV$509,24,)/VLOOKUP($D177,$C$5:$AV$509,3,))*$E177)</f>
        <v>0</v>
      </c>
      <c r="AB177" s="47">
        <f>IF(VLOOKUP($D177,$C$5:$AV$509,3,)=0,0,(VLOOKUP($D177,$C$5:$AV$509,25,)/VLOOKUP($D177,$C$5:$AV$509,3,))*$E177)</f>
        <v>0</v>
      </c>
      <c r="AC177" s="47">
        <f>IF(VLOOKUP($D177,$C$5:$AV$509,3,)=0,0,(VLOOKUP($D177,$C$5:$AV$509,26,)/VLOOKUP($D177,$C$5:$AV$509,3,))*$E177)</f>
        <v>0</v>
      </c>
      <c r="AD177" s="47">
        <f>IF(VLOOKUP($D177,$C$5:$AV$509,3,)=0,0,(VLOOKUP($D177,$C$5:$AV$509,27,)/VLOOKUP($D177,$C$5:$AV$509,3,))*$E177)</f>
        <v>0</v>
      </c>
      <c r="AE177" s="47">
        <f>IF(VLOOKUP($D177,$C$5:$AV$509,3,)=0,0,(VLOOKUP($D177,$C$5:$AV$509,28,)/VLOOKUP($D177,$C$5:$AV$509,3,))*$E177)</f>
        <v>0</v>
      </c>
      <c r="AF177" s="47">
        <f>IF(VLOOKUP($D177,$C$5:$AV$509,3,)=0,0,(VLOOKUP($D177,$C$5:$AV$509,29,)/VLOOKUP($D177,$C$5:$AV$509,3,))*$E177)</f>
        <v>0</v>
      </c>
      <c r="AG177" s="47">
        <f>IF(VLOOKUP($D177,$C$5:$AV$509,3,)=0,0,(VLOOKUP($D177,$C$5:$AV$509,30,)/VLOOKUP($D177,$C$5:$AV$509,3,))*$E177)</f>
        <v>0</v>
      </c>
      <c r="AH177" s="47">
        <f t="shared" ref="AH177:AH178" si="111">SUM(F177:AG177)</f>
        <v>0</v>
      </c>
      <c r="AI177" s="27" t="str">
        <f>IF(ABS(E177-AH177)&lt;0.01,"ok","err")</f>
        <v>ok</v>
      </c>
    </row>
    <row r="178" spans="1:35" x14ac:dyDescent="0.2">
      <c r="A178" s="90" t="s">
        <v>221</v>
      </c>
      <c r="C178" s="14" t="s">
        <v>281</v>
      </c>
      <c r="D178" s="14" t="s">
        <v>701</v>
      </c>
      <c r="E178" s="47">
        <f>'Func &amp; Classif'!S465</f>
        <v>117963.3657500991</v>
      </c>
      <c r="F178" s="47">
        <f>IF(VLOOKUP($D178,$C$5:$AV$509,3,)=0,0,(VLOOKUP($D178,$C$5:$AV$509,4,)/VLOOKUP($D178,$C$5:$AV$509,3,))*$E178)</f>
        <v>100623.86802648329</v>
      </c>
      <c r="G178" s="47">
        <f>IF(VLOOKUP($D178,$C$5:$AV$509,3,)=0,0,(VLOOKUP($D178,$C$5:$AV$509,5,)/VLOOKUP($D178,$C$5:$AV$509,3,))*$E178)</f>
        <v>3.9160874888687798</v>
      </c>
      <c r="H178" s="47">
        <f>IF(VLOOKUP($D178,$C$5:$AV$509,3,)=0,0,(VLOOKUP($D178,$C$5:$AV$509,6,)/VLOOKUP($D178,$C$5:$AV$509,3,))*$E178)</f>
        <v>14565.200099254995</v>
      </c>
      <c r="I178" s="47">
        <f>IF(VLOOKUP($D178,$C$5:$AV$509,3,)=0,0,(VLOOKUP($D178,$C$5:$AV$509,7,)/VLOOKUP($D178,$C$5:$AV$509,3,))*$E178)</f>
        <v>1499.6157349017224</v>
      </c>
      <c r="J178" s="47">
        <f>IF(VLOOKUP($D178,$C$5:$AV$509,3,)=0,0,(VLOOKUP($D178,$C$5:$AV$509,8,)/VLOOKUP($D178,$C$5:$AV$509,3,))*$E178)</f>
        <v>1199.1343000623801</v>
      </c>
      <c r="K178" s="47">
        <f>IF(VLOOKUP($D178,$C$5:$AV$509,3,)=0,0,(VLOOKUP($D178,$C$5:$AV$509,9,)/VLOOKUP($D178,$C$5:$AV$509,3,))*$E178)</f>
        <v>0</v>
      </c>
      <c r="L178" s="47">
        <f>IF(VLOOKUP($D178,$C$5:$AV$509,3,)=0,0,(VLOOKUP($D178,$C$5:$AV$509,10,)/VLOOKUP($D178,$C$5:$AV$509,3,))*$E178)</f>
        <v>61.554743083798797</v>
      </c>
      <c r="M178" s="47">
        <f>IF(VLOOKUP($D178,$C$5:$AV$509,3,)=0,0,(VLOOKUP($D178,$C$5:$AV$509,11,)/VLOOKUP($D178,$C$5:$AV$509,3,))*$E178)</f>
        <v>10.076758824053615</v>
      </c>
      <c r="N178" s="47">
        <f>IF(VLOOKUP($D178,$C$5:$AV$509,3,)=0,0,(VLOOKUP($D178,$C$5:$AV$509,12,)/VLOOKUP($D178,$C$5:$AV$509,3,))*$E178)</f>
        <v>0</v>
      </c>
      <c r="O178" s="47">
        <f t="shared" si="110"/>
        <v>0</v>
      </c>
      <c r="P178" s="47">
        <f t="shared" si="110"/>
        <v>0</v>
      </c>
      <c r="Q178" s="47">
        <f t="shared" si="110"/>
        <v>0</v>
      </c>
      <c r="R178" s="47">
        <f>IF(VLOOKUP($D178,$C$5:$AV$509,3,)=0,0,(VLOOKUP($D178,$C$5:$AV$509,15,)/VLOOKUP($D178,$C$5:$AV$509,3,))*$E178)</f>
        <v>0</v>
      </c>
      <c r="S178" s="47">
        <f>IF(VLOOKUP($D178,$C$5:$AV$509,3,)=0,0,(VLOOKUP($D178,$C$5:$AV$509,16,)/VLOOKUP($D178,$C$5:$AV$509,3,))*$E178)</f>
        <v>0</v>
      </c>
      <c r="T178" s="47">
        <f>IF(VLOOKUP($D178,$C$5:$AV$509,3,)=0,0,(VLOOKUP($D178,$C$5:$AV$509,17,)/VLOOKUP($D178,$C$5:$AV$509,3,))*$E178)</f>
        <v>0</v>
      </c>
      <c r="U178" s="47">
        <f>IF(VLOOKUP($D178,$C$5:$AV$509,3,)=0,0,(VLOOKUP($D178,$C$5:$AV$509,18,)/VLOOKUP($D178,$C$5:$AV$509,3,))*$E178)</f>
        <v>0</v>
      </c>
      <c r="V178" s="47">
        <f>IF(VLOOKUP($D178,$C$5:$AV$509,3,)=0,0,(VLOOKUP($D178,$C$5:$AV$509,19,)/VLOOKUP($D178,$C$5:$AV$509,3,))*$E178)</f>
        <v>0</v>
      </c>
      <c r="W178" s="47">
        <f>IF(VLOOKUP($D178,$C$5:$AV$509,3,)=0,0,(VLOOKUP($D178,$C$5:$AV$509,20,)/VLOOKUP($D178,$C$5:$AV$509,3,))*$E178)</f>
        <v>0</v>
      </c>
      <c r="X178" s="47">
        <f>IF(VLOOKUP($D178,$C$5:$AV$509,3,)=0,0,(VLOOKUP($D178,$C$5:$AV$509,21,)/VLOOKUP($D178,$C$5:$AV$509,3,))*$E178)</f>
        <v>0</v>
      </c>
      <c r="Y178" s="47">
        <f>IF(VLOOKUP($D178,$C$5:$AV$509,3,)=0,0,(VLOOKUP($D178,$C$5:$AV$509,22,)/VLOOKUP($D178,$C$5:$AV$509,3,))*$E178)</f>
        <v>0</v>
      </c>
      <c r="Z178" s="47">
        <f>IF(VLOOKUP($D178,$C$5:$AV$509,3,)=0,0,(VLOOKUP($D178,$C$5:$AV$509,23,)/VLOOKUP($D178,$C$5:$AV$509,3,))*$E178)</f>
        <v>0</v>
      </c>
      <c r="AA178" s="47">
        <f>IF(VLOOKUP($D178,$C$5:$AV$509,3,)=0,0,(VLOOKUP($D178,$C$5:$AV$509,24,)/VLOOKUP($D178,$C$5:$AV$509,3,))*$E178)</f>
        <v>0</v>
      </c>
      <c r="AB178" s="47">
        <f>IF(VLOOKUP($D178,$C$5:$AV$509,3,)=0,0,(VLOOKUP($D178,$C$5:$AV$509,25,)/VLOOKUP($D178,$C$5:$AV$509,3,))*$E178)</f>
        <v>0</v>
      </c>
      <c r="AC178" s="47">
        <f>IF(VLOOKUP($D178,$C$5:$AV$509,3,)=0,0,(VLOOKUP($D178,$C$5:$AV$509,26,)/VLOOKUP($D178,$C$5:$AV$509,3,))*$E178)</f>
        <v>0</v>
      </c>
      <c r="AD178" s="47">
        <f>IF(VLOOKUP($D178,$C$5:$AV$509,3,)=0,0,(VLOOKUP($D178,$C$5:$AV$509,27,)/VLOOKUP($D178,$C$5:$AV$509,3,))*$E178)</f>
        <v>0</v>
      </c>
      <c r="AE178" s="47">
        <f>IF(VLOOKUP($D178,$C$5:$AV$509,3,)=0,0,(VLOOKUP($D178,$C$5:$AV$509,28,)/VLOOKUP($D178,$C$5:$AV$509,3,))*$E178)</f>
        <v>0</v>
      </c>
      <c r="AF178" s="47">
        <f>IF(VLOOKUP($D178,$C$5:$AV$509,3,)=0,0,(VLOOKUP($D178,$C$5:$AV$509,29,)/VLOOKUP($D178,$C$5:$AV$509,3,))*$E178)</f>
        <v>0</v>
      </c>
      <c r="AG178" s="47">
        <f>IF(VLOOKUP($D178,$C$5:$AV$509,3,)=0,0,(VLOOKUP($D178,$C$5:$AV$509,30,)/VLOOKUP($D178,$C$5:$AV$509,3,))*$E178)</f>
        <v>0</v>
      </c>
      <c r="AH178" s="47">
        <f t="shared" si="111"/>
        <v>117963.3657500991</v>
      </c>
      <c r="AI178" s="27" t="str">
        <f>IF(ABS(E178-AH178)&lt;0.01,"ok","err")</f>
        <v>ok</v>
      </c>
    </row>
    <row r="179" spans="1:35" x14ac:dyDescent="0.2">
      <c r="A179" s="14" t="s">
        <v>228</v>
      </c>
      <c r="E179" s="62">
        <f t="shared" ref="E179:U179" si="112">E177+E178</f>
        <v>117963.3657500991</v>
      </c>
      <c r="F179" s="62">
        <f t="shared" si="112"/>
        <v>100623.86802648329</v>
      </c>
      <c r="G179" s="62">
        <f t="shared" si="112"/>
        <v>3.9160874888687798</v>
      </c>
      <c r="H179" s="62">
        <f t="shared" si="112"/>
        <v>14565.200099254995</v>
      </c>
      <c r="I179" s="62">
        <f t="shared" si="112"/>
        <v>1499.6157349017224</v>
      </c>
      <c r="J179" s="62">
        <f t="shared" si="112"/>
        <v>1199.1343000623801</v>
      </c>
      <c r="K179" s="62">
        <f t="shared" si="112"/>
        <v>0</v>
      </c>
      <c r="L179" s="62">
        <f t="shared" si="112"/>
        <v>61.554743083798797</v>
      </c>
      <c r="M179" s="62">
        <f t="shared" ref="M179" si="113">M177+M178</f>
        <v>10.076758824053615</v>
      </c>
      <c r="N179" s="62">
        <f t="shared" si="112"/>
        <v>0</v>
      </c>
      <c r="O179" s="62">
        <f t="shared" si="112"/>
        <v>0</v>
      </c>
      <c r="P179" s="62">
        <f t="shared" si="112"/>
        <v>0</v>
      </c>
      <c r="Q179" s="62">
        <f t="shared" si="112"/>
        <v>0</v>
      </c>
      <c r="R179" s="62">
        <f t="shared" si="112"/>
        <v>0</v>
      </c>
      <c r="S179" s="62">
        <f t="shared" si="112"/>
        <v>0</v>
      </c>
      <c r="T179" s="62">
        <f t="shared" si="112"/>
        <v>0</v>
      </c>
      <c r="U179" s="62">
        <f t="shared" si="112"/>
        <v>0</v>
      </c>
      <c r="V179" s="62">
        <f t="shared" ref="V179:AG179" si="114">V177+V178</f>
        <v>0</v>
      </c>
      <c r="W179" s="62">
        <f t="shared" si="114"/>
        <v>0</v>
      </c>
      <c r="X179" s="62">
        <f t="shared" si="114"/>
        <v>0</v>
      </c>
      <c r="Y179" s="62">
        <f t="shared" si="114"/>
        <v>0</v>
      </c>
      <c r="Z179" s="62">
        <f t="shared" si="114"/>
        <v>0</v>
      </c>
      <c r="AA179" s="62">
        <f t="shared" si="114"/>
        <v>0</v>
      </c>
      <c r="AB179" s="62">
        <f t="shared" si="114"/>
        <v>0</v>
      </c>
      <c r="AC179" s="62">
        <f t="shared" si="114"/>
        <v>0</v>
      </c>
      <c r="AD179" s="62">
        <f t="shared" si="114"/>
        <v>0</v>
      </c>
      <c r="AE179" s="62">
        <f t="shared" si="114"/>
        <v>0</v>
      </c>
      <c r="AF179" s="62">
        <f t="shared" si="114"/>
        <v>0</v>
      </c>
      <c r="AG179" s="62">
        <f t="shared" si="114"/>
        <v>0</v>
      </c>
      <c r="AH179" s="87">
        <f>SUM(F179:AG179)</f>
        <v>117963.3657500991</v>
      </c>
      <c r="AI179" s="27" t="str">
        <f>IF(ABS(E179-AH179)&lt;0.01,"ok","err")</f>
        <v>ok</v>
      </c>
    </row>
    <row r="180" spans="1:35" x14ac:dyDescent="0.2">
      <c r="E180" s="47"/>
    </row>
    <row r="181" spans="1:35" x14ac:dyDescent="0.2">
      <c r="A181" s="13" t="s">
        <v>4</v>
      </c>
      <c r="E181" s="47"/>
    </row>
    <row r="182" spans="1:35" x14ac:dyDescent="0.2">
      <c r="A182" s="90" t="s">
        <v>221</v>
      </c>
      <c r="C182" s="14" t="s">
        <v>282</v>
      </c>
      <c r="D182" s="14" t="s">
        <v>230</v>
      </c>
      <c r="E182" s="62">
        <f>'Func &amp; Classif'!U465</f>
        <v>432614.5419912138</v>
      </c>
      <c r="F182" s="47">
        <f>IF(VLOOKUP($D182,$C$5:$AV$509,3,)=0,0,(VLOOKUP($D182,$C$5:$AV$509,4,)/VLOOKUP($D182,$C$5:$AV$509,3,))*$E182)</f>
        <v>384662.45777162974</v>
      </c>
      <c r="G182" s="47">
        <f>IF(VLOOKUP($D182,$C$5:$AV$509,3,)=0,0,(VLOOKUP($D182,$C$5:$AV$509,5,)/VLOOKUP($D182,$C$5:$AV$509,3,))*$E182)</f>
        <v>14.9703233224997</v>
      </c>
      <c r="H182" s="47">
        <f>IF(VLOOKUP($D182,$C$5:$AV$509,3,)=0,0,(VLOOKUP($D182,$C$5:$AV$509,6,)/VLOOKUP($D182,$C$5:$AV$509,3,))*$E182)</f>
        <v>37903.908155850346</v>
      </c>
      <c r="I182" s="47">
        <f>IF(VLOOKUP($D182,$C$5:$AV$509,3,)=0,0,(VLOOKUP($D182,$C$5:$AV$509,7,)/VLOOKUP($D182,$C$5:$AV$509,3,))*$E182)</f>
        <v>4700.681523264906</v>
      </c>
      <c r="J182" s="47">
        <f>IF(VLOOKUP($D182,$C$5:$AV$509,3,)=0,0,(VLOOKUP($D182,$C$5:$AV$509,8,)/VLOOKUP($D182,$C$5:$AV$509,3,))*$E182)</f>
        <v>4891.9689879412908</v>
      </c>
      <c r="K182" s="47">
        <f>IF(VLOOKUP($D182,$C$5:$AV$509,3,)=0,0,(VLOOKUP($D182,$C$5:$AV$509,9,)/VLOOKUP($D182,$C$5:$AV$509,3,))*$E182)</f>
        <v>0</v>
      </c>
      <c r="L182" s="47">
        <f>IF(VLOOKUP($D182,$C$5:$AV$509,3,)=0,0,(VLOOKUP($D182,$C$5:$AV$509,10,)/VLOOKUP($D182,$C$5:$AV$509,3,))*$E182)</f>
        <v>391.60464818221436</v>
      </c>
      <c r="M182" s="47">
        <f>IF(VLOOKUP($D182,$C$5:$AV$509,3,)=0,0,(VLOOKUP($D182,$C$5:$AV$509,11,)/VLOOKUP($D182,$C$5:$AV$509,3,))*$E182)</f>
        <v>48.950581022776795</v>
      </c>
      <c r="N182" s="47">
        <f>IF(VLOOKUP($D182,$C$5:$AV$509,3,)=0,0,(VLOOKUP($D182,$C$5:$AV$509,12,)/VLOOKUP($D182,$C$5:$AV$509,3,))*$E182)</f>
        <v>0</v>
      </c>
      <c r="O182" s="47">
        <f>IF(VLOOKUP($D182,$C$5:$AV$509,3,)=0,0,(VLOOKUP($D182,$C$5:$AV$509,14,)/VLOOKUP($D182,$C$5:$AV$509,3,))*$E182)</f>
        <v>0</v>
      </c>
      <c r="P182" s="47">
        <f>IF(VLOOKUP($D182,$C$5:$AV$509,3,)=0,0,(VLOOKUP($D182,$C$5:$AV$509,14,)/VLOOKUP($D182,$C$5:$AV$509,3,))*$E182)</f>
        <v>0</v>
      </c>
      <c r="Q182" s="47">
        <f>IF(VLOOKUP($D182,$C$5:$AV$509,3,)=0,0,(VLOOKUP($D182,$C$5:$AV$509,14,)/VLOOKUP($D182,$C$5:$AV$509,3,))*$E182)</f>
        <v>0</v>
      </c>
      <c r="R182" s="47">
        <f>IF(VLOOKUP($D182,$C$5:$AV$509,3,)=0,0,(VLOOKUP($D182,$C$5:$AV$509,15,)/VLOOKUP($D182,$C$5:$AV$509,3,))*$E182)</f>
        <v>0</v>
      </c>
      <c r="S182" s="47">
        <f>IF(VLOOKUP($D182,$C$5:$AV$509,3,)=0,0,(VLOOKUP($D182,$C$5:$AV$509,16,)/VLOOKUP($D182,$C$5:$AV$509,3,))*$E182)</f>
        <v>0</v>
      </c>
      <c r="T182" s="47">
        <f>IF(VLOOKUP($D182,$C$5:$AV$509,3,)=0,0,(VLOOKUP($D182,$C$5:$AV$509,17,)/VLOOKUP($D182,$C$5:$AV$509,3,))*$E182)</f>
        <v>0</v>
      </c>
      <c r="U182" s="47">
        <f>IF(VLOOKUP($D182,$C$5:$AV$509,3,)=0,0,(VLOOKUP($D182,$C$5:$AV$509,18,)/VLOOKUP($D182,$C$5:$AV$509,3,))*$E182)</f>
        <v>0</v>
      </c>
      <c r="V182" s="47">
        <f>IF(VLOOKUP($D182,$C$5:$AV$509,3,)=0,0,(VLOOKUP($D182,$C$5:$AV$509,19,)/VLOOKUP($D182,$C$5:$AV$509,3,))*$E182)</f>
        <v>0</v>
      </c>
      <c r="W182" s="47">
        <f>IF(VLOOKUP($D182,$C$5:$AV$509,3,)=0,0,(VLOOKUP($D182,$C$5:$AV$509,20,)/VLOOKUP($D182,$C$5:$AV$509,3,))*$E182)</f>
        <v>0</v>
      </c>
      <c r="X182" s="47">
        <f>IF(VLOOKUP($D182,$C$5:$AV$509,3,)=0,0,(VLOOKUP($D182,$C$5:$AV$509,21,)/VLOOKUP($D182,$C$5:$AV$509,3,))*$E182)</f>
        <v>0</v>
      </c>
      <c r="Y182" s="47">
        <f>IF(VLOOKUP($D182,$C$5:$AV$509,3,)=0,0,(VLOOKUP($D182,$C$5:$AV$509,22,)/VLOOKUP($D182,$C$5:$AV$509,3,))*$E182)</f>
        <v>0</v>
      </c>
      <c r="Z182" s="47">
        <f>IF(VLOOKUP($D182,$C$5:$AV$509,3,)=0,0,(VLOOKUP($D182,$C$5:$AV$509,23,)/VLOOKUP($D182,$C$5:$AV$509,3,))*$E182)</f>
        <v>0</v>
      </c>
      <c r="AA182" s="47">
        <f>IF(VLOOKUP($D182,$C$5:$AV$509,3,)=0,0,(VLOOKUP($D182,$C$5:$AV$509,24,)/VLOOKUP($D182,$C$5:$AV$509,3,))*$E182)</f>
        <v>0</v>
      </c>
      <c r="AB182" s="47">
        <f>IF(VLOOKUP($D182,$C$5:$AV$509,3,)=0,0,(VLOOKUP($D182,$C$5:$AV$509,25,)/VLOOKUP($D182,$C$5:$AV$509,3,))*$E182)</f>
        <v>0</v>
      </c>
      <c r="AC182" s="47">
        <f>IF(VLOOKUP($D182,$C$5:$AV$509,3,)=0,0,(VLOOKUP($D182,$C$5:$AV$509,26,)/VLOOKUP($D182,$C$5:$AV$509,3,))*$E182)</f>
        <v>0</v>
      </c>
      <c r="AD182" s="47">
        <f>IF(VLOOKUP($D182,$C$5:$AV$509,3,)=0,0,(VLOOKUP($D182,$C$5:$AV$509,27,)/VLOOKUP($D182,$C$5:$AV$509,3,))*$E182)</f>
        <v>0</v>
      </c>
      <c r="AE182" s="47">
        <f>IF(VLOOKUP($D182,$C$5:$AV$509,3,)=0,0,(VLOOKUP($D182,$C$5:$AV$509,28,)/VLOOKUP($D182,$C$5:$AV$509,3,))*$E182)</f>
        <v>0</v>
      </c>
      <c r="AF182" s="47">
        <f>IF(VLOOKUP($D182,$C$5:$AV$509,3,)=0,0,(VLOOKUP($D182,$C$5:$AV$509,29,)/VLOOKUP($D182,$C$5:$AV$509,3,))*$E182)</f>
        <v>0</v>
      </c>
      <c r="AG182" s="47">
        <f>IF(VLOOKUP($D182,$C$5:$AV$509,3,)=0,0,(VLOOKUP($D182,$C$5:$AV$509,30,)/VLOOKUP($D182,$C$5:$AV$509,3,))*$E182)</f>
        <v>0</v>
      </c>
      <c r="AH182" s="47">
        <f t="shared" ref="AH182" si="115">SUM(F182:AG182)</f>
        <v>432614.5419912138</v>
      </c>
      <c r="AI182" s="27" t="str">
        <f>IF(ABS(E182-AH182)&lt;0.01,"ok","err")</f>
        <v>ok</v>
      </c>
    </row>
    <row r="183" spans="1:35" x14ac:dyDescent="0.2">
      <c r="E183" s="47"/>
    </row>
    <row r="184" spans="1:35" x14ac:dyDescent="0.2">
      <c r="A184" s="13" t="s">
        <v>5</v>
      </c>
      <c r="E184" s="47"/>
    </row>
    <row r="185" spans="1:35" x14ac:dyDescent="0.2">
      <c r="A185" s="90" t="s">
        <v>221</v>
      </c>
      <c r="C185" s="14" t="s">
        <v>283</v>
      </c>
      <c r="D185" s="14" t="s">
        <v>232</v>
      </c>
      <c r="E185" s="62">
        <f>'Func &amp; Classif'!W465</f>
        <v>33646.353556801318</v>
      </c>
      <c r="F185" s="47">
        <f>IF(VLOOKUP($D185,$C$5:$AV$509,3,)=0,0,(VLOOKUP($D185,$C$5:$AV$509,4,)/VLOOKUP($D185,$C$5:$AV$509,3,))*$E185)</f>
        <v>0</v>
      </c>
      <c r="G185" s="47">
        <f>IF(VLOOKUP($D185,$C$5:$AV$509,3,)=0,0,(VLOOKUP($D185,$C$5:$AV$509,5,)/VLOOKUP($D185,$C$5:$AV$509,3,))*$E185)</f>
        <v>0</v>
      </c>
      <c r="H185" s="47">
        <f>IF(VLOOKUP($D185,$C$5:$AV$509,3,)=0,0,(VLOOKUP($D185,$C$5:$AV$509,6,)/VLOOKUP($D185,$C$5:$AV$509,3,))*$E185)</f>
        <v>0</v>
      </c>
      <c r="I185" s="47">
        <f>IF(VLOOKUP($D185,$C$5:$AV$509,3,)=0,0,(VLOOKUP($D185,$C$5:$AV$509,7,)/VLOOKUP($D185,$C$5:$AV$509,3,))*$E185)</f>
        <v>0</v>
      </c>
      <c r="J185" s="47">
        <f>IF(VLOOKUP($D185,$C$5:$AV$509,3,)=0,0,(VLOOKUP($D185,$C$5:$AV$509,8,)/VLOOKUP($D185,$C$5:$AV$509,3,))*$E185)</f>
        <v>0</v>
      </c>
      <c r="K185" s="47">
        <f>IF(VLOOKUP($D185,$C$5:$AV$509,3,)=0,0,(VLOOKUP($D185,$C$5:$AV$509,9,)/VLOOKUP($D185,$C$5:$AV$509,3,))*$E185)</f>
        <v>0</v>
      </c>
      <c r="L185" s="47">
        <f>IF(VLOOKUP($D185,$C$5:$AV$509,3,)=0,0,(VLOOKUP($D185,$C$5:$AV$509,10,)/VLOOKUP($D185,$C$5:$AV$509,3,))*$E185)</f>
        <v>0</v>
      </c>
      <c r="M185" s="47">
        <f>IF(VLOOKUP($D185,$C$5:$AV$509,3,)=0,0,(VLOOKUP($D185,$C$5:$AV$509,11,)/VLOOKUP($D185,$C$5:$AV$509,3,))*$E185)</f>
        <v>0</v>
      </c>
      <c r="N185" s="47">
        <f>IF(VLOOKUP($D185,$C$5:$AV$509,3,)=0,0,(VLOOKUP($D185,$C$5:$AV$509,12,)/VLOOKUP($D185,$C$5:$AV$509,3,))*$E185)</f>
        <v>33646.353556801318</v>
      </c>
      <c r="O185" s="47">
        <f>IF(VLOOKUP($D185,$C$5:$AV$509,3,)=0,0,(VLOOKUP($D185,$C$5:$AV$509,14,)/VLOOKUP($D185,$C$5:$AV$509,3,))*$E185)</f>
        <v>0</v>
      </c>
      <c r="P185" s="47">
        <f>IF(VLOOKUP($D185,$C$5:$AV$509,3,)=0,0,(VLOOKUP($D185,$C$5:$AV$509,14,)/VLOOKUP($D185,$C$5:$AV$509,3,))*$E185)</f>
        <v>0</v>
      </c>
      <c r="Q185" s="47">
        <f>IF(VLOOKUP($D185,$C$5:$AV$509,3,)=0,0,(VLOOKUP($D185,$C$5:$AV$509,14,)/VLOOKUP($D185,$C$5:$AV$509,3,))*$E185)</f>
        <v>0</v>
      </c>
      <c r="R185" s="47">
        <f>IF(VLOOKUP($D185,$C$5:$AV$509,3,)=0,0,(VLOOKUP($D185,$C$5:$AV$509,15,)/VLOOKUP($D185,$C$5:$AV$509,3,))*$E185)</f>
        <v>0</v>
      </c>
      <c r="S185" s="47">
        <f>IF(VLOOKUP($D185,$C$5:$AV$509,3,)=0,0,(VLOOKUP($D185,$C$5:$AV$509,16,)/VLOOKUP($D185,$C$5:$AV$509,3,))*$E185)</f>
        <v>0</v>
      </c>
      <c r="T185" s="47">
        <f>IF(VLOOKUP($D185,$C$5:$AV$509,3,)=0,0,(VLOOKUP($D185,$C$5:$AV$509,17,)/VLOOKUP($D185,$C$5:$AV$509,3,))*$E185)</f>
        <v>0</v>
      </c>
      <c r="U185" s="47">
        <f>IF(VLOOKUP($D185,$C$5:$AV$509,3,)=0,0,(VLOOKUP($D185,$C$5:$AV$509,18,)/VLOOKUP($D185,$C$5:$AV$509,3,))*$E185)</f>
        <v>0</v>
      </c>
      <c r="V185" s="47">
        <f>IF(VLOOKUP($D185,$C$5:$AV$509,3,)=0,0,(VLOOKUP($D185,$C$5:$AV$509,19,)/VLOOKUP($D185,$C$5:$AV$509,3,))*$E185)</f>
        <v>0</v>
      </c>
      <c r="W185" s="47">
        <f>IF(VLOOKUP($D185,$C$5:$AV$509,3,)=0,0,(VLOOKUP($D185,$C$5:$AV$509,20,)/VLOOKUP($D185,$C$5:$AV$509,3,))*$E185)</f>
        <v>0</v>
      </c>
      <c r="X185" s="47">
        <f>IF(VLOOKUP($D185,$C$5:$AV$509,3,)=0,0,(VLOOKUP($D185,$C$5:$AV$509,21,)/VLOOKUP($D185,$C$5:$AV$509,3,))*$E185)</f>
        <v>0</v>
      </c>
      <c r="Y185" s="47">
        <f>IF(VLOOKUP($D185,$C$5:$AV$509,3,)=0,0,(VLOOKUP($D185,$C$5:$AV$509,22,)/VLOOKUP($D185,$C$5:$AV$509,3,))*$E185)</f>
        <v>0</v>
      </c>
      <c r="Z185" s="47">
        <f>IF(VLOOKUP($D185,$C$5:$AV$509,3,)=0,0,(VLOOKUP($D185,$C$5:$AV$509,23,)/VLOOKUP($D185,$C$5:$AV$509,3,))*$E185)</f>
        <v>0</v>
      </c>
      <c r="AA185" s="47">
        <f>IF(VLOOKUP($D185,$C$5:$AV$509,3,)=0,0,(VLOOKUP($D185,$C$5:$AV$509,24,)/VLOOKUP($D185,$C$5:$AV$509,3,))*$E185)</f>
        <v>0</v>
      </c>
      <c r="AB185" s="47">
        <f>IF(VLOOKUP($D185,$C$5:$AV$509,3,)=0,0,(VLOOKUP($D185,$C$5:$AV$509,25,)/VLOOKUP($D185,$C$5:$AV$509,3,))*$E185)</f>
        <v>0</v>
      </c>
      <c r="AC185" s="47">
        <f>IF(VLOOKUP($D185,$C$5:$AV$509,3,)=0,0,(VLOOKUP($D185,$C$5:$AV$509,26,)/VLOOKUP($D185,$C$5:$AV$509,3,))*$E185)</f>
        <v>0</v>
      </c>
      <c r="AD185" s="47">
        <f>IF(VLOOKUP($D185,$C$5:$AV$509,3,)=0,0,(VLOOKUP($D185,$C$5:$AV$509,27,)/VLOOKUP($D185,$C$5:$AV$509,3,))*$E185)</f>
        <v>0</v>
      </c>
      <c r="AE185" s="47">
        <f>IF(VLOOKUP($D185,$C$5:$AV$509,3,)=0,0,(VLOOKUP($D185,$C$5:$AV$509,28,)/VLOOKUP($D185,$C$5:$AV$509,3,))*$E185)</f>
        <v>0</v>
      </c>
      <c r="AF185" s="47">
        <f>IF(VLOOKUP($D185,$C$5:$AV$509,3,)=0,0,(VLOOKUP($D185,$C$5:$AV$509,29,)/VLOOKUP($D185,$C$5:$AV$509,3,))*$E185)</f>
        <v>0</v>
      </c>
      <c r="AG185" s="47">
        <f>IF(VLOOKUP($D185,$C$5:$AV$509,3,)=0,0,(VLOOKUP($D185,$C$5:$AV$509,30,)/VLOOKUP($D185,$C$5:$AV$509,3,))*$E185)</f>
        <v>0</v>
      </c>
      <c r="AH185" s="47">
        <f t="shared" ref="AH185" si="116">SUM(F185:AG185)</f>
        <v>33646.353556801318</v>
      </c>
      <c r="AI185" s="27" t="str">
        <f>IF(ABS(E185-AH185)&lt;0.01,"ok","err")</f>
        <v>ok</v>
      </c>
    </row>
    <row r="186" spans="1:35" x14ac:dyDescent="0.2">
      <c r="E186" s="47"/>
    </row>
    <row r="187" spans="1:35" x14ac:dyDescent="0.2">
      <c r="A187" s="13" t="s">
        <v>545</v>
      </c>
      <c r="E187" s="47"/>
    </row>
    <row r="188" spans="1:35" x14ac:dyDescent="0.2">
      <c r="A188" s="90" t="s">
        <v>221</v>
      </c>
      <c r="C188" s="14" t="s">
        <v>284</v>
      </c>
      <c r="D188" s="14" t="s">
        <v>234</v>
      </c>
      <c r="E188" s="62">
        <f>'Func &amp; Classif'!Y465</f>
        <v>1592364.7743293089</v>
      </c>
      <c r="F188" s="47">
        <f>IF(VLOOKUP($D188,$C$5:$AV$509,3,)=0,0,(VLOOKUP($D188,$C$5:$AV$509,4,)/VLOOKUP($D188,$C$5:$AV$509,3,))*$E188)</f>
        <v>1441105.8370505741</v>
      </c>
      <c r="G188" s="47">
        <f>IF(VLOOKUP($D188,$C$5:$AV$509,3,)=0,0,(VLOOKUP($D188,$C$5:$AV$509,5,)/VLOOKUP($D188,$C$5:$AV$509,3,))*$E188)</f>
        <v>56.08506857562071</v>
      </c>
      <c r="H188" s="47">
        <f>IF(VLOOKUP($D188,$C$5:$AV$509,3,)=0,0,(VLOOKUP($D188,$C$5:$AV$509,6,)/VLOOKUP($D188,$C$5:$AV$509,3,))*$E188)</f>
        <v>113964.85934566129</v>
      </c>
      <c r="I188" s="47">
        <f>IF(VLOOKUP($D188,$C$5:$AV$509,3,)=0,0,(VLOOKUP($D188,$C$5:$AV$509,7,)/VLOOKUP($D188,$C$5:$AV$509,3,))*$E188)</f>
        <v>17610.711532744906</v>
      </c>
      <c r="J188" s="47">
        <f>IF(VLOOKUP($D188,$C$5:$AV$509,3,)=0,0,(VLOOKUP($D188,$C$5:$AV$509,8,)/VLOOKUP($D188,$C$5:$AV$509,3,))*$E188)</f>
        <v>6674.1231604988643</v>
      </c>
      <c r="K188" s="47">
        <f>IF(VLOOKUP($D188,$C$5:$AV$509,3,)=0,0,(VLOOKUP($D188,$C$5:$AV$509,9,)/VLOOKUP($D188,$C$5:$AV$509,3,))*$E188)</f>
        <v>0</v>
      </c>
      <c r="L188" s="47">
        <f>IF(VLOOKUP($D188,$C$5:$AV$509,3,)=0,0,(VLOOKUP($D188,$C$5:$AV$509,10,)/VLOOKUP($D188,$C$5:$AV$509,3,))*$E188)</f>
        <v>448.68054860496568</v>
      </c>
      <c r="M188" s="47">
        <f>IF(VLOOKUP($D188,$C$5:$AV$509,3,)=0,0,(VLOOKUP($D188,$C$5:$AV$509,11,)/VLOOKUP($D188,$C$5:$AV$509,3,))*$E188)</f>
        <v>56.08506857562071</v>
      </c>
      <c r="N188" s="47">
        <f>IF(VLOOKUP($D188,$C$5:$AV$509,3,)=0,0,(VLOOKUP($D188,$C$5:$AV$509,12,)/VLOOKUP($D188,$C$5:$AV$509,3,))*$E188)</f>
        <v>12448.392554073327</v>
      </c>
      <c r="O188" s="47">
        <f>IF(VLOOKUP($D188,$C$5:$AV$509,3,)=0,0,(VLOOKUP($D188,$C$5:$AV$509,14,)/VLOOKUP($D188,$C$5:$AV$509,3,))*$E188)</f>
        <v>0</v>
      </c>
      <c r="P188" s="47">
        <f>IF(VLOOKUP($D188,$C$5:$AV$509,3,)=0,0,(VLOOKUP($D188,$C$5:$AV$509,14,)/VLOOKUP($D188,$C$5:$AV$509,3,))*$E188)</f>
        <v>0</v>
      </c>
      <c r="Q188" s="47">
        <f>IF(VLOOKUP($D188,$C$5:$AV$509,3,)=0,0,(VLOOKUP($D188,$C$5:$AV$509,14,)/VLOOKUP($D188,$C$5:$AV$509,3,))*$E188)</f>
        <v>0</v>
      </c>
      <c r="R188" s="47">
        <f>IF(VLOOKUP($D188,$C$5:$AV$509,3,)=0,0,(VLOOKUP($D188,$C$5:$AV$509,15,)/VLOOKUP($D188,$C$5:$AV$509,3,))*$E188)</f>
        <v>0</v>
      </c>
      <c r="S188" s="47">
        <f>IF(VLOOKUP($D188,$C$5:$AV$509,3,)=0,0,(VLOOKUP($D188,$C$5:$AV$509,16,)/VLOOKUP($D188,$C$5:$AV$509,3,))*$E188)</f>
        <v>0</v>
      </c>
      <c r="T188" s="47">
        <f>IF(VLOOKUP($D188,$C$5:$AV$509,3,)=0,0,(VLOOKUP($D188,$C$5:$AV$509,17,)/VLOOKUP($D188,$C$5:$AV$509,3,))*$E188)</f>
        <v>0</v>
      </c>
      <c r="U188" s="47">
        <f>IF(VLOOKUP($D188,$C$5:$AV$509,3,)=0,0,(VLOOKUP($D188,$C$5:$AV$509,18,)/VLOOKUP($D188,$C$5:$AV$509,3,))*$E188)</f>
        <v>0</v>
      </c>
      <c r="V188" s="47">
        <f>IF(VLOOKUP($D188,$C$5:$AV$509,3,)=0,0,(VLOOKUP($D188,$C$5:$AV$509,19,)/VLOOKUP($D188,$C$5:$AV$509,3,))*$E188)</f>
        <v>0</v>
      </c>
      <c r="W188" s="47">
        <f>IF(VLOOKUP($D188,$C$5:$AV$509,3,)=0,0,(VLOOKUP($D188,$C$5:$AV$509,20,)/VLOOKUP($D188,$C$5:$AV$509,3,))*$E188)</f>
        <v>0</v>
      </c>
      <c r="X188" s="47">
        <f>IF(VLOOKUP($D188,$C$5:$AV$509,3,)=0,0,(VLOOKUP($D188,$C$5:$AV$509,21,)/VLOOKUP($D188,$C$5:$AV$509,3,))*$E188)</f>
        <v>0</v>
      </c>
      <c r="Y188" s="47">
        <f>IF(VLOOKUP($D188,$C$5:$AV$509,3,)=0,0,(VLOOKUP($D188,$C$5:$AV$509,22,)/VLOOKUP($D188,$C$5:$AV$509,3,))*$E188)</f>
        <v>0</v>
      </c>
      <c r="Z188" s="47">
        <f>IF(VLOOKUP($D188,$C$5:$AV$509,3,)=0,0,(VLOOKUP($D188,$C$5:$AV$509,23,)/VLOOKUP($D188,$C$5:$AV$509,3,))*$E188)</f>
        <v>0</v>
      </c>
      <c r="AA188" s="47">
        <f>IF(VLOOKUP($D188,$C$5:$AV$509,3,)=0,0,(VLOOKUP($D188,$C$5:$AV$509,24,)/VLOOKUP($D188,$C$5:$AV$509,3,))*$E188)</f>
        <v>0</v>
      </c>
      <c r="AB188" s="47">
        <f>IF(VLOOKUP($D188,$C$5:$AV$509,3,)=0,0,(VLOOKUP($D188,$C$5:$AV$509,25,)/VLOOKUP($D188,$C$5:$AV$509,3,))*$E188)</f>
        <v>0</v>
      </c>
      <c r="AC188" s="47">
        <f>IF(VLOOKUP($D188,$C$5:$AV$509,3,)=0,0,(VLOOKUP($D188,$C$5:$AV$509,26,)/VLOOKUP($D188,$C$5:$AV$509,3,))*$E188)</f>
        <v>0</v>
      </c>
      <c r="AD188" s="47">
        <f>IF(VLOOKUP($D188,$C$5:$AV$509,3,)=0,0,(VLOOKUP($D188,$C$5:$AV$509,27,)/VLOOKUP($D188,$C$5:$AV$509,3,))*$E188)</f>
        <v>0</v>
      </c>
      <c r="AE188" s="47">
        <f>IF(VLOOKUP($D188,$C$5:$AV$509,3,)=0,0,(VLOOKUP($D188,$C$5:$AV$509,28,)/VLOOKUP($D188,$C$5:$AV$509,3,))*$E188)</f>
        <v>0</v>
      </c>
      <c r="AF188" s="47">
        <f>IF(VLOOKUP($D188,$C$5:$AV$509,3,)=0,0,(VLOOKUP($D188,$C$5:$AV$509,29,)/VLOOKUP($D188,$C$5:$AV$509,3,))*$E188)</f>
        <v>0</v>
      </c>
      <c r="AG188" s="47">
        <f>IF(VLOOKUP($D188,$C$5:$AV$509,3,)=0,0,(VLOOKUP($D188,$C$5:$AV$509,30,)/VLOOKUP($D188,$C$5:$AV$509,3,))*$E188)</f>
        <v>0</v>
      </c>
      <c r="AH188" s="47">
        <f t="shared" ref="AH188" si="117">SUM(F188:AG188)</f>
        <v>1592364.7743293087</v>
      </c>
      <c r="AI188" s="27" t="str">
        <f>IF(ABS(E188-AH188)&lt;0.01,"ok","err")</f>
        <v>ok</v>
      </c>
    </row>
    <row r="189" spans="1:35" x14ac:dyDescent="0.2">
      <c r="E189" s="47"/>
    </row>
    <row r="190" spans="1:35" x14ac:dyDescent="0.2">
      <c r="A190" s="13" t="s">
        <v>470</v>
      </c>
      <c r="E190" s="47"/>
    </row>
    <row r="191" spans="1:35" x14ac:dyDescent="0.2">
      <c r="A191" s="90" t="s">
        <v>221</v>
      </c>
      <c r="C191" s="14" t="s">
        <v>281</v>
      </c>
      <c r="D191" s="14" t="s">
        <v>235</v>
      </c>
      <c r="E191" s="62">
        <f>'Func &amp; Classif'!AA465</f>
        <v>2218.0689190046178</v>
      </c>
      <c r="F191" s="47">
        <f>IF(VLOOKUP($D191,$C$5:$AV$509,3,)=0,0,(VLOOKUP($D191,$C$5:$AV$509,4,)/VLOOKUP($D191,$C$5:$AV$509,3,))*$E191)</f>
        <v>1493.612895692218</v>
      </c>
      <c r="G191" s="47">
        <f>IF(VLOOKUP($D191,$C$5:$AV$509,3,)=0,0,(VLOOKUP($D191,$C$5:$AV$509,5,)/VLOOKUP($D191,$C$5:$AV$509,3,))*$E191)</f>
        <v>5.8128542350349019E-2</v>
      </c>
      <c r="H191" s="47">
        <f>IF(VLOOKUP($D191,$C$5:$AV$509,3,)=0,0,(VLOOKUP($D191,$C$5:$AV$509,6,)/VLOOKUP($D191,$C$5:$AV$509,3,))*$E191)</f>
        <v>118.1171980559092</v>
      </c>
      <c r="I191" s="47">
        <f>IF(VLOOKUP($D191,$C$5:$AV$509,3,)=0,0,(VLOOKUP($D191,$C$5:$AV$509,7,)/VLOOKUP($D191,$C$5:$AV$509,3,))*$E191)</f>
        <v>18.25236229800959</v>
      </c>
      <c r="J191" s="47">
        <f>IF(VLOOKUP($D191,$C$5:$AV$509,3,)=0,0,(VLOOKUP($D191,$C$5:$AV$509,8,)/VLOOKUP($D191,$C$5:$AV$509,3,))*$E191)</f>
        <v>6.9172965396915327</v>
      </c>
      <c r="K191" s="47">
        <f>IF(VLOOKUP($D191,$C$5:$AV$509,3,)=0,0,(VLOOKUP($D191,$C$5:$AV$509,9,)/VLOOKUP($D191,$C$5:$AV$509,3,))*$E191)</f>
        <v>0</v>
      </c>
      <c r="L191" s="47">
        <f>IF(VLOOKUP($D191,$C$5:$AV$509,3,)=0,0,(VLOOKUP($D191,$C$5:$AV$509,10,)/VLOOKUP($D191,$C$5:$AV$509,3,))*$E191)</f>
        <v>0.46502833880279215</v>
      </c>
      <c r="M191" s="47">
        <f>IF(VLOOKUP($D191,$C$5:$AV$509,3,)=0,0,(VLOOKUP($D191,$C$5:$AV$509,11,)/VLOOKUP($D191,$C$5:$AV$509,3,))*$E191)</f>
        <v>5.8128542350349019E-2</v>
      </c>
      <c r="N191" s="47">
        <f>IF(VLOOKUP($D191,$C$5:$AV$509,3,)=0,0,(VLOOKUP($D191,$C$5:$AV$509,12,)/VLOOKUP($D191,$C$5:$AV$509,3,))*$E191)</f>
        <v>580.58788099528601</v>
      </c>
      <c r="O191" s="47">
        <f>IF(VLOOKUP($D191,$C$5:$AV$509,3,)=0,0,(VLOOKUP($D191,$C$5:$AV$509,14,)/VLOOKUP($D191,$C$5:$AV$509,3,))*$E191)</f>
        <v>0</v>
      </c>
      <c r="P191" s="47">
        <f>IF(VLOOKUP($D191,$C$5:$AV$509,3,)=0,0,(VLOOKUP($D191,$C$5:$AV$509,14,)/VLOOKUP($D191,$C$5:$AV$509,3,))*$E191)</f>
        <v>0</v>
      </c>
      <c r="Q191" s="47">
        <f>IF(VLOOKUP($D191,$C$5:$AV$509,3,)=0,0,(VLOOKUP($D191,$C$5:$AV$509,14,)/VLOOKUP($D191,$C$5:$AV$509,3,))*$E191)</f>
        <v>0</v>
      </c>
      <c r="R191" s="47">
        <f>IF(VLOOKUP($D191,$C$5:$AV$509,3,)=0,0,(VLOOKUP($D191,$C$5:$AV$509,15,)/VLOOKUP($D191,$C$5:$AV$509,3,))*$E191)</f>
        <v>0</v>
      </c>
      <c r="S191" s="47">
        <f>IF(VLOOKUP($D191,$C$5:$AV$509,3,)=0,0,(VLOOKUP($D191,$C$5:$AV$509,16,)/VLOOKUP($D191,$C$5:$AV$509,3,))*$E191)</f>
        <v>0</v>
      </c>
      <c r="T191" s="47">
        <f>IF(VLOOKUP($D191,$C$5:$AV$509,3,)=0,0,(VLOOKUP($D191,$C$5:$AV$509,17,)/VLOOKUP($D191,$C$5:$AV$509,3,))*$E191)</f>
        <v>0</v>
      </c>
      <c r="U191" s="47">
        <f>IF(VLOOKUP($D191,$C$5:$AV$509,3,)=0,0,(VLOOKUP($D191,$C$5:$AV$509,18,)/VLOOKUP($D191,$C$5:$AV$509,3,))*$E191)</f>
        <v>0</v>
      </c>
      <c r="V191" s="47">
        <f>IF(VLOOKUP($D191,$C$5:$AV$509,3,)=0,0,(VLOOKUP($D191,$C$5:$AV$509,19,)/VLOOKUP($D191,$C$5:$AV$509,3,))*$E191)</f>
        <v>0</v>
      </c>
      <c r="W191" s="47">
        <f>IF(VLOOKUP($D191,$C$5:$AV$509,3,)=0,0,(VLOOKUP($D191,$C$5:$AV$509,20,)/VLOOKUP($D191,$C$5:$AV$509,3,))*$E191)</f>
        <v>0</v>
      </c>
      <c r="X191" s="47">
        <f>IF(VLOOKUP($D191,$C$5:$AV$509,3,)=0,0,(VLOOKUP($D191,$C$5:$AV$509,21,)/VLOOKUP($D191,$C$5:$AV$509,3,))*$E191)</f>
        <v>0</v>
      </c>
      <c r="Y191" s="47">
        <f>IF(VLOOKUP($D191,$C$5:$AV$509,3,)=0,0,(VLOOKUP($D191,$C$5:$AV$509,22,)/VLOOKUP($D191,$C$5:$AV$509,3,))*$E191)</f>
        <v>0</v>
      </c>
      <c r="Z191" s="47">
        <f>IF(VLOOKUP($D191,$C$5:$AV$509,3,)=0,0,(VLOOKUP($D191,$C$5:$AV$509,23,)/VLOOKUP($D191,$C$5:$AV$509,3,))*$E191)</f>
        <v>0</v>
      </c>
      <c r="AA191" s="47">
        <f>IF(VLOOKUP($D191,$C$5:$AV$509,3,)=0,0,(VLOOKUP($D191,$C$5:$AV$509,24,)/VLOOKUP($D191,$C$5:$AV$509,3,))*$E191)</f>
        <v>0</v>
      </c>
      <c r="AB191" s="47">
        <f>IF(VLOOKUP($D191,$C$5:$AV$509,3,)=0,0,(VLOOKUP($D191,$C$5:$AV$509,25,)/VLOOKUP($D191,$C$5:$AV$509,3,))*$E191)</f>
        <v>0</v>
      </c>
      <c r="AC191" s="47">
        <f>IF(VLOOKUP($D191,$C$5:$AV$509,3,)=0,0,(VLOOKUP($D191,$C$5:$AV$509,26,)/VLOOKUP($D191,$C$5:$AV$509,3,))*$E191)</f>
        <v>0</v>
      </c>
      <c r="AD191" s="47">
        <f>IF(VLOOKUP($D191,$C$5:$AV$509,3,)=0,0,(VLOOKUP($D191,$C$5:$AV$509,27,)/VLOOKUP($D191,$C$5:$AV$509,3,))*$E191)</f>
        <v>0</v>
      </c>
      <c r="AE191" s="47">
        <f>IF(VLOOKUP($D191,$C$5:$AV$509,3,)=0,0,(VLOOKUP($D191,$C$5:$AV$509,28,)/VLOOKUP($D191,$C$5:$AV$509,3,))*$E191)</f>
        <v>0</v>
      </c>
      <c r="AF191" s="47">
        <f>IF(VLOOKUP($D191,$C$5:$AV$509,3,)=0,0,(VLOOKUP($D191,$C$5:$AV$509,29,)/VLOOKUP($D191,$C$5:$AV$509,3,))*$E191)</f>
        <v>0</v>
      </c>
      <c r="AG191" s="47">
        <f>IF(VLOOKUP($D191,$C$5:$AV$509,3,)=0,0,(VLOOKUP($D191,$C$5:$AV$509,30,)/VLOOKUP($D191,$C$5:$AV$509,3,))*$E191)</f>
        <v>0</v>
      </c>
      <c r="AH191" s="47">
        <f t="shared" ref="AH191" si="118">SUM(F191:AG191)</f>
        <v>2218.0689190046178</v>
      </c>
      <c r="AI191" s="27" t="str">
        <f>IF(ABS(E191-AH191)&lt;0.01,"ok","err")</f>
        <v>ok</v>
      </c>
    </row>
    <row r="192" spans="1:35" x14ac:dyDescent="0.2">
      <c r="E192" s="47"/>
    </row>
    <row r="193" spans="1:35" x14ac:dyDescent="0.2">
      <c r="A193" s="14" t="s">
        <v>0</v>
      </c>
      <c r="C193" s="14" t="s">
        <v>285</v>
      </c>
      <c r="E193" s="62">
        <f>E163+E166+E169+E174+E179+E182+E185+E188+E191</f>
        <v>5235394.1999999993</v>
      </c>
      <c r="F193" s="62">
        <f t="shared" ref="F193:S193" si="119">F163+F166+F169+F174+F179+F182+F185+F188+F191</f>
        <v>4615702.0867202654</v>
      </c>
      <c r="G193" s="62">
        <f t="shared" si="119"/>
        <v>1141.1949171536082</v>
      </c>
      <c r="H193" s="62">
        <f t="shared" si="119"/>
        <v>378248.05203606258</v>
      </c>
      <c r="I193" s="62">
        <f t="shared" si="119"/>
        <v>53401.520496301986</v>
      </c>
      <c r="J193" s="62">
        <f t="shared" si="119"/>
        <v>83270.491769853325</v>
      </c>
      <c r="K193" s="62">
        <f t="shared" si="119"/>
        <v>0</v>
      </c>
      <c r="L193" s="62">
        <f t="shared" si="119"/>
        <v>29601.583183138449</v>
      </c>
      <c r="M193" s="62">
        <f t="shared" ref="M193" si="120">M163+M166+M169+M174+M179+M182+M185+M188+M191</f>
        <v>8265.5417029519031</v>
      </c>
      <c r="N193" s="62">
        <f t="shared" si="119"/>
        <v>65763.729174271575</v>
      </c>
      <c r="O193" s="62">
        <f t="shared" si="119"/>
        <v>0</v>
      </c>
      <c r="P193" s="62">
        <f t="shared" si="119"/>
        <v>0</v>
      </c>
      <c r="Q193" s="62">
        <f t="shared" si="119"/>
        <v>0</v>
      </c>
      <c r="R193" s="62">
        <f t="shared" si="119"/>
        <v>0</v>
      </c>
      <c r="S193" s="62">
        <f t="shared" si="119"/>
        <v>0</v>
      </c>
      <c r="T193" s="62">
        <f t="shared" ref="T193:AG193" si="121">T163+T169+T174+T179+T182+T185+T188+T191</f>
        <v>0</v>
      </c>
      <c r="U193" s="62">
        <f t="shared" si="121"/>
        <v>0</v>
      </c>
      <c r="V193" s="62">
        <f t="shared" si="121"/>
        <v>0</v>
      </c>
      <c r="W193" s="62">
        <f t="shared" si="121"/>
        <v>0</v>
      </c>
      <c r="X193" s="62">
        <f t="shared" si="121"/>
        <v>0</v>
      </c>
      <c r="Y193" s="62">
        <f t="shared" si="121"/>
        <v>0</v>
      </c>
      <c r="Z193" s="62">
        <f t="shared" si="121"/>
        <v>0</v>
      </c>
      <c r="AA193" s="62">
        <f t="shared" si="121"/>
        <v>0</v>
      </c>
      <c r="AB193" s="62">
        <f t="shared" si="121"/>
        <v>0</v>
      </c>
      <c r="AC193" s="62">
        <f t="shared" si="121"/>
        <v>0</v>
      </c>
      <c r="AD193" s="62">
        <f t="shared" si="121"/>
        <v>0</v>
      </c>
      <c r="AE193" s="62">
        <f t="shared" si="121"/>
        <v>0</v>
      </c>
      <c r="AF193" s="62">
        <f t="shared" si="121"/>
        <v>0</v>
      </c>
      <c r="AG193" s="62">
        <f t="shared" si="121"/>
        <v>0</v>
      </c>
      <c r="AH193" s="87">
        <f>SUM(F193:AG193)</f>
        <v>5235394.1999999993</v>
      </c>
      <c r="AI193" s="27" t="str">
        <f>IF(ABS(E193-AH193)&lt;0.01,"ok","err")</f>
        <v>ok</v>
      </c>
    </row>
    <row r="196" spans="1:35" x14ac:dyDescent="0.2">
      <c r="A196" s="25" t="s">
        <v>185</v>
      </c>
    </row>
    <row r="198" spans="1:35" x14ac:dyDescent="0.2">
      <c r="A198" s="13" t="s">
        <v>896</v>
      </c>
    </row>
    <row r="199" spans="1:35" x14ac:dyDescent="0.2">
      <c r="A199" s="90" t="s">
        <v>209</v>
      </c>
      <c r="C199" s="14" t="s">
        <v>286</v>
      </c>
      <c r="D199" s="14" t="s">
        <v>657</v>
      </c>
      <c r="E199" s="62">
        <f>'Func &amp; Classif'!H312</f>
        <v>0</v>
      </c>
      <c r="F199" s="47">
        <f>IF(VLOOKUP($D199,$C$5:$AV$509,3,)=0,0,(VLOOKUP($D199,$C$5:$AV$509,4,)/VLOOKUP($D199,$C$5:$AV$509,3,))*$E199)</f>
        <v>0</v>
      </c>
      <c r="G199" s="47">
        <f>IF(VLOOKUP($D199,$C$5:$AV$509,3,)=0,0,(VLOOKUP($D199,$C$5:$AV$509,5,)/VLOOKUP($D199,$C$5:$AV$509,3,))*$E199)</f>
        <v>0</v>
      </c>
      <c r="H199" s="47">
        <f>IF(VLOOKUP($D199,$C$5:$AV$509,3,)=0,0,(VLOOKUP($D199,$C$5:$AV$509,6,)/VLOOKUP($D199,$C$5:$AV$509,3,))*$E199)</f>
        <v>0</v>
      </c>
      <c r="I199" s="47">
        <f>IF(VLOOKUP($D199,$C$5:$AV$509,3,)=0,0,(VLOOKUP($D199,$C$5:$AV$509,7,)/VLOOKUP($D199,$C$5:$AV$509,3,))*$E199)</f>
        <v>0</v>
      </c>
      <c r="J199" s="47">
        <f>IF(VLOOKUP($D199,$C$5:$AV$509,3,)=0,0,(VLOOKUP($D199,$C$5:$AV$509,8,)/VLOOKUP($D199,$C$5:$AV$509,3,))*$E199)</f>
        <v>0</v>
      </c>
      <c r="K199" s="47">
        <f>IF(VLOOKUP($D199,$C$5:$AV$509,3,)=0,0,(VLOOKUP($D199,$C$5:$AV$509,9,)/VLOOKUP($D199,$C$5:$AV$509,3,))*$E199)</f>
        <v>0</v>
      </c>
      <c r="L199" s="47">
        <f>IF(VLOOKUP($D199,$C$5:$AV$509,3,)=0,0,(VLOOKUP($D199,$C$5:$AV$509,10,)/VLOOKUP($D199,$C$5:$AV$509,3,))*$E199)</f>
        <v>0</v>
      </c>
      <c r="M199" s="47">
        <f>IF(VLOOKUP($D199,$C$5:$AV$509,3,)=0,0,(VLOOKUP($D199,$C$5:$AV$509,11,)/VLOOKUP($D199,$C$5:$AV$509,3,))*$E199)</f>
        <v>0</v>
      </c>
      <c r="N199" s="47">
        <f>IF(VLOOKUP($D199,$C$5:$AV$509,3,)=0,0,(VLOOKUP($D199,$C$5:$AV$509,12,)/VLOOKUP($D199,$C$5:$AV$509,3,))*$E199)</f>
        <v>0</v>
      </c>
      <c r="O199" s="47">
        <f t="shared" ref="O199:Q200" si="122">IF(VLOOKUP($D199,$C$5:$AV$509,3,)=0,0,(VLOOKUP($D199,$C$5:$AV$509,14,)/VLOOKUP($D199,$C$5:$AV$509,3,))*$E199)</f>
        <v>0</v>
      </c>
      <c r="P199" s="47">
        <f t="shared" si="122"/>
        <v>0</v>
      </c>
      <c r="Q199" s="47">
        <f t="shared" si="122"/>
        <v>0</v>
      </c>
      <c r="R199" s="47">
        <f>IF(VLOOKUP($D199,$C$5:$AV$509,3,)=0,0,(VLOOKUP($D199,$C$5:$AV$509,15,)/VLOOKUP($D199,$C$5:$AV$509,3,))*$E199)</f>
        <v>0</v>
      </c>
      <c r="S199" s="47">
        <f>IF(VLOOKUP($D199,$C$5:$AV$509,3,)=0,0,(VLOOKUP($D199,$C$5:$AV$509,16,)/VLOOKUP($D199,$C$5:$AV$509,3,))*$E199)</f>
        <v>0</v>
      </c>
      <c r="T199" s="47">
        <f>IF(VLOOKUP($D199,$C$5:$AV$509,3,)=0,0,(VLOOKUP($D199,$C$5:$AV$509,17,)/VLOOKUP($D199,$C$5:$AV$509,3,))*$E199)</f>
        <v>0</v>
      </c>
      <c r="U199" s="47">
        <f>IF(VLOOKUP($D199,$C$5:$AV$509,3,)=0,0,(VLOOKUP($D199,$C$5:$AV$509,18,)/VLOOKUP($D199,$C$5:$AV$509,3,))*$E199)</f>
        <v>0</v>
      </c>
      <c r="V199" s="47">
        <f>IF(VLOOKUP($D199,$C$5:$AV$509,3,)=0,0,(VLOOKUP($D199,$C$5:$AV$509,19,)/VLOOKUP($D199,$C$5:$AV$509,3,))*$E199)</f>
        <v>0</v>
      </c>
      <c r="W199" s="47">
        <f>IF(VLOOKUP($D199,$C$5:$AV$509,3,)=0,0,(VLOOKUP($D199,$C$5:$AV$509,20,)/VLOOKUP($D199,$C$5:$AV$509,3,))*$E199)</f>
        <v>0</v>
      </c>
      <c r="X199" s="47">
        <f>IF(VLOOKUP($D199,$C$5:$AV$509,3,)=0,0,(VLOOKUP($D199,$C$5:$AV$509,21,)/VLOOKUP($D199,$C$5:$AV$509,3,))*$E199)</f>
        <v>0</v>
      </c>
      <c r="Y199" s="47">
        <f>IF(VLOOKUP($D199,$C$5:$AV$509,3,)=0,0,(VLOOKUP($D199,$C$5:$AV$509,22,)/VLOOKUP($D199,$C$5:$AV$509,3,))*$E199)</f>
        <v>0</v>
      </c>
      <c r="Z199" s="47">
        <f>IF(VLOOKUP($D199,$C$5:$AV$509,3,)=0,0,(VLOOKUP($D199,$C$5:$AV$509,23,)/VLOOKUP($D199,$C$5:$AV$509,3,))*$E199)</f>
        <v>0</v>
      </c>
      <c r="AA199" s="47">
        <f>IF(VLOOKUP($D199,$C$5:$AV$509,3,)=0,0,(VLOOKUP($D199,$C$5:$AV$509,24,)/VLOOKUP($D199,$C$5:$AV$509,3,))*$E199)</f>
        <v>0</v>
      </c>
      <c r="AB199" s="47">
        <f>IF(VLOOKUP($D199,$C$5:$AV$509,3,)=0,0,(VLOOKUP($D199,$C$5:$AV$509,25,)/VLOOKUP($D199,$C$5:$AV$509,3,))*$E199)</f>
        <v>0</v>
      </c>
      <c r="AC199" s="47">
        <f>IF(VLOOKUP($D199,$C$5:$AV$509,3,)=0,0,(VLOOKUP($D199,$C$5:$AV$509,26,)/VLOOKUP($D199,$C$5:$AV$509,3,))*$E199)</f>
        <v>0</v>
      </c>
      <c r="AD199" s="47">
        <f>IF(VLOOKUP($D199,$C$5:$AV$509,3,)=0,0,(VLOOKUP($D199,$C$5:$AV$509,27,)/VLOOKUP($D199,$C$5:$AV$509,3,))*$E199)</f>
        <v>0</v>
      </c>
      <c r="AE199" s="47">
        <f>IF(VLOOKUP($D199,$C$5:$AV$509,3,)=0,0,(VLOOKUP($D199,$C$5:$AV$509,28,)/VLOOKUP($D199,$C$5:$AV$509,3,))*$E199)</f>
        <v>0</v>
      </c>
      <c r="AF199" s="47">
        <f>IF(VLOOKUP($D199,$C$5:$AV$509,3,)=0,0,(VLOOKUP($D199,$C$5:$AV$509,29,)/VLOOKUP($D199,$C$5:$AV$509,3,))*$E199)</f>
        <v>0</v>
      </c>
      <c r="AG199" s="47">
        <f>IF(VLOOKUP($D199,$C$5:$AV$509,3,)=0,0,(VLOOKUP($D199,$C$5:$AV$509,30,)/VLOOKUP($D199,$C$5:$AV$509,3,))*$E199)</f>
        <v>0</v>
      </c>
      <c r="AH199" s="47">
        <f t="shared" ref="AH199:AH200" si="123">SUM(F199:AG199)</f>
        <v>0</v>
      </c>
      <c r="AI199" s="27" t="str">
        <f>IF(ABS(E199-AH199)&lt;0.01,"ok","err")</f>
        <v>ok</v>
      </c>
    </row>
    <row r="200" spans="1:35" x14ac:dyDescent="0.2">
      <c r="A200" s="90" t="s">
        <v>212</v>
      </c>
      <c r="C200" s="14" t="s">
        <v>287</v>
      </c>
      <c r="D200" s="14" t="s">
        <v>666</v>
      </c>
      <c r="E200" s="47">
        <f>'Func &amp; Classif'!I312</f>
        <v>0</v>
      </c>
      <c r="F200" s="47">
        <f>IF(VLOOKUP($D200,$C$5:$AV$509,3,)=0,0,(VLOOKUP($D200,$C$5:$AV$509,4,)/VLOOKUP($D200,$C$5:$AV$509,3,))*$E200)</f>
        <v>0</v>
      </c>
      <c r="G200" s="47">
        <f>IF(VLOOKUP($D200,$C$5:$AV$509,3,)=0,0,(VLOOKUP($D200,$C$5:$AV$509,5,)/VLOOKUP($D200,$C$5:$AV$509,3,))*$E200)</f>
        <v>0</v>
      </c>
      <c r="H200" s="47">
        <f>IF(VLOOKUP($D200,$C$5:$AV$509,3,)=0,0,(VLOOKUP($D200,$C$5:$AV$509,6,)/VLOOKUP($D200,$C$5:$AV$509,3,))*$E200)</f>
        <v>0</v>
      </c>
      <c r="I200" s="47">
        <f>IF(VLOOKUP($D200,$C$5:$AV$509,3,)=0,0,(VLOOKUP($D200,$C$5:$AV$509,7,)/VLOOKUP($D200,$C$5:$AV$509,3,))*$E200)</f>
        <v>0</v>
      </c>
      <c r="J200" s="47">
        <f>IF(VLOOKUP($D200,$C$5:$AV$509,3,)=0,0,(VLOOKUP($D200,$C$5:$AV$509,8,)/VLOOKUP($D200,$C$5:$AV$509,3,))*$E200)</f>
        <v>0</v>
      </c>
      <c r="K200" s="47">
        <f>IF(VLOOKUP($D200,$C$5:$AV$509,3,)=0,0,(VLOOKUP($D200,$C$5:$AV$509,9,)/VLOOKUP($D200,$C$5:$AV$509,3,))*$E200)</f>
        <v>0</v>
      </c>
      <c r="L200" s="47">
        <f>IF(VLOOKUP($D200,$C$5:$AV$509,3,)=0,0,(VLOOKUP($D200,$C$5:$AV$509,10,)/VLOOKUP($D200,$C$5:$AV$509,3,))*$E200)</f>
        <v>0</v>
      </c>
      <c r="M200" s="47">
        <f>IF(VLOOKUP($D200,$C$5:$AV$509,3,)=0,0,(VLOOKUP($D200,$C$5:$AV$509,11,)/VLOOKUP($D200,$C$5:$AV$509,3,))*$E200)</f>
        <v>0</v>
      </c>
      <c r="N200" s="47">
        <f>IF(VLOOKUP($D200,$C$5:$AV$509,3,)=0,0,(VLOOKUP($D200,$C$5:$AV$509,12,)/VLOOKUP($D200,$C$5:$AV$509,3,))*$E200)</f>
        <v>0</v>
      </c>
      <c r="O200" s="47">
        <f t="shared" si="122"/>
        <v>0</v>
      </c>
      <c r="P200" s="47">
        <f t="shared" si="122"/>
        <v>0</v>
      </c>
      <c r="Q200" s="47">
        <f t="shared" si="122"/>
        <v>0</v>
      </c>
      <c r="R200" s="47">
        <f>IF(VLOOKUP($D200,$C$5:$AV$509,3,)=0,0,(VLOOKUP($D200,$C$5:$AV$509,15,)/VLOOKUP($D200,$C$5:$AV$509,3,))*$E200)</f>
        <v>0</v>
      </c>
      <c r="S200" s="47">
        <f>IF(VLOOKUP($D200,$C$5:$AV$509,3,)=0,0,(VLOOKUP($D200,$C$5:$AV$509,16,)/VLOOKUP($D200,$C$5:$AV$509,3,))*$E200)</f>
        <v>0</v>
      </c>
      <c r="T200" s="47">
        <f>IF(VLOOKUP($D200,$C$5:$AV$509,3,)=0,0,(VLOOKUP($D200,$C$5:$AV$509,17,)/VLOOKUP($D200,$C$5:$AV$509,3,))*$E200)</f>
        <v>0</v>
      </c>
      <c r="U200" s="47">
        <f>IF(VLOOKUP($D200,$C$5:$AV$509,3,)=0,0,(VLOOKUP($D200,$C$5:$AV$509,18,)/VLOOKUP($D200,$C$5:$AV$509,3,))*$E200)</f>
        <v>0</v>
      </c>
      <c r="V200" s="47">
        <f>IF(VLOOKUP($D200,$C$5:$AV$509,3,)=0,0,(VLOOKUP($D200,$C$5:$AV$509,19,)/VLOOKUP($D200,$C$5:$AV$509,3,))*$E200)</f>
        <v>0</v>
      </c>
      <c r="W200" s="47">
        <f>IF(VLOOKUP($D200,$C$5:$AV$509,3,)=0,0,(VLOOKUP($D200,$C$5:$AV$509,20,)/VLOOKUP($D200,$C$5:$AV$509,3,))*$E200)</f>
        <v>0</v>
      </c>
      <c r="X200" s="47">
        <f>IF(VLOOKUP($D200,$C$5:$AV$509,3,)=0,0,(VLOOKUP($D200,$C$5:$AV$509,21,)/VLOOKUP($D200,$C$5:$AV$509,3,))*$E200)</f>
        <v>0</v>
      </c>
      <c r="Y200" s="47">
        <f>IF(VLOOKUP($D200,$C$5:$AV$509,3,)=0,0,(VLOOKUP($D200,$C$5:$AV$509,22,)/VLOOKUP($D200,$C$5:$AV$509,3,))*$E200)</f>
        <v>0</v>
      </c>
      <c r="Z200" s="47">
        <f>IF(VLOOKUP($D200,$C$5:$AV$509,3,)=0,0,(VLOOKUP($D200,$C$5:$AV$509,23,)/VLOOKUP($D200,$C$5:$AV$509,3,))*$E200)</f>
        <v>0</v>
      </c>
      <c r="AA200" s="47">
        <f>IF(VLOOKUP($D200,$C$5:$AV$509,3,)=0,0,(VLOOKUP($D200,$C$5:$AV$509,24,)/VLOOKUP($D200,$C$5:$AV$509,3,))*$E200)</f>
        <v>0</v>
      </c>
      <c r="AB200" s="47">
        <f>IF(VLOOKUP($D200,$C$5:$AV$509,3,)=0,0,(VLOOKUP($D200,$C$5:$AV$509,25,)/VLOOKUP($D200,$C$5:$AV$509,3,))*$E200)</f>
        <v>0</v>
      </c>
      <c r="AC200" s="47">
        <f>IF(VLOOKUP($D200,$C$5:$AV$509,3,)=0,0,(VLOOKUP($D200,$C$5:$AV$509,26,)/VLOOKUP($D200,$C$5:$AV$509,3,))*$E200)</f>
        <v>0</v>
      </c>
      <c r="AD200" s="47">
        <f>IF(VLOOKUP($D200,$C$5:$AV$509,3,)=0,0,(VLOOKUP($D200,$C$5:$AV$509,27,)/VLOOKUP($D200,$C$5:$AV$509,3,))*$E200)</f>
        <v>0</v>
      </c>
      <c r="AE200" s="47">
        <f>IF(VLOOKUP($D200,$C$5:$AV$509,3,)=0,0,(VLOOKUP($D200,$C$5:$AV$509,28,)/VLOOKUP($D200,$C$5:$AV$509,3,))*$E200)</f>
        <v>0</v>
      </c>
      <c r="AF200" s="47">
        <f>IF(VLOOKUP($D200,$C$5:$AV$509,3,)=0,0,(VLOOKUP($D200,$C$5:$AV$509,29,)/VLOOKUP($D200,$C$5:$AV$509,3,))*$E200)</f>
        <v>0</v>
      </c>
      <c r="AG200" s="47">
        <f>IF(VLOOKUP($D200,$C$5:$AV$509,3,)=0,0,(VLOOKUP($D200,$C$5:$AV$509,30,)/VLOOKUP($D200,$C$5:$AV$509,3,))*$E200)</f>
        <v>0</v>
      </c>
      <c r="AH200" s="47">
        <f t="shared" si="123"/>
        <v>0</v>
      </c>
      <c r="AI200" s="27" t="str">
        <f>IF(ABS(E200-AH200)&lt;0.01,"ok","err")</f>
        <v>ok</v>
      </c>
    </row>
    <row r="201" spans="1:35" x14ac:dyDescent="0.2">
      <c r="A201" s="14" t="s">
        <v>215</v>
      </c>
      <c r="C201" s="14" t="s">
        <v>288</v>
      </c>
      <c r="E201" s="47">
        <f t="shared" ref="E201:U201" si="124">E199+E200</f>
        <v>0</v>
      </c>
      <c r="F201" s="62">
        <f t="shared" si="124"/>
        <v>0</v>
      </c>
      <c r="G201" s="62">
        <f t="shared" si="124"/>
        <v>0</v>
      </c>
      <c r="H201" s="62">
        <f t="shared" si="124"/>
        <v>0</v>
      </c>
      <c r="I201" s="62">
        <f t="shared" si="124"/>
        <v>0</v>
      </c>
      <c r="J201" s="62">
        <f t="shared" si="124"/>
        <v>0</v>
      </c>
      <c r="K201" s="62">
        <f t="shared" si="124"/>
        <v>0</v>
      </c>
      <c r="L201" s="62">
        <f t="shared" si="124"/>
        <v>0</v>
      </c>
      <c r="M201" s="62">
        <f t="shared" ref="M201" si="125">M199+M200</f>
        <v>0</v>
      </c>
      <c r="N201" s="62">
        <f t="shared" si="124"/>
        <v>0</v>
      </c>
      <c r="O201" s="62">
        <f t="shared" si="124"/>
        <v>0</v>
      </c>
      <c r="P201" s="62">
        <f t="shared" si="124"/>
        <v>0</v>
      </c>
      <c r="Q201" s="62">
        <f t="shared" si="124"/>
        <v>0</v>
      </c>
      <c r="R201" s="62">
        <f t="shared" si="124"/>
        <v>0</v>
      </c>
      <c r="S201" s="62">
        <f t="shared" si="124"/>
        <v>0</v>
      </c>
      <c r="T201" s="62">
        <f t="shared" si="124"/>
        <v>0</v>
      </c>
      <c r="U201" s="62">
        <f t="shared" si="124"/>
        <v>0</v>
      </c>
      <c r="V201" s="62">
        <f t="shared" ref="V201:AG201" si="126">V199+V200</f>
        <v>0</v>
      </c>
      <c r="W201" s="62">
        <f t="shared" si="126"/>
        <v>0</v>
      </c>
      <c r="X201" s="62">
        <f t="shared" si="126"/>
        <v>0</v>
      </c>
      <c r="Y201" s="62">
        <f t="shared" si="126"/>
        <v>0</v>
      </c>
      <c r="Z201" s="62">
        <f t="shared" si="126"/>
        <v>0</v>
      </c>
      <c r="AA201" s="62">
        <f t="shared" si="126"/>
        <v>0</v>
      </c>
      <c r="AB201" s="62">
        <f t="shared" si="126"/>
        <v>0</v>
      </c>
      <c r="AC201" s="62">
        <f t="shared" si="126"/>
        <v>0</v>
      </c>
      <c r="AD201" s="62">
        <f t="shared" si="126"/>
        <v>0</v>
      </c>
      <c r="AE201" s="62">
        <f t="shared" si="126"/>
        <v>0</v>
      </c>
      <c r="AF201" s="62">
        <f t="shared" si="126"/>
        <v>0</v>
      </c>
      <c r="AG201" s="62">
        <f t="shared" si="126"/>
        <v>0</v>
      </c>
      <c r="AH201" s="87">
        <f>SUM(F201:AG201)</f>
        <v>0</v>
      </c>
      <c r="AI201" s="27" t="str">
        <f>IF(ABS(E201-AH201)&lt;0.01,"ok","err")</f>
        <v>ok</v>
      </c>
    </row>
    <row r="202" spans="1:35" x14ac:dyDescent="0.2">
      <c r="E202" s="47"/>
      <c r="F202" s="47"/>
    </row>
    <row r="203" spans="1:35" x14ac:dyDescent="0.2">
      <c r="A203" s="13" t="s">
        <v>350</v>
      </c>
      <c r="E203" s="47"/>
      <c r="F203" s="47"/>
    </row>
    <row r="204" spans="1:35" x14ac:dyDescent="0.2">
      <c r="A204" s="90" t="s">
        <v>209</v>
      </c>
      <c r="C204" s="14" t="s">
        <v>890</v>
      </c>
      <c r="D204" s="14" t="s">
        <v>599</v>
      </c>
      <c r="E204" s="62">
        <f>'Func &amp; Classif'!K312</f>
        <v>0</v>
      </c>
      <c r="F204" s="47">
        <f>IF(VLOOKUP($D204,$C$5:$AV$509,3,)=0,0,(VLOOKUP($D204,$C$5:$AV$509,4,)/VLOOKUP($D204,$C$5:$AV$509,3,))*$E204)</f>
        <v>0</v>
      </c>
      <c r="G204" s="47">
        <f>IF(VLOOKUP($D204,$C$5:$AV$509,3,)=0,0,(VLOOKUP($D204,$C$5:$AV$509,5,)/VLOOKUP($D204,$C$5:$AV$509,3,))*$E204)</f>
        <v>0</v>
      </c>
      <c r="H204" s="47">
        <f>IF(VLOOKUP($D204,$C$5:$AV$509,3,)=0,0,(VLOOKUP($D204,$C$5:$AV$509,6,)/VLOOKUP($D204,$C$5:$AV$509,3,))*$E204)</f>
        <v>0</v>
      </c>
      <c r="I204" s="47">
        <f>IF(VLOOKUP($D204,$C$5:$AV$509,3,)=0,0,(VLOOKUP($D204,$C$5:$AV$509,7,)/VLOOKUP($D204,$C$5:$AV$509,3,))*$E204)</f>
        <v>0</v>
      </c>
      <c r="J204" s="47">
        <f>IF(VLOOKUP($D204,$C$5:$AV$509,3,)=0,0,(VLOOKUP($D204,$C$5:$AV$509,8,)/VLOOKUP($D204,$C$5:$AV$509,3,))*$E204)</f>
        <v>0</v>
      </c>
      <c r="K204" s="47">
        <f>IF(VLOOKUP($D204,$C$5:$AV$509,3,)=0,0,(VLOOKUP($D204,$C$5:$AV$509,9,)/VLOOKUP($D204,$C$5:$AV$509,3,))*$E204)</f>
        <v>0</v>
      </c>
      <c r="L204" s="47">
        <f>IF(VLOOKUP($D204,$C$5:$AV$509,3,)=0,0,(VLOOKUP($D204,$C$5:$AV$509,10,)/VLOOKUP($D204,$C$5:$AV$509,3,))*$E204)</f>
        <v>0</v>
      </c>
      <c r="M204" s="47">
        <f>IF(VLOOKUP($D204,$C$5:$AV$509,3,)=0,0,(VLOOKUP($D204,$C$5:$AV$509,11,)/VLOOKUP($D204,$C$5:$AV$509,3,))*$E204)</f>
        <v>0</v>
      </c>
      <c r="N204" s="47">
        <f>IF(VLOOKUP($D204,$C$5:$AV$509,3,)=0,0,(VLOOKUP($D204,$C$5:$AV$509,12,)/VLOOKUP($D204,$C$5:$AV$509,3,))*$E204)</f>
        <v>0</v>
      </c>
      <c r="O204" s="47">
        <f>IF(VLOOKUP($D204,$C$5:$AV$509,3,)=0,0,(VLOOKUP($D204,$C$5:$AV$509,14,)/VLOOKUP($D204,$C$5:$AV$509,3,))*$E204)</f>
        <v>0</v>
      </c>
      <c r="P204" s="47">
        <f>IF(VLOOKUP($D204,$C$5:$AV$509,3,)=0,0,(VLOOKUP($D204,$C$5:$AV$509,14,)/VLOOKUP($D204,$C$5:$AV$509,3,))*$E204)</f>
        <v>0</v>
      </c>
      <c r="Q204" s="47">
        <f>IF(VLOOKUP($D204,$C$5:$AV$509,3,)=0,0,(VLOOKUP($D204,$C$5:$AV$509,14,)/VLOOKUP($D204,$C$5:$AV$509,3,))*$E204)</f>
        <v>0</v>
      </c>
      <c r="R204" s="47">
        <f>IF(VLOOKUP($D204,$C$5:$AV$509,3,)=0,0,(VLOOKUP($D204,$C$5:$AV$509,15,)/VLOOKUP($D204,$C$5:$AV$509,3,))*$E204)</f>
        <v>0</v>
      </c>
      <c r="S204" s="47">
        <f>IF(VLOOKUP($D204,$C$5:$AV$509,3,)=0,0,(VLOOKUP($D204,$C$5:$AV$509,16,)/VLOOKUP($D204,$C$5:$AV$509,3,))*$E204)</f>
        <v>0</v>
      </c>
      <c r="T204" s="47">
        <f>IF(VLOOKUP($D204,$C$5:$AV$509,3,)=0,0,(VLOOKUP($D204,$C$5:$AV$509,17,)/VLOOKUP($D204,$C$5:$AV$509,3,))*$E204)</f>
        <v>0</v>
      </c>
      <c r="U204" s="47">
        <f>IF(VLOOKUP($D204,$C$5:$AV$509,3,)=0,0,(VLOOKUP($D204,$C$5:$AV$509,18,)/VLOOKUP($D204,$C$5:$AV$509,3,))*$E204)</f>
        <v>0</v>
      </c>
      <c r="V204" s="47">
        <f>IF(VLOOKUP($D204,$C$5:$AV$509,3,)=0,0,(VLOOKUP($D204,$C$5:$AV$509,19,)/VLOOKUP($D204,$C$5:$AV$509,3,))*$E204)</f>
        <v>0</v>
      </c>
      <c r="W204" s="47">
        <f>IF(VLOOKUP($D204,$C$5:$AV$509,3,)=0,0,(VLOOKUP($D204,$C$5:$AV$509,20,)/VLOOKUP($D204,$C$5:$AV$509,3,))*$E204)</f>
        <v>0</v>
      </c>
      <c r="X204" s="47">
        <f>IF(VLOOKUP($D204,$C$5:$AV$509,3,)=0,0,(VLOOKUP($D204,$C$5:$AV$509,21,)/VLOOKUP($D204,$C$5:$AV$509,3,))*$E204)</f>
        <v>0</v>
      </c>
      <c r="Y204" s="47">
        <f>IF(VLOOKUP($D204,$C$5:$AV$509,3,)=0,0,(VLOOKUP($D204,$C$5:$AV$509,22,)/VLOOKUP($D204,$C$5:$AV$509,3,))*$E204)</f>
        <v>0</v>
      </c>
      <c r="Z204" s="47">
        <f>IF(VLOOKUP($D204,$C$5:$AV$509,3,)=0,0,(VLOOKUP($D204,$C$5:$AV$509,23,)/VLOOKUP($D204,$C$5:$AV$509,3,))*$E204)</f>
        <v>0</v>
      </c>
      <c r="AA204" s="47">
        <f>IF(VLOOKUP($D204,$C$5:$AV$509,3,)=0,0,(VLOOKUP($D204,$C$5:$AV$509,24,)/VLOOKUP($D204,$C$5:$AV$509,3,))*$E204)</f>
        <v>0</v>
      </c>
      <c r="AB204" s="47">
        <f>IF(VLOOKUP($D204,$C$5:$AV$509,3,)=0,0,(VLOOKUP($D204,$C$5:$AV$509,25,)/VLOOKUP($D204,$C$5:$AV$509,3,))*$E204)</f>
        <v>0</v>
      </c>
      <c r="AC204" s="47">
        <f>IF(VLOOKUP($D204,$C$5:$AV$509,3,)=0,0,(VLOOKUP($D204,$C$5:$AV$509,26,)/VLOOKUP($D204,$C$5:$AV$509,3,))*$E204)</f>
        <v>0</v>
      </c>
      <c r="AD204" s="47">
        <f>IF(VLOOKUP($D204,$C$5:$AV$509,3,)=0,0,(VLOOKUP($D204,$C$5:$AV$509,27,)/VLOOKUP($D204,$C$5:$AV$509,3,))*$E204)</f>
        <v>0</v>
      </c>
      <c r="AE204" s="47">
        <f>IF(VLOOKUP($D204,$C$5:$AV$509,3,)=0,0,(VLOOKUP($D204,$C$5:$AV$509,28,)/VLOOKUP($D204,$C$5:$AV$509,3,))*$E204)</f>
        <v>0</v>
      </c>
      <c r="AF204" s="47">
        <f>IF(VLOOKUP($D204,$C$5:$AV$509,3,)=0,0,(VLOOKUP($D204,$C$5:$AV$509,29,)/VLOOKUP($D204,$C$5:$AV$509,3,))*$E204)</f>
        <v>0</v>
      </c>
      <c r="AG204" s="47">
        <f>IF(VLOOKUP($D204,$C$5:$AV$509,3,)=0,0,(VLOOKUP($D204,$C$5:$AV$509,30,)/VLOOKUP($D204,$C$5:$AV$509,3,))*$E204)</f>
        <v>0</v>
      </c>
      <c r="AH204" s="47">
        <f t="shared" ref="AH204" si="127">SUM(F204:AG204)</f>
        <v>0</v>
      </c>
      <c r="AI204" s="27" t="str">
        <f>IF(ABS(E204-AH204)&lt;0.01,"ok","err")</f>
        <v>ok</v>
      </c>
    </row>
    <row r="205" spans="1:35" x14ac:dyDescent="0.2">
      <c r="E205" s="47"/>
    </row>
    <row r="206" spans="1:35" x14ac:dyDescent="0.2">
      <c r="A206" s="13" t="s">
        <v>1</v>
      </c>
      <c r="E206" s="47"/>
      <c r="F206" s="47"/>
    </row>
    <row r="207" spans="1:35" x14ac:dyDescent="0.2">
      <c r="A207" s="90" t="s">
        <v>209</v>
      </c>
      <c r="C207" s="14" t="s">
        <v>289</v>
      </c>
      <c r="D207" s="14" t="s">
        <v>615</v>
      </c>
      <c r="E207" s="62">
        <f>'Func &amp; Classif'!M312</f>
        <v>23436.881708901448</v>
      </c>
      <c r="F207" s="47">
        <f>IF(VLOOKUP($D207,$C$5:$AV$509,3,)=0,0,(VLOOKUP($D207,$C$5:$AV$509,4,)/VLOOKUP($D207,$C$5:$AV$509,3,))*$E207)</f>
        <v>17843.503782162126</v>
      </c>
      <c r="G207" s="47">
        <f>IF(VLOOKUP($D207,$C$5:$AV$509,3,)=0,0,(VLOOKUP($D207,$C$5:$AV$509,5,)/VLOOKUP($D207,$C$5:$AV$509,3,))*$E207)</f>
        <v>13.46368766675964</v>
      </c>
      <c r="H207" s="47">
        <f>IF(VLOOKUP($D207,$C$5:$AV$509,3,)=0,0,(VLOOKUP($D207,$C$5:$AV$509,6,)/VLOOKUP($D207,$C$5:$AV$509,3,))*$E207)</f>
        <v>1872.3675110338731</v>
      </c>
      <c r="I207" s="47">
        <f>IF(VLOOKUP($D207,$C$5:$AV$509,3,)=0,0,(VLOOKUP($D207,$C$5:$AV$509,7,)/VLOOKUP($D207,$C$5:$AV$509,3,))*$E207)</f>
        <v>200.00441063571353</v>
      </c>
      <c r="J207" s="47">
        <f>IF(VLOOKUP($D207,$C$5:$AV$509,3,)=0,0,(VLOOKUP($D207,$C$5:$AV$509,8,)/VLOOKUP($D207,$C$5:$AV$509,3,))*$E207)</f>
        <v>1870.8921503593767</v>
      </c>
      <c r="K207" s="47">
        <f>IF(VLOOKUP($D207,$C$5:$AV$509,3,)=0,0,(VLOOKUP($D207,$C$5:$AV$509,9,)/VLOOKUP($D207,$C$5:$AV$509,3,))*$E207)</f>
        <v>0</v>
      </c>
      <c r="L207" s="47">
        <f>IF(VLOOKUP($D207,$C$5:$AV$509,3,)=0,0,(VLOOKUP($D207,$C$5:$AV$509,10,)/VLOOKUP($D207,$C$5:$AV$509,3,))*$E207)</f>
        <v>1182.5158901695233</v>
      </c>
      <c r="M207" s="47">
        <f>IF(VLOOKUP($D207,$C$5:$AV$509,3,)=0,0,(VLOOKUP($D207,$C$5:$AV$509,11,)/VLOOKUP($D207,$C$5:$AV$509,3,))*$E207)</f>
        <v>339.35618069896231</v>
      </c>
      <c r="N207" s="47">
        <f>IF(VLOOKUP($D207,$C$5:$AV$509,3,)=0,0,(VLOOKUP($D207,$C$5:$AV$509,12,)/VLOOKUP($D207,$C$5:$AV$509,3,))*$E207)</f>
        <v>114.77809617510934</v>
      </c>
      <c r="O207" s="47">
        <f>IF(VLOOKUP($D207,$C$5:$AV$509,3,)=0,0,(VLOOKUP($D207,$C$5:$AV$509,14,)/VLOOKUP($D207,$C$5:$AV$509,3,))*$E207)</f>
        <v>0</v>
      </c>
      <c r="P207" s="47">
        <f>IF(VLOOKUP($D207,$C$5:$AV$509,3,)=0,0,(VLOOKUP($D207,$C$5:$AV$509,14,)/VLOOKUP($D207,$C$5:$AV$509,3,))*$E207)</f>
        <v>0</v>
      </c>
      <c r="Q207" s="47">
        <f>IF(VLOOKUP($D207,$C$5:$AV$509,3,)=0,0,(VLOOKUP($D207,$C$5:$AV$509,14,)/VLOOKUP($D207,$C$5:$AV$509,3,))*$E207)</f>
        <v>0</v>
      </c>
      <c r="R207" s="47">
        <f>IF(VLOOKUP($D207,$C$5:$AV$509,3,)=0,0,(VLOOKUP($D207,$C$5:$AV$509,15,)/VLOOKUP($D207,$C$5:$AV$509,3,))*$E207)</f>
        <v>0</v>
      </c>
      <c r="S207" s="47">
        <f>IF(VLOOKUP($D207,$C$5:$AV$509,3,)=0,0,(VLOOKUP($D207,$C$5:$AV$509,16,)/VLOOKUP($D207,$C$5:$AV$509,3,))*$E207)</f>
        <v>0</v>
      </c>
      <c r="T207" s="47">
        <f>IF(VLOOKUP($D207,$C$5:$AV$509,3,)=0,0,(VLOOKUP($D207,$C$5:$AV$509,17,)/VLOOKUP($D207,$C$5:$AV$509,3,))*$E207)</f>
        <v>0</v>
      </c>
      <c r="U207" s="47">
        <f>IF(VLOOKUP($D207,$C$5:$AV$509,3,)=0,0,(VLOOKUP($D207,$C$5:$AV$509,18,)/VLOOKUP($D207,$C$5:$AV$509,3,))*$E207)</f>
        <v>0</v>
      </c>
      <c r="V207" s="47">
        <f>IF(VLOOKUP($D207,$C$5:$AV$509,3,)=0,0,(VLOOKUP($D207,$C$5:$AV$509,19,)/VLOOKUP($D207,$C$5:$AV$509,3,))*$E207)</f>
        <v>0</v>
      </c>
      <c r="W207" s="47">
        <f>IF(VLOOKUP($D207,$C$5:$AV$509,3,)=0,0,(VLOOKUP($D207,$C$5:$AV$509,20,)/VLOOKUP($D207,$C$5:$AV$509,3,))*$E207)</f>
        <v>0</v>
      </c>
      <c r="X207" s="47">
        <f>IF(VLOOKUP($D207,$C$5:$AV$509,3,)=0,0,(VLOOKUP($D207,$C$5:$AV$509,21,)/VLOOKUP($D207,$C$5:$AV$509,3,))*$E207)</f>
        <v>0</v>
      </c>
      <c r="Y207" s="47">
        <f>IF(VLOOKUP($D207,$C$5:$AV$509,3,)=0,0,(VLOOKUP($D207,$C$5:$AV$509,22,)/VLOOKUP($D207,$C$5:$AV$509,3,))*$E207)</f>
        <v>0</v>
      </c>
      <c r="Z207" s="47">
        <f>IF(VLOOKUP($D207,$C$5:$AV$509,3,)=0,0,(VLOOKUP($D207,$C$5:$AV$509,23,)/VLOOKUP($D207,$C$5:$AV$509,3,))*$E207)</f>
        <v>0</v>
      </c>
      <c r="AA207" s="47">
        <f>IF(VLOOKUP($D207,$C$5:$AV$509,3,)=0,0,(VLOOKUP($D207,$C$5:$AV$509,24,)/VLOOKUP($D207,$C$5:$AV$509,3,))*$E207)</f>
        <v>0</v>
      </c>
      <c r="AB207" s="47">
        <f>IF(VLOOKUP($D207,$C$5:$AV$509,3,)=0,0,(VLOOKUP($D207,$C$5:$AV$509,25,)/VLOOKUP($D207,$C$5:$AV$509,3,))*$E207)</f>
        <v>0</v>
      </c>
      <c r="AC207" s="47">
        <f>IF(VLOOKUP($D207,$C$5:$AV$509,3,)=0,0,(VLOOKUP($D207,$C$5:$AV$509,26,)/VLOOKUP($D207,$C$5:$AV$509,3,))*$E207)</f>
        <v>0</v>
      </c>
      <c r="AD207" s="47">
        <f>IF(VLOOKUP($D207,$C$5:$AV$509,3,)=0,0,(VLOOKUP($D207,$C$5:$AV$509,27,)/VLOOKUP($D207,$C$5:$AV$509,3,))*$E207)</f>
        <v>0</v>
      </c>
      <c r="AE207" s="47">
        <f>IF(VLOOKUP($D207,$C$5:$AV$509,3,)=0,0,(VLOOKUP($D207,$C$5:$AV$509,28,)/VLOOKUP($D207,$C$5:$AV$509,3,))*$E207)</f>
        <v>0</v>
      </c>
      <c r="AF207" s="47">
        <f>IF(VLOOKUP($D207,$C$5:$AV$509,3,)=0,0,(VLOOKUP($D207,$C$5:$AV$509,29,)/VLOOKUP($D207,$C$5:$AV$509,3,))*$E207)</f>
        <v>0</v>
      </c>
      <c r="AG207" s="47">
        <f>IF(VLOOKUP($D207,$C$5:$AV$509,3,)=0,0,(VLOOKUP($D207,$C$5:$AV$509,30,)/VLOOKUP($D207,$C$5:$AV$509,3,))*$E207)</f>
        <v>0</v>
      </c>
      <c r="AH207" s="47">
        <f t="shared" ref="AH207" si="128">SUM(F207:AG207)</f>
        <v>23436.881708901448</v>
      </c>
      <c r="AI207" s="27" t="str">
        <f>IF(ABS(E207-AH207)&lt;0.01,"ok","err")</f>
        <v>ok</v>
      </c>
    </row>
    <row r="208" spans="1:35" x14ac:dyDescent="0.2">
      <c r="E208" s="47"/>
    </row>
    <row r="209" spans="1:35" x14ac:dyDescent="0.2">
      <c r="A209" s="13" t="s">
        <v>2</v>
      </c>
      <c r="E209" s="47"/>
    </row>
    <row r="210" spans="1:35" x14ac:dyDescent="0.2">
      <c r="A210" s="90" t="s">
        <v>209</v>
      </c>
      <c r="C210" s="14" t="s">
        <v>290</v>
      </c>
      <c r="D210" s="14" t="s">
        <v>607</v>
      </c>
      <c r="E210" s="62">
        <f>'Func &amp; Classif'!O312</f>
        <v>1762985.2638554466</v>
      </c>
      <c r="F210" s="47">
        <f>IF(VLOOKUP($D210,$C$5:$AV$509,3,)=0,0,(VLOOKUP($D210,$C$5:$AV$509,4,)/VLOOKUP($D210,$C$5:$AV$509,3,))*$E210)</f>
        <v>1478746.5429743719</v>
      </c>
      <c r="G210" s="47">
        <f>IF(VLOOKUP($D210,$C$5:$AV$509,3,)=0,0,(VLOOKUP($D210,$C$5:$AV$509,5,)/VLOOKUP($D210,$C$5:$AV$509,3,))*$E210)</f>
        <v>1497.1234272075997</v>
      </c>
      <c r="H210" s="47">
        <f>IF(VLOOKUP($D210,$C$5:$AV$509,3,)=0,0,(VLOOKUP($D210,$C$5:$AV$509,6,)/VLOOKUP($D210,$C$5:$AV$509,3,))*$E210)</f>
        <v>115523.0306548989</v>
      </c>
      <c r="I210" s="47">
        <f>IF(VLOOKUP($D210,$C$5:$AV$509,3,)=0,0,(VLOOKUP($D210,$C$5:$AV$509,7,)/VLOOKUP($D210,$C$5:$AV$509,3,))*$E210)</f>
        <v>13162.723963011711</v>
      </c>
      <c r="J210" s="47">
        <f>IF(VLOOKUP($D210,$C$5:$AV$509,3,)=0,0,(VLOOKUP($D210,$C$5:$AV$509,8,)/VLOOKUP($D210,$C$5:$AV$509,3,))*$E210)</f>
        <v>93477.197765554287</v>
      </c>
      <c r="K210" s="47">
        <f>IF(VLOOKUP($D210,$C$5:$AV$509,3,)=0,0,(VLOOKUP($D210,$C$5:$AV$509,9,)/VLOOKUP($D210,$C$5:$AV$509,3,))*$E210)</f>
        <v>0</v>
      </c>
      <c r="L210" s="47">
        <f>IF(VLOOKUP($D210,$C$5:$AV$509,3,)=0,0,(VLOOKUP($D210,$C$5:$AV$509,10,)/VLOOKUP($D210,$C$5:$AV$509,3,))*$E210)</f>
        <v>41951.964937082979</v>
      </c>
      <c r="M210" s="47">
        <f>IF(VLOOKUP($D210,$C$5:$AV$509,3,)=0,0,(VLOOKUP($D210,$C$5:$AV$509,11,)/VLOOKUP($D210,$C$5:$AV$509,3,))*$E210)</f>
        <v>12039.295803309938</v>
      </c>
      <c r="N210" s="47">
        <f>IF(VLOOKUP($D210,$C$5:$AV$509,3,)=0,0,(VLOOKUP($D210,$C$5:$AV$509,12,)/VLOOKUP($D210,$C$5:$AV$509,3,))*$E210)</f>
        <v>6587.3843300095159</v>
      </c>
      <c r="O210" s="47">
        <f t="shared" ref="O210:Q211" si="129">IF(VLOOKUP($D210,$C$5:$AV$509,3,)=0,0,(VLOOKUP($D210,$C$5:$AV$509,14,)/VLOOKUP($D210,$C$5:$AV$509,3,))*$E210)</f>
        <v>0</v>
      </c>
      <c r="P210" s="47">
        <f t="shared" si="129"/>
        <v>0</v>
      </c>
      <c r="Q210" s="47">
        <f t="shared" si="129"/>
        <v>0</v>
      </c>
      <c r="R210" s="47">
        <f>IF(VLOOKUP($D210,$C$5:$AV$509,3,)=0,0,(VLOOKUP($D210,$C$5:$AV$509,15,)/VLOOKUP($D210,$C$5:$AV$509,3,))*$E210)</f>
        <v>0</v>
      </c>
      <c r="S210" s="47">
        <f>IF(VLOOKUP($D210,$C$5:$AV$509,3,)=0,0,(VLOOKUP($D210,$C$5:$AV$509,16,)/VLOOKUP($D210,$C$5:$AV$509,3,))*$E210)</f>
        <v>0</v>
      </c>
      <c r="T210" s="47">
        <f>IF(VLOOKUP($D210,$C$5:$AV$509,3,)=0,0,(VLOOKUP($D210,$C$5:$AV$509,17,)/VLOOKUP($D210,$C$5:$AV$509,3,))*$E210)</f>
        <v>0</v>
      </c>
      <c r="U210" s="47">
        <f>IF(VLOOKUP($D210,$C$5:$AV$509,3,)=0,0,(VLOOKUP($D210,$C$5:$AV$509,18,)/VLOOKUP($D210,$C$5:$AV$509,3,))*$E210)</f>
        <v>0</v>
      </c>
      <c r="V210" s="47">
        <f>IF(VLOOKUP($D210,$C$5:$AV$509,3,)=0,0,(VLOOKUP($D210,$C$5:$AV$509,19,)/VLOOKUP($D210,$C$5:$AV$509,3,))*$E210)</f>
        <v>0</v>
      </c>
      <c r="W210" s="47">
        <f>IF(VLOOKUP($D210,$C$5:$AV$509,3,)=0,0,(VLOOKUP($D210,$C$5:$AV$509,20,)/VLOOKUP($D210,$C$5:$AV$509,3,))*$E210)</f>
        <v>0</v>
      </c>
      <c r="X210" s="47">
        <f>IF(VLOOKUP($D210,$C$5:$AV$509,3,)=0,0,(VLOOKUP($D210,$C$5:$AV$509,21,)/VLOOKUP($D210,$C$5:$AV$509,3,))*$E210)</f>
        <v>0</v>
      </c>
      <c r="Y210" s="47">
        <f>IF(VLOOKUP($D210,$C$5:$AV$509,3,)=0,0,(VLOOKUP($D210,$C$5:$AV$509,22,)/VLOOKUP($D210,$C$5:$AV$509,3,))*$E210)</f>
        <v>0</v>
      </c>
      <c r="Z210" s="47">
        <f>IF(VLOOKUP($D210,$C$5:$AV$509,3,)=0,0,(VLOOKUP($D210,$C$5:$AV$509,23,)/VLOOKUP($D210,$C$5:$AV$509,3,))*$E210)</f>
        <v>0</v>
      </c>
      <c r="AA210" s="47">
        <f>IF(VLOOKUP($D210,$C$5:$AV$509,3,)=0,0,(VLOOKUP($D210,$C$5:$AV$509,24,)/VLOOKUP($D210,$C$5:$AV$509,3,))*$E210)</f>
        <v>0</v>
      </c>
      <c r="AB210" s="47">
        <f>IF(VLOOKUP($D210,$C$5:$AV$509,3,)=0,0,(VLOOKUP($D210,$C$5:$AV$509,25,)/VLOOKUP($D210,$C$5:$AV$509,3,))*$E210)</f>
        <v>0</v>
      </c>
      <c r="AC210" s="47">
        <f>IF(VLOOKUP($D210,$C$5:$AV$509,3,)=0,0,(VLOOKUP($D210,$C$5:$AV$509,26,)/VLOOKUP($D210,$C$5:$AV$509,3,))*$E210)</f>
        <v>0</v>
      </c>
      <c r="AD210" s="47">
        <f>IF(VLOOKUP($D210,$C$5:$AV$509,3,)=0,0,(VLOOKUP($D210,$C$5:$AV$509,27,)/VLOOKUP($D210,$C$5:$AV$509,3,))*$E210)</f>
        <v>0</v>
      </c>
      <c r="AE210" s="47">
        <f>IF(VLOOKUP($D210,$C$5:$AV$509,3,)=0,0,(VLOOKUP($D210,$C$5:$AV$509,28,)/VLOOKUP($D210,$C$5:$AV$509,3,))*$E210)</f>
        <v>0</v>
      </c>
      <c r="AF210" s="47">
        <f>IF(VLOOKUP($D210,$C$5:$AV$509,3,)=0,0,(VLOOKUP($D210,$C$5:$AV$509,29,)/VLOOKUP($D210,$C$5:$AV$509,3,))*$E210)</f>
        <v>0</v>
      </c>
      <c r="AG210" s="47">
        <f>IF(VLOOKUP($D210,$C$5:$AV$509,3,)=0,0,(VLOOKUP($D210,$C$5:$AV$509,30,)/VLOOKUP($D210,$C$5:$AV$509,3,))*$E210)</f>
        <v>0</v>
      </c>
      <c r="AH210" s="47">
        <f t="shared" ref="AH210:AH211" si="130">SUM(F210:AG210)</f>
        <v>1762985.2638554468</v>
      </c>
      <c r="AI210" s="27" t="str">
        <f>IF(ABS(E210-AH210)&lt;0.01,"ok","err")</f>
        <v>ok</v>
      </c>
    </row>
    <row r="211" spans="1:35" x14ac:dyDescent="0.2">
      <c r="A211" s="90" t="s">
        <v>221</v>
      </c>
      <c r="C211" s="14" t="s">
        <v>291</v>
      </c>
      <c r="D211" s="14" t="s">
        <v>223</v>
      </c>
      <c r="E211" s="47">
        <f>'Func &amp; Classif'!P312</f>
        <v>3316211.0716847326</v>
      </c>
      <c r="F211" s="47">
        <f>IF(VLOOKUP($D211,$C$5:$AV$509,3,)=0,0,(VLOOKUP($D211,$C$5:$AV$509,4,)/VLOOKUP($D211,$C$5:$AV$509,3,))*$E211)</f>
        <v>3001203.7501328732</v>
      </c>
      <c r="G211" s="47">
        <f>IF(VLOOKUP($D211,$C$5:$AV$509,3,)=0,0,(VLOOKUP($D211,$C$5:$AV$509,5,)/VLOOKUP($D211,$C$5:$AV$509,3,))*$E211)</f>
        <v>116.80107998182032</v>
      </c>
      <c r="H211" s="47">
        <f>IF(VLOOKUP($D211,$C$5:$AV$509,3,)=0,0,(VLOOKUP($D211,$C$5:$AV$509,6,)/VLOOKUP($D211,$C$5:$AV$509,3,))*$E211)</f>
        <v>237339.7945230589</v>
      </c>
      <c r="I211" s="47">
        <f>IF(VLOOKUP($D211,$C$5:$AV$509,3,)=0,0,(VLOOKUP($D211,$C$5:$AV$509,7,)/VLOOKUP($D211,$C$5:$AV$509,3,))*$E211)</f>
        <v>36675.539114291583</v>
      </c>
      <c r="J211" s="47">
        <f>IF(VLOOKUP($D211,$C$5:$AV$509,3,)=0,0,(VLOOKUP($D211,$C$5:$AV$509,8,)/VLOOKUP($D211,$C$5:$AV$509,3,))*$E211)</f>
        <v>13899.328517836619</v>
      </c>
      <c r="K211" s="47">
        <f>IF(VLOOKUP($D211,$C$5:$AV$509,3,)=0,0,(VLOOKUP($D211,$C$5:$AV$509,9,)/VLOOKUP($D211,$C$5:$AV$509,3,))*$E211)</f>
        <v>0</v>
      </c>
      <c r="L211" s="47">
        <f>IF(VLOOKUP($D211,$C$5:$AV$509,3,)=0,0,(VLOOKUP($D211,$C$5:$AV$509,10,)/VLOOKUP($D211,$C$5:$AV$509,3,))*$E211)</f>
        <v>934.40863985456258</v>
      </c>
      <c r="M211" s="47">
        <f>IF(VLOOKUP($D211,$C$5:$AV$509,3,)=0,0,(VLOOKUP($D211,$C$5:$AV$509,11,)/VLOOKUP($D211,$C$5:$AV$509,3,))*$E211)</f>
        <v>116.80107998182032</v>
      </c>
      <c r="N211" s="47">
        <f>IF(VLOOKUP($D211,$C$5:$AV$509,3,)=0,0,(VLOOKUP($D211,$C$5:$AV$509,12,)/VLOOKUP($D211,$C$5:$AV$509,3,))*$E211)</f>
        <v>25924.648596853811</v>
      </c>
      <c r="O211" s="47">
        <f t="shared" si="129"/>
        <v>0</v>
      </c>
      <c r="P211" s="47">
        <f t="shared" si="129"/>
        <v>0</v>
      </c>
      <c r="Q211" s="47">
        <f t="shared" si="129"/>
        <v>0</v>
      </c>
      <c r="R211" s="47">
        <f>IF(VLOOKUP($D211,$C$5:$AV$509,3,)=0,0,(VLOOKUP($D211,$C$5:$AV$509,15,)/VLOOKUP($D211,$C$5:$AV$509,3,))*$E211)</f>
        <v>0</v>
      </c>
      <c r="S211" s="47">
        <f>IF(VLOOKUP($D211,$C$5:$AV$509,3,)=0,0,(VLOOKUP($D211,$C$5:$AV$509,16,)/VLOOKUP($D211,$C$5:$AV$509,3,))*$E211)</f>
        <v>0</v>
      </c>
      <c r="T211" s="47">
        <f>IF(VLOOKUP($D211,$C$5:$AV$509,3,)=0,0,(VLOOKUP($D211,$C$5:$AV$509,17,)/VLOOKUP($D211,$C$5:$AV$509,3,))*$E211)</f>
        <v>0</v>
      </c>
      <c r="U211" s="47">
        <f>IF(VLOOKUP($D211,$C$5:$AV$509,3,)=0,0,(VLOOKUP($D211,$C$5:$AV$509,18,)/VLOOKUP($D211,$C$5:$AV$509,3,))*$E211)</f>
        <v>0</v>
      </c>
      <c r="V211" s="47">
        <f>IF(VLOOKUP($D211,$C$5:$AV$509,3,)=0,0,(VLOOKUP($D211,$C$5:$AV$509,19,)/VLOOKUP($D211,$C$5:$AV$509,3,))*$E211)</f>
        <v>0</v>
      </c>
      <c r="W211" s="47">
        <f>IF(VLOOKUP($D211,$C$5:$AV$509,3,)=0,0,(VLOOKUP($D211,$C$5:$AV$509,20,)/VLOOKUP($D211,$C$5:$AV$509,3,))*$E211)</f>
        <v>0</v>
      </c>
      <c r="X211" s="47">
        <f>IF(VLOOKUP($D211,$C$5:$AV$509,3,)=0,0,(VLOOKUP($D211,$C$5:$AV$509,21,)/VLOOKUP($D211,$C$5:$AV$509,3,))*$E211)</f>
        <v>0</v>
      </c>
      <c r="Y211" s="47">
        <f>IF(VLOOKUP($D211,$C$5:$AV$509,3,)=0,0,(VLOOKUP($D211,$C$5:$AV$509,22,)/VLOOKUP($D211,$C$5:$AV$509,3,))*$E211)</f>
        <v>0</v>
      </c>
      <c r="Z211" s="47">
        <f>IF(VLOOKUP($D211,$C$5:$AV$509,3,)=0,0,(VLOOKUP($D211,$C$5:$AV$509,23,)/VLOOKUP($D211,$C$5:$AV$509,3,))*$E211)</f>
        <v>0</v>
      </c>
      <c r="AA211" s="47">
        <f>IF(VLOOKUP($D211,$C$5:$AV$509,3,)=0,0,(VLOOKUP($D211,$C$5:$AV$509,24,)/VLOOKUP($D211,$C$5:$AV$509,3,))*$E211)</f>
        <v>0</v>
      </c>
      <c r="AB211" s="47">
        <f>IF(VLOOKUP($D211,$C$5:$AV$509,3,)=0,0,(VLOOKUP($D211,$C$5:$AV$509,25,)/VLOOKUP($D211,$C$5:$AV$509,3,))*$E211)</f>
        <v>0</v>
      </c>
      <c r="AC211" s="47">
        <f>IF(VLOOKUP($D211,$C$5:$AV$509,3,)=0,0,(VLOOKUP($D211,$C$5:$AV$509,26,)/VLOOKUP($D211,$C$5:$AV$509,3,))*$E211)</f>
        <v>0</v>
      </c>
      <c r="AD211" s="47">
        <f>IF(VLOOKUP($D211,$C$5:$AV$509,3,)=0,0,(VLOOKUP($D211,$C$5:$AV$509,27,)/VLOOKUP($D211,$C$5:$AV$509,3,))*$E211)</f>
        <v>0</v>
      </c>
      <c r="AE211" s="47">
        <f>IF(VLOOKUP($D211,$C$5:$AV$509,3,)=0,0,(VLOOKUP($D211,$C$5:$AV$509,28,)/VLOOKUP($D211,$C$5:$AV$509,3,))*$E211)</f>
        <v>0</v>
      </c>
      <c r="AF211" s="47">
        <f>IF(VLOOKUP($D211,$C$5:$AV$509,3,)=0,0,(VLOOKUP($D211,$C$5:$AV$509,29,)/VLOOKUP($D211,$C$5:$AV$509,3,))*$E211)</f>
        <v>0</v>
      </c>
      <c r="AG211" s="47">
        <f>IF(VLOOKUP($D211,$C$5:$AV$509,3,)=0,0,(VLOOKUP($D211,$C$5:$AV$509,30,)/VLOOKUP($D211,$C$5:$AV$509,3,))*$E211)</f>
        <v>0</v>
      </c>
      <c r="AH211" s="47">
        <f t="shared" si="130"/>
        <v>3316211.071684733</v>
      </c>
      <c r="AI211" s="27" t="str">
        <f>IF(ABS(E211-AH211)&lt;0.01,"ok","err")</f>
        <v>ok</v>
      </c>
    </row>
    <row r="212" spans="1:35" x14ac:dyDescent="0.2">
      <c r="A212" s="14" t="s">
        <v>224</v>
      </c>
      <c r="E212" s="62">
        <f t="shared" ref="E212:U212" si="131">E210+E211</f>
        <v>5079196.3355401792</v>
      </c>
      <c r="F212" s="62">
        <f t="shared" si="131"/>
        <v>4479950.2931072451</v>
      </c>
      <c r="G212" s="62">
        <f t="shared" si="131"/>
        <v>1613.92450718942</v>
      </c>
      <c r="H212" s="62">
        <f t="shared" si="131"/>
        <v>352862.82517795777</v>
      </c>
      <c r="I212" s="62">
        <f t="shared" si="131"/>
        <v>49838.263077303294</v>
      </c>
      <c r="J212" s="62">
        <f t="shared" si="131"/>
        <v>107376.52628339091</v>
      </c>
      <c r="K212" s="62">
        <f t="shared" si="131"/>
        <v>0</v>
      </c>
      <c r="L212" s="62">
        <f t="shared" si="131"/>
        <v>42886.373576937542</v>
      </c>
      <c r="M212" s="62">
        <f t="shared" ref="M212" si="132">M210+M211</f>
        <v>12156.096883291759</v>
      </c>
      <c r="N212" s="62">
        <f t="shared" si="131"/>
        <v>32512.032926863329</v>
      </c>
      <c r="O212" s="62">
        <f t="shared" si="131"/>
        <v>0</v>
      </c>
      <c r="P212" s="62">
        <f t="shared" si="131"/>
        <v>0</v>
      </c>
      <c r="Q212" s="62">
        <f t="shared" si="131"/>
        <v>0</v>
      </c>
      <c r="R212" s="62">
        <f t="shared" si="131"/>
        <v>0</v>
      </c>
      <c r="S212" s="62">
        <f t="shared" si="131"/>
        <v>0</v>
      </c>
      <c r="T212" s="62">
        <f t="shared" si="131"/>
        <v>0</v>
      </c>
      <c r="U212" s="62">
        <f t="shared" si="131"/>
        <v>0</v>
      </c>
      <c r="V212" s="62">
        <f t="shared" ref="V212:AG212" si="133">V210+V211</f>
        <v>0</v>
      </c>
      <c r="W212" s="62">
        <f t="shared" si="133"/>
        <v>0</v>
      </c>
      <c r="X212" s="62">
        <f t="shared" si="133"/>
        <v>0</v>
      </c>
      <c r="Y212" s="62">
        <f t="shared" si="133"/>
        <v>0</v>
      </c>
      <c r="Z212" s="62">
        <f t="shared" si="133"/>
        <v>0</v>
      </c>
      <c r="AA212" s="62">
        <f t="shared" si="133"/>
        <v>0</v>
      </c>
      <c r="AB212" s="62">
        <f t="shared" si="133"/>
        <v>0</v>
      </c>
      <c r="AC212" s="62">
        <f t="shared" si="133"/>
        <v>0</v>
      </c>
      <c r="AD212" s="62">
        <f t="shared" si="133"/>
        <v>0</v>
      </c>
      <c r="AE212" s="62">
        <f t="shared" si="133"/>
        <v>0</v>
      </c>
      <c r="AF212" s="62">
        <f t="shared" si="133"/>
        <v>0</v>
      </c>
      <c r="AG212" s="62">
        <f t="shared" si="133"/>
        <v>0</v>
      </c>
      <c r="AH212" s="87">
        <f>SUM(F212:AG212)</f>
        <v>5079196.3355401782</v>
      </c>
      <c r="AI212" s="27" t="str">
        <f>IF(ABS(E212-AH212)&lt;0.01,"ok","err")</f>
        <v>ok</v>
      </c>
    </row>
    <row r="213" spans="1:35" x14ac:dyDescent="0.2">
      <c r="E213" s="47"/>
    </row>
    <row r="214" spans="1:35" x14ac:dyDescent="0.2">
      <c r="A214" s="13" t="s">
        <v>3</v>
      </c>
      <c r="E214" s="47"/>
    </row>
    <row r="215" spans="1:35" x14ac:dyDescent="0.2">
      <c r="A215" s="90" t="s">
        <v>209</v>
      </c>
      <c r="C215" s="14" t="s">
        <v>292</v>
      </c>
      <c r="D215" s="14" t="s">
        <v>701</v>
      </c>
      <c r="E215" s="62">
        <f>'Func &amp; Classif'!R312</f>
        <v>0</v>
      </c>
      <c r="F215" s="47">
        <f>IF(VLOOKUP($D215,$C$5:$AV$509,3,)=0,0,(VLOOKUP($D215,$C$5:$AV$509,4,)/VLOOKUP($D215,$C$5:$AV$509,3,))*$E215)</f>
        <v>0</v>
      </c>
      <c r="G215" s="47">
        <f>IF(VLOOKUP($D215,$C$5:$AV$509,3,)=0,0,(VLOOKUP($D215,$C$5:$AV$509,5,)/VLOOKUP($D215,$C$5:$AV$509,3,))*$E215)</f>
        <v>0</v>
      </c>
      <c r="H215" s="47">
        <f>IF(VLOOKUP($D215,$C$5:$AV$509,3,)=0,0,(VLOOKUP($D215,$C$5:$AV$509,6,)/VLOOKUP($D215,$C$5:$AV$509,3,))*$E215)</f>
        <v>0</v>
      </c>
      <c r="I215" s="47">
        <f>IF(VLOOKUP($D215,$C$5:$AV$509,3,)=0,0,(VLOOKUP($D215,$C$5:$AV$509,7,)/VLOOKUP($D215,$C$5:$AV$509,3,))*$E215)</f>
        <v>0</v>
      </c>
      <c r="J215" s="47">
        <f>IF(VLOOKUP($D215,$C$5:$AV$509,3,)=0,0,(VLOOKUP($D215,$C$5:$AV$509,8,)/VLOOKUP($D215,$C$5:$AV$509,3,))*$E215)</f>
        <v>0</v>
      </c>
      <c r="K215" s="47">
        <f>IF(VLOOKUP($D215,$C$5:$AV$509,3,)=0,0,(VLOOKUP($D215,$C$5:$AV$509,9,)/VLOOKUP($D215,$C$5:$AV$509,3,))*$E215)</f>
        <v>0</v>
      </c>
      <c r="L215" s="47">
        <f>IF(VLOOKUP($D215,$C$5:$AV$509,3,)=0,0,(VLOOKUP($D215,$C$5:$AV$509,10,)/VLOOKUP($D215,$C$5:$AV$509,3,))*$E215)</f>
        <v>0</v>
      </c>
      <c r="M215" s="47">
        <f>IF(VLOOKUP($D215,$C$5:$AV$509,3,)=0,0,(VLOOKUP($D215,$C$5:$AV$509,11,)/VLOOKUP($D215,$C$5:$AV$509,3,))*$E215)</f>
        <v>0</v>
      </c>
      <c r="N215" s="47">
        <f>IF(VLOOKUP($D215,$C$5:$AV$509,3,)=0,0,(VLOOKUP($D215,$C$5:$AV$509,12,)/VLOOKUP($D215,$C$5:$AV$509,3,))*$E215)</f>
        <v>0</v>
      </c>
      <c r="O215" s="47">
        <f t="shared" ref="O215:Q216" si="134">IF(VLOOKUP($D215,$C$5:$AV$509,3,)=0,0,(VLOOKUP($D215,$C$5:$AV$509,14,)/VLOOKUP($D215,$C$5:$AV$509,3,))*$E215)</f>
        <v>0</v>
      </c>
      <c r="P215" s="47">
        <f t="shared" si="134"/>
        <v>0</v>
      </c>
      <c r="Q215" s="47">
        <f t="shared" si="134"/>
        <v>0</v>
      </c>
      <c r="R215" s="47">
        <f>IF(VLOOKUP($D215,$C$5:$AV$509,3,)=0,0,(VLOOKUP($D215,$C$5:$AV$509,15,)/VLOOKUP($D215,$C$5:$AV$509,3,))*$E215)</f>
        <v>0</v>
      </c>
      <c r="S215" s="47">
        <f>IF(VLOOKUP($D215,$C$5:$AV$509,3,)=0,0,(VLOOKUP($D215,$C$5:$AV$509,16,)/VLOOKUP($D215,$C$5:$AV$509,3,))*$E215)</f>
        <v>0</v>
      </c>
      <c r="T215" s="47">
        <f>IF(VLOOKUP($D215,$C$5:$AV$509,3,)=0,0,(VLOOKUP($D215,$C$5:$AV$509,17,)/VLOOKUP($D215,$C$5:$AV$509,3,))*$E215)</f>
        <v>0</v>
      </c>
      <c r="U215" s="47">
        <f>IF(VLOOKUP($D215,$C$5:$AV$509,3,)=0,0,(VLOOKUP($D215,$C$5:$AV$509,18,)/VLOOKUP($D215,$C$5:$AV$509,3,))*$E215)</f>
        <v>0</v>
      </c>
      <c r="V215" s="47">
        <f>IF(VLOOKUP($D215,$C$5:$AV$509,3,)=0,0,(VLOOKUP($D215,$C$5:$AV$509,19,)/VLOOKUP($D215,$C$5:$AV$509,3,))*$E215)</f>
        <v>0</v>
      </c>
      <c r="W215" s="47">
        <f>IF(VLOOKUP($D215,$C$5:$AV$509,3,)=0,0,(VLOOKUP($D215,$C$5:$AV$509,20,)/VLOOKUP($D215,$C$5:$AV$509,3,))*$E215)</f>
        <v>0</v>
      </c>
      <c r="X215" s="47">
        <f>IF(VLOOKUP($D215,$C$5:$AV$509,3,)=0,0,(VLOOKUP($D215,$C$5:$AV$509,21,)/VLOOKUP($D215,$C$5:$AV$509,3,))*$E215)</f>
        <v>0</v>
      </c>
      <c r="Y215" s="47">
        <f>IF(VLOOKUP($D215,$C$5:$AV$509,3,)=0,0,(VLOOKUP($D215,$C$5:$AV$509,22,)/VLOOKUP($D215,$C$5:$AV$509,3,))*$E215)</f>
        <v>0</v>
      </c>
      <c r="Z215" s="47">
        <f>IF(VLOOKUP($D215,$C$5:$AV$509,3,)=0,0,(VLOOKUP($D215,$C$5:$AV$509,23,)/VLOOKUP($D215,$C$5:$AV$509,3,))*$E215)</f>
        <v>0</v>
      </c>
      <c r="AA215" s="47">
        <f>IF(VLOOKUP($D215,$C$5:$AV$509,3,)=0,0,(VLOOKUP($D215,$C$5:$AV$509,24,)/VLOOKUP($D215,$C$5:$AV$509,3,))*$E215)</f>
        <v>0</v>
      </c>
      <c r="AB215" s="47">
        <f>IF(VLOOKUP($D215,$C$5:$AV$509,3,)=0,0,(VLOOKUP($D215,$C$5:$AV$509,25,)/VLOOKUP($D215,$C$5:$AV$509,3,))*$E215)</f>
        <v>0</v>
      </c>
      <c r="AC215" s="47">
        <f>IF(VLOOKUP($D215,$C$5:$AV$509,3,)=0,0,(VLOOKUP($D215,$C$5:$AV$509,26,)/VLOOKUP($D215,$C$5:$AV$509,3,))*$E215)</f>
        <v>0</v>
      </c>
      <c r="AD215" s="47">
        <f>IF(VLOOKUP($D215,$C$5:$AV$509,3,)=0,0,(VLOOKUP($D215,$C$5:$AV$509,27,)/VLOOKUP($D215,$C$5:$AV$509,3,))*$E215)</f>
        <v>0</v>
      </c>
      <c r="AE215" s="47">
        <f>IF(VLOOKUP($D215,$C$5:$AV$509,3,)=0,0,(VLOOKUP($D215,$C$5:$AV$509,28,)/VLOOKUP($D215,$C$5:$AV$509,3,))*$E215)</f>
        <v>0</v>
      </c>
      <c r="AF215" s="47">
        <f>IF(VLOOKUP($D215,$C$5:$AV$509,3,)=0,0,(VLOOKUP($D215,$C$5:$AV$509,29,)/VLOOKUP($D215,$C$5:$AV$509,3,))*$E215)</f>
        <v>0</v>
      </c>
      <c r="AG215" s="47">
        <f>IF(VLOOKUP($D215,$C$5:$AV$509,3,)=0,0,(VLOOKUP($D215,$C$5:$AV$509,30,)/VLOOKUP($D215,$C$5:$AV$509,3,))*$E215)</f>
        <v>0</v>
      </c>
      <c r="AH215" s="47">
        <f t="shared" ref="AH215:AH216" si="135">SUM(F215:AG215)</f>
        <v>0</v>
      </c>
      <c r="AI215" s="27" t="str">
        <f>IF(ABS(E215-AH215)&lt;0.01,"ok","err")</f>
        <v>ok</v>
      </c>
    </row>
    <row r="216" spans="1:35" x14ac:dyDescent="0.2">
      <c r="A216" s="90" t="s">
        <v>221</v>
      </c>
      <c r="C216" s="14" t="s">
        <v>293</v>
      </c>
      <c r="D216" s="14" t="s">
        <v>701</v>
      </c>
      <c r="E216" s="47">
        <f>'Func &amp; Classif'!S312</f>
        <v>688760.0457857335</v>
      </c>
      <c r="F216" s="47">
        <f>IF(VLOOKUP($D216,$C$5:$AV$509,3,)=0,0,(VLOOKUP($D216,$C$5:$AV$509,4,)/VLOOKUP($D216,$C$5:$AV$509,3,))*$E216)</f>
        <v>587518.84119583131</v>
      </c>
      <c r="G216" s="47">
        <f>IF(VLOOKUP($D216,$C$5:$AV$509,3,)=0,0,(VLOOKUP($D216,$C$5:$AV$509,5,)/VLOOKUP($D216,$C$5:$AV$509,3,))*$E216)</f>
        <v>22.865103763215853</v>
      </c>
      <c r="H216" s="47">
        <f>IF(VLOOKUP($D216,$C$5:$AV$509,3,)=0,0,(VLOOKUP($D216,$C$5:$AV$509,6,)/VLOOKUP($D216,$C$5:$AV$509,3,))*$E216)</f>
        <v>85042.740374952496</v>
      </c>
      <c r="I216" s="47">
        <f>IF(VLOOKUP($D216,$C$5:$AV$509,3,)=0,0,(VLOOKUP($D216,$C$5:$AV$509,7,)/VLOOKUP($D216,$C$5:$AV$509,3,))*$E216)</f>
        <v>8755.8997292432632</v>
      </c>
      <c r="J216" s="47">
        <f>IF(VLOOKUP($D216,$C$5:$AV$509,3,)=0,0,(VLOOKUP($D216,$C$5:$AV$509,8,)/VLOOKUP($D216,$C$5:$AV$509,3,))*$E216)</f>
        <v>7001.4600733237776</v>
      </c>
      <c r="K216" s="47">
        <f>IF(VLOOKUP($D216,$C$5:$AV$509,3,)=0,0,(VLOOKUP($D216,$C$5:$AV$509,9,)/VLOOKUP($D216,$C$5:$AV$509,3,))*$E216)</f>
        <v>0</v>
      </c>
      <c r="L216" s="47">
        <f>IF(VLOOKUP($D216,$C$5:$AV$509,3,)=0,0,(VLOOKUP($D216,$C$5:$AV$509,10,)/VLOOKUP($D216,$C$5:$AV$509,3,))*$E216)</f>
        <v>359.40350968402839</v>
      </c>
      <c r="M216" s="47">
        <f>IF(VLOOKUP($D216,$C$5:$AV$509,3,)=0,0,(VLOOKUP($D216,$C$5:$AV$509,11,)/VLOOKUP($D216,$C$5:$AV$509,3,))*$E216)</f>
        <v>58.835798935493933</v>
      </c>
      <c r="N216" s="47">
        <f>IF(VLOOKUP($D216,$C$5:$AV$509,3,)=0,0,(VLOOKUP($D216,$C$5:$AV$509,12,)/VLOOKUP($D216,$C$5:$AV$509,3,))*$E216)</f>
        <v>0</v>
      </c>
      <c r="O216" s="47">
        <f t="shared" si="134"/>
        <v>0</v>
      </c>
      <c r="P216" s="47">
        <f t="shared" si="134"/>
        <v>0</v>
      </c>
      <c r="Q216" s="47">
        <f t="shared" si="134"/>
        <v>0</v>
      </c>
      <c r="R216" s="47">
        <f>IF(VLOOKUP($D216,$C$5:$AV$509,3,)=0,0,(VLOOKUP($D216,$C$5:$AV$509,15,)/VLOOKUP($D216,$C$5:$AV$509,3,))*$E216)</f>
        <v>0</v>
      </c>
      <c r="S216" s="47">
        <f>IF(VLOOKUP($D216,$C$5:$AV$509,3,)=0,0,(VLOOKUP($D216,$C$5:$AV$509,16,)/VLOOKUP($D216,$C$5:$AV$509,3,))*$E216)</f>
        <v>0</v>
      </c>
      <c r="T216" s="47">
        <f>IF(VLOOKUP($D216,$C$5:$AV$509,3,)=0,0,(VLOOKUP($D216,$C$5:$AV$509,17,)/VLOOKUP($D216,$C$5:$AV$509,3,))*$E216)</f>
        <v>0</v>
      </c>
      <c r="U216" s="47">
        <f>IF(VLOOKUP($D216,$C$5:$AV$509,3,)=0,0,(VLOOKUP($D216,$C$5:$AV$509,18,)/VLOOKUP($D216,$C$5:$AV$509,3,))*$E216)</f>
        <v>0</v>
      </c>
      <c r="V216" s="47">
        <f>IF(VLOOKUP($D216,$C$5:$AV$509,3,)=0,0,(VLOOKUP($D216,$C$5:$AV$509,19,)/VLOOKUP($D216,$C$5:$AV$509,3,))*$E216)</f>
        <v>0</v>
      </c>
      <c r="W216" s="47">
        <f>IF(VLOOKUP($D216,$C$5:$AV$509,3,)=0,0,(VLOOKUP($D216,$C$5:$AV$509,20,)/VLOOKUP($D216,$C$5:$AV$509,3,))*$E216)</f>
        <v>0</v>
      </c>
      <c r="X216" s="47">
        <f>IF(VLOOKUP($D216,$C$5:$AV$509,3,)=0,0,(VLOOKUP($D216,$C$5:$AV$509,21,)/VLOOKUP($D216,$C$5:$AV$509,3,))*$E216)</f>
        <v>0</v>
      </c>
      <c r="Y216" s="47">
        <f>IF(VLOOKUP($D216,$C$5:$AV$509,3,)=0,0,(VLOOKUP($D216,$C$5:$AV$509,22,)/VLOOKUP($D216,$C$5:$AV$509,3,))*$E216)</f>
        <v>0</v>
      </c>
      <c r="Z216" s="47">
        <f>IF(VLOOKUP($D216,$C$5:$AV$509,3,)=0,0,(VLOOKUP($D216,$C$5:$AV$509,23,)/VLOOKUP($D216,$C$5:$AV$509,3,))*$E216)</f>
        <v>0</v>
      </c>
      <c r="AA216" s="47">
        <f>IF(VLOOKUP($D216,$C$5:$AV$509,3,)=0,0,(VLOOKUP($D216,$C$5:$AV$509,24,)/VLOOKUP($D216,$C$5:$AV$509,3,))*$E216)</f>
        <v>0</v>
      </c>
      <c r="AB216" s="47">
        <f>IF(VLOOKUP($D216,$C$5:$AV$509,3,)=0,0,(VLOOKUP($D216,$C$5:$AV$509,25,)/VLOOKUP($D216,$C$5:$AV$509,3,))*$E216)</f>
        <v>0</v>
      </c>
      <c r="AC216" s="47">
        <f>IF(VLOOKUP($D216,$C$5:$AV$509,3,)=0,0,(VLOOKUP($D216,$C$5:$AV$509,26,)/VLOOKUP($D216,$C$5:$AV$509,3,))*$E216)</f>
        <v>0</v>
      </c>
      <c r="AD216" s="47">
        <f>IF(VLOOKUP($D216,$C$5:$AV$509,3,)=0,0,(VLOOKUP($D216,$C$5:$AV$509,27,)/VLOOKUP($D216,$C$5:$AV$509,3,))*$E216)</f>
        <v>0</v>
      </c>
      <c r="AE216" s="47">
        <f>IF(VLOOKUP($D216,$C$5:$AV$509,3,)=0,0,(VLOOKUP($D216,$C$5:$AV$509,28,)/VLOOKUP($D216,$C$5:$AV$509,3,))*$E216)</f>
        <v>0</v>
      </c>
      <c r="AF216" s="47">
        <f>IF(VLOOKUP($D216,$C$5:$AV$509,3,)=0,0,(VLOOKUP($D216,$C$5:$AV$509,29,)/VLOOKUP($D216,$C$5:$AV$509,3,))*$E216)</f>
        <v>0</v>
      </c>
      <c r="AG216" s="47">
        <f>IF(VLOOKUP($D216,$C$5:$AV$509,3,)=0,0,(VLOOKUP($D216,$C$5:$AV$509,30,)/VLOOKUP($D216,$C$5:$AV$509,3,))*$E216)</f>
        <v>0</v>
      </c>
      <c r="AH216" s="47">
        <f t="shared" si="135"/>
        <v>688760.0457857335</v>
      </c>
      <c r="AI216" s="27" t="str">
        <f>IF(ABS(E216-AH216)&lt;0.01,"ok","err")</f>
        <v>ok</v>
      </c>
    </row>
    <row r="217" spans="1:35" x14ac:dyDescent="0.2">
      <c r="A217" s="14" t="s">
        <v>228</v>
      </c>
      <c r="E217" s="62">
        <f t="shared" ref="E217:U217" si="136">E215+E216</f>
        <v>688760.0457857335</v>
      </c>
      <c r="F217" s="62">
        <f t="shared" si="136"/>
        <v>587518.84119583131</v>
      </c>
      <c r="G217" s="62">
        <f t="shared" si="136"/>
        <v>22.865103763215853</v>
      </c>
      <c r="H217" s="62">
        <f t="shared" si="136"/>
        <v>85042.740374952496</v>
      </c>
      <c r="I217" s="62">
        <f t="shared" si="136"/>
        <v>8755.8997292432632</v>
      </c>
      <c r="J217" s="62">
        <f t="shared" si="136"/>
        <v>7001.4600733237776</v>
      </c>
      <c r="K217" s="62">
        <f t="shared" si="136"/>
        <v>0</v>
      </c>
      <c r="L217" s="62">
        <f t="shared" si="136"/>
        <v>359.40350968402839</v>
      </c>
      <c r="M217" s="62">
        <f t="shared" ref="M217" si="137">M215+M216</f>
        <v>58.835798935493933</v>
      </c>
      <c r="N217" s="62">
        <f t="shared" si="136"/>
        <v>0</v>
      </c>
      <c r="O217" s="62">
        <f t="shared" si="136"/>
        <v>0</v>
      </c>
      <c r="P217" s="62">
        <f t="shared" si="136"/>
        <v>0</v>
      </c>
      <c r="Q217" s="62">
        <f t="shared" si="136"/>
        <v>0</v>
      </c>
      <c r="R217" s="62">
        <f t="shared" si="136"/>
        <v>0</v>
      </c>
      <c r="S217" s="62">
        <f t="shared" si="136"/>
        <v>0</v>
      </c>
      <c r="T217" s="62">
        <f t="shared" si="136"/>
        <v>0</v>
      </c>
      <c r="U217" s="62">
        <f t="shared" si="136"/>
        <v>0</v>
      </c>
      <c r="V217" s="62">
        <f t="shared" ref="V217:AG217" si="138">V215+V216</f>
        <v>0</v>
      </c>
      <c r="W217" s="62">
        <f t="shared" si="138"/>
        <v>0</v>
      </c>
      <c r="X217" s="62">
        <f t="shared" si="138"/>
        <v>0</v>
      </c>
      <c r="Y217" s="62">
        <f t="shared" si="138"/>
        <v>0</v>
      </c>
      <c r="Z217" s="62">
        <f t="shared" si="138"/>
        <v>0</v>
      </c>
      <c r="AA217" s="62">
        <f t="shared" si="138"/>
        <v>0</v>
      </c>
      <c r="AB217" s="62">
        <f t="shared" si="138"/>
        <v>0</v>
      </c>
      <c r="AC217" s="62">
        <f t="shared" si="138"/>
        <v>0</v>
      </c>
      <c r="AD217" s="62">
        <f t="shared" si="138"/>
        <v>0</v>
      </c>
      <c r="AE217" s="62">
        <f t="shared" si="138"/>
        <v>0</v>
      </c>
      <c r="AF217" s="62">
        <f t="shared" si="138"/>
        <v>0</v>
      </c>
      <c r="AG217" s="62">
        <f t="shared" si="138"/>
        <v>0</v>
      </c>
      <c r="AH217" s="87">
        <f>SUM(F217:AG217)</f>
        <v>688760.0457857335</v>
      </c>
      <c r="AI217" s="27" t="str">
        <f>IF(ABS(E217-AH217)&lt;0.01,"ok","err")</f>
        <v>ok</v>
      </c>
    </row>
    <row r="218" spans="1:35" x14ac:dyDescent="0.2">
      <c r="E218" s="47"/>
    </row>
    <row r="219" spans="1:35" x14ac:dyDescent="0.2">
      <c r="A219" s="13" t="s">
        <v>4</v>
      </c>
      <c r="E219" s="47"/>
    </row>
    <row r="220" spans="1:35" x14ac:dyDescent="0.2">
      <c r="A220" s="90" t="s">
        <v>221</v>
      </c>
      <c r="C220" s="14" t="s">
        <v>294</v>
      </c>
      <c r="D220" s="14" t="s">
        <v>230</v>
      </c>
      <c r="E220" s="62">
        <f>'Func &amp; Classif'!U312</f>
        <v>302380.60520760634</v>
      </c>
      <c r="F220" s="47">
        <f>IF(VLOOKUP($D220,$C$5:$AV$509,3,)=0,0,(VLOOKUP($D220,$C$5:$AV$509,4,)/VLOOKUP($D220,$C$5:$AV$509,3,))*$E220)</f>
        <v>268863.97818775359</v>
      </c>
      <c r="G220" s="47">
        <f>IF(VLOOKUP($D220,$C$5:$AV$509,3,)=0,0,(VLOOKUP($D220,$C$5:$AV$509,5,)/VLOOKUP($D220,$C$5:$AV$509,3,))*$E220)</f>
        <v>10.463669125812556</v>
      </c>
      <c r="H220" s="47">
        <f>IF(VLOOKUP($D220,$C$5:$AV$509,3,)=0,0,(VLOOKUP($D220,$C$5:$AV$509,6,)/VLOOKUP($D220,$C$5:$AV$509,3,))*$E220)</f>
        <v>26493.345866612894</v>
      </c>
      <c r="I220" s="47">
        <f>IF(VLOOKUP($D220,$C$5:$AV$509,3,)=0,0,(VLOOKUP($D220,$C$5:$AV$509,7,)/VLOOKUP($D220,$C$5:$AV$509,3,))*$E220)</f>
        <v>3285.5921055051426</v>
      </c>
      <c r="J220" s="47">
        <f>IF(VLOOKUP($D220,$C$5:$AV$509,3,)=0,0,(VLOOKUP($D220,$C$5:$AV$509,8,)/VLOOKUP($D220,$C$5:$AV$509,3,))*$E220)</f>
        <v>3419.2945443349695</v>
      </c>
      <c r="K220" s="47">
        <f>IF(VLOOKUP($D220,$C$5:$AV$509,3,)=0,0,(VLOOKUP($D220,$C$5:$AV$509,9,)/VLOOKUP($D220,$C$5:$AV$509,3,))*$E220)</f>
        <v>0</v>
      </c>
      <c r="L220" s="47">
        <f>IF(VLOOKUP($D220,$C$5:$AV$509,3,)=0,0,(VLOOKUP($D220,$C$5:$AV$509,10,)/VLOOKUP($D220,$C$5:$AV$509,3,))*$E220)</f>
        <v>273.71629713236655</v>
      </c>
      <c r="M220" s="47">
        <f>IF(VLOOKUP($D220,$C$5:$AV$509,3,)=0,0,(VLOOKUP($D220,$C$5:$AV$509,11,)/VLOOKUP($D220,$C$5:$AV$509,3,))*$E220)</f>
        <v>34.214537141545819</v>
      </c>
      <c r="N220" s="47">
        <f>IF(VLOOKUP($D220,$C$5:$AV$509,3,)=0,0,(VLOOKUP($D220,$C$5:$AV$509,12,)/VLOOKUP($D220,$C$5:$AV$509,3,))*$E220)</f>
        <v>0</v>
      </c>
      <c r="O220" s="47">
        <f>IF(VLOOKUP($D220,$C$5:$AV$509,3,)=0,0,(VLOOKUP($D220,$C$5:$AV$509,14,)/VLOOKUP($D220,$C$5:$AV$509,3,))*$E220)</f>
        <v>0</v>
      </c>
      <c r="P220" s="47">
        <f>IF(VLOOKUP($D220,$C$5:$AV$509,3,)=0,0,(VLOOKUP($D220,$C$5:$AV$509,14,)/VLOOKUP($D220,$C$5:$AV$509,3,))*$E220)</f>
        <v>0</v>
      </c>
      <c r="Q220" s="47">
        <f>IF(VLOOKUP($D220,$C$5:$AV$509,3,)=0,0,(VLOOKUP($D220,$C$5:$AV$509,14,)/VLOOKUP($D220,$C$5:$AV$509,3,))*$E220)</f>
        <v>0</v>
      </c>
      <c r="R220" s="47">
        <f>IF(VLOOKUP($D220,$C$5:$AV$509,3,)=0,0,(VLOOKUP($D220,$C$5:$AV$509,15,)/VLOOKUP($D220,$C$5:$AV$509,3,))*$E220)</f>
        <v>0</v>
      </c>
      <c r="S220" s="47">
        <f>IF(VLOOKUP($D220,$C$5:$AV$509,3,)=0,0,(VLOOKUP($D220,$C$5:$AV$509,16,)/VLOOKUP($D220,$C$5:$AV$509,3,))*$E220)</f>
        <v>0</v>
      </c>
      <c r="T220" s="47">
        <f>IF(VLOOKUP($D220,$C$5:$AV$509,3,)=0,0,(VLOOKUP($D220,$C$5:$AV$509,17,)/VLOOKUP($D220,$C$5:$AV$509,3,))*$E220)</f>
        <v>0</v>
      </c>
      <c r="U220" s="47">
        <f>IF(VLOOKUP($D220,$C$5:$AV$509,3,)=0,0,(VLOOKUP($D220,$C$5:$AV$509,18,)/VLOOKUP($D220,$C$5:$AV$509,3,))*$E220)</f>
        <v>0</v>
      </c>
      <c r="V220" s="47">
        <f>IF(VLOOKUP($D220,$C$5:$AV$509,3,)=0,0,(VLOOKUP($D220,$C$5:$AV$509,19,)/VLOOKUP($D220,$C$5:$AV$509,3,))*$E220)</f>
        <v>0</v>
      </c>
      <c r="W220" s="47">
        <f>IF(VLOOKUP($D220,$C$5:$AV$509,3,)=0,0,(VLOOKUP($D220,$C$5:$AV$509,20,)/VLOOKUP($D220,$C$5:$AV$509,3,))*$E220)</f>
        <v>0</v>
      </c>
      <c r="X220" s="47">
        <f>IF(VLOOKUP($D220,$C$5:$AV$509,3,)=0,0,(VLOOKUP($D220,$C$5:$AV$509,21,)/VLOOKUP($D220,$C$5:$AV$509,3,))*$E220)</f>
        <v>0</v>
      </c>
      <c r="Y220" s="47">
        <f>IF(VLOOKUP($D220,$C$5:$AV$509,3,)=0,0,(VLOOKUP($D220,$C$5:$AV$509,22,)/VLOOKUP($D220,$C$5:$AV$509,3,))*$E220)</f>
        <v>0</v>
      </c>
      <c r="Z220" s="47">
        <f>IF(VLOOKUP($D220,$C$5:$AV$509,3,)=0,0,(VLOOKUP($D220,$C$5:$AV$509,23,)/VLOOKUP($D220,$C$5:$AV$509,3,))*$E220)</f>
        <v>0</v>
      </c>
      <c r="AA220" s="47">
        <f>IF(VLOOKUP($D220,$C$5:$AV$509,3,)=0,0,(VLOOKUP($D220,$C$5:$AV$509,24,)/VLOOKUP($D220,$C$5:$AV$509,3,))*$E220)</f>
        <v>0</v>
      </c>
      <c r="AB220" s="47">
        <f>IF(VLOOKUP($D220,$C$5:$AV$509,3,)=0,0,(VLOOKUP($D220,$C$5:$AV$509,25,)/VLOOKUP($D220,$C$5:$AV$509,3,))*$E220)</f>
        <v>0</v>
      </c>
      <c r="AC220" s="47">
        <f>IF(VLOOKUP($D220,$C$5:$AV$509,3,)=0,0,(VLOOKUP($D220,$C$5:$AV$509,26,)/VLOOKUP($D220,$C$5:$AV$509,3,))*$E220)</f>
        <v>0</v>
      </c>
      <c r="AD220" s="47">
        <f>IF(VLOOKUP($D220,$C$5:$AV$509,3,)=0,0,(VLOOKUP($D220,$C$5:$AV$509,27,)/VLOOKUP($D220,$C$5:$AV$509,3,))*$E220)</f>
        <v>0</v>
      </c>
      <c r="AE220" s="47">
        <f>IF(VLOOKUP($D220,$C$5:$AV$509,3,)=0,0,(VLOOKUP($D220,$C$5:$AV$509,28,)/VLOOKUP($D220,$C$5:$AV$509,3,))*$E220)</f>
        <v>0</v>
      </c>
      <c r="AF220" s="47">
        <f>IF(VLOOKUP($D220,$C$5:$AV$509,3,)=0,0,(VLOOKUP($D220,$C$5:$AV$509,29,)/VLOOKUP($D220,$C$5:$AV$509,3,))*$E220)</f>
        <v>0</v>
      </c>
      <c r="AG220" s="47">
        <f>IF(VLOOKUP($D220,$C$5:$AV$509,3,)=0,0,(VLOOKUP($D220,$C$5:$AV$509,30,)/VLOOKUP($D220,$C$5:$AV$509,3,))*$E220)</f>
        <v>0</v>
      </c>
      <c r="AH220" s="47">
        <f t="shared" ref="AH220" si="139">SUM(F220:AG220)</f>
        <v>302380.60520760634</v>
      </c>
      <c r="AI220" s="27" t="str">
        <f>IF(ABS(E220-AH220)&lt;0.01,"ok","err")</f>
        <v>ok</v>
      </c>
    </row>
    <row r="221" spans="1:35" x14ac:dyDescent="0.2">
      <c r="E221" s="47"/>
    </row>
    <row r="222" spans="1:35" x14ac:dyDescent="0.2">
      <c r="A222" s="13" t="s">
        <v>5</v>
      </c>
      <c r="E222" s="47"/>
    </row>
    <row r="223" spans="1:35" x14ac:dyDescent="0.2">
      <c r="A223" s="90" t="s">
        <v>221</v>
      </c>
      <c r="C223" s="14" t="s">
        <v>295</v>
      </c>
      <c r="D223" s="14" t="s">
        <v>232</v>
      </c>
      <c r="E223" s="62">
        <f>'Func &amp; Classif'!W312</f>
        <v>212121.05175757696</v>
      </c>
      <c r="F223" s="47">
        <f>IF(VLOOKUP($D223,$C$5:$AV$509,3,)=0,0,(VLOOKUP($D223,$C$5:$AV$509,4,)/VLOOKUP($D223,$C$5:$AV$509,3,))*$E223)</f>
        <v>0</v>
      </c>
      <c r="G223" s="47">
        <f>IF(VLOOKUP($D223,$C$5:$AV$509,3,)=0,0,(VLOOKUP($D223,$C$5:$AV$509,5,)/VLOOKUP($D223,$C$5:$AV$509,3,))*$E223)</f>
        <v>0</v>
      </c>
      <c r="H223" s="47">
        <f>IF(VLOOKUP($D223,$C$5:$AV$509,3,)=0,0,(VLOOKUP($D223,$C$5:$AV$509,6,)/VLOOKUP($D223,$C$5:$AV$509,3,))*$E223)</f>
        <v>0</v>
      </c>
      <c r="I223" s="47">
        <f>IF(VLOOKUP($D223,$C$5:$AV$509,3,)=0,0,(VLOOKUP($D223,$C$5:$AV$509,7,)/VLOOKUP($D223,$C$5:$AV$509,3,))*$E223)</f>
        <v>0</v>
      </c>
      <c r="J223" s="47">
        <f>IF(VLOOKUP($D223,$C$5:$AV$509,3,)=0,0,(VLOOKUP($D223,$C$5:$AV$509,8,)/VLOOKUP($D223,$C$5:$AV$509,3,))*$E223)</f>
        <v>0</v>
      </c>
      <c r="K223" s="47">
        <f>IF(VLOOKUP($D223,$C$5:$AV$509,3,)=0,0,(VLOOKUP($D223,$C$5:$AV$509,9,)/VLOOKUP($D223,$C$5:$AV$509,3,))*$E223)</f>
        <v>0</v>
      </c>
      <c r="L223" s="47">
        <f>IF(VLOOKUP($D223,$C$5:$AV$509,3,)=0,0,(VLOOKUP($D223,$C$5:$AV$509,10,)/VLOOKUP($D223,$C$5:$AV$509,3,))*$E223)</f>
        <v>0</v>
      </c>
      <c r="M223" s="47">
        <f>IF(VLOOKUP($D223,$C$5:$AV$509,3,)=0,0,(VLOOKUP($D223,$C$5:$AV$509,11,)/VLOOKUP($D223,$C$5:$AV$509,3,))*$E223)</f>
        <v>0</v>
      </c>
      <c r="N223" s="47">
        <f>IF(VLOOKUP($D223,$C$5:$AV$509,3,)=0,0,(VLOOKUP($D223,$C$5:$AV$509,12,)/VLOOKUP($D223,$C$5:$AV$509,3,))*$E223)</f>
        <v>212121.05175757696</v>
      </c>
      <c r="O223" s="47">
        <f>IF(VLOOKUP($D223,$C$5:$AV$509,3,)=0,0,(VLOOKUP($D223,$C$5:$AV$509,14,)/VLOOKUP($D223,$C$5:$AV$509,3,))*$E223)</f>
        <v>0</v>
      </c>
      <c r="P223" s="47">
        <f>IF(VLOOKUP($D223,$C$5:$AV$509,3,)=0,0,(VLOOKUP($D223,$C$5:$AV$509,14,)/VLOOKUP($D223,$C$5:$AV$509,3,))*$E223)</f>
        <v>0</v>
      </c>
      <c r="Q223" s="47">
        <f>IF(VLOOKUP($D223,$C$5:$AV$509,3,)=0,0,(VLOOKUP($D223,$C$5:$AV$509,14,)/VLOOKUP($D223,$C$5:$AV$509,3,))*$E223)</f>
        <v>0</v>
      </c>
      <c r="R223" s="47">
        <f>IF(VLOOKUP($D223,$C$5:$AV$509,3,)=0,0,(VLOOKUP($D223,$C$5:$AV$509,15,)/VLOOKUP($D223,$C$5:$AV$509,3,))*$E223)</f>
        <v>0</v>
      </c>
      <c r="S223" s="47">
        <f>IF(VLOOKUP($D223,$C$5:$AV$509,3,)=0,0,(VLOOKUP($D223,$C$5:$AV$509,16,)/VLOOKUP($D223,$C$5:$AV$509,3,))*$E223)</f>
        <v>0</v>
      </c>
      <c r="T223" s="47">
        <f>IF(VLOOKUP($D223,$C$5:$AV$509,3,)=0,0,(VLOOKUP($D223,$C$5:$AV$509,17,)/VLOOKUP($D223,$C$5:$AV$509,3,))*$E223)</f>
        <v>0</v>
      </c>
      <c r="U223" s="47">
        <f>IF(VLOOKUP($D223,$C$5:$AV$509,3,)=0,0,(VLOOKUP($D223,$C$5:$AV$509,18,)/VLOOKUP($D223,$C$5:$AV$509,3,))*$E223)</f>
        <v>0</v>
      </c>
      <c r="V223" s="47">
        <f>IF(VLOOKUP($D223,$C$5:$AV$509,3,)=0,0,(VLOOKUP($D223,$C$5:$AV$509,19,)/VLOOKUP($D223,$C$5:$AV$509,3,))*$E223)</f>
        <v>0</v>
      </c>
      <c r="W223" s="47">
        <f>IF(VLOOKUP($D223,$C$5:$AV$509,3,)=0,0,(VLOOKUP($D223,$C$5:$AV$509,20,)/VLOOKUP($D223,$C$5:$AV$509,3,))*$E223)</f>
        <v>0</v>
      </c>
      <c r="X223" s="47">
        <f>IF(VLOOKUP($D223,$C$5:$AV$509,3,)=0,0,(VLOOKUP($D223,$C$5:$AV$509,21,)/VLOOKUP($D223,$C$5:$AV$509,3,))*$E223)</f>
        <v>0</v>
      </c>
      <c r="Y223" s="47">
        <f>IF(VLOOKUP($D223,$C$5:$AV$509,3,)=0,0,(VLOOKUP($D223,$C$5:$AV$509,22,)/VLOOKUP($D223,$C$5:$AV$509,3,))*$E223)</f>
        <v>0</v>
      </c>
      <c r="Z223" s="47">
        <f>IF(VLOOKUP($D223,$C$5:$AV$509,3,)=0,0,(VLOOKUP($D223,$C$5:$AV$509,23,)/VLOOKUP($D223,$C$5:$AV$509,3,))*$E223)</f>
        <v>0</v>
      </c>
      <c r="AA223" s="47">
        <f>IF(VLOOKUP($D223,$C$5:$AV$509,3,)=0,0,(VLOOKUP($D223,$C$5:$AV$509,24,)/VLOOKUP($D223,$C$5:$AV$509,3,))*$E223)</f>
        <v>0</v>
      </c>
      <c r="AB223" s="47">
        <f>IF(VLOOKUP($D223,$C$5:$AV$509,3,)=0,0,(VLOOKUP($D223,$C$5:$AV$509,25,)/VLOOKUP($D223,$C$5:$AV$509,3,))*$E223)</f>
        <v>0</v>
      </c>
      <c r="AC223" s="47">
        <f>IF(VLOOKUP($D223,$C$5:$AV$509,3,)=0,0,(VLOOKUP($D223,$C$5:$AV$509,26,)/VLOOKUP($D223,$C$5:$AV$509,3,))*$E223)</f>
        <v>0</v>
      </c>
      <c r="AD223" s="47">
        <f>IF(VLOOKUP($D223,$C$5:$AV$509,3,)=0,0,(VLOOKUP($D223,$C$5:$AV$509,27,)/VLOOKUP($D223,$C$5:$AV$509,3,))*$E223)</f>
        <v>0</v>
      </c>
      <c r="AE223" s="47">
        <f>IF(VLOOKUP($D223,$C$5:$AV$509,3,)=0,0,(VLOOKUP($D223,$C$5:$AV$509,28,)/VLOOKUP($D223,$C$5:$AV$509,3,))*$E223)</f>
        <v>0</v>
      </c>
      <c r="AF223" s="47">
        <f>IF(VLOOKUP($D223,$C$5:$AV$509,3,)=0,0,(VLOOKUP($D223,$C$5:$AV$509,29,)/VLOOKUP($D223,$C$5:$AV$509,3,))*$E223)</f>
        <v>0</v>
      </c>
      <c r="AG223" s="47">
        <f>IF(VLOOKUP($D223,$C$5:$AV$509,3,)=0,0,(VLOOKUP($D223,$C$5:$AV$509,30,)/VLOOKUP($D223,$C$5:$AV$509,3,))*$E223)</f>
        <v>0</v>
      </c>
      <c r="AH223" s="47">
        <f t="shared" ref="AH223" si="140">SUM(F223:AG223)</f>
        <v>212121.05175757696</v>
      </c>
      <c r="AI223" s="27" t="str">
        <f>IF(ABS(E223-AH223)&lt;0.01,"ok","err")</f>
        <v>ok</v>
      </c>
    </row>
    <row r="224" spans="1:35" x14ac:dyDescent="0.2">
      <c r="E224" s="47"/>
    </row>
    <row r="225" spans="1:35" x14ac:dyDescent="0.2">
      <c r="A225" s="13" t="s">
        <v>545</v>
      </c>
      <c r="E225" s="47"/>
    </row>
    <row r="226" spans="1:35" x14ac:dyDescent="0.2">
      <c r="A226" s="90" t="s">
        <v>221</v>
      </c>
      <c r="C226" s="14" t="s">
        <v>296</v>
      </c>
      <c r="D226" s="14" t="s">
        <v>234</v>
      </c>
      <c r="E226" s="62">
        <f>'Func &amp; Classif'!Y312</f>
        <v>0</v>
      </c>
      <c r="F226" s="47">
        <f>IF(VLOOKUP($D226,$C$5:$AV$509,3,)=0,0,(VLOOKUP($D226,$C$5:$AV$509,4,)/VLOOKUP($D226,$C$5:$AV$509,3,))*$E226)</f>
        <v>0</v>
      </c>
      <c r="G226" s="47">
        <f>IF(VLOOKUP($D226,$C$5:$AV$509,3,)=0,0,(VLOOKUP($D226,$C$5:$AV$509,5,)/VLOOKUP($D226,$C$5:$AV$509,3,))*$E226)</f>
        <v>0</v>
      </c>
      <c r="H226" s="47">
        <f>IF(VLOOKUP($D226,$C$5:$AV$509,3,)=0,0,(VLOOKUP($D226,$C$5:$AV$509,6,)/VLOOKUP($D226,$C$5:$AV$509,3,))*$E226)</f>
        <v>0</v>
      </c>
      <c r="I226" s="47">
        <f>IF(VLOOKUP($D226,$C$5:$AV$509,3,)=0,0,(VLOOKUP($D226,$C$5:$AV$509,7,)/VLOOKUP($D226,$C$5:$AV$509,3,))*$E226)</f>
        <v>0</v>
      </c>
      <c r="J226" s="47">
        <f>IF(VLOOKUP($D226,$C$5:$AV$509,3,)=0,0,(VLOOKUP($D226,$C$5:$AV$509,8,)/VLOOKUP($D226,$C$5:$AV$509,3,))*$E226)</f>
        <v>0</v>
      </c>
      <c r="K226" s="47">
        <f>IF(VLOOKUP($D226,$C$5:$AV$509,3,)=0,0,(VLOOKUP($D226,$C$5:$AV$509,9,)/VLOOKUP($D226,$C$5:$AV$509,3,))*$E226)</f>
        <v>0</v>
      </c>
      <c r="L226" s="47">
        <f>IF(VLOOKUP($D226,$C$5:$AV$509,3,)=0,0,(VLOOKUP($D226,$C$5:$AV$509,10,)/VLOOKUP($D226,$C$5:$AV$509,3,))*$E226)</f>
        <v>0</v>
      </c>
      <c r="M226" s="47">
        <f>IF(VLOOKUP($D226,$C$5:$AV$509,3,)=0,0,(VLOOKUP($D226,$C$5:$AV$509,11,)/VLOOKUP($D226,$C$5:$AV$509,3,))*$E226)</f>
        <v>0</v>
      </c>
      <c r="N226" s="47">
        <f>IF(VLOOKUP($D226,$C$5:$AV$509,3,)=0,0,(VLOOKUP($D226,$C$5:$AV$509,12,)/VLOOKUP($D226,$C$5:$AV$509,3,))*$E226)</f>
        <v>0</v>
      </c>
      <c r="O226" s="47">
        <f>IF(VLOOKUP($D226,$C$5:$AV$509,3,)=0,0,(VLOOKUP($D226,$C$5:$AV$509,14,)/VLOOKUP($D226,$C$5:$AV$509,3,))*$E226)</f>
        <v>0</v>
      </c>
      <c r="P226" s="47">
        <f>IF(VLOOKUP($D226,$C$5:$AV$509,3,)=0,0,(VLOOKUP($D226,$C$5:$AV$509,14,)/VLOOKUP($D226,$C$5:$AV$509,3,))*$E226)</f>
        <v>0</v>
      </c>
      <c r="Q226" s="47">
        <f>IF(VLOOKUP($D226,$C$5:$AV$509,3,)=0,0,(VLOOKUP($D226,$C$5:$AV$509,14,)/VLOOKUP($D226,$C$5:$AV$509,3,))*$E226)</f>
        <v>0</v>
      </c>
      <c r="R226" s="47">
        <f>IF(VLOOKUP($D226,$C$5:$AV$509,3,)=0,0,(VLOOKUP($D226,$C$5:$AV$509,15,)/VLOOKUP($D226,$C$5:$AV$509,3,))*$E226)</f>
        <v>0</v>
      </c>
      <c r="S226" s="47">
        <f>IF(VLOOKUP($D226,$C$5:$AV$509,3,)=0,0,(VLOOKUP($D226,$C$5:$AV$509,16,)/VLOOKUP($D226,$C$5:$AV$509,3,))*$E226)</f>
        <v>0</v>
      </c>
      <c r="T226" s="47">
        <f>IF(VLOOKUP($D226,$C$5:$AV$509,3,)=0,0,(VLOOKUP($D226,$C$5:$AV$509,17,)/VLOOKUP($D226,$C$5:$AV$509,3,))*$E226)</f>
        <v>0</v>
      </c>
      <c r="U226" s="47">
        <f>IF(VLOOKUP($D226,$C$5:$AV$509,3,)=0,0,(VLOOKUP($D226,$C$5:$AV$509,18,)/VLOOKUP($D226,$C$5:$AV$509,3,))*$E226)</f>
        <v>0</v>
      </c>
      <c r="V226" s="47">
        <f>IF(VLOOKUP($D226,$C$5:$AV$509,3,)=0,0,(VLOOKUP($D226,$C$5:$AV$509,19,)/VLOOKUP($D226,$C$5:$AV$509,3,))*$E226)</f>
        <v>0</v>
      </c>
      <c r="W226" s="47">
        <f>IF(VLOOKUP($D226,$C$5:$AV$509,3,)=0,0,(VLOOKUP($D226,$C$5:$AV$509,20,)/VLOOKUP($D226,$C$5:$AV$509,3,))*$E226)</f>
        <v>0</v>
      </c>
      <c r="X226" s="47">
        <f>IF(VLOOKUP($D226,$C$5:$AV$509,3,)=0,0,(VLOOKUP($D226,$C$5:$AV$509,21,)/VLOOKUP($D226,$C$5:$AV$509,3,))*$E226)</f>
        <v>0</v>
      </c>
      <c r="Y226" s="47">
        <f>IF(VLOOKUP($D226,$C$5:$AV$509,3,)=0,0,(VLOOKUP($D226,$C$5:$AV$509,22,)/VLOOKUP($D226,$C$5:$AV$509,3,))*$E226)</f>
        <v>0</v>
      </c>
      <c r="Z226" s="47">
        <f>IF(VLOOKUP($D226,$C$5:$AV$509,3,)=0,0,(VLOOKUP($D226,$C$5:$AV$509,23,)/VLOOKUP($D226,$C$5:$AV$509,3,))*$E226)</f>
        <v>0</v>
      </c>
      <c r="AA226" s="47">
        <f>IF(VLOOKUP($D226,$C$5:$AV$509,3,)=0,0,(VLOOKUP($D226,$C$5:$AV$509,24,)/VLOOKUP($D226,$C$5:$AV$509,3,))*$E226)</f>
        <v>0</v>
      </c>
      <c r="AB226" s="47">
        <f>IF(VLOOKUP($D226,$C$5:$AV$509,3,)=0,0,(VLOOKUP($D226,$C$5:$AV$509,25,)/VLOOKUP($D226,$C$5:$AV$509,3,))*$E226)</f>
        <v>0</v>
      </c>
      <c r="AC226" s="47">
        <f>IF(VLOOKUP($D226,$C$5:$AV$509,3,)=0,0,(VLOOKUP($D226,$C$5:$AV$509,26,)/VLOOKUP($D226,$C$5:$AV$509,3,))*$E226)</f>
        <v>0</v>
      </c>
      <c r="AD226" s="47">
        <f>IF(VLOOKUP($D226,$C$5:$AV$509,3,)=0,0,(VLOOKUP($D226,$C$5:$AV$509,27,)/VLOOKUP($D226,$C$5:$AV$509,3,))*$E226)</f>
        <v>0</v>
      </c>
      <c r="AE226" s="47">
        <f>IF(VLOOKUP($D226,$C$5:$AV$509,3,)=0,0,(VLOOKUP($D226,$C$5:$AV$509,28,)/VLOOKUP($D226,$C$5:$AV$509,3,))*$E226)</f>
        <v>0</v>
      </c>
      <c r="AF226" s="47">
        <f>IF(VLOOKUP($D226,$C$5:$AV$509,3,)=0,0,(VLOOKUP($D226,$C$5:$AV$509,29,)/VLOOKUP($D226,$C$5:$AV$509,3,))*$E226)</f>
        <v>0</v>
      </c>
      <c r="AG226" s="47">
        <f>IF(VLOOKUP($D226,$C$5:$AV$509,3,)=0,0,(VLOOKUP($D226,$C$5:$AV$509,30,)/VLOOKUP($D226,$C$5:$AV$509,3,))*$E226)</f>
        <v>0</v>
      </c>
      <c r="AH226" s="47">
        <f t="shared" ref="AH226" si="141">SUM(F226:AG226)</f>
        <v>0</v>
      </c>
      <c r="AI226" s="27" t="str">
        <f>IF(ABS(E226-AH226)&lt;0.01,"ok","err")</f>
        <v>ok</v>
      </c>
    </row>
    <row r="227" spans="1:35" x14ac:dyDescent="0.2">
      <c r="E227" s="47"/>
    </row>
    <row r="228" spans="1:35" x14ac:dyDescent="0.2">
      <c r="A228" s="13" t="s">
        <v>470</v>
      </c>
      <c r="E228" s="47"/>
    </row>
    <row r="229" spans="1:35" x14ac:dyDescent="0.2">
      <c r="A229" s="90" t="s">
        <v>221</v>
      </c>
      <c r="C229" s="14" t="s">
        <v>293</v>
      </c>
      <c r="D229" s="14" t="s">
        <v>235</v>
      </c>
      <c r="E229" s="62">
        <f>'Func &amp; Classif'!AA312</f>
        <v>0</v>
      </c>
      <c r="F229" s="47">
        <f>IF(VLOOKUP($D229,$C$5:$AV$509,3,)=0,0,(VLOOKUP($D229,$C$5:$AV$509,4,)/VLOOKUP($D229,$C$5:$AV$509,3,))*$E229)</f>
        <v>0</v>
      </c>
      <c r="G229" s="47">
        <f>IF(VLOOKUP($D229,$C$5:$AV$509,3,)=0,0,(VLOOKUP($D229,$C$5:$AV$509,5,)/VLOOKUP($D229,$C$5:$AV$509,3,))*$E229)</f>
        <v>0</v>
      </c>
      <c r="H229" s="47">
        <f>IF(VLOOKUP($D229,$C$5:$AV$509,3,)=0,0,(VLOOKUP($D229,$C$5:$AV$509,6,)/VLOOKUP($D229,$C$5:$AV$509,3,))*$E229)</f>
        <v>0</v>
      </c>
      <c r="I229" s="47">
        <f>IF(VLOOKUP($D229,$C$5:$AV$509,3,)=0,0,(VLOOKUP($D229,$C$5:$AV$509,7,)/VLOOKUP($D229,$C$5:$AV$509,3,))*$E229)</f>
        <v>0</v>
      </c>
      <c r="J229" s="47">
        <f>IF(VLOOKUP($D229,$C$5:$AV$509,3,)=0,0,(VLOOKUP($D229,$C$5:$AV$509,8,)/VLOOKUP($D229,$C$5:$AV$509,3,))*$E229)</f>
        <v>0</v>
      </c>
      <c r="K229" s="47">
        <f>IF(VLOOKUP($D229,$C$5:$AV$509,3,)=0,0,(VLOOKUP($D229,$C$5:$AV$509,9,)/VLOOKUP($D229,$C$5:$AV$509,3,))*$E229)</f>
        <v>0</v>
      </c>
      <c r="L229" s="47">
        <f>IF(VLOOKUP($D229,$C$5:$AV$509,3,)=0,0,(VLOOKUP($D229,$C$5:$AV$509,10,)/VLOOKUP($D229,$C$5:$AV$509,3,))*$E229)</f>
        <v>0</v>
      </c>
      <c r="M229" s="47">
        <f>IF(VLOOKUP($D229,$C$5:$AV$509,3,)=0,0,(VLOOKUP($D229,$C$5:$AV$509,11,)/VLOOKUP($D229,$C$5:$AV$509,3,))*$E229)</f>
        <v>0</v>
      </c>
      <c r="N229" s="47">
        <f>IF(VLOOKUP($D229,$C$5:$AV$509,3,)=0,0,(VLOOKUP($D229,$C$5:$AV$509,12,)/VLOOKUP($D229,$C$5:$AV$509,3,))*$E229)</f>
        <v>0</v>
      </c>
      <c r="O229" s="47">
        <f>IF(VLOOKUP($D229,$C$5:$AV$509,3,)=0,0,(VLOOKUP($D229,$C$5:$AV$509,14,)/VLOOKUP($D229,$C$5:$AV$509,3,))*$E229)</f>
        <v>0</v>
      </c>
      <c r="P229" s="47">
        <f>IF(VLOOKUP($D229,$C$5:$AV$509,3,)=0,0,(VLOOKUP($D229,$C$5:$AV$509,14,)/VLOOKUP($D229,$C$5:$AV$509,3,))*$E229)</f>
        <v>0</v>
      </c>
      <c r="Q229" s="47">
        <f>IF(VLOOKUP($D229,$C$5:$AV$509,3,)=0,0,(VLOOKUP($D229,$C$5:$AV$509,14,)/VLOOKUP($D229,$C$5:$AV$509,3,))*$E229)</f>
        <v>0</v>
      </c>
      <c r="R229" s="47">
        <f>IF(VLOOKUP($D229,$C$5:$AV$509,3,)=0,0,(VLOOKUP($D229,$C$5:$AV$509,15,)/VLOOKUP($D229,$C$5:$AV$509,3,))*$E229)</f>
        <v>0</v>
      </c>
      <c r="S229" s="47">
        <f>IF(VLOOKUP($D229,$C$5:$AV$509,3,)=0,0,(VLOOKUP($D229,$C$5:$AV$509,16,)/VLOOKUP($D229,$C$5:$AV$509,3,))*$E229)</f>
        <v>0</v>
      </c>
      <c r="T229" s="47">
        <f>IF(VLOOKUP($D229,$C$5:$AV$509,3,)=0,0,(VLOOKUP($D229,$C$5:$AV$509,17,)/VLOOKUP($D229,$C$5:$AV$509,3,))*$E229)</f>
        <v>0</v>
      </c>
      <c r="U229" s="47">
        <f>IF(VLOOKUP($D229,$C$5:$AV$509,3,)=0,0,(VLOOKUP($D229,$C$5:$AV$509,18,)/VLOOKUP($D229,$C$5:$AV$509,3,))*$E229)</f>
        <v>0</v>
      </c>
      <c r="V229" s="47">
        <f>IF(VLOOKUP($D229,$C$5:$AV$509,3,)=0,0,(VLOOKUP($D229,$C$5:$AV$509,19,)/VLOOKUP($D229,$C$5:$AV$509,3,))*$E229)</f>
        <v>0</v>
      </c>
      <c r="W229" s="47">
        <f>IF(VLOOKUP($D229,$C$5:$AV$509,3,)=0,0,(VLOOKUP($D229,$C$5:$AV$509,20,)/VLOOKUP($D229,$C$5:$AV$509,3,))*$E229)</f>
        <v>0</v>
      </c>
      <c r="X229" s="47">
        <f>IF(VLOOKUP($D229,$C$5:$AV$509,3,)=0,0,(VLOOKUP($D229,$C$5:$AV$509,21,)/VLOOKUP($D229,$C$5:$AV$509,3,))*$E229)</f>
        <v>0</v>
      </c>
      <c r="Y229" s="47">
        <f>IF(VLOOKUP($D229,$C$5:$AV$509,3,)=0,0,(VLOOKUP($D229,$C$5:$AV$509,22,)/VLOOKUP($D229,$C$5:$AV$509,3,))*$E229)</f>
        <v>0</v>
      </c>
      <c r="Z229" s="47">
        <f>IF(VLOOKUP($D229,$C$5:$AV$509,3,)=0,0,(VLOOKUP($D229,$C$5:$AV$509,23,)/VLOOKUP($D229,$C$5:$AV$509,3,))*$E229)</f>
        <v>0</v>
      </c>
      <c r="AA229" s="47">
        <f>IF(VLOOKUP($D229,$C$5:$AV$509,3,)=0,0,(VLOOKUP($D229,$C$5:$AV$509,24,)/VLOOKUP($D229,$C$5:$AV$509,3,))*$E229)</f>
        <v>0</v>
      </c>
      <c r="AB229" s="47">
        <f>IF(VLOOKUP($D229,$C$5:$AV$509,3,)=0,0,(VLOOKUP($D229,$C$5:$AV$509,25,)/VLOOKUP($D229,$C$5:$AV$509,3,))*$E229)</f>
        <v>0</v>
      </c>
      <c r="AC229" s="47">
        <f>IF(VLOOKUP($D229,$C$5:$AV$509,3,)=0,0,(VLOOKUP($D229,$C$5:$AV$509,26,)/VLOOKUP($D229,$C$5:$AV$509,3,))*$E229)</f>
        <v>0</v>
      </c>
      <c r="AD229" s="47">
        <f>IF(VLOOKUP($D229,$C$5:$AV$509,3,)=0,0,(VLOOKUP($D229,$C$5:$AV$509,27,)/VLOOKUP($D229,$C$5:$AV$509,3,))*$E229)</f>
        <v>0</v>
      </c>
      <c r="AE229" s="47">
        <f>IF(VLOOKUP($D229,$C$5:$AV$509,3,)=0,0,(VLOOKUP($D229,$C$5:$AV$509,28,)/VLOOKUP($D229,$C$5:$AV$509,3,))*$E229)</f>
        <v>0</v>
      </c>
      <c r="AF229" s="47">
        <f>IF(VLOOKUP($D229,$C$5:$AV$509,3,)=0,0,(VLOOKUP($D229,$C$5:$AV$509,29,)/VLOOKUP($D229,$C$5:$AV$509,3,))*$E229)</f>
        <v>0</v>
      </c>
      <c r="AG229" s="47">
        <f>IF(VLOOKUP($D229,$C$5:$AV$509,3,)=0,0,(VLOOKUP($D229,$C$5:$AV$509,30,)/VLOOKUP($D229,$C$5:$AV$509,3,))*$E229)</f>
        <v>0</v>
      </c>
      <c r="AH229" s="47">
        <f t="shared" ref="AH229" si="142">SUM(F229:AG229)</f>
        <v>0</v>
      </c>
      <c r="AI229" s="27" t="str">
        <f>IF(ABS(E229-AH229)&lt;0.01,"ok","err")</f>
        <v>ok</v>
      </c>
    </row>
    <row r="230" spans="1:35" x14ac:dyDescent="0.2">
      <c r="E230" s="47"/>
    </row>
    <row r="231" spans="1:35" x14ac:dyDescent="0.2">
      <c r="A231" s="14" t="s">
        <v>0</v>
      </c>
      <c r="C231" s="14" t="s">
        <v>297</v>
      </c>
      <c r="E231" s="62">
        <f>E201+E204+E207+E212+E217+E220+E223+E226+E229</f>
        <v>6305894.9199999971</v>
      </c>
      <c r="F231" s="62">
        <f t="shared" ref="F231:S231" si="143">F201+F204+F207+F212+F217+F220+F223+F226+F229</f>
        <v>5354176.6162729925</v>
      </c>
      <c r="G231" s="62">
        <f t="shared" si="143"/>
        <v>1660.716967745208</v>
      </c>
      <c r="H231" s="62">
        <f t="shared" si="143"/>
        <v>466271.27893055708</v>
      </c>
      <c r="I231" s="62">
        <f t="shared" si="143"/>
        <v>62079.759322687416</v>
      </c>
      <c r="J231" s="62">
        <f t="shared" si="143"/>
        <v>119668.17305140903</v>
      </c>
      <c r="K231" s="62">
        <f t="shared" si="143"/>
        <v>0</v>
      </c>
      <c r="L231" s="62">
        <f t="shared" si="143"/>
        <v>44702.009273923461</v>
      </c>
      <c r="M231" s="62">
        <f t="shared" ref="M231" si="144">M201+M204+M207+M212+M217+M220+M223+M226+M229</f>
        <v>12588.503400067761</v>
      </c>
      <c r="N231" s="62">
        <f t="shared" si="143"/>
        <v>244747.8627806154</v>
      </c>
      <c r="O231" s="62">
        <f t="shared" si="143"/>
        <v>0</v>
      </c>
      <c r="P231" s="62">
        <f t="shared" si="143"/>
        <v>0</v>
      </c>
      <c r="Q231" s="62">
        <f t="shared" si="143"/>
        <v>0</v>
      </c>
      <c r="R231" s="62">
        <f t="shared" si="143"/>
        <v>0</v>
      </c>
      <c r="S231" s="62">
        <f t="shared" si="143"/>
        <v>0</v>
      </c>
      <c r="T231" s="62">
        <f t="shared" ref="T231:AG231" si="145">T201+T207+T212+T217+T220+T223+T226+T229</f>
        <v>0</v>
      </c>
      <c r="U231" s="62">
        <f t="shared" si="145"/>
        <v>0</v>
      </c>
      <c r="V231" s="62">
        <f t="shared" si="145"/>
        <v>0</v>
      </c>
      <c r="W231" s="62">
        <f t="shared" si="145"/>
        <v>0</v>
      </c>
      <c r="X231" s="62">
        <f t="shared" si="145"/>
        <v>0</v>
      </c>
      <c r="Y231" s="62">
        <f t="shared" si="145"/>
        <v>0</v>
      </c>
      <c r="Z231" s="62">
        <f t="shared" si="145"/>
        <v>0</v>
      </c>
      <c r="AA231" s="62">
        <f t="shared" si="145"/>
        <v>0</v>
      </c>
      <c r="AB231" s="62">
        <f t="shared" si="145"/>
        <v>0</v>
      </c>
      <c r="AC231" s="62">
        <f t="shared" si="145"/>
        <v>0</v>
      </c>
      <c r="AD231" s="62">
        <f t="shared" si="145"/>
        <v>0</v>
      </c>
      <c r="AE231" s="62">
        <f t="shared" si="145"/>
        <v>0</v>
      </c>
      <c r="AF231" s="62">
        <f t="shared" si="145"/>
        <v>0</v>
      </c>
      <c r="AG231" s="62">
        <f t="shared" si="145"/>
        <v>0</v>
      </c>
      <c r="AH231" s="87">
        <f>SUM(F231:AG231)</f>
        <v>6305894.9199999971</v>
      </c>
      <c r="AI231" s="27" t="str">
        <f>IF(ABS(E231-AH231)&lt;0.01,"ok","err")</f>
        <v>ok</v>
      </c>
    </row>
    <row r="234" spans="1:35" x14ac:dyDescent="0.2">
      <c r="A234" s="25" t="s">
        <v>188</v>
      </c>
    </row>
    <row r="236" spans="1:35" x14ac:dyDescent="0.2">
      <c r="A236" s="13" t="s">
        <v>896</v>
      </c>
    </row>
    <row r="237" spans="1:35" x14ac:dyDescent="0.2">
      <c r="A237" s="90" t="s">
        <v>209</v>
      </c>
      <c r="C237" s="14" t="s">
        <v>298</v>
      </c>
      <c r="D237" s="14" t="s">
        <v>657</v>
      </c>
      <c r="E237" s="62">
        <f>'Func &amp; Classif'!H314</f>
        <v>0</v>
      </c>
      <c r="F237" s="47">
        <f>IF(VLOOKUP($D237,$C$5:$AV$509,3,)=0,0,(VLOOKUP($D237,$C$5:$AV$509,4,)/VLOOKUP($D237,$C$5:$AV$509,3,))*$E237)</f>
        <v>0</v>
      </c>
      <c r="G237" s="47">
        <f>IF(VLOOKUP($D237,$C$5:$AV$509,3,)=0,0,(VLOOKUP($D237,$C$5:$AV$509,5,)/VLOOKUP($D237,$C$5:$AV$509,3,))*$E237)</f>
        <v>0</v>
      </c>
      <c r="H237" s="47">
        <f>IF(VLOOKUP($D237,$C$5:$AV$509,3,)=0,0,(VLOOKUP($D237,$C$5:$AV$509,6,)/VLOOKUP($D237,$C$5:$AV$509,3,))*$E237)</f>
        <v>0</v>
      </c>
      <c r="I237" s="47">
        <f>IF(VLOOKUP($D237,$C$5:$AV$509,3,)=0,0,(VLOOKUP($D237,$C$5:$AV$509,7,)/VLOOKUP($D237,$C$5:$AV$509,3,))*$E237)</f>
        <v>0</v>
      </c>
      <c r="J237" s="47">
        <f>IF(VLOOKUP($D237,$C$5:$AV$509,3,)=0,0,(VLOOKUP($D237,$C$5:$AV$509,8,)/VLOOKUP($D237,$C$5:$AV$509,3,))*$E237)</f>
        <v>0</v>
      </c>
      <c r="K237" s="47">
        <f>IF(VLOOKUP($D237,$C$5:$AV$509,3,)=0,0,(VLOOKUP($D237,$C$5:$AV$509,9,)/VLOOKUP($D237,$C$5:$AV$509,3,))*$E237)</f>
        <v>0</v>
      </c>
      <c r="L237" s="47">
        <f>IF(VLOOKUP($D237,$C$5:$AV$509,3,)=0,0,(VLOOKUP($D237,$C$5:$AV$509,10,)/VLOOKUP($D237,$C$5:$AV$509,3,))*$E237)</f>
        <v>0</v>
      </c>
      <c r="M237" s="47">
        <f>IF(VLOOKUP($D237,$C$5:$AV$509,3,)=0,0,(VLOOKUP($D237,$C$5:$AV$509,11,)/VLOOKUP($D237,$C$5:$AV$509,3,))*$E237)</f>
        <v>0</v>
      </c>
      <c r="N237" s="47">
        <f>IF(VLOOKUP($D237,$C$5:$AV$509,3,)=0,0,(VLOOKUP($D237,$C$5:$AV$509,12,)/VLOOKUP($D237,$C$5:$AV$509,3,))*$E237)</f>
        <v>0</v>
      </c>
      <c r="O237" s="47">
        <f t="shared" ref="O237:Q238" si="146">IF(VLOOKUP($D237,$C$5:$AV$509,3,)=0,0,(VLOOKUP($D237,$C$5:$AV$509,14,)/VLOOKUP($D237,$C$5:$AV$509,3,))*$E237)</f>
        <v>0</v>
      </c>
      <c r="P237" s="47">
        <f t="shared" si="146"/>
        <v>0</v>
      </c>
      <c r="Q237" s="47">
        <f t="shared" si="146"/>
        <v>0</v>
      </c>
      <c r="R237" s="47">
        <f>IF(VLOOKUP($D237,$C$5:$AV$509,3,)=0,0,(VLOOKUP($D237,$C$5:$AV$509,15,)/VLOOKUP($D237,$C$5:$AV$509,3,))*$E237)</f>
        <v>0</v>
      </c>
      <c r="S237" s="47">
        <f>IF(VLOOKUP($D237,$C$5:$AV$509,3,)=0,0,(VLOOKUP($D237,$C$5:$AV$509,16,)/VLOOKUP($D237,$C$5:$AV$509,3,))*$E237)</f>
        <v>0</v>
      </c>
      <c r="T237" s="47">
        <f>IF(VLOOKUP($D237,$C$5:$AV$509,3,)=0,0,(VLOOKUP($D237,$C$5:$AV$509,17,)/VLOOKUP($D237,$C$5:$AV$509,3,))*$E237)</f>
        <v>0</v>
      </c>
      <c r="U237" s="47">
        <f>IF(VLOOKUP($D237,$C$5:$AV$509,3,)=0,0,(VLOOKUP($D237,$C$5:$AV$509,18,)/VLOOKUP($D237,$C$5:$AV$509,3,))*$E237)</f>
        <v>0</v>
      </c>
      <c r="V237" s="47">
        <f>IF(VLOOKUP($D237,$C$5:$AV$509,3,)=0,0,(VLOOKUP($D237,$C$5:$AV$509,19,)/VLOOKUP($D237,$C$5:$AV$509,3,))*$E237)</f>
        <v>0</v>
      </c>
      <c r="W237" s="47">
        <f>IF(VLOOKUP($D237,$C$5:$AV$509,3,)=0,0,(VLOOKUP($D237,$C$5:$AV$509,20,)/VLOOKUP($D237,$C$5:$AV$509,3,))*$E237)</f>
        <v>0</v>
      </c>
      <c r="X237" s="47">
        <f>IF(VLOOKUP($D237,$C$5:$AV$509,3,)=0,0,(VLOOKUP($D237,$C$5:$AV$509,21,)/VLOOKUP($D237,$C$5:$AV$509,3,))*$E237)</f>
        <v>0</v>
      </c>
      <c r="Y237" s="47">
        <f>IF(VLOOKUP($D237,$C$5:$AV$509,3,)=0,0,(VLOOKUP($D237,$C$5:$AV$509,22,)/VLOOKUP($D237,$C$5:$AV$509,3,))*$E237)</f>
        <v>0</v>
      </c>
      <c r="Z237" s="47">
        <f>IF(VLOOKUP($D237,$C$5:$AV$509,3,)=0,0,(VLOOKUP($D237,$C$5:$AV$509,23,)/VLOOKUP($D237,$C$5:$AV$509,3,))*$E237)</f>
        <v>0</v>
      </c>
      <c r="AA237" s="47">
        <f>IF(VLOOKUP($D237,$C$5:$AV$509,3,)=0,0,(VLOOKUP($D237,$C$5:$AV$509,24,)/VLOOKUP($D237,$C$5:$AV$509,3,))*$E237)</f>
        <v>0</v>
      </c>
      <c r="AB237" s="47">
        <f>IF(VLOOKUP($D237,$C$5:$AV$509,3,)=0,0,(VLOOKUP($D237,$C$5:$AV$509,25,)/VLOOKUP($D237,$C$5:$AV$509,3,))*$E237)</f>
        <v>0</v>
      </c>
      <c r="AC237" s="47">
        <f>IF(VLOOKUP($D237,$C$5:$AV$509,3,)=0,0,(VLOOKUP($D237,$C$5:$AV$509,26,)/VLOOKUP($D237,$C$5:$AV$509,3,))*$E237)</f>
        <v>0</v>
      </c>
      <c r="AD237" s="47">
        <f>IF(VLOOKUP($D237,$C$5:$AV$509,3,)=0,0,(VLOOKUP($D237,$C$5:$AV$509,27,)/VLOOKUP($D237,$C$5:$AV$509,3,))*$E237)</f>
        <v>0</v>
      </c>
      <c r="AE237" s="47">
        <f>IF(VLOOKUP($D237,$C$5:$AV$509,3,)=0,0,(VLOOKUP($D237,$C$5:$AV$509,28,)/VLOOKUP($D237,$C$5:$AV$509,3,))*$E237)</f>
        <v>0</v>
      </c>
      <c r="AF237" s="47">
        <f>IF(VLOOKUP($D237,$C$5:$AV$509,3,)=0,0,(VLOOKUP($D237,$C$5:$AV$509,29,)/VLOOKUP($D237,$C$5:$AV$509,3,))*$E237)</f>
        <v>0</v>
      </c>
      <c r="AG237" s="47">
        <f>IF(VLOOKUP($D237,$C$5:$AV$509,3,)=0,0,(VLOOKUP($D237,$C$5:$AV$509,30,)/VLOOKUP($D237,$C$5:$AV$509,3,))*$E237)</f>
        <v>0</v>
      </c>
      <c r="AH237" s="47">
        <f t="shared" ref="AH237:AH238" si="147">SUM(F237:AG237)</f>
        <v>0</v>
      </c>
      <c r="AI237" s="27" t="str">
        <f>IF(ABS(E237-AH237)&lt;0.01,"ok","err")</f>
        <v>ok</v>
      </c>
    </row>
    <row r="238" spans="1:35" x14ac:dyDescent="0.2">
      <c r="A238" s="90" t="s">
        <v>212</v>
      </c>
      <c r="C238" s="14" t="s">
        <v>299</v>
      </c>
      <c r="D238" s="14" t="s">
        <v>666</v>
      </c>
      <c r="E238" s="47">
        <f>'Func &amp; Classif'!I314</f>
        <v>0</v>
      </c>
      <c r="F238" s="47">
        <f>IF(VLOOKUP($D238,$C$5:$AV$509,3,)=0,0,(VLOOKUP($D238,$C$5:$AV$509,4,)/VLOOKUP($D238,$C$5:$AV$509,3,))*$E238)</f>
        <v>0</v>
      </c>
      <c r="G238" s="47">
        <f>IF(VLOOKUP($D238,$C$5:$AV$509,3,)=0,0,(VLOOKUP($D238,$C$5:$AV$509,5,)/VLOOKUP($D238,$C$5:$AV$509,3,))*$E238)</f>
        <v>0</v>
      </c>
      <c r="H238" s="47">
        <f>IF(VLOOKUP($D238,$C$5:$AV$509,3,)=0,0,(VLOOKUP($D238,$C$5:$AV$509,6,)/VLOOKUP($D238,$C$5:$AV$509,3,))*$E238)</f>
        <v>0</v>
      </c>
      <c r="I238" s="47">
        <f>IF(VLOOKUP($D238,$C$5:$AV$509,3,)=0,0,(VLOOKUP($D238,$C$5:$AV$509,7,)/VLOOKUP($D238,$C$5:$AV$509,3,))*$E238)</f>
        <v>0</v>
      </c>
      <c r="J238" s="47">
        <f>IF(VLOOKUP($D238,$C$5:$AV$509,3,)=0,0,(VLOOKUP($D238,$C$5:$AV$509,8,)/VLOOKUP($D238,$C$5:$AV$509,3,))*$E238)</f>
        <v>0</v>
      </c>
      <c r="K238" s="47">
        <f>IF(VLOOKUP($D238,$C$5:$AV$509,3,)=0,0,(VLOOKUP($D238,$C$5:$AV$509,9,)/VLOOKUP($D238,$C$5:$AV$509,3,))*$E238)</f>
        <v>0</v>
      </c>
      <c r="L238" s="47">
        <f>IF(VLOOKUP($D238,$C$5:$AV$509,3,)=0,0,(VLOOKUP($D238,$C$5:$AV$509,10,)/VLOOKUP($D238,$C$5:$AV$509,3,))*$E238)</f>
        <v>0</v>
      </c>
      <c r="M238" s="47">
        <f>IF(VLOOKUP($D238,$C$5:$AV$509,3,)=0,0,(VLOOKUP($D238,$C$5:$AV$509,11,)/VLOOKUP($D238,$C$5:$AV$509,3,))*$E238)</f>
        <v>0</v>
      </c>
      <c r="N238" s="47">
        <f>IF(VLOOKUP($D238,$C$5:$AV$509,3,)=0,0,(VLOOKUP($D238,$C$5:$AV$509,12,)/VLOOKUP($D238,$C$5:$AV$509,3,))*$E238)</f>
        <v>0</v>
      </c>
      <c r="O238" s="47">
        <f t="shared" si="146"/>
        <v>0</v>
      </c>
      <c r="P238" s="47">
        <f t="shared" si="146"/>
        <v>0</v>
      </c>
      <c r="Q238" s="47">
        <f t="shared" si="146"/>
        <v>0</v>
      </c>
      <c r="R238" s="47">
        <f>IF(VLOOKUP($D238,$C$5:$AV$509,3,)=0,0,(VLOOKUP($D238,$C$5:$AV$509,15,)/VLOOKUP($D238,$C$5:$AV$509,3,))*$E238)</f>
        <v>0</v>
      </c>
      <c r="S238" s="47">
        <f>IF(VLOOKUP($D238,$C$5:$AV$509,3,)=0,0,(VLOOKUP($D238,$C$5:$AV$509,16,)/VLOOKUP($D238,$C$5:$AV$509,3,))*$E238)</f>
        <v>0</v>
      </c>
      <c r="T238" s="47">
        <f>IF(VLOOKUP($D238,$C$5:$AV$509,3,)=0,0,(VLOOKUP($D238,$C$5:$AV$509,17,)/VLOOKUP($D238,$C$5:$AV$509,3,))*$E238)</f>
        <v>0</v>
      </c>
      <c r="U238" s="47">
        <f>IF(VLOOKUP($D238,$C$5:$AV$509,3,)=0,0,(VLOOKUP($D238,$C$5:$AV$509,18,)/VLOOKUP($D238,$C$5:$AV$509,3,))*$E238)</f>
        <v>0</v>
      </c>
      <c r="V238" s="47">
        <f>IF(VLOOKUP($D238,$C$5:$AV$509,3,)=0,0,(VLOOKUP($D238,$C$5:$AV$509,19,)/VLOOKUP($D238,$C$5:$AV$509,3,))*$E238)</f>
        <v>0</v>
      </c>
      <c r="W238" s="47">
        <f>IF(VLOOKUP($D238,$C$5:$AV$509,3,)=0,0,(VLOOKUP($D238,$C$5:$AV$509,20,)/VLOOKUP($D238,$C$5:$AV$509,3,))*$E238)</f>
        <v>0</v>
      </c>
      <c r="X238" s="47">
        <f>IF(VLOOKUP($D238,$C$5:$AV$509,3,)=0,0,(VLOOKUP($D238,$C$5:$AV$509,21,)/VLOOKUP($D238,$C$5:$AV$509,3,))*$E238)</f>
        <v>0</v>
      </c>
      <c r="Y238" s="47">
        <f>IF(VLOOKUP($D238,$C$5:$AV$509,3,)=0,0,(VLOOKUP($D238,$C$5:$AV$509,22,)/VLOOKUP($D238,$C$5:$AV$509,3,))*$E238)</f>
        <v>0</v>
      </c>
      <c r="Z238" s="47">
        <f>IF(VLOOKUP($D238,$C$5:$AV$509,3,)=0,0,(VLOOKUP($D238,$C$5:$AV$509,23,)/VLOOKUP($D238,$C$5:$AV$509,3,))*$E238)</f>
        <v>0</v>
      </c>
      <c r="AA238" s="47">
        <f>IF(VLOOKUP($D238,$C$5:$AV$509,3,)=0,0,(VLOOKUP($D238,$C$5:$AV$509,24,)/VLOOKUP($D238,$C$5:$AV$509,3,))*$E238)</f>
        <v>0</v>
      </c>
      <c r="AB238" s="47">
        <f>IF(VLOOKUP($D238,$C$5:$AV$509,3,)=0,0,(VLOOKUP($D238,$C$5:$AV$509,25,)/VLOOKUP($D238,$C$5:$AV$509,3,))*$E238)</f>
        <v>0</v>
      </c>
      <c r="AC238" s="47">
        <f>IF(VLOOKUP($D238,$C$5:$AV$509,3,)=0,0,(VLOOKUP($D238,$C$5:$AV$509,26,)/VLOOKUP($D238,$C$5:$AV$509,3,))*$E238)</f>
        <v>0</v>
      </c>
      <c r="AD238" s="47">
        <f>IF(VLOOKUP($D238,$C$5:$AV$509,3,)=0,0,(VLOOKUP($D238,$C$5:$AV$509,27,)/VLOOKUP($D238,$C$5:$AV$509,3,))*$E238)</f>
        <v>0</v>
      </c>
      <c r="AE238" s="47">
        <f>IF(VLOOKUP($D238,$C$5:$AV$509,3,)=0,0,(VLOOKUP($D238,$C$5:$AV$509,28,)/VLOOKUP($D238,$C$5:$AV$509,3,))*$E238)</f>
        <v>0</v>
      </c>
      <c r="AF238" s="47">
        <f>IF(VLOOKUP($D238,$C$5:$AV$509,3,)=0,0,(VLOOKUP($D238,$C$5:$AV$509,29,)/VLOOKUP($D238,$C$5:$AV$509,3,))*$E238)</f>
        <v>0</v>
      </c>
      <c r="AG238" s="47">
        <f>IF(VLOOKUP($D238,$C$5:$AV$509,3,)=0,0,(VLOOKUP($D238,$C$5:$AV$509,30,)/VLOOKUP($D238,$C$5:$AV$509,3,))*$E238)</f>
        <v>0</v>
      </c>
      <c r="AH238" s="47">
        <f t="shared" si="147"/>
        <v>0</v>
      </c>
      <c r="AI238" s="27" t="str">
        <f>IF(ABS(E238-AH238)&lt;0.01,"ok","err")</f>
        <v>ok</v>
      </c>
    </row>
    <row r="239" spans="1:35" x14ac:dyDescent="0.2">
      <c r="A239" s="14" t="s">
        <v>215</v>
      </c>
      <c r="C239" s="14" t="s">
        <v>300</v>
      </c>
      <c r="E239" s="47">
        <f t="shared" ref="E239:U239" si="148">E237+E238</f>
        <v>0</v>
      </c>
      <c r="F239" s="62">
        <f t="shared" si="148"/>
        <v>0</v>
      </c>
      <c r="G239" s="62">
        <f t="shared" si="148"/>
        <v>0</v>
      </c>
      <c r="H239" s="62">
        <f t="shared" si="148"/>
        <v>0</v>
      </c>
      <c r="I239" s="62">
        <f t="shared" si="148"/>
        <v>0</v>
      </c>
      <c r="J239" s="62">
        <f t="shared" si="148"/>
        <v>0</v>
      </c>
      <c r="K239" s="62">
        <f t="shared" si="148"/>
        <v>0</v>
      </c>
      <c r="L239" s="62">
        <f t="shared" si="148"/>
        <v>0</v>
      </c>
      <c r="M239" s="62">
        <f t="shared" ref="M239" si="149">M237+M238</f>
        <v>0</v>
      </c>
      <c r="N239" s="62">
        <f t="shared" si="148"/>
        <v>0</v>
      </c>
      <c r="O239" s="62">
        <f t="shared" si="148"/>
        <v>0</v>
      </c>
      <c r="P239" s="62">
        <f t="shared" si="148"/>
        <v>0</v>
      </c>
      <c r="Q239" s="62">
        <f t="shared" si="148"/>
        <v>0</v>
      </c>
      <c r="R239" s="62">
        <f t="shared" si="148"/>
        <v>0</v>
      </c>
      <c r="S239" s="62">
        <f t="shared" si="148"/>
        <v>0</v>
      </c>
      <c r="T239" s="62">
        <f t="shared" si="148"/>
        <v>0</v>
      </c>
      <c r="U239" s="62">
        <f t="shared" si="148"/>
        <v>0</v>
      </c>
      <c r="V239" s="62">
        <f t="shared" ref="V239:AG239" si="150">V237+V238</f>
        <v>0</v>
      </c>
      <c r="W239" s="62">
        <f t="shared" si="150"/>
        <v>0</v>
      </c>
      <c r="X239" s="62">
        <f t="shared" si="150"/>
        <v>0</v>
      </c>
      <c r="Y239" s="62">
        <f t="shared" si="150"/>
        <v>0</v>
      </c>
      <c r="Z239" s="62">
        <f t="shared" si="150"/>
        <v>0</v>
      </c>
      <c r="AA239" s="62">
        <f t="shared" si="150"/>
        <v>0</v>
      </c>
      <c r="AB239" s="62">
        <f t="shared" si="150"/>
        <v>0</v>
      </c>
      <c r="AC239" s="62">
        <f t="shared" si="150"/>
        <v>0</v>
      </c>
      <c r="AD239" s="62">
        <f t="shared" si="150"/>
        <v>0</v>
      </c>
      <c r="AE239" s="62">
        <f t="shared" si="150"/>
        <v>0</v>
      </c>
      <c r="AF239" s="62">
        <f t="shared" si="150"/>
        <v>0</v>
      </c>
      <c r="AG239" s="62">
        <f t="shared" si="150"/>
        <v>0</v>
      </c>
      <c r="AH239" s="87">
        <f>SUM(F239:AG239)</f>
        <v>0</v>
      </c>
      <c r="AI239" s="27" t="str">
        <f>IF(ABS(E239-AH239)&lt;0.01,"ok","err")</f>
        <v>ok</v>
      </c>
    </row>
    <row r="240" spans="1:35" x14ac:dyDescent="0.2">
      <c r="E240" s="47"/>
      <c r="F240" s="47"/>
    </row>
    <row r="241" spans="1:35" x14ac:dyDescent="0.2">
      <c r="A241" s="13" t="s">
        <v>350</v>
      </c>
      <c r="E241" s="47"/>
      <c r="F241" s="47"/>
    </row>
    <row r="242" spans="1:35" x14ac:dyDescent="0.2">
      <c r="A242" s="90" t="s">
        <v>209</v>
      </c>
      <c r="C242" s="14" t="s">
        <v>891</v>
      </c>
      <c r="D242" s="14" t="s">
        <v>625</v>
      </c>
      <c r="E242" s="62">
        <f>'Func &amp; Classif'!K314</f>
        <v>0</v>
      </c>
      <c r="F242" s="47">
        <f>IF(VLOOKUP($D242,$C$5:$AV$509,3,)=0,0,(VLOOKUP($D242,$C$5:$AV$509,4,)/VLOOKUP($D242,$C$5:$AV$509,3,))*$E242)</f>
        <v>0</v>
      </c>
      <c r="G242" s="47">
        <f>IF(VLOOKUP($D242,$C$5:$AV$509,3,)=0,0,(VLOOKUP($D242,$C$5:$AV$509,5,)/VLOOKUP($D242,$C$5:$AV$509,3,))*$E242)</f>
        <v>0</v>
      </c>
      <c r="H242" s="47">
        <f>IF(VLOOKUP($D242,$C$5:$AV$509,3,)=0,0,(VLOOKUP($D242,$C$5:$AV$509,6,)/VLOOKUP($D242,$C$5:$AV$509,3,))*$E242)</f>
        <v>0</v>
      </c>
      <c r="I242" s="47">
        <f>IF(VLOOKUP($D242,$C$5:$AV$509,3,)=0,0,(VLOOKUP($D242,$C$5:$AV$509,7,)/VLOOKUP($D242,$C$5:$AV$509,3,))*$E242)</f>
        <v>0</v>
      </c>
      <c r="J242" s="47">
        <f>IF(VLOOKUP($D242,$C$5:$AV$509,3,)=0,0,(VLOOKUP($D242,$C$5:$AV$509,8,)/VLOOKUP($D242,$C$5:$AV$509,3,))*$E242)</f>
        <v>0</v>
      </c>
      <c r="K242" s="47">
        <f>IF(VLOOKUP($D242,$C$5:$AV$509,3,)=0,0,(VLOOKUP($D242,$C$5:$AV$509,9,)/VLOOKUP($D242,$C$5:$AV$509,3,))*$E242)</f>
        <v>0</v>
      </c>
      <c r="L242" s="47">
        <f>IF(VLOOKUP($D242,$C$5:$AV$509,3,)=0,0,(VLOOKUP($D242,$C$5:$AV$509,10,)/VLOOKUP($D242,$C$5:$AV$509,3,))*$E242)</f>
        <v>0</v>
      </c>
      <c r="M242" s="47">
        <f>IF(VLOOKUP($D242,$C$5:$AV$509,3,)=0,0,(VLOOKUP($D242,$C$5:$AV$509,11,)/VLOOKUP($D242,$C$5:$AV$509,3,))*$E242)</f>
        <v>0</v>
      </c>
      <c r="N242" s="47">
        <f>IF(VLOOKUP($D242,$C$5:$AV$509,3,)=0,0,(VLOOKUP($D242,$C$5:$AV$509,12,)/VLOOKUP($D242,$C$5:$AV$509,3,))*$E242)</f>
        <v>0</v>
      </c>
      <c r="O242" s="47">
        <f>IF(VLOOKUP($D242,$C$5:$AV$509,3,)=0,0,(VLOOKUP($D242,$C$5:$AV$509,14,)/VLOOKUP($D242,$C$5:$AV$509,3,))*$E242)</f>
        <v>0</v>
      </c>
      <c r="P242" s="47">
        <f>IF(VLOOKUP($D242,$C$5:$AV$509,3,)=0,0,(VLOOKUP($D242,$C$5:$AV$509,14,)/VLOOKUP($D242,$C$5:$AV$509,3,))*$E242)</f>
        <v>0</v>
      </c>
      <c r="Q242" s="47">
        <f>IF(VLOOKUP($D242,$C$5:$AV$509,3,)=0,0,(VLOOKUP($D242,$C$5:$AV$509,14,)/VLOOKUP($D242,$C$5:$AV$509,3,))*$E242)</f>
        <v>0</v>
      </c>
      <c r="R242" s="47">
        <f>IF(VLOOKUP($D242,$C$5:$AV$509,3,)=0,0,(VLOOKUP($D242,$C$5:$AV$509,15,)/VLOOKUP($D242,$C$5:$AV$509,3,))*$E242)</f>
        <v>0</v>
      </c>
      <c r="S242" s="47">
        <f>IF(VLOOKUP($D242,$C$5:$AV$509,3,)=0,0,(VLOOKUP($D242,$C$5:$AV$509,16,)/VLOOKUP($D242,$C$5:$AV$509,3,))*$E242)</f>
        <v>0</v>
      </c>
      <c r="T242" s="47">
        <f>IF(VLOOKUP($D242,$C$5:$AV$509,3,)=0,0,(VLOOKUP($D242,$C$5:$AV$509,17,)/VLOOKUP($D242,$C$5:$AV$509,3,))*$E242)</f>
        <v>0</v>
      </c>
      <c r="U242" s="47">
        <f>IF(VLOOKUP($D242,$C$5:$AV$509,3,)=0,0,(VLOOKUP($D242,$C$5:$AV$509,18,)/VLOOKUP($D242,$C$5:$AV$509,3,))*$E242)</f>
        <v>0</v>
      </c>
      <c r="V242" s="47">
        <f>IF(VLOOKUP($D242,$C$5:$AV$509,3,)=0,0,(VLOOKUP($D242,$C$5:$AV$509,19,)/VLOOKUP($D242,$C$5:$AV$509,3,))*$E242)</f>
        <v>0</v>
      </c>
      <c r="W242" s="47">
        <f>IF(VLOOKUP($D242,$C$5:$AV$509,3,)=0,0,(VLOOKUP($D242,$C$5:$AV$509,20,)/VLOOKUP($D242,$C$5:$AV$509,3,))*$E242)</f>
        <v>0</v>
      </c>
      <c r="X242" s="47">
        <f>IF(VLOOKUP($D242,$C$5:$AV$509,3,)=0,0,(VLOOKUP($D242,$C$5:$AV$509,21,)/VLOOKUP($D242,$C$5:$AV$509,3,))*$E242)</f>
        <v>0</v>
      </c>
      <c r="Y242" s="47">
        <f>IF(VLOOKUP($D242,$C$5:$AV$509,3,)=0,0,(VLOOKUP($D242,$C$5:$AV$509,22,)/VLOOKUP($D242,$C$5:$AV$509,3,))*$E242)</f>
        <v>0</v>
      </c>
      <c r="Z242" s="47">
        <f>IF(VLOOKUP($D242,$C$5:$AV$509,3,)=0,0,(VLOOKUP($D242,$C$5:$AV$509,23,)/VLOOKUP($D242,$C$5:$AV$509,3,))*$E242)</f>
        <v>0</v>
      </c>
      <c r="AA242" s="47">
        <f>IF(VLOOKUP($D242,$C$5:$AV$509,3,)=0,0,(VLOOKUP($D242,$C$5:$AV$509,24,)/VLOOKUP($D242,$C$5:$AV$509,3,))*$E242)</f>
        <v>0</v>
      </c>
      <c r="AB242" s="47">
        <f>IF(VLOOKUP($D242,$C$5:$AV$509,3,)=0,0,(VLOOKUP($D242,$C$5:$AV$509,25,)/VLOOKUP($D242,$C$5:$AV$509,3,))*$E242)</f>
        <v>0</v>
      </c>
      <c r="AC242" s="47">
        <f>IF(VLOOKUP($D242,$C$5:$AV$509,3,)=0,0,(VLOOKUP($D242,$C$5:$AV$509,26,)/VLOOKUP($D242,$C$5:$AV$509,3,))*$E242)</f>
        <v>0</v>
      </c>
      <c r="AD242" s="47">
        <f>IF(VLOOKUP($D242,$C$5:$AV$509,3,)=0,0,(VLOOKUP($D242,$C$5:$AV$509,27,)/VLOOKUP($D242,$C$5:$AV$509,3,))*$E242)</f>
        <v>0</v>
      </c>
      <c r="AE242" s="47">
        <f>IF(VLOOKUP($D242,$C$5:$AV$509,3,)=0,0,(VLOOKUP($D242,$C$5:$AV$509,28,)/VLOOKUP($D242,$C$5:$AV$509,3,))*$E242)</f>
        <v>0</v>
      </c>
      <c r="AF242" s="47">
        <f>IF(VLOOKUP($D242,$C$5:$AV$509,3,)=0,0,(VLOOKUP($D242,$C$5:$AV$509,29,)/VLOOKUP($D242,$C$5:$AV$509,3,))*$E242)</f>
        <v>0</v>
      </c>
      <c r="AG242" s="47">
        <f>IF(VLOOKUP($D242,$C$5:$AV$509,3,)=0,0,(VLOOKUP($D242,$C$5:$AV$509,30,)/VLOOKUP($D242,$C$5:$AV$509,3,))*$E242)</f>
        <v>0</v>
      </c>
      <c r="AH242" s="47">
        <f t="shared" ref="AH242" si="151">SUM(F242:AG242)</f>
        <v>0</v>
      </c>
      <c r="AI242" s="27" t="str">
        <f>IF(ABS(E242-AH242)&lt;0.01,"ok","err")</f>
        <v>ok</v>
      </c>
    </row>
    <row r="243" spans="1:35" x14ac:dyDescent="0.2">
      <c r="E243" s="47"/>
    </row>
    <row r="244" spans="1:35" x14ac:dyDescent="0.2">
      <c r="A244" s="13" t="s">
        <v>1</v>
      </c>
      <c r="E244" s="47"/>
      <c r="F244" s="47"/>
    </row>
    <row r="245" spans="1:35" x14ac:dyDescent="0.2">
      <c r="A245" s="90" t="s">
        <v>209</v>
      </c>
      <c r="C245" s="14" t="s">
        <v>301</v>
      </c>
      <c r="D245" s="14" t="s">
        <v>632</v>
      </c>
      <c r="E245" s="62">
        <f>'Func &amp; Classif'!M314</f>
        <v>0</v>
      </c>
      <c r="F245" s="47">
        <f>IF(VLOOKUP($D245,$C$5:$AV$509,3,)=0,0,(VLOOKUP($D245,$C$5:$AV$509,4,)/VLOOKUP($D245,$C$5:$AV$509,3,))*$E245)</f>
        <v>0</v>
      </c>
      <c r="G245" s="47">
        <f>IF(VLOOKUP($D245,$C$5:$AV$509,3,)=0,0,(VLOOKUP($D245,$C$5:$AV$509,5,)/VLOOKUP($D245,$C$5:$AV$509,3,))*$E245)</f>
        <v>0</v>
      </c>
      <c r="H245" s="47">
        <f>IF(VLOOKUP($D245,$C$5:$AV$509,3,)=0,0,(VLOOKUP($D245,$C$5:$AV$509,6,)/VLOOKUP($D245,$C$5:$AV$509,3,))*$E245)</f>
        <v>0</v>
      </c>
      <c r="I245" s="47">
        <f>IF(VLOOKUP($D245,$C$5:$AV$509,3,)=0,0,(VLOOKUP($D245,$C$5:$AV$509,7,)/VLOOKUP($D245,$C$5:$AV$509,3,))*$E245)</f>
        <v>0</v>
      </c>
      <c r="J245" s="47">
        <f>IF(VLOOKUP($D245,$C$5:$AV$509,3,)=0,0,(VLOOKUP($D245,$C$5:$AV$509,8,)/VLOOKUP($D245,$C$5:$AV$509,3,))*$E245)</f>
        <v>0</v>
      </c>
      <c r="K245" s="47">
        <f>IF(VLOOKUP($D245,$C$5:$AV$509,3,)=0,0,(VLOOKUP($D245,$C$5:$AV$509,9,)/VLOOKUP($D245,$C$5:$AV$509,3,))*$E245)</f>
        <v>0</v>
      </c>
      <c r="L245" s="47">
        <f>IF(VLOOKUP($D245,$C$5:$AV$509,3,)=0,0,(VLOOKUP($D245,$C$5:$AV$509,10,)/VLOOKUP($D245,$C$5:$AV$509,3,))*$E245)</f>
        <v>0</v>
      </c>
      <c r="M245" s="47">
        <f>IF(VLOOKUP($D245,$C$5:$AV$509,3,)=0,0,(VLOOKUP($D245,$C$5:$AV$509,11,)/VLOOKUP($D245,$C$5:$AV$509,3,))*$E245)</f>
        <v>0</v>
      </c>
      <c r="N245" s="47">
        <f>IF(VLOOKUP($D245,$C$5:$AV$509,3,)=0,0,(VLOOKUP($D245,$C$5:$AV$509,12,)/VLOOKUP($D245,$C$5:$AV$509,3,))*$E245)</f>
        <v>0</v>
      </c>
      <c r="O245" s="47">
        <f>IF(VLOOKUP($D245,$C$5:$AV$509,3,)=0,0,(VLOOKUP($D245,$C$5:$AV$509,14,)/VLOOKUP($D245,$C$5:$AV$509,3,))*$E245)</f>
        <v>0</v>
      </c>
      <c r="P245" s="47">
        <f>IF(VLOOKUP($D245,$C$5:$AV$509,3,)=0,0,(VLOOKUP($D245,$C$5:$AV$509,14,)/VLOOKUP($D245,$C$5:$AV$509,3,))*$E245)</f>
        <v>0</v>
      </c>
      <c r="Q245" s="47">
        <f>IF(VLOOKUP($D245,$C$5:$AV$509,3,)=0,0,(VLOOKUP($D245,$C$5:$AV$509,14,)/VLOOKUP($D245,$C$5:$AV$509,3,))*$E245)</f>
        <v>0</v>
      </c>
      <c r="R245" s="47">
        <f>IF(VLOOKUP($D245,$C$5:$AV$509,3,)=0,0,(VLOOKUP($D245,$C$5:$AV$509,15,)/VLOOKUP($D245,$C$5:$AV$509,3,))*$E245)</f>
        <v>0</v>
      </c>
      <c r="S245" s="47">
        <f>IF(VLOOKUP($D245,$C$5:$AV$509,3,)=0,0,(VLOOKUP($D245,$C$5:$AV$509,16,)/VLOOKUP($D245,$C$5:$AV$509,3,))*$E245)</f>
        <v>0</v>
      </c>
      <c r="T245" s="47">
        <f>IF(VLOOKUP($D245,$C$5:$AV$509,3,)=0,0,(VLOOKUP($D245,$C$5:$AV$509,17,)/VLOOKUP($D245,$C$5:$AV$509,3,))*$E245)</f>
        <v>0</v>
      </c>
      <c r="U245" s="47">
        <f>IF(VLOOKUP($D245,$C$5:$AV$509,3,)=0,0,(VLOOKUP($D245,$C$5:$AV$509,18,)/VLOOKUP($D245,$C$5:$AV$509,3,))*$E245)</f>
        <v>0</v>
      </c>
      <c r="V245" s="47">
        <f>IF(VLOOKUP($D245,$C$5:$AV$509,3,)=0,0,(VLOOKUP($D245,$C$5:$AV$509,19,)/VLOOKUP($D245,$C$5:$AV$509,3,))*$E245)</f>
        <v>0</v>
      </c>
      <c r="W245" s="47">
        <f>IF(VLOOKUP($D245,$C$5:$AV$509,3,)=0,0,(VLOOKUP($D245,$C$5:$AV$509,20,)/VLOOKUP($D245,$C$5:$AV$509,3,))*$E245)</f>
        <v>0</v>
      </c>
      <c r="X245" s="47">
        <f>IF(VLOOKUP($D245,$C$5:$AV$509,3,)=0,0,(VLOOKUP($D245,$C$5:$AV$509,21,)/VLOOKUP($D245,$C$5:$AV$509,3,))*$E245)</f>
        <v>0</v>
      </c>
      <c r="Y245" s="47">
        <f>IF(VLOOKUP($D245,$C$5:$AV$509,3,)=0,0,(VLOOKUP($D245,$C$5:$AV$509,22,)/VLOOKUP($D245,$C$5:$AV$509,3,))*$E245)</f>
        <v>0</v>
      </c>
      <c r="Z245" s="47">
        <f>IF(VLOOKUP($D245,$C$5:$AV$509,3,)=0,0,(VLOOKUP($D245,$C$5:$AV$509,23,)/VLOOKUP($D245,$C$5:$AV$509,3,))*$E245)</f>
        <v>0</v>
      </c>
      <c r="AA245" s="47">
        <f>IF(VLOOKUP($D245,$C$5:$AV$509,3,)=0,0,(VLOOKUP($D245,$C$5:$AV$509,24,)/VLOOKUP($D245,$C$5:$AV$509,3,))*$E245)</f>
        <v>0</v>
      </c>
      <c r="AB245" s="47">
        <f>IF(VLOOKUP($D245,$C$5:$AV$509,3,)=0,0,(VLOOKUP($D245,$C$5:$AV$509,25,)/VLOOKUP($D245,$C$5:$AV$509,3,))*$E245)</f>
        <v>0</v>
      </c>
      <c r="AC245" s="47">
        <f>IF(VLOOKUP($D245,$C$5:$AV$509,3,)=0,0,(VLOOKUP($D245,$C$5:$AV$509,26,)/VLOOKUP($D245,$C$5:$AV$509,3,))*$E245)</f>
        <v>0</v>
      </c>
      <c r="AD245" s="47">
        <f>IF(VLOOKUP($D245,$C$5:$AV$509,3,)=0,0,(VLOOKUP($D245,$C$5:$AV$509,27,)/VLOOKUP($D245,$C$5:$AV$509,3,))*$E245)</f>
        <v>0</v>
      </c>
      <c r="AE245" s="47">
        <f>IF(VLOOKUP($D245,$C$5:$AV$509,3,)=0,0,(VLOOKUP($D245,$C$5:$AV$509,28,)/VLOOKUP($D245,$C$5:$AV$509,3,))*$E245)</f>
        <v>0</v>
      </c>
      <c r="AF245" s="47">
        <f>IF(VLOOKUP($D245,$C$5:$AV$509,3,)=0,0,(VLOOKUP($D245,$C$5:$AV$509,29,)/VLOOKUP($D245,$C$5:$AV$509,3,))*$E245)</f>
        <v>0</v>
      </c>
      <c r="AG245" s="47">
        <f>IF(VLOOKUP($D245,$C$5:$AV$509,3,)=0,0,(VLOOKUP($D245,$C$5:$AV$509,30,)/VLOOKUP($D245,$C$5:$AV$509,3,))*$E245)</f>
        <v>0</v>
      </c>
      <c r="AH245" s="47">
        <f t="shared" ref="AH245" si="152">SUM(F245:AG245)</f>
        <v>0</v>
      </c>
      <c r="AI245" s="27" t="str">
        <f>IF(ABS(E245-AH245)&lt;0.01,"ok","err")</f>
        <v>ok</v>
      </c>
    </row>
    <row r="246" spans="1:35" x14ac:dyDescent="0.2">
      <c r="E246" s="47"/>
    </row>
    <row r="247" spans="1:35" x14ac:dyDescent="0.2">
      <c r="A247" s="13" t="s">
        <v>2</v>
      </c>
      <c r="E247" s="47"/>
    </row>
    <row r="248" spans="1:35" x14ac:dyDescent="0.2">
      <c r="A248" s="90" t="s">
        <v>209</v>
      </c>
      <c r="C248" s="14" t="s">
        <v>302</v>
      </c>
      <c r="D248" s="14" t="s">
        <v>629</v>
      </c>
      <c r="E248" s="62">
        <f>'Func &amp; Classif'!O314</f>
        <v>0</v>
      </c>
      <c r="F248" s="47">
        <f>IF(VLOOKUP($D248,$C$5:$AV$509,3,)=0,0,(VLOOKUP($D248,$C$5:$AV$509,4,)/VLOOKUP($D248,$C$5:$AV$509,3,))*$E248)</f>
        <v>0</v>
      </c>
      <c r="G248" s="47">
        <f>IF(VLOOKUP($D248,$C$5:$AV$509,3,)=0,0,(VLOOKUP($D248,$C$5:$AV$509,5,)/VLOOKUP($D248,$C$5:$AV$509,3,))*$E248)</f>
        <v>0</v>
      </c>
      <c r="H248" s="47">
        <f>IF(VLOOKUP($D248,$C$5:$AV$509,3,)=0,0,(VLOOKUP($D248,$C$5:$AV$509,6,)/VLOOKUP($D248,$C$5:$AV$509,3,))*$E248)</f>
        <v>0</v>
      </c>
      <c r="I248" s="47">
        <f>IF(VLOOKUP($D248,$C$5:$AV$509,3,)=0,0,(VLOOKUP($D248,$C$5:$AV$509,7,)/VLOOKUP($D248,$C$5:$AV$509,3,))*$E248)</f>
        <v>0</v>
      </c>
      <c r="J248" s="47">
        <f>IF(VLOOKUP($D248,$C$5:$AV$509,3,)=0,0,(VLOOKUP($D248,$C$5:$AV$509,8,)/VLOOKUP($D248,$C$5:$AV$509,3,))*$E248)</f>
        <v>0</v>
      </c>
      <c r="K248" s="47">
        <f>IF(VLOOKUP($D248,$C$5:$AV$509,3,)=0,0,(VLOOKUP($D248,$C$5:$AV$509,9,)/VLOOKUP($D248,$C$5:$AV$509,3,))*$E248)</f>
        <v>0</v>
      </c>
      <c r="L248" s="47">
        <f>IF(VLOOKUP($D248,$C$5:$AV$509,3,)=0,0,(VLOOKUP($D248,$C$5:$AV$509,10,)/VLOOKUP($D248,$C$5:$AV$509,3,))*$E248)</f>
        <v>0</v>
      </c>
      <c r="M248" s="47">
        <f>IF(VLOOKUP($D248,$C$5:$AV$509,3,)=0,0,(VLOOKUP($D248,$C$5:$AV$509,11,)/VLOOKUP($D248,$C$5:$AV$509,3,))*$E248)</f>
        <v>0</v>
      </c>
      <c r="N248" s="47">
        <f>IF(VLOOKUP($D248,$C$5:$AV$509,3,)=0,0,(VLOOKUP($D248,$C$5:$AV$509,12,)/VLOOKUP($D248,$C$5:$AV$509,3,))*$E248)</f>
        <v>0</v>
      </c>
      <c r="O248" s="47">
        <f t="shared" ref="O248:Q249" si="153">IF(VLOOKUP($D248,$C$5:$AV$509,3,)=0,0,(VLOOKUP($D248,$C$5:$AV$509,14,)/VLOOKUP($D248,$C$5:$AV$509,3,))*$E248)</f>
        <v>0</v>
      </c>
      <c r="P248" s="47">
        <f t="shared" si="153"/>
        <v>0</v>
      </c>
      <c r="Q248" s="47">
        <f t="shared" si="153"/>
        <v>0</v>
      </c>
      <c r="R248" s="47">
        <f>IF(VLOOKUP($D248,$C$5:$AV$509,3,)=0,0,(VLOOKUP($D248,$C$5:$AV$509,15,)/VLOOKUP($D248,$C$5:$AV$509,3,))*$E248)</f>
        <v>0</v>
      </c>
      <c r="S248" s="47">
        <f>IF(VLOOKUP($D248,$C$5:$AV$509,3,)=0,0,(VLOOKUP($D248,$C$5:$AV$509,16,)/VLOOKUP($D248,$C$5:$AV$509,3,))*$E248)</f>
        <v>0</v>
      </c>
      <c r="T248" s="47">
        <f>IF(VLOOKUP($D248,$C$5:$AV$509,3,)=0,0,(VLOOKUP($D248,$C$5:$AV$509,17,)/VLOOKUP($D248,$C$5:$AV$509,3,))*$E248)</f>
        <v>0</v>
      </c>
      <c r="U248" s="47">
        <f>IF(VLOOKUP($D248,$C$5:$AV$509,3,)=0,0,(VLOOKUP($D248,$C$5:$AV$509,18,)/VLOOKUP($D248,$C$5:$AV$509,3,))*$E248)</f>
        <v>0</v>
      </c>
      <c r="V248" s="47">
        <f>IF(VLOOKUP($D248,$C$5:$AV$509,3,)=0,0,(VLOOKUP($D248,$C$5:$AV$509,19,)/VLOOKUP($D248,$C$5:$AV$509,3,))*$E248)</f>
        <v>0</v>
      </c>
      <c r="W248" s="47">
        <f>IF(VLOOKUP($D248,$C$5:$AV$509,3,)=0,0,(VLOOKUP($D248,$C$5:$AV$509,20,)/VLOOKUP($D248,$C$5:$AV$509,3,))*$E248)</f>
        <v>0</v>
      </c>
      <c r="X248" s="47">
        <f>IF(VLOOKUP($D248,$C$5:$AV$509,3,)=0,0,(VLOOKUP($D248,$C$5:$AV$509,21,)/VLOOKUP($D248,$C$5:$AV$509,3,))*$E248)</f>
        <v>0</v>
      </c>
      <c r="Y248" s="47">
        <f>IF(VLOOKUP($D248,$C$5:$AV$509,3,)=0,0,(VLOOKUP($D248,$C$5:$AV$509,22,)/VLOOKUP($D248,$C$5:$AV$509,3,))*$E248)</f>
        <v>0</v>
      </c>
      <c r="Z248" s="47">
        <f>IF(VLOOKUP($D248,$C$5:$AV$509,3,)=0,0,(VLOOKUP($D248,$C$5:$AV$509,23,)/VLOOKUP($D248,$C$5:$AV$509,3,))*$E248)</f>
        <v>0</v>
      </c>
      <c r="AA248" s="47">
        <f>IF(VLOOKUP($D248,$C$5:$AV$509,3,)=0,0,(VLOOKUP($D248,$C$5:$AV$509,24,)/VLOOKUP($D248,$C$5:$AV$509,3,))*$E248)</f>
        <v>0</v>
      </c>
      <c r="AB248" s="47">
        <f>IF(VLOOKUP($D248,$C$5:$AV$509,3,)=0,0,(VLOOKUP($D248,$C$5:$AV$509,25,)/VLOOKUP($D248,$C$5:$AV$509,3,))*$E248)</f>
        <v>0</v>
      </c>
      <c r="AC248" s="47">
        <f>IF(VLOOKUP($D248,$C$5:$AV$509,3,)=0,0,(VLOOKUP($D248,$C$5:$AV$509,26,)/VLOOKUP($D248,$C$5:$AV$509,3,))*$E248)</f>
        <v>0</v>
      </c>
      <c r="AD248" s="47">
        <f>IF(VLOOKUP($D248,$C$5:$AV$509,3,)=0,0,(VLOOKUP($D248,$C$5:$AV$509,27,)/VLOOKUP($D248,$C$5:$AV$509,3,))*$E248)</f>
        <v>0</v>
      </c>
      <c r="AE248" s="47">
        <f>IF(VLOOKUP($D248,$C$5:$AV$509,3,)=0,0,(VLOOKUP($D248,$C$5:$AV$509,28,)/VLOOKUP($D248,$C$5:$AV$509,3,))*$E248)</f>
        <v>0</v>
      </c>
      <c r="AF248" s="47">
        <f>IF(VLOOKUP($D248,$C$5:$AV$509,3,)=0,0,(VLOOKUP($D248,$C$5:$AV$509,29,)/VLOOKUP($D248,$C$5:$AV$509,3,))*$E248)</f>
        <v>0</v>
      </c>
      <c r="AG248" s="47">
        <f>IF(VLOOKUP($D248,$C$5:$AV$509,3,)=0,0,(VLOOKUP($D248,$C$5:$AV$509,30,)/VLOOKUP($D248,$C$5:$AV$509,3,))*$E248)</f>
        <v>0</v>
      </c>
      <c r="AH248" s="47">
        <f t="shared" ref="AH248:AH249" si="154">SUM(F248:AG248)</f>
        <v>0</v>
      </c>
      <c r="AI248" s="27" t="str">
        <f>IF(ABS(E248-AH248)&lt;0.01,"ok","err")</f>
        <v>ok</v>
      </c>
    </row>
    <row r="249" spans="1:35" x14ac:dyDescent="0.2">
      <c r="A249" s="90" t="s">
        <v>221</v>
      </c>
      <c r="C249" s="14" t="s">
        <v>303</v>
      </c>
      <c r="D249" s="14" t="s">
        <v>223</v>
      </c>
      <c r="E249" s="47">
        <f>'Func &amp; Classif'!P314</f>
        <v>0</v>
      </c>
      <c r="F249" s="47">
        <f>IF(VLOOKUP($D249,$C$5:$AV$509,3,)=0,0,(VLOOKUP($D249,$C$5:$AV$509,4,)/VLOOKUP($D249,$C$5:$AV$509,3,))*$E249)</f>
        <v>0</v>
      </c>
      <c r="G249" s="47">
        <f>IF(VLOOKUP($D249,$C$5:$AV$509,3,)=0,0,(VLOOKUP($D249,$C$5:$AV$509,5,)/VLOOKUP($D249,$C$5:$AV$509,3,))*$E249)</f>
        <v>0</v>
      </c>
      <c r="H249" s="47">
        <f>IF(VLOOKUP($D249,$C$5:$AV$509,3,)=0,0,(VLOOKUP($D249,$C$5:$AV$509,6,)/VLOOKUP($D249,$C$5:$AV$509,3,))*$E249)</f>
        <v>0</v>
      </c>
      <c r="I249" s="47">
        <f>IF(VLOOKUP($D249,$C$5:$AV$509,3,)=0,0,(VLOOKUP($D249,$C$5:$AV$509,7,)/VLOOKUP($D249,$C$5:$AV$509,3,))*$E249)</f>
        <v>0</v>
      </c>
      <c r="J249" s="47">
        <f>IF(VLOOKUP($D249,$C$5:$AV$509,3,)=0,0,(VLOOKUP($D249,$C$5:$AV$509,8,)/VLOOKUP($D249,$C$5:$AV$509,3,))*$E249)</f>
        <v>0</v>
      </c>
      <c r="K249" s="47">
        <f>IF(VLOOKUP($D249,$C$5:$AV$509,3,)=0,0,(VLOOKUP($D249,$C$5:$AV$509,9,)/VLOOKUP($D249,$C$5:$AV$509,3,))*$E249)</f>
        <v>0</v>
      </c>
      <c r="L249" s="47">
        <f>IF(VLOOKUP($D249,$C$5:$AV$509,3,)=0,0,(VLOOKUP($D249,$C$5:$AV$509,10,)/VLOOKUP($D249,$C$5:$AV$509,3,))*$E249)</f>
        <v>0</v>
      </c>
      <c r="M249" s="47">
        <f>IF(VLOOKUP($D249,$C$5:$AV$509,3,)=0,0,(VLOOKUP($D249,$C$5:$AV$509,11,)/VLOOKUP($D249,$C$5:$AV$509,3,))*$E249)</f>
        <v>0</v>
      </c>
      <c r="N249" s="47">
        <f>IF(VLOOKUP($D249,$C$5:$AV$509,3,)=0,0,(VLOOKUP($D249,$C$5:$AV$509,12,)/VLOOKUP($D249,$C$5:$AV$509,3,))*$E249)</f>
        <v>0</v>
      </c>
      <c r="O249" s="47">
        <f t="shared" si="153"/>
        <v>0</v>
      </c>
      <c r="P249" s="47">
        <f t="shared" si="153"/>
        <v>0</v>
      </c>
      <c r="Q249" s="47">
        <f t="shared" si="153"/>
        <v>0</v>
      </c>
      <c r="R249" s="47">
        <f>IF(VLOOKUP($D249,$C$5:$AV$509,3,)=0,0,(VLOOKUP($D249,$C$5:$AV$509,15,)/VLOOKUP($D249,$C$5:$AV$509,3,))*$E249)</f>
        <v>0</v>
      </c>
      <c r="S249" s="47">
        <f>IF(VLOOKUP($D249,$C$5:$AV$509,3,)=0,0,(VLOOKUP($D249,$C$5:$AV$509,16,)/VLOOKUP($D249,$C$5:$AV$509,3,))*$E249)</f>
        <v>0</v>
      </c>
      <c r="T249" s="47">
        <f>IF(VLOOKUP($D249,$C$5:$AV$509,3,)=0,0,(VLOOKUP($D249,$C$5:$AV$509,17,)/VLOOKUP($D249,$C$5:$AV$509,3,))*$E249)</f>
        <v>0</v>
      </c>
      <c r="U249" s="47">
        <f>IF(VLOOKUP($D249,$C$5:$AV$509,3,)=0,0,(VLOOKUP($D249,$C$5:$AV$509,18,)/VLOOKUP($D249,$C$5:$AV$509,3,))*$E249)</f>
        <v>0</v>
      </c>
      <c r="V249" s="47">
        <f>IF(VLOOKUP($D249,$C$5:$AV$509,3,)=0,0,(VLOOKUP($D249,$C$5:$AV$509,19,)/VLOOKUP($D249,$C$5:$AV$509,3,))*$E249)</f>
        <v>0</v>
      </c>
      <c r="W249" s="47">
        <f>IF(VLOOKUP($D249,$C$5:$AV$509,3,)=0,0,(VLOOKUP($D249,$C$5:$AV$509,20,)/VLOOKUP($D249,$C$5:$AV$509,3,))*$E249)</f>
        <v>0</v>
      </c>
      <c r="X249" s="47">
        <f>IF(VLOOKUP($D249,$C$5:$AV$509,3,)=0,0,(VLOOKUP($D249,$C$5:$AV$509,21,)/VLOOKUP($D249,$C$5:$AV$509,3,))*$E249)</f>
        <v>0</v>
      </c>
      <c r="Y249" s="47">
        <f>IF(VLOOKUP($D249,$C$5:$AV$509,3,)=0,0,(VLOOKUP($D249,$C$5:$AV$509,22,)/VLOOKUP($D249,$C$5:$AV$509,3,))*$E249)</f>
        <v>0</v>
      </c>
      <c r="Z249" s="47">
        <f>IF(VLOOKUP($D249,$C$5:$AV$509,3,)=0,0,(VLOOKUP($D249,$C$5:$AV$509,23,)/VLOOKUP($D249,$C$5:$AV$509,3,))*$E249)</f>
        <v>0</v>
      </c>
      <c r="AA249" s="47">
        <f>IF(VLOOKUP($D249,$C$5:$AV$509,3,)=0,0,(VLOOKUP($D249,$C$5:$AV$509,24,)/VLOOKUP($D249,$C$5:$AV$509,3,))*$E249)</f>
        <v>0</v>
      </c>
      <c r="AB249" s="47">
        <f>IF(VLOOKUP($D249,$C$5:$AV$509,3,)=0,0,(VLOOKUP($D249,$C$5:$AV$509,25,)/VLOOKUP($D249,$C$5:$AV$509,3,))*$E249)</f>
        <v>0</v>
      </c>
      <c r="AC249" s="47">
        <f>IF(VLOOKUP($D249,$C$5:$AV$509,3,)=0,0,(VLOOKUP($D249,$C$5:$AV$509,26,)/VLOOKUP($D249,$C$5:$AV$509,3,))*$E249)</f>
        <v>0</v>
      </c>
      <c r="AD249" s="47">
        <f>IF(VLOOKUP($D249,$C$5:$AV$509,3,)=0,0,(VLOOKUP($D249,$C$5:$AV$509,27,)/VLOOKUP($D249,$C$5:$AV$509,3,))*$E249)</f>
        <v>0</v>
      </c>
      <c r="AE249" s="47">
        <f>IF(VLOOKUP($D249,$C$5:$AV$509,3,)=0,0,(VLOOKUP($D249,$C$5:$AV$509,28,)/VLOOKUP($D249,$C$5:$AV$509,3,))*$E249)</f>
        <v>0</v>
      </c>
      <c r="AF249" s="47">
        <f>IF(VLOOKUP($D249,$C$5:$AV$509,3,)=0,0,(VLOOKUP($D249,$C$5:$AV$509,29,)/VLOOKUP($D249,$C$5:$AV$509,3,))*$E249)</f>
        <v>0</v>
      </c>
      <c r="AG249" s="47">
        <f>IF(VLOOKUP($D249,$C$5:$AV$509,3,)=0,0,(VLOOKUP($D249,$C$5:$AV$509,30,)/VLOOKUP($D249,$C$5:$AV$509,3,))*$E249)</f>
        <v>0</v>
      </c>
      <c r="AH249" s="47">
        <f t="shared" si="154"/>
        <v>0</v>
      </c>
      <c r="AI249" s="27" t="str">
        <f>IF(ABS(E249-AH249)&lt;0.01,"ok","err")</f>
        <v>ok</v>
      </c>
    </row>
    <row r="250" spans="1:35" x14ac:dyDescent="0.2">
      <c r="A250" s="14" t="s">
        <v>224</v>
      </c>
      <c r="E250" s="62">
        <f t="shared" ref="E250:U250" si="155">E248+E249</f>
        <v>0</v>
      </c>
      <c r="F250" s="62">
        <f t="shared" si="155"/>
        <v>0</v>
      </c>
      <c r="G250" s="62">
        <f t="shared" si="155"/>
        <v>0</v>
      </c>
      <c r="H250" s="62">
        <f t="shared" si="155"/>
        <v>0</v>
      </c>
      <c r="I250" s="62">
        <f t="shared" si="155"/>
        <v>0</v>
      </c>
      <c r="J250" s="62">
        <f t="shared" si="155"/>
        <v>0</v>
      </c>
      <c r="K250" s="62">
        <f t="shared" si="155"/>
        <v>0</v>
      </c>
      <c r="L250" s="62">
        <f t="shared" si="155"/>
        <v>0</v>
      </c>
      <c r="M250" s="62">
        <f t="shared" ref="M250" si="156">M248+M249</f>
        <v>0</v>
      </c>
      <c r="N250" s="62">
        <f t="shared" si="155"/>
        <v>0</v>
      </c>
      <c r="O250" s="62">
        <f t="shared" si="155"/>
        <v>0</v>
      </c>
      <c r="P250" s="62">
        <f t="shared" si="155"/>
        <v>0</v>
      </c>
      <c r="Q250" s="62">
        <f t="shared" si="155"/>
        <v>0</v>
      </c>
      <c r="R250" s="62">
        <f t="shared" si="155"/>
        <v>0</v>
      </c>
      <c r="S250" s="62">
        <f t="shared" si="155"/>
        <v>0</v>
      </c>
      <c r="T250" s="62">
        <f t="shared" si="155"/>
        <v>0</v>
      </c>
      <c r="U250" s="62">
        <f t="shared" si="155"/>
        <v>0</v>
      </c>
      <c r="V250" s="62">
        <f t="shared" ref="V250:AG250" si="157">V248+V249</f>
        <v>0</v>
      </c>
      <c r="W250" s="62">
        <f t="shared" si="157"/>
        <v>0</v>
      </c>
      <c r="X250" s="62">
        <f t="shared" si="157"/>
        <v>0</v>
      </c>
      <c r="Y250" s="62">
        <f t="shared" si="157"/>
        <v>0</v>
      </c>
      <c r="Z250" s="62">
        <f t="shared" si="157"/>
        <v>0</v>
      </c>
      <c r="AA250" s="62">
        <f t="shared" si="157"/>
        <v>0</v>
      </c>
      <c r="AB250" s="62">
        <f t="shared" si="157"/>
        <v>0</v>
      </c>
      <c r="AC250" s="62">
        <f t="shared" si="157"/>
        <v>0</v>
      </c>
      <c r="AD250" s="62">
        <f t="shared" si="157"/>
        <v>0</v>
      </c>
      <c r="AE250" s="62">
        <f t="shared" si="157"/>
        <v>0</v>
      </c>
      <c r="AF250" s="62">
        <f t="shared" si="157"/>
        <v>0</v>
      </c>
      <c r="AG250" s="62">
        <f t="shared" si="157"/>
        <v>0</v>
      </c>
      <c r="AH250" s="87">
        <f>SUM(F250:AG250)</f>
        <v>0</v>
      </c>
      <c r="AI250" s="27" t="str">
        <f>IF(ABS(E250-AH250)&lt;0.01,"ok","err")</f>
        <v>ok</v>
      </c>
    </row>
    <row r="251" spans="1:35" x14ac:dyDescent="0.2">
      <c r="E251" s="47"/>
    </row>
    <row r="252" spans="1:35" x14ac:dyDescent="0.2">
      <c r="A252" s="13" t="s">
        <v>3</v>
      </c>
      <c r="E252" s="47"/>
    </row>
    <row r="253" spans="1:35" x14ac:dyDescent="0.2">
      <c r="A253" s="90" t="s">
        <v>209</v>
      </c>
      <c r="C253" s="14" t="s">
        <v>304</v>
      </c>
      <c r="D253" s="14" t="s">
        <v>701</v>
      </c>
      <c r="E253" s="62">
        <f>'Func &amp; Classif'!R314</f>
        <v>0</v>
      </c>
      <c r="F253" s="47">
        <f>IF(VLOOKUP($D253,$C$5:$AV$509,3,)=0,0,(VLOOKUP($D253,$C$5:$AV$509,4,)/VLOOKUP($D253,$C$5:$AV$509,3,))*$E253)</f>
        <v>0</v>
      </c>
      <c r="G253" s="47">
        <f>IF(VLOOKUP($D253,$C$5:$AV$509,3,)=0,0,(VLOOKUP($D253,$C$5:$AV$509,5,)/VLOOKUP($D253,$C$5:$AV$509,3,))*$E253)</f>
        <v>0</v>
      </c>
      <c r="H253" s="47">
        <f>IF(VLOOKUP($D253,$C$5:$AV$509,3,)=0,0,(VLOOKUP($D253,$C$5:$AV$509,6,)/VLOOKUP($D253,$C$5:$AV$509,3,))*$E253)</f>
        <v>0</v>
      </c>
      <c r="I253" s="47">
        <f>IF(VLOOKUP($D253,$C$5:$AV$509,3,)=0,0,(VLOOKUP($D253,$C$5:$AV$509,7,)/VLOOKUP($D253,$C$5:$AV$509,3,))*$E253)</f>
        <v>0</v>
      </c>
      <c r="J253" s="47">
        <f>IF(VLOOKUP($D253,$C$5:$AV$509,3,)=0,0,(VLOOKUP($D253,$C$5:$AV$509,8,)/VLOOKUP($D253,$C$5:$AV$509,3,))*$E253)</f>
        <v>0</v>
      </c>
      <c r="K253" s="47">
        <f>IF(VLOOKUP($D253,$C$5:$AV$509,3,)=0,0,(VLOOKUP($D253,$C$5:$AV$509,9,)/VLOOKUP($D253,$C$5:$AV$509,3,))*$E253)</f>
        <v>0</v>
      </c>
      <c r="L253" s="47">
        <f>IF(VLOOKUP($D253,$C$5:$AV$509,3,)=0,0,(VLOOKUP($D253,$C$5:$AV$509,10,)/VLOOKUP($D253,$C$5:$AV$509,3,))*$E253)</f>
        <v>0</v>
      </c>
      <c r="M253" s="47">
        <f>IF(VLOOKUP($D253,$C$5:$AV$509,3,)=0,0,(VLOOKUP($D253,$C$5:$AV$509,11,)/VLOOKUP($D253,$C$5:$AV$509,3,))*$E253)</f>
        <v>0</v>
      </c>
      <c r="N253" s="47">
        <f>IF(VLOOKUP($D253,$C$5:$AV$509,3,)=0,0,(VLOOKUP($D253,$C$5:$AV$509,12,)/VLOOKUP($D253,$C$5:$AV$509,3,))*$E253)</f>
        <v>0</v>
      </c>
      <c r="O253" s="47">
        <f t="shared" ref="O253:Q254" si="158">IF(VLOOKUP($D253,$C$5:$AV$509,3,)=0,0,(VLOOKUP($D253,$C$5:$AV$509,14,)/VLOOKUP($D253,$C$5:$AV$509,3,))*$E253)</f>
        <v>0</v>
      </c>
      <c r="P253" s="47">
        <f t="shared" si="158"/>
        <v>0</v>
      </c>
      <c r="Q253" s="47">
        <f t="shared" si="158"/>
        <v>0</v>
      </c>
      <c r="R253" s="47">
        <f>IF(VLOOKUP($D253,$C$5:$AV$509,3,)=0,0,(VLOOKUP($D253,$C$5:$AV$509,15,)/VLOOKUP($D253,$C$5:$AV$509,3,))*$E253)</f>
        <v>0</v>
      </c>
      <c r="S253" s="47">
        <f>IF(VLOOKUP($D253,$C$5:$AV$509,3,)=0,0,(VLOOKUP($D253,$C$5:$AV$509,16,)/VLOOKUP($D253,$C$5:$AV$509,3,))*$E253)</f>
        <v>0</v>
      </c>
      <c r="T253" s="47">
        <f>IF(VLOOKUP($D253,$C$5:$AV$509,3,)=0,0,(VLOOKUP($D253,$C$5:$AV$509,17,)/VLOOKUP($D253,$C$5:$AV$509,3,))*$E253)</f>
        <v>0</v>
      </c>
      <c r="U253" s="47">
        <f>IF(VLOOKUP($D253,$C$5:$AV$509,3,)=0,0,(VLOOKUP($D253,$C$5:$AV$509,18,)/VLOOKUP($D253,$C$5:$AV$509,3,))*$E253)</f>
        <v>0</v>
      </c>
      <c r="V253" s="47">
        <f>IF(VLOOKUP($D253,$C$5:$AV$509,3,)=0,0,(VLOOKUP($D253,$C$5:$AV$509,19,)/VLOOKUP($D253,$C$5:$AV$509,3,))*$E253)</f>
        <v>0</v>
      </c>
      <c r="W253" s="47">
        <f>IF(VLOOKUP($D253,$C$5:$AV$509,3,)=0,0,(VLOOKUP($D253,$C$5:$AV$509,20,)/VLOOKUP($D253,$C$5:$AV$509,3,))*$E253)</f>
        <v>0</v>
      </c>
      <c r="X253" s="47">
        <f>IF(VLOOKUP($D253,$C$5:$AV$509,3,)=0,0,(VLOOKUP($D253,$C$5:$AV$509,21,)/VLOOKUP($D253,$C$5:$AV$509,3,))*$E253)</f>
        <v>0</v>
      </c>
      <c r="Y253" s="47">
        <f>IF(VLOOKUP($D253,$C$5:$AV$509,3,)=0,0,(VLOOKUP($D253,$C$5:$AV$509,22,)/VLOOKUP($D253,$C$5:$AV$509,3,))*$E253)</f>
        <v>0</v>
      </c>
      <c r="Z253" s="47">
        <f>IF(VLOOKUP($D253,$C$5:$AV$509,3,)=0,0,(VLOOKUP($D253,$C$5:$AV$509,23,)/VLOOKUP($D253,$C$5:$AV$509,3,))*$E253)</f>
        <v>0</v>
      </c>
      <c r="AA253" s="47">
        <f>IF(VLOOKUP($D253,$C$5:$AV$509,3,)=0,0,(VLOOKUP($D253,$C$5:$AV$509,24,)/VLOOKUP($D253,$C$5:$AV$509,3,))*$E253)</f>
        <v>0</v>
      </c>
      <c r="AB253" s="47">
        <f>IF(VLOOKUP($D253,$C$5:$AV$509,3,)=0,0,(VLOOKUP($D253,$C$5:$AV$509,25,)/VLOOKUP($D253,$C$5:$AV$509,3,))*$E253)</f>
        <v>0</v>
      </c>
      <c r="AC253" s="47">
        <f>IF(VLOOKUP($D253,$C$5:$AV$509,3,)=0,0,(VLOOKUP($D253,$C$5:$AV$509,26,)/VLOOKUP($D253,$C$5:$AV$509,3,))*$E253)</f>
        <v>0</v>
      </c>
      <c r="AD253" s="47">
        <f>IF(VLOOKUP($D253,$C$5:$AV$509,3,)=0,0,(VLOOKUP($D253,$C$5:$AV$509,27,)/VLOOKUP($D253,$C$5:$AV$509,3,))*$E253)</f>
        <v>0</v>
      </c>
      <c r="AE253" s="47">
        <f>IF(VLOOKUP($D253,$C$5:$AV$509,3,)=0,0,(VLOOKUP($D253,$C$5:$AV$509,28,)/VLOOKUP($D253,$C$5:$AV$509,3,))*$E253)</f>
        <v>0</v>
      </c>
      <c r="AF253" s="47">
        <f>IF(VLOOKUP($D253,$C$5:$AV$509,3,)=0,0,(VLOOKUP($D253,$C$5:$AV$509,29,)/VLOOKUP($D253,$C$5:$AV$509,3,))*$E253)</f>
        <v>0</v>
      </c>
      <c r="AG253" s="47">
        <f>IF(VLOOKUP($D253,$C$5:$AV$509,3,)=0,0,(VLOOKUP($D253,$C$5:$AV$509,30,)/VLOOKUP($D253,$C$5:$AV$509,3,))*$E253)</f>
        <v>0</v>
      </c>
      <c r="AH253" s="47">
        <f t="shared" ref="AH253:AH254" si="159">SUM(F253:AG253)</f>
        <v>0</v>
      </c>
      <c r="AI253" s="27" t="str">
        <f>IF(ABS(E253-AH253)&lt;0.01,"ok","err")</f>
        <v>ok</v>
      </c>
    </row>
    <row r="254" spans="1:35" x14ac:dyDescent="0.2">
      <c r="A254" s="90" t="s">
        <v>221</v>
      </c>
      <c r="C254" s="14" t="s">
        <v>305</v>
      </c>
      <c r="D254" s="14" t="s">
        <v>701</v>
      </c>
      <c r="E254" s="47">
        <f>'Func &amp; Classif'!S314</f>
        <v>0</v>
      </c>
      <c r="F254" s="47">
        <f>IF(VLOOKUP($D254,$C$5:$AV$509,3,)=0,0,(VLOOKUP($D254,$C$5:$AV$509,4,)/VLOOKUP($D254,$C$5:$AV$509,3,))*$E254)</f>
        <v>0</v>
      </c>
      <c r="G254" s="47">
        <f>IF(VLOOKUP($D254,$C$5:$AV$509,3,)=0,0,(VLOOKUP($D254,$C$5:$AV$509,5,)/VLOOKUP($D254,$C$5:$AV$509,3,))*$E254)</f>
        <v>0</v>
      </c>
      <c r="H254" s="47">
        <f>IF(VLOOKUP($D254,$C$5:$AV$509,3,)=0,0,(VLOOKUP($D254,$C$5:$AV$509,6,)/VLOOKUP($D254,$C$5:$AV$509,3,))*$E254)</f>
        <v>0</v>
      </c>
      <c r="I254" s="47">
        <f>IF(VLOOKUP($D254,$C$5:$AV$509,3,)=0,0,(VLOOKUP($D254,$C$5:$AV$509,7,)/VLOOKUP($D254,$C$5:$AV$509,3,))*$E254)</f>
        <v>0</v>
      </c>
      <c r="J254" s="47">
        <f>IF(VLOOKUP($D254,$C$5:$AV$509,3,)=0,0,(VLOOKUP($D254,$C$5:$AV$509,8,)/VLOOKUP($D254,$C$5:$AV$509,3,))*$E254)</f>
        <v>0</v>
      </c>
      <c r="K254" s="47">
        <f>IF(VLOOKUP($D254,$C$5:$AV$509,3,)=0,0,(VLOOKUP($D254,$C$5:$AV$509,9,)/VLOOKUP($D254,$C$5:$AV$509,3,))*$E254)</f>
        <v>0</v>
      </c>
      <c r="L254" s="47">
        <f>IF(VLOOKUP($D254,$C$5:$AV$509,3,)=0,0,(VLOOKUP($D254,$C$5:$AV$509,10,)/VLOOKUP($D254,$C$5:$AV$509,3,))*$E254)</f>
        <v>0</v>
      </c>
      <c r="M254" s="47">
        <f>IF(VLOOKUP($D254,$C$5:$AV$509,3,)=0,0,(VLOOKUP($D254,$C$5:$AV$509,11,)/VLOOKUP($D254,$C$5:$AV$509,3,))*$E254)</f>
        <v>0</v>
      </c>
      <c r="N254" s="47">
        <f>IF(VLOOKUP($D254,$C$5:$AV$509,3,)=0,0,(VLOOKUP($D254,$C$5:$AV$509,12,)/VLOOKUP($D254,$C$5:$AV$509,3,))*$E254)</f>
        <v>0</v>
      </c>
      <c r="O254" s="47">
        <f t="shared" si="158"/>
        <v>0</v>
      </c>
      <c r="P254" s="47">
        <f t="shared" si="158"/>
        <v>0</v>
      </c>
      <c r="Q254" s="47">
        <f t="shared" si="158"/>
        <v>0</v>
      </c>
      <c r="R254" s="47">
        <f>IF(VLOOKUP($D254,$C$5:$AV$509,3,)=0,0,(VLOOKUP($D254,$C$5:$AV$509,15,)/VLOOKUP($D254,$C$5:$AV$509,3,))*$E254)</f>
        <v>0</v>
      </c>
      <c r="S254" s="47">
        <f>IF(VLOOKUP($D254,$C$5:$AV$509,3,)=0,0,(VLOOKUP($D254,$C$5:$AV$509,16,)/VLOOKUP($D254,$C$5:$AV$509,3,))*$E254)</f>
        <v>0</v>
      </c>
      <c r="T254" s="47">
        <f>IF(VLOOKUP($D254,$C$5:$AV$509,3,)=0,0,(VLOOKUP($D254,$C$5:$AV$509,17,)/VLOOKUP($D254,$C$5:$AV$509,3,))*$E254)</f>
        <v>0</v>
      </c>
      <c r="U254" s="47">
        <f>IF(VLOOKUP($D254,$C$5:$AV$509,3,)=0,0,(VLOOKUP($D254,$C$5:$AV$509,18,)/VLOOKUP($D254,$C$5:$AV$509,3,))*$E254)</f>
        <v>0</v>
      </c>
      <c r="V254" s="47">
        <f>IF(VLOOKUP($D254,$C$5:$AV$509,3,)=0,0,(VLOOKUP($D254,$C$5:$AV$509,19,)/VLOOKUP($D254,$C$5:$AV$509,3,))*$E254)</f>
        <v>0</v>
      </c>
      <c r="W254" s="47">
        <f>IF(VLOOKUP($D254,$C$5:$AV$509,3,)=0,0,(VLOOKUP($D254,$C$5:$AV$509,20,)/VLOOKUP($D254,$C$5:$AV$509,3,))*$E254)</f>
        <v>0</v>
      </c>
      <c r="X254" s="47">
        <f>IF(VLOOKUP($D254,$C$5:$AV$509,3,)=0,0,(VLOOKUP($D254,$C$5:$AV$509,21,)/VLOOKUP($D254,$C$5:$AV$509,3,))*$E254)</f>
        <v>0</v>
      </c>
      <c r="Y254" s="47">
        <f>IF(VLOOKUP($D254,$C$5:$AV$509,3,)=0,0,(VLOOKUP($D254,$C$5:$AV$509,22,)/VLOOKUP($D254,$C$5:$AV$509,3,))*$E254)</f>
        <v>0</v>
      </c>
      <c r="Z254" s="47">
        <f>IF(VLOOKUP($D254,$C$5:$AV$509,3,)=0,0,(VLOOKUP($D254,$C$5:$AV$509,23,)/VLOOKUP($D254,$C$5:$AV$509,3,))*$E254)</f>
        <v>0</v>
      </c>
      <c r="AA254" s="47">
        <f>IF(VLOOKUP($D254,$C$5:$AV$509,3,)=0,0,(VLOOKUP($D254,$C$5:$AV$509,24,)/VLOOKUP($D254,$C$5:$AV$509,3,))*$E254)</f>
        <v>0</v>
      </c>
      <c r="AB254" s="47">
        <f>IF(VLOOKUP($D254,$C$5:$AV$509,3,)=0,0,(VLOOKUP($D254,$C$5:$AV$509,25,)/VLOOKUP($D254,$C$5:$AV$509,3,))*$E254)</f>
        <v>0</v>
      </c>
      <c r="AC254" s="47">
        <f>IF(VLOOKUP($D254,$C$5:$AV$509,3,)=0,0,(VLOOKUP($D254,$C$5:$AV$509,26,)/VLOOKUP($D254,$C$5:$AV$509,3,))*$E254)</f>
        <v>0</v>
      </c>
      <c r="AD254" s="47">
        <f>IF(VLOOKUP($D254,$C$5:$AV$509,3,)=0,0,(VLOOKUP($D254,$C$5:$AV$509,27,)/VLOOKUP($D254,$C$5:$AV$509,3,))*$E254)</f>
        <v>0</v>
      </c>
      <c r="AE254" s="47">
        <f>IF(VLOOKUP($D254,$C$5:$AV$509,3,)=0,0,(VLOOKUP($D254,$C$5:$AV$509,28,)/VLOOKUP($D254,$C$5:$AV$509,3,))*$E254)</f>
        <v>0</v>
      </c>
      <c r="AF254" s="47">
        <f>IF(VLOOKUP($D254,$C$5:$AV$509,3,)=0,0,(VLOOKUP($D254,$C$5:$AV$509,29,)/VLOOKUP($D254,$C$5:$AV$509,3,))*$E254)</f>
        <v>0</v>
      </c>
      <c r="AG254" s="47">
        <f>IF(VLOOKUP($D254,$C$5:$AV$509,3,)=0,0,(VLOOKUP($D254,$C$5:$AV$509,30,)/VLOOKUP($D254,$C$5:$AV$509,3,))*$E254)</f>
        <v>0</v>
      </c>
      <c r="AH254" s="47">
        <f t="shared" si="159"/>
        <v>0</v>
      </c>
      <c r="AI254" s="27" t="str">
        <f>IF(ABS(E254-AH254)&lt;0.01,"ok","err")</f>
        <v>ok</v>
      </c>
    </row>
    <row r="255" spans="1:35" x14ac:dyDescent="0.2">
      <c r="A255" s="14" t="s">
        <v>228</v>
      </c>
      <c r="E255" s="62">
        <f t="shared" ref="E255:U255" si="160">E253+E254</f>
        <v>0</v>
      </c>
      <c r="F255" s="62">
        <f t="shared" si="160"/>
        <v>0</v>
      </c>
      <c r="G255" s="62">
        <f t="shared" si="160"/>
        <v>0</v>
      </c>
      <c r="H255" s="62">
        <f t="shared" si="160"/>
        <v>0</v>
      </c>
      <c r="I255" s="62">
        <f t="shared" si="160"/>
        <v>0</v>
      </c>
      <c r="J255" s="62">
        <f t="shared" si="160"/>
        <v>0</v>
      </c>
      <c r="K255" s="62">
        <f t="shared" si="160"/>
        <v>0</v>
      </c>
      <c r="L255" s="62">
        <f t="shared" si="160"/>
        <v>0</v>
      </c>
      <c r="M255" s="62">
        <f t="shared" ref="M255" si="161">M253+M254</f>
        <v>0</v>
      </c>
      <c r="N255" s="62">
        <f t="shared" si="160"/>
        <v>0</v>
      </c>
      <c r="O255" s="62">
        <f t="shared" si="160"/>
        <v>0</v>
      </c>
      <c r="P255" s="62">
        <f t="shared" si="160"/>
        <v>0</v>
      </c>
      <c r="Q255" s="62">
        <f t="shared" si="160"/>
        <v>0</v>
      </c>
      <c r="R255" s="62">
        <f t="shared" si="160"/>
        <v>0</v>
      </c>
      <c r="S255" s="62">
        <f t="shared" si="160"/>
        <v>0</v>
      </c>
      <c r="T255" s="62">
        <f t="shared" si="160"/>
        <v>0</v>
      </c>
      <c r="U255" s="62">
        <f t="shared" si="160"/>
        <v>0</v>
      </c>
      <c r="V255" s="62">
        <f t="shared" ref="V255:AG255" si="162">V253+V254</f>
        <v>0</v>
      </c>
      <c r="W255" s="62">
        <f t="shared" si="162"/>
        <v>0</v>
      </c>
      <c r="X255" s="62">
        <f t="shared" si="162"/>
        <v>0</v>
      </c>
      <c r="Y255" s="62">
        <f t="shared" si="162"/>
        <v>0</v>
      </c>
      <c r="Z255" s="62">
        <f t="shared" si="162"/>
        <v>0</v>
      </c>
      <c r="AA255" s="62">
        <f t="shared" si="162"/>
        <v>0</v>
      </c>
      <c r="AB255" s="62">
        <f t="shared" si="162"/>
        <v>0</v>
      </c>
      <c r="AC255" s="62">
        <f t="shared" si="162"/>
        <v>0</v>
      </c>
      <c r="AD255" s="62">
        <f t="shared" si="162"/>
        <v>0</v>
      </c>
      <c r="AE255" s="62">
        <f t="shared" si="162"/>
        <v>0</v>
      </c>
      <c r="AF255" s="62">
        <f t="shared" si="162"/>
        <v>0</v>
      </c>
      <c r="AG255" s="62">
        <f t="shared" si="162"/>
        <v>0</v>
      </c>
      <c r="AH255" s="87">
        <f>SUM(F255:AG255)</f>
        <v>0</v>
      </c>
      <c r="AI255" s="27" t="str">
        <f>IF(ABS(E255-AH255)&lt;0.01,"ok","err")</f>
        <v>ok</v>
      </c>
    </row>
    <row r="256" spans="1:35" x14ac:dyDescent="0.2">
      <c r="E256" s="47"/>
    </row>
    <row r="257" spans="1:35" x14ac:dyDescent="0.2">
      <c r="A257" s="13" t="s">
        <v>4</v>
      </c>
      <c r="E257" s="47"/>
    </row>
    <row r="258" spans="1:35" x14ac:dyDescent="0.2">
      <c r="A258" s="90" t="s">
        <v>221</v>
      </c>
      <c r="C258" s="14" t="s">
        <v>306</v>
      </c>
      <c r="D258" s="14" t="s">
        <v>230</v>
      </c>
      <c r="E258" s="62">
        <f>'Func &amp; Classif'!U314</f>
        <v>0</v>
      </c>
      <c r="F258" s="47">
        <f>IF(VLOOKUP($D258,$C$5:$AV$509,3,)=0,0,(VLOOKUP($D258,$C$5:$AV$509,4,)/VLOOKUP($D258,$C$5:$AV$509,3,))*$E258)</f>
        <v>0</v>
      </c>
      <c r="G258" s="47">
        <f>IF(VLOOKUP($D258,$C$5:$AV$509,3,)=0,0,(VLOOKUP($D258,$C$5:$AV$509,5,)/VLOOKUP($D258,$C$5:$AV$509,3,))*$E258)</f>
        <v>0</v>
      </c>
      <c r="H258" s="47">
        <f>IF(VLOOKUP($D258,$C$5:$AV$509,3,)=0,0,(VLOOKUP($D258,$C$5:$AV$509,6,)/VLOOKUP($D258,$C$5:$AV$509,3,))*$E258)</f>
        <v>0</v>
      </c>
      <c r="I258" s="47">
        <f>IF(VLOOKUP($D258,$C$5:$AV$509,3,)=0,0,(VLOOKUP($D258,$C$5:$AV$509,7,)/VLOOKUP($D258,$C$5:$AV$509,3,))*$E258)</f>
        <v>0</v>
      </c>
      <c r="J258" s="47">
        <f>IF(VLOOKUP($D258,$C$5:$AV$509,3,)=0,0,(VLOOKUP($D258,$C$5:$AV$509,8,)/VLOOKUP($D258,$C$5:$AV$509,3,))*$E258)</f>
        <v>0</v>
      </c>
      <c r="K258" s="47">
        <f>IF(VLOOKUP($D258,$C$5:$AV$509,3,)=0,0,(VLOOKUP($D258,$C$5:$AV$509,9,)/VLOOKUP($D258,$C$5:$AV$509,3,))*$E258)</f>
        <v>0</v>
      </c>
      <c r="L258" s="47">
        <f>IF(VLOOKUP($D258,$C$5:$AV$509,3,)=0,0,(VLOOKUP($D258,$C$5:$AV$509,10,)/VLOOKUP($D258,$C$5:$AV$509,3,))*$E258)</f>
        <v>0</v>
      </c>
      <c r="M258" s="47">
        <f>IF(VLOOKUP($D258,$C$5:$AV$509,3,)=0,0,(VLOOKUP($D258,$C$5:$AV$509,11,)/VLOOKUP($D258,$C$5:$AV$509,3,))*$E258)</f>
        <v>0</v>
      </c>
      <c r="N258" s="47">
        <f>IF(VLOOKUP($D258,$C$5:$AV$509,3,)=0,0,(VLOOKUP($D258,$C$5:$AV$509,12,)/VLOOKUP($D258,$C$5:$AV$509,3,))*$E258)</f>
        <v>0</v>
      </c>
      <c r="O258" s="47">
        <f>IF(VLOOKUP($D258,$C$5:$AV$509,3,)=0,0,(VLOOKUP($D258,$C$5:$AV$509,14,)/VLOOKUP($D258,$C$5:$AV$509,3,))*$E258)</f>
        <v>0</v>
      </c>
      <c r="P258" s="47">
        <f>IF(VLOOKUP($D258,$C$5:$AV$509,3,)=0,0,(VLOOKUP($D258,$C$5:$AV$509,14,)/VLOOKUP($D258,$C$5:$AV$509,3,))*$E258)</f>
        <v>0</v>
      </c>
      <c r="Q258" s="47">
        <f>IF(VLOOKUP($D258,$C$5:$AV$509,3,)=0,0,(VLOOKUP($D258,$C$5:$AV$509,14,)/VLOOKUP($D258,$C$5:$AV$509,3,))*$E258)</f>
        <v>0</v>
      </c>
      <c r="R258" s="47">
        <f>IF(VLOOKUP($D258,$C$5:$AV$509,3,)=0,0,(VLOOKUP($D258,$C$5:$AV$509,15,)/VLOOKUP($D258,$C$5:$AV$509,3,))*$E258)</f>
        <v>0</v>
      </c>
      <c r="S258" s="47">
        <f>IF(VLOOKUP($D258,$C$5:$AV$509,3,)=0,0,(VLOOKUP($D258,$C$5:$AV$509,16,)/VLOOKUP($D258,$C$5:$AV$509,3,))*$E258)</f>
        <v>0</v>
      </c>
      <c r="T258" s="47">
        <f>IF(VLOOKUP($D258,$C$5:$AV$509,3,)=0,0,(VLOOKUP($D258,$C$5:$AV$509,17,)/VLOOKUP($D258,$C$5:$AV$509,3,))*$E258)</f>
        <v>0</v>
      </c>
      <c r="U258" s="47">
        <f>IF(VLOOKUP($D258,$C$5:$AV$509,3,)=0,0,(VLOOKUP($D258,$C$5:$AV$509,18,)/VLOOKUP($D258,$C$5:$AV$509,3,))*$E258)</f>
        <v>0</v>
      </c>
      <c r="V258" s="47">
        <f>IF(VLOOKUP($D258,$C$5:$AV$509,3,)=0,0,(VLOOKUP($D258,$C$5:$AV$509,19,)/VLOOKUP($D258,$C$5:$AV$509,3,))*$E258)</f>
        <v>0</v>
      </c>
      <c r="W258" s="47">
        <f>IF(VLOOKUP($D258,$C$5:$AV$509,3,)=0,0,(VLOOKUP($D258,$C$5:$AV$509,20,)/VLOOKUP($D258,$C$5:$AV$509,3,))*$E258)</f>
        <v>0</v>
      </c>
      <c r="X258" s="47">
        <f>IF(VLOOKUP($D258,$C$5:$AV$509,3,)=0,0,(VLOOKUP($D258,$C$5:$AV$509,21,)/VLOOKUP($D258,$C$5:$AV$509,3,))*$E258)</f>
        <v>0</v>
      </c>
      <c r="Y258" s="47">
        <f>IF(VLOOKUP($D258,$C$5:$AV$509,3,)=0,0,(VLOOKUP($D258,$C$5:$AV$509,22,)/VLOOKUP($D258,$C$5:$AV$509,3,))*$E258)</f>
        <v>0</v>
      </c>
      <c r="Z258" s="47">
        <f>IF(VLOOKUP($D258,$C$5:$AV$509,3,)=0,0,(VLOOKUP($D258,$C$5:$AV$509,23,)/VLOOKUP($D258,$C$5:$AV$509,3,))*$E258)</f>
        <v>0</v>
      </c>
      <c r="AA258" s="47">
        <f>IF(VLOOKUP($D258,$C$5:$AV$509,3,)=0,0,(VLOOKUP($D258,$C$5:$AV$509,24,)/VLOOKUP($D258,$C$5:$AV$509,3,))*$E258)</f>
        <v>0</v>
      </c>
      <c r="AB258" s="47">
        <f>IF(VLOOKUP($D258,$C$5:$AV$509,3,)=0,0,(VLOOKUP($D258,$C$5:$AV$509,25,)/VLOOKUP($D258,$C$5:$AV$509,3,))*$E258)</f>
        <v>0</v>
      </c>
      <c r="AC258" s="47">
        <f>IF(VLOOKUP($D258,$C$5:$AV$509,3,)=0,0,(VLOOKUP($D258,$C$5:$AV$509,26,)/VLOOKUP($D258,$C$5:$AV$509,3,))*$E258)</f>
        <v>0</v>
      </c>
      <c r="AD258" s="47">
        <f>IF(VLOOKUP($D258,$C$5:$AV$509,3,)=0,0,(VLOOKUP($D258,$C$5:$AV$509,27,)/VLOOKUP($D258,$C$5:$AV$509,3,))*$E258)</f>
        <v>0</v>
      </c>
      <c r="AE258" s="47">
        <f>IF(VLOOKUP($D258,$C$5:$AV$509,3,)=0,0,(VLOOKUP($D258,$C$5:$AV$509,28,)/VLOOKUP($D258,$C$5:$AV$509,3,))*$E258)</f>
        <v>0</v>
      </c>
      <c r="AF258" s="47">
        <f>IF(VLOOKUP($D258,$C$5:$AV$509,3,)=0,0,(VLOOKUP($D258,$C$5:$AV$509,29,)/VLOOKUP($D258,$C$5:$AV$509,3,))*$E258)</f>
        <v>0</v>
      </c>
      <c r="AG258" s="47">
        <f>IF(VLOOKUP($D258,$C$5:$AV$509,3,)=0,0,(VLOOKUP($D258,$C$5:$AV$509,30,)/VLOOKUP($D258,$C$5:$AV$509,3,))*$E258)</f>
        <v>0</v>
      </c>
      <c r="AH258" s="47">
        <f t="shared" ref="AH258" si="163">SUM(F258:AG258)</f>
        <v>0</v>
      </c>
      <c r="AI258" s="27" t="str">
        <f>IF(ABS(E258-AH258)&lt;0.01,"ok","err")</f>
        <v>ok</v>
      </c>
    </row>
    <row r="259" spans="1:35" x14ac:dyDescent="0.2">
      <c r="E259" s="47"/>
    </row>
    <row r="260" spans="1:35" x14ac:dyDescent="0.2">
      <c r="A260" s="13" t="s">
        <v>5</v>
      </c>
      <c r="E260" s="47"/>
    </row>
    <row r="261" spans="1:35" x14ac:dyDescent="0.2">
      <c r="A261" s="90" t="s">
        <v>221</v>
      </c>
      <c r="C261" s="14" t="s">
        <v>307</v>
      </c>
      <c r="D261" s="14" t="s">
        <v>232</v>
      </c>
      <c r="E261" s="62">
        <f>'Func &amp; Classif'!W314</f>
        <v>0</v>
      </c>
      <c r="F261" s="47">
        <f>IF(VLOOKUP($D261,$C$5:$AV$509,3,)=0,0,(VLOOKUP($D261,$C$5:$AV$509,4,)/VLOOKUP($D261,$C$5:$AV$509,3,))*$E261)</f>
        <v>0</v>
      </c>
      <c r="G261" s="47">
        <f>IF(VLOOKUP($D261,$C$5:$AV$509,3,)=0,0,(VLOOKUP($D261,$C$5:$AV$509,5,)/VLOOKUP($D261,$C$5:$AV$509,3,))*$E261)</f>
        <v>0</v>
      </c>
      <c r="H261" s="47">
        <f>IF(VLOOKUP($D261,$C$5:$AV$509,3,)=0,0,(VLOOKUP($D261,$C$5:$AV$509,6,)/VLOOKUP($D261,$C$5:$AV$509,3,))*$E261)</f>
        <v>0</v>
      </c>
      <c r="I261" s="47">
        <f>IF(VLOOKUP($D261,$C$5:$AV$509,3,)=0,0,(VLOOKUP($D261,$C$5:$AV$509,7,)/VLOOKUP($D261,$C$5:$AV$509,3,))*$E261)</f>
        <v>0</v>
      </c>
      <c r="J261" s="47">
        <f>IF(VLOOKUP($D261,$C$5:$AV$509,3,)=0,0,(VLOOKUP($D261,$C$5:$AV$509,8,)/VLOOKUP($D261,$C$5:$AV$509,3,))*$E261)</f>
        <v>0</v>
      </c>
      <c r="K261" s="47">
        <f>IF(VLOOKUP($D261,$C$5:$AV$509,3,)=0,0,(VLOOKUP($D261,$C$5:$AV$509,9,)/VLOOKUP($D261,$C$5:$AV$509,3,))*$E261)</f>
        <v>0</v>
      </c>
      <c r="L261" s="47">
        <f>IF(VLOOKUP($D261,$C$5:$AV$509,3,)=0,0,(VLOOKUP($D261,$C$5:$AV$509,10,)/VLOOKUP($D261,$C$5:$AV$509,3,))*$E261)</f>
        <v>0</v>
      </c>
      <c r="M261" s="47">
        <f>IF(VLOOKUP($D261,$C$5:$AV$509,3,)=0,0,(VLOOKUP($D261,$C$5:$AV$509,11,)/VLOOKUP($D261,$C$5:$AV$509,3,))*$E261)</f>
        <v>0</v>
      </c>
      <c r="N261" s="47">
        <f>IF(VLOOKUP($D261,$C$5:$AV$509,3,)=0,0,(VLOOKUP($D261,$C$5:$AV$509,12,)/VLOOKUP($D261,$C$5:$AV$509,3,))*$E261)</f>
        <v>0</v>
      </c>
      <c r="O261" s="47">
        <f>IF(VLOOKUP($D261,$C$5:$AV$509,3,)=0,0,(VLOOKUP($D261,$C$5:$AV$509,14,)/VLOOKUP($D261,$C$5:$AV$509,3,))*$E261)</f>
        <v>0</v>
      </c>
      <c r="P261" s="47">
        <f>IF(VLOOKUP($D261,$C$5:$AV$509,3,)=0,0,(VLOOKUP($D261,$C$5:$AV$509,14,)/VLOOKUP($D261,$C$5:$AV$509,3,))*$E261)</f>
        <v>0</v>
      </c>
      <c r="Q261" s="47">
        <f>IF(VLOOKUP($D261,$C$5:$AV$509,3,)=0,0,(VLOOKUP($D261,$C$5:$AV$509,14,)/VLOOKUP($D261,$C$5:$AV$509,3,))*$E261)</f>
        <v>0</v>
      </c>
      <c r="R261" s="47">
        <f>IF(VLOOKUP($D261,$C$5:$AV$509,3,)=0,0,(VLOOKUP($D261,$C$5:$AV$509,15,)/VLOOKUP($D261,$C$5:$AV$509,3,))*$E261)</f>
        <v>0</v>
      </c>
      <c r="S261" s="47">
        <f>IF(VLOOKUP($D261,$C$5:$AV$509,3,)=0,0,(VLOOKUP($D261,$C$5:$AV$509,16,)/VLOOKUP($D261,$C$5:$AV$509,3,))*$E261)</f>
        <v>0</v>
      </c>
      <c r="T261" s="47">
        <f>IF(VLOOKUP($D261,$C$5:$AV$509,3,)=0,0,(VLOOKUP($D261,$C$5:$AV$509,17,)/VLOOKUP($D261,$C$5:$AV$509,3,))*$E261)</f>
        <v>0</v>
      </c>
      <c r="U261" s="47">
        <f>IF(VLOOKUP($D261,$C$5:$AV$509,3,)=0,0,(VLOOKUP($D261,$C$5:$AV$509,18,)/VLOOKUP($D261,$C$5:$AV$509,3,))*$E261)</f>
        <v>0</v>
      </c>
      <c r="V261" s="47">
        <f>IF(VLOOKUP($D261,$C$5:$AV$509,3,)=0,0,(VLOOKUP($D261,$C$5:$AV$509,19,)/VLOOKUP($D261,$C$5:$AV$509,3,))*$E261)</f>
        <v>0</v>
      </c>
      <c r="W261" s="47">
        <f>IF(VLOOKUP($D261,$C$5:$AV$509,3,)=0,0,(VLOOKUP($D261,$C$5:$AV$509,20,)/VLOOKUP($D261,$C$5:$AV$509,3,))*$E261)</f>
        <v>0</v>
      </c>
      <c r="X261" s="47">
        <f>IF(VLOOKUP($D261,$C$5:$AV$509,3,)=0,0,(VLOOKUP($D261,$C$5:$AV$509,21,)/VLOOKUP($D261,$C$5:$AV$509,3,))*$E261)</f>
        <v>0</v>
      </c>
      <c r="Y261" s="47">
        <f>IF(VLOOKUP($D261,$C$5:$AV$509,3,)=0,0,(VLOOKUP($D261,$C$5:$AV$509,22,)/VLOOKUP($D261,$C$5:$AV$509,3,))*$E261)</f>
        <v>0</v>
      </c>
      <c r="Z261" s="47">
        <f>IF(VLOOKUP($D261,$C$5:$AV$509,3,)=0,0,(VLOOKUP($D261,$C$5:$AV$509,23,)/VLOOKUP($D261,$C$5:$AV$509,3,))*$E261)</f>
        <v>0</v>
      </c>
      <c r="AA261" s="47">
        <f>IF(VLOOKUP($D261,$C$5:$AV$509,3,)=0,0,(VLOOKUP($D261,$C$5:$AV$509,24,)/VLOOKUP($D261,$C$5:$AV$509,3,))*$E261)</f>
        <v>0</v>
      </c>
      <c r="AB261" s="47">
        <f>IF(VLOOKUP($D261,$C$5:$AV$509,3,)=0,0,(VLOOKUP($D261,$C$5:$AV$509,25,)/VLOOKUP($D261,$C$5:$AV$509,3,))*$E261)</f>
        <v>0</v>
      </c>
      <c r="AC261" s="47">
        <f>IF(VLOOKUP($D261,$C$5:$AV$509,3,)=0,0,(VLOOKUP($D261,$C$5:$AV$509,26,)/VLOOKUP($D261,$C$5:$AV$509,3,))*$E261)</f>
        <v>0</v>
      </c>
      <c r="AD261" s="47">
        <f>IF(VLOOKUP($D261,$C$5:$AV$509,3,)=0,0,(VLOOKUP($D261,$C$5:$AV$509,27,)/VLOOKUP($D261,$C$5:$AV$509,3,))*$E261)</f>
        <v>0</v>
      </c>
      <c r="AE261" s="47">
        <f>IF(VLOOKUP($D261,$C$5:$AV$509,3,)=0,0,(VLOOKUP($D261,$C$5:$AV$509,28,)/VLOOKUP($D261,$C$5:$AV$509,3,))*$E261)</f>
        <v>0</v>
      </c>
      <c r="AF261" s="47">
        <f>IF(VLOOKUP($D261,$C$5:$AV$509,3,)=0,0,(VLOOKUP($D261,$C$5:$AV$509,29,)/VLOOKUP($D261,$C$5:$AV$509,3,))*$E261)</f>
        <v>0</v>
      </c>
      <c r="AG261" s="47">
        <f>IF(VLOOKUP($D261,$C$5:$AV$509,3,)=0,0,(VLOOKUP($D261,$C$5:$AV$509,30,)/VLOOKUP($D261,$C$5:$AV$509,3,))*$E261)</f>
        <v>0</v>
      </c>
      <c r="AH261" s="47">
        <f t="shared" ref="AH261" si="164">SUM(F261:AG261)</f>
        <v>0</v>
      </c>
      <c r="AI261" s="27" t="str">
        <f>IF(ABS(E261-AH261)&lt;0.01,"ok","err")</f>
        <v>ok</v>
      </c>
    </row>
    <row r="262" spans="1:35" x14ac:dyDescent="0.2">
      <c r="E262" s="47"/>
    </row>
    <row r="263" spans="1:35" x14ac:dyDescent="0.2">
      <c r="A263" s="13" t="s">
        <v>545</v>
      </c>
      <c r="E263" s="47"/>
    </row>
    <row r="264" spans="1:35" x14ac:dyDescent="0.2">
      <c r="A264" s="90" t="s">
        <v>221</v>
      </c>
      <c r="C264" s="14" t="s">
        <v>308</v>
      </c>
      <c r="D264" s="14" t="s">
        <v>234</v>
      </c>
      <c r="E264" s="62">
        <f>'Func &amp; Classif'!Y314</f>
        <v>0</v>
      </c>
      <c r="F264" s="47">
        <f>IF(VLOOKUP($D264,$C$5:$AV$509,3,)=0,0,(VLOOKUP($D264,$C$5:$AV$509,4,)/VLOOKUP($D264,$C$5:$AV$509,3,))*$E264)</f>
        <v>0</v>
      </c>
      <c r="G264" s="47">
        <f>IF(VLOOKUP($D264,$C$5:$AV$509,3,)=0,0,(VLOOKUP($D264,$C$5:$AV$509,5,)/VLOOKUP($D264,$C$5:$AV$509,3,))*$E264)</f>
        <v>0</v>
      </c>
      <c r="H264" s="47">
        <f>IF(VLOOKUP($D264,$C$5:$AV$509,3,)=0,0,(VLOOKUP($D264,$C$5:$AV$509,6,)/VLOOKUP($D264,$C$5:$AV$509,3,))*$E264)</f>
        <v>0</v>
      </c>
      <c r="I264" s="47">
        <f>IF(VLOOKUP($D264,$C$5:$AV$509,3,)=0,0,(VLOOKUP($D264,$C$5:$AV$509,7,)/VLOOKUP($D264,$C$5:$AV$509,3,))*$E264)</f>
        <v>0</v>
      </c>
      <c r="J264" s="47">
        <f>IF(VLOOKUP($D264,$C$5:$AV$509,3,)=0,0,(VLOOKUP($D264,$C$5:$AV$509,8,)/VLOOKUP($D264,$C$5:$AV$509,3,))*$E264)</f>
        <v>0</v>
      </c>
      <c r="K264" s="47">
        <f>IF(VLOOKUP($D264,$C$5:$AV$509,3,)=0,0,(VLOOKUP($D264,$C$5:$AV$509,9,)/VLOOKUP($D264,$C$5:$AV$509,3,))*$E264)</f>
        <v>0</v>
      </c>
      <c r="L264" s="47">
        <f>IF(VLOOKUP($D264,$C$5:$AV$509,3,)=0,0,(VLOOKUP($D264,$C$5:$AV$509,10,)/VLOOKUP($D264,$C$5:$AV$509,3,))*$E264)</f>
        <v>0</v>
      </c>
      <c r="M264" s="47">
        <f>IF(VLOOKUP($D264,$C$5:$AV$509,3,)=0,0,(VLOOKUP($D264,$C$5:$AV$509,11,)/VLOOKUP($D264,$C$5:$AV$509,3,))*$E264)</f>
        <v>0</v>
      </c>
      <c r="N264" s="47">
        <f>IF(VLOOKUP($D264,$C$5:$AV$509,3,)=0,0,(VLOOKUP($D264,$C$5:$AV$509,12,)/VLOOKUP($D264,$C$5:$AV$509,3,))*$E264)</f>
        <v>0</v>
      </c>
      <c r="O264" s="47">
        <f>IF(VLOOKUP($D264,$C$5:$AV$509,3,)=0,0,(VLOOKUP($D264,$C$5:$AV$509,14,)/VLOOKUP($D264,$C$5:$AV$509,3,))*$E264)</f>
        <v>0</v>
      </c>
      <c r="P264" s="47">
        <f>IF(VLOOKUP($D264,$C$5:$AV$509,3,)=0,0,(VLOOKUP($D264,$C$5:$AV$509,14,)/VLOOKUP($D264,$C$5:$AV$509,3,))*$E264)</f>
        <v>0</v>
      </c>
      <c r="Q264" s="47">
        <f>IF(VLOOKUP($D264,$C$5:$AV$509,3,)=0,0,(VLOOKUP($D264,$C$5:$AV$509,14,)/VLOOKUP($D264,$C$5:$AV$509,3,))*$E264)</f>
        <v>0</v>
      </c>
      <c r="R264" s="47">
        <f>IF(VLOOKUP($D264,$C$5:$AV$509,3,)=0,0,(VLOOKUP($D264,$C$5:$AV$509,15,)/VLOOKUP($D264,$C$5:$AV$509,3,))*$E264)</f>
        <v>0</v>
      </c>
      <c r="S264" s="47">
        <f>IF(VLOOKUP($D264,$C$5:$AV$509,3,)=0,0,(VLOOKUP($D264,$C$5:$AV$509,16,)/VLOOKUP($D264,$C$5:$AV$509,3,))*$E264)</f>
        <v>0</v>
      </c>
      <c r="T264" s="47">
        <f>IF(VLOOKUP($D264,$C$5:$AV$509,3,)=0,0,(VLOOKUP($D264,$C$5:$AV$509,17,)/VLOOKUP($D264,$C$5:$AV$509,3,))*$E264)</f>
        <v>0</v>
      </c>
      <c r="U264" s="47">
        <f>IF(VLOOKUP($D264,$C$5:$AV$509,3,)=0,0,(VLOOKUP($D264,$C$5:$AV$509,18,)/VLOOKUP($D264,$C$5:$AV$509,3,))*$E264)</f>
        <v>0</v>
      </c>
      <c r="V264" s="47">
        <f>IF(VLOOKUP($D264,$C$5:$AV$509,3,)=0,0,(VLOOKUP($D264,$C$5:$AV$509,19,)/VLOOKUP($D264,$C$5:$AV$509,3,))*$E264)</f>
        <v>0</v>
      </c>
      <c r="W264" s="47">
        <f>IF(VLOOKUP($D264,$C$5:$AV$509,3,)=0,0,(VLOOKUP($D264,$C$5:$AV$509,20,)/VLOOKUP($D264,$C$5:$AV$509,3,))*$E264)</f>
        <v>0</v>
      </c>
      <c r="X264" s="47">
        <f>IF(VLOOKUP($D264,$C$5:$AV$509,3,)=0,0,(VLOOKUP($D264,$C$5:$AV$509,21,)/VLOOKUP($D264,$C$5:$AV$509,3,))*$E264)</f>
        <v>0</v>
      </c>
      <c r="Y264" s="47">
        <f>IF(VLOOKUP($D264,$C$5:$AV$509,3,)=0,0,(VLOOKUP($D264,$C$5:$AV$509,22,)/VLOOKUP($D264,$C$5:$AV$509,3,))*$E264)</f>
        <v>0</v>
      </c>
      <c r="Z264" s="47">
        <f>IF(VLOOKUP($D264,$C$5:$AV$509,3,)=0,0,(VLOOKUP($D264,$C$5:$AV$509,23,)/VLOOKUP($D264,$C$5:$AV$509,3,))*$E264)</f>
        <v>0</v>
      </c>
      <c r="AA264" s="47">
        <f>IF(VLOOKUP($D264,$C$5:$AV$509,3,)=0,0,(VLOOKUP($D264,$C$5:$AV$509,24,)/VLOOKUP($D264,$C$5:$AV$509,3,))*$E264)</f>
        <v>0</v>
      </c>
      <c r="AB264" s="47">
        <f>IF(VLOOKUP($D264,$C$5:$AV$509,3,)=0,0,(VLOOKUP($D264,$C$5:$AV$509,25,)/VLOOKUP($D264,$C$5:$AV$509,3,))*$E264)</f>
        <v>0</v>
      </c>
      <c r="AC264" s="47">
        <f>IF(VLOOKUP($D264,$C$5:$AV$509,3,)=0,0,(VLOOKUP($D264,$C$5:$AV$509,26,)/VLOOKUP($D264,$C$5:$AV$509,3,))*$E264)</f>
        <v>0</v>
      </c>
      <c r="AD264" s="47">
        <f>IF(VLOOKUP($D264,$C$5:$AV$509,3,)=0,0,(VLOOKUP($D264,$C$5:$AV$509,27,)/VLOOKUP($D264,$C$5:$AV$509,3,))*$E264)</f>
        <v>0</v>
      </c>
      <c r="AE264" s="47">
        <f>IF(VLOOKUP($D264,$C$5:$AV$509,3,)=0,0,(VLOOKUP($D264,$C$5:$AV$509,28,)/VLOOKUP($D264,$C$5:$AV$509,3,))*$E264)</f>
        <v>0</v>
      </c>
      <c r="AF264" s="47">
        <f>IF(VLOOKUP($D264,$C$5:$AV$509,3,)=0,0,(VLOOKUP($D264,$C$5:$AV$509,29,)/VLOOKUP($D264,$C$5:$AV$509,3,))*$E264)</f>
        <v>0</v>
      </c>
      <c r="AG264" s="47">
        <f>IF(VLOOKUP($D264,$C$5:$AV$509,3,)=0,0,(VLOOKUP($D264,$C$5:$AV$509,30,)/VLOOKUP($D264,$C$5:$AV$509,3,))*$E264)</f>
        <v>0</v>
      </c>
      <c r="AH264" s="47">
        <f t="shared" ref="AH264" si="165">SUM(F264:AG264)</f>
        <v>0</v>
      </c>
      <c r="AI264" s="27" t="str">
        <f>IF(ABS(E264-AH264)&lt;0.01,"ok","err")</f>
        <v>ok</v>
      </c>
    </row>
    <row r="265" spans="1:35" x14ac:dyDescent="0.2">
      <c r="E265" s="47"/>
    </row>
    <row r="266" spans="1:35" x14ac:dyDescent="0.2">
      <c r="A266" s="13" t="s">
        <v>470</v>
      </c>
      <c r="E266" s="47"/>
    </row>
    <row r="267" spans="1:35" x14ac:dyDescent="0.2">
      <c r="A267" s="90" t="s">
        <v>221</v>
      </c>
      <c r="C267" s="14" t="s">
        <v>305</v>
      </c>
      <c r="D267" s="14" t="s">
        <v>235</v>
      </c>
      <c r="E267" s="62">
        <f>'Func &amp; Classif'!AA314</f>
        <v>0</v>
      </c>
      <c r="F267" s="47">
        <f>IF(VLOOKUP($D267,$C$5:$AV$509,3,)=0,0,(VLOOKUP($D267,$C$5:$AV$509,4,)/VLOOKUP($D267,$C$5:$AV$509,3,))*$E267)</f>
        <v>0</v>
      </c>
      <c r="G267" s="47">
        <f>IF(VLOOKUP($D267,$C$5:$AV$509,3,)=0,0,(VLOOKUP($D267,$C$5:$AV$509,5,)/VLOOKUP($D267,$C$5:$AV$509,3,))*$E267)</f>
        <v>0</v>
      </c>
      <c r="H267" s="47">
        <f>IF(VLOOKUP($D267,$C$5:$AV$509,3,)=0,0,(VLOOKUP($D267,$C$5:$AV$509,6,)/VLOOKUP($D267,$C$5:$AV$509,3,))*$E267)</f>
        <v>0</v>
      </c>
      <c r="I267" s="47">
        <f>IF(VLOOKUP($D267,$C$5:$AV$509,3,)=0,0,(VLOOKUP($D267,$C$5:$AV$509,7,)/VLOOKUP($D267,$C$5:$AV$509,3,))*$E267)</f>
        <v>0</v>
      </c>
      <c r="J267" s="47">
        <f>IF(VLOOKUP($D267,$C$5:$AV$509,3,)=0,0,(VLOOKUP($D267,$C$5:$AV$509,8,)/VLOOKUP($D267,$C$5:$AV$509,3,))*$E267)</f>
        <v>0</v>
      </c>
      <c r="K267" s="47">
        <f>IF(VLOOKUP($D267,$C$5:$AV$509,3,)=0,0,(VLOOKUP($D267,$C$5:$AV$509,9,)/VLOOKUP($D267,$C$5:$AV$509,3,))*$E267)</f>
        <v>0</v>
      </c>
      <c r="L267" s="47">
        <f>IF(VLOOKUP($D267,$C$5:$AV$509,3,)=0,0,(VLOOKUP($D267,$C$5:$AV$509,10,)/VLOOKUP($D267,$C$5:$AV$509,3,))*$E267)</f>
        <v>0</v>
      </c>
      <c r="M267" s="47">
        <f>IF(VLOOKUP($D267,$C$5:$AV$509,3,)=0,0,(VLOOKUP($D267,$C$5:$AV$509,11,)/VLOOKUP($D267,$C$5:$AV$509,3,))*$E267)</f>
        <v>0</v>
      </c>
      <c r="N267" s="47">
        <f>IF(VLOOKUP($D267,$C$5:$AV$509,3,)=0,0,(VLOOKUP($D267,$C$5:$AV$509,12,)/VLOOKUP($D267,$C$5:$AV$509,3,))*$E267)</f>
        <v>0</v>
      </c>
      <c r="O267" s="47">
        <f>IF(VLOOKUP($D267,$C$5:$AV$509,3,)=0,0,(VLOOKUP($D267,$C$5:$AV$509,14,)/VLOOKUP($D267,$C$5:$AV$509,3,))*$E267)</f>
        <v>0</v>
      </c>
      <c r="P267" s="47">
        <f>IF(VLOOKUP($D267,$C$5:$AV$509,3,)=0,0,(VLOOKUP($D267,$C$5:$AV$509,14,)/VLOOKUP($D267,$C$5:$AV$509,3,))*$E267)</f>
        <v>0</v>
      </c>
      <c r="Q267" s="47">
        <f>IF(VLOOKUP($D267,$C$5:$AV$509,3,)=0,0,(VLOOKUP($D267,$C$5:$AV$509,14,)/VLOOKUP($D267,$C$5:$AV$509,3,))*$E267)</f>
        <v>0</v>
      </c>
      <c r="R267" s="47">
        <f>IF(VLOOKUP($D267,$C$5:$AV$509,3,)=0,0,(VLOOKUP($D267,$C$5:$AV$509,15,)/VLOOKUP($D267,$C$5:$AV$509,3,))*$E267)</f>
        <v>0</v>
      </c>
      <c r="S267" s="47">
        <f>IF(VLOOKUP($D267,$C$5:$AV$509,3,)=0,0,(VLOOKUP($D267,$C$5:$AV$509,16,)/VLOOKUP($D267,$C$5:$AV$509,3,))*$E267)</f>
        <v>0</v>
      </c>
      <c r="T267" s="47">
        <f>IF(VLOOKUP($D267,$C$5:$AV$509,3,)=0,0,(VLOOKUP($D267,$C$5:$AV$509,17,)/VLOOKUP($D267,$C$5:$AV$509,3,))*$E267)</f>
        <v>0</v>
      </c>
      <c r="U267" s="47">
        <f>IF(VLOOKUP($D267,$C$5:$AV$509,3,)=0,0,(VLOOKUP($D267,$C$5:$AV$509,18,)/VLOOKUP($D267,$C$5:$AV$509,3,))*$E267)</f>
        <v>0</v>
      </c>
      <c r="V267" s="47">
        <f>IF(VLOOKUP($D267,$C$5:$AV$509,3,)=0,0,(VLOOKUP($D267,$C$5:$AV$509,19,)/VLOOKUP($D267,$C$5:$AV$509,3,))*$E267)</f>
        <v>0</v>
      </c>
      <c r="W267" s="47">
        <f>IF(VLOOKUP($D267,$C$5:$AV$509,3,)=0,0,(VLOOKUP($D267,$C$5:$AV$509,20,)/VLOOKUP($D267,$C$5:$AV$509,3,))*$E267)</f>
        <v>0</v>
      </c>
      <c r="X267" s="47">
        <f>IF(VLOOKUP($D267,$C$5:$AV$509,3,)=0,0,(VLOOKUP($D267,$C$5:$AV$509,21,)/VLOOKUP($D267,$C$5:$AV$509,3,))*$E267)</f>
        <v>0</v>
      </c>
      <c r="Y267" s="47">
        <f>IF(VLOOKUP($D267,$C$5:$AV$509,3,)=0,0,(VLOOKUP($D267,$C$5:$AV$509,22,)/VLOOKUP($D267,$C$5:$AV$509,3,))*$E267)</f>
        <v>0</v>
      </c>
      <c r="Z267" s="47">
        <f>IF(VLOOKUP($D267,$C$5:$AV$509,3,)=0,0,(VLOOKUP($D267,$C$5:$AV$509,23,)/VLOOKUP($D267,$C$5:$AV$509,3,))*$E267)</f>
        <v>0</v>
      </c>
      <c r="AA267" s="47">
        <f>IF(VLOOKUP($D267,$C$5:$AV$509,3,)=0,0,(VLOOKUP($D267,$C$5:$AV$509,24,)/VLOOKUP($D267,$C$5:$AV$509,3,))*$E267)</f>
        <v>0</v>
      </c>
      <c r="AB267" s="47">
        <f>IF(VLOOKUP($D267,$C$5:$AV$509,3,)=0,0,(VLOOKUP($D267,$C$5:$AV$509,25,)/VLOOKUP($D267,$C$5:$AV$509,3,))*$E267)</f>
        <v>0</v>
      </c>
      <c r="AC267" s="47">
        <f>IF(VLOOKUP($D267,$C$5:$AV$509,3,)=0,0,(VLOOKUP($D267,$C$5:$AV$509,26,)/VLOOKUP($D267,$C$5:$AV$509,3,))*$E267)</f>
        <v>0</v>
      </c>
      <c r="AD267" s="47">
        <f>IF(VLOOKUP($D267,$C$5:$AV$509,3,)=0,0,(VLOOKUP($D267,$C$5:$AV$509,27,)/VLOOKUP($D267,$C$5:$AV$509,3,))*$E267)</f>
        <v>0</v>
      </c>
      <c r="AE267" s="47">
        <f>IF(VLOOKUP($D267,$C$5:$AV$509,3,)=0,0,(VLOOKUP($D267,$C$5:$AV$509,28,)/VLOOKUP($D267,$C$5:$AV$509,3,))*$E267)</f>
        <v>0</v>
      </c>
      <c r="AF267" s="47">
        <f>IF(VLOOKUP($D267,$C$5:$AV$509,3,)=0,0,(VLOOKUP($D267,$C$5:$AV$509,29,)/VLOOKUP($D267,$C$5:$AV$509,3,))*$E267)</f>
        <v>0</v>
      </c>
      <c r="AG267" s="47">
        <f>IF(VLOOKUP($D267,$C$5:$AV$509,3,)=0,0,(VLOOKUP($D267,$C$5:$AV$509,30,)/VLOOKUP($D267,$C$5:$AV$509,3,))*$E267)</f>
        <v>0</v>
      </c>
      <c r="AH267" s="47">
        <f t="shared" ref="AH267" si="166">SUM(F267:AG267)</f>
        <v>0</v>
      </c>
      <c r="AI267" s="27" t="str">
        <f>IF(ABS(E267-AH267)&lt;0.01,"ok","err")</f>
        <v>ok</v>
      </c>
    </row>
    <row r="268" spans="1:35" x14ac:dyDescent="0.2">
      <c r="E268" s="47"/>
    </row>
    <row r="269" spans="1:35" x14ac:dyDescent="0.2">
      <c r="A269" s="14" t="s">
        <v>0</v>
      </c>
      <c r="C269" s="14" t="s">
        <v>309</v>
      </c>
      <c r="E269" s="62">
        <f>E239+E242+E245+E250+E255+E258+E261+E264+E267</f>
        <v>0</v>
      </c>
      <c r="F269" s="62">
        <f t="shared" ref="F269:S269" si="167">F239+F242+F245+F250+F255+F258+F261+F264+F267</f>
        <v>0</v>
      </c>
      <c r="G269" s="62">
        <f t="shared" si="167"/>
        <v>0</v>
      </c>
      <c r="H269" s="62">
        <f t="shared" si="167"/>
        <v>0</v>
      </c>
      <c r="I269" s="62">
        <f t="shared" si="167"/>
        <v>0</v>
      </c>
      <c r="J269" s="62">
        <f t="shared" si="167"/>
        <v>0</v>
      </c>
      <c r="K269" s="62">
        <f t="shared" si="167"/>
        <v>0</v>
      </c>
      <c r="L269" s="62">
        <f t="shared" si="167"/>
        <v>0</v>
      </c>
      <c r="M269" s="62">
        <f t="shared" ref="M269" si="168">M239+M242+M245+M250+M255+M258+M261+M264+M267</f>
        <v>0</v>
      </c>
      <c r="N269" s="62">
        <f t="shared" si="167"/>
        <v>0</v>
      </c>
      <c r="O269" s="62">
        <f t="shared" si="167"/>
        <v>0</v>
      </c>
      <c r="P269" s="62">
        <f t="shared" si="167"/>
        <v>0</v>
      </c>
      <c r="Q269" s="62">
        <f t="shared" si="167"/>
        <v>0</v>
      </c>
      <c r="R269" s="62">
        <f t="shared" si="167"/>
        <v>0</v>
      </c>
      <c r="S269" s="62">
        <f t="shared" si="167"/>
        <v>0</v>
      </c>
      <c r="T269" s="62">
        <f t="shared" ref="T269:AG269" si="169">T239+T245+T250+T255+T258+T261+T264+T267</f>
        <v>0</v>
      </c>
      <c r="U269" s="62">
        <f t="shared" si="169"/>
        <v>0</v>
      </c>
      <c r="V269" s="62">
        <f t="shared" si="169"/>
        <v>0</v>
      </c>
      <c r="W269" s="62">
        <f t="shared" si="169"/>
        <v>0</v>
      </c>
      <c r="X269" s="62">
        <f t="shared" si="169"/>
        <v>0</v>
      </c>
      <c r="Y269" s="62">
        <f t="shared" si="169"/>
        <v>0</v>
      </c>
      <c r="Z269" s="62">
        <f t="shared" si="169"/>
        <v>0</v>
      </c>
      <c r="AA269" s="62">
        <f t="shared" si="169"/>
        <v>0</v>
      </c>
      <c r="AB269" s="62">
        <f t="shared" si="169"/>
        <v>0</v>
      </c>
      <c r="AC269" s="62">
        <f t="shared" si="169"/>
        <v>0</v>
      </c>
      <c r="AD269" s="62">
        <f t="shared" si="169"/>
        <v>0</v>
      </c>
      <c r="AE269" s="62">
        <f t="shared" si="169"/>
        <v>0</v>
      </c>
      <c r="AF269" s="62">
        <f t="shared" si="169"/>
        <v>0</v>
      </c>
      <c r="AG269" s="62">
        <f t="shared" si="169"/>
        <v>0</v>
      </c>
      <c r="AH269" s="87">
        <f>SUM(F269:AG269)</f>
        <v>0</v>
      </c>
      <c r="AI269" s="27" t="str">
        <f>IF(ABS(E269-AH269)&lt;0.01,"ok","err")</f>
        <v>ok</v>
      </c>
    </row>
    <row r="272" spans="1:35" x14ac:dyDescent="0.2">
      <c r="A272" s="25" t="s">
        <v>310</v>
      </c>
    </row>
    <row r="274" spans="1:35" x14ac:dyDescent="0.2">
      <c r="A274" s="13" t="s">
        <v>896</v>
      </c>
    </row>
    <row r="275" spans="1:35" x14ac:dyDescent="0.2">
      <c r="A275" s="90" t="s">
        <v>209</v>
      </c>
      <c r="C275" s="14" t="s">
        <v>311</v>
      </c>
      <c r="D275" s="14" t="s">
        <v>657</v>
      </c>
      <c r="E275" s="62">
        <f>'Func &amp; Classif'!H316</f>
        <v>0</v>
      </c>
      <c r="F275" s="47">
        <f>IF(VLOOKUP($D275,$C$5:$AV$509,3,)=0,0,(VLOOKUP($D275,$C$5:$AV$509,4,)/VLOOKUP($D275,$C$5:$AV$509,3,))*$E275)</f>
        <v>0</v>
      </c>
      <c r="G275" s="47">
        <f>IF(VLOOKUP($D275,$C$5:$AV$509,3,)=0,0,(VLOOKUP($D275,$C$5:$AV$509,5,)/VLOOKUP($D275,$C$5:$AV$509,3,))*$E275)</f>
        <v>0</v>
      </c>
      <c r="H275" s="47">
        <f>IF(VLOOKUP($D275,$C$5:$AV$509,3,)=0,0,(VLOOKUP($D275,$C$5:$AV$509,6,)/VLOOKUP($D275,$C$5:$AV$509,3,))*$E275)</f>
        <v>0</v>
      </c>
      <c r="I275" s="47">
        <f>IF(VLOOKUP($D275,$C$5:$AV$509,3,)=0,0,(VLOOKUP($D275,$C$5:$AV$509,7,)/VLOOKUP($D275,$C$5:$AV$509,3,))*$E275)</f>
        <v>0</v>
      </c>
      <c r="J275" s="47">
        <f>IF(VLOOKUP($D275,$C$5:$AV$509,3,)=0,0,(VLOOKUP($D275,$C$5:$AV$509,8,)/VLOOKUP($D275,$C$5:$AV$509,3,))*$E275)</f>
        <v>0</v>
      </c>
      <c r="K275" s="47">
        <f>IF(VLOOKUP($D275,$C$5:$AV$509,3,)=0,0,(VLOOKUP($D275,$C$5:$AV$509,9,)/VLOOKUP($D275,$C$5:$AV$509,3,))*$E275)</f>
        <v>0</v>
      </c>
      <c r="L275" s="47">
        <f>IF(VLOOKUP($D275,$C$5:$AV$509,3,)=0,0,(VLOOKUP($D275,$C$5:$AV$509,10,)/VLOOKUP($D275,$C$5:$AV$509,3,))*$E275)</f>
        <v>0</v>
      </c>
      <c r="M275" s="47">
        <f>IF(VLOOKUP($D275,$C$5:$AV$509,3,)=0,0,(VLOOKUP($D275,$C$5:$AV$509,11,)/VLOOKUP($D275,$C$5:$AV$509,3,))*$E275)</f>
        <v>0</v>
      </c>
      <c r="N275" s="47">
        <f>IF(VLOOKUP($D275,$C$5:$AV$509,3,)=0,0,(VLOOKUP($D275,$C$5:$AV$509,12,)/VLOOKUP($D275,$C$5:$AV$509,3,))*$E275)</f>
        <v>0</v>
      </c>
      <c r="O275" s="47">
        <f t="shared" ref="O275:Q276" si="170">IF(VLOOKUP($D275,$C$5:$AV$509,3,)=0,0,(VLOOKUP($D275,$C$5:$AV$509,14,)/VLOOKUP($D275,$C$5:$AV$509,3,))*$E275)</f>
        <v>0</v>
      </c>
      <c r="P275" s="47">
        <f t="shared" si="170"/>
        <v>0</v>
      </c>
      <c r="Q275" s="47">
        <f t="shared" si="170"/>
        <v>0</v>
      </c>
      <c r="R275" s="47">
        <f>IF(VLOOKUP($D275,$C$5:$AV$509,3,)=0,0,(VLOOKUP($D275,$C$5:$AV$509,15,)/VLOOKUP($D275,$C$5:$AV$509,3,))*$E275)</f>
        <v>0</v>
      </c>
      <c r="S275" s="47">
        <f>IF(VLOOKUP($D275,$C$5:$AV$509,3,)=0,0,(VLOOKUP($D275,$C$5:$AV$509,16,)/VLOOKUP($D275,$C$5:$AV$509,3,))*$E275)</f>
        <v>0</v>
      </c>
      <c r="T275" s="47">
        <f>IF(VLOOKUP($D275,$C$5:$AV$509,3,)=0,0,(VLOOKUP($D275,$C$5:$AV$509,17,)/VLOOKUP($D275,$C$5:$AV$509,3,))*$E275)</f>
        <v>0</v>
      </c>
      <c r="U275" s="47">
        <f>IF(VLOOKUP($D275,$C$5:$AV$509,3,)=0,0,(VLOOKUP($D275,$C$5:$AV$509,18,)/VLOOKUP($D275,$C$5:$AV$509,3,))*$E275)</f>
        <v>0</v>
      </c>
      <c r="V275" s="47">
        <f>IF(VLOOKUP($D275,$C$5:$AV$509,3,)=0,0,(VLOOKUP($D275,$C$5:$AV$509,19,)/VLOOKUP($D275,$C$5:$AV$509,3,))*$E275)</f>
        <v>0</v>
      </c>
      <c r="W275" s="47">
        <f>IF(VLOOKUP($D275,$C$5:$AV$509,3,)=0,0,(VLOOKUP($D275,$C$5:$AV$509,20,)/VLOOKUP($D275,$C$5:$AV$509,3,))*$E275)</f>
        <v>0</v>
      </c>
      <c r="X275" s="47">
        <f>IF(VLOOKUP($D275,$C$5:$AV$509,3,)=0,0,(VLOOKUP($D275,$C$5:$AV$509,21,)/VLOOKUP($D275,$C$5:$AV$509,3,))*$E275)</f>
        <v>0</v>
      </c>
      <c r="Y275" s="47">
        <f>IF(VLOOKUP($D275,$C$5:$AV$509,3,)=0,0,(VLOOKUP($D275,$C$5:$AV$509,22,)/VLOOKUP($D275,$C$5:$AV$509,3,))*$E275)</f>
        <v>0</v>
      </c>
      <c r="Z275" s="47">
        <f>IF(VLOOKUP($D275,$C$5:$AV$509,3,)=0,0,(VLOOKUP($D275,$C$5:$AV$509,23,)/VLOOKUP($D275,$C$5:$AV$509,3,))*$E275)</f>
        <v>0</v>
      </c>
      <c r="AA275" s="47">
        <f>IF(VLOOKUP($D275,$C$5:$AV$509,3,)=0,0,(VLOOKUP($D275,$C$5:$AV$509,24,)/VLOOKUP($D275,$C$5:$AV$509,3,))*$E275)</f>
        <v>0</v>
      </c>
      <c r="AB275" s="47">
        <f>IF(VLOOKUP($D275,$C$5:$AV$509,3,)=0,0,(VLOOKUP($D275,$C$5:$AV$509,25,)/VLOOKUP($D275,$C$5:$AV$509,3,))*$E275)</f>
        <v>0</v>
      </c>
      <c r="AC275" s="47">
        <f>IF(VLOOKUP($D275,$C$5:$AV$509,3,)=0,0,(VLOOKUP($D275,$C$5:$AV$509,26,)/VLOOKUP($D275,$C$5:$AV$509,3,))*$E275)</f>
        <v>0</v>
      </c>
      <c r="AD275" s="47">
        <f>IF(VLOOKUP($D275,$C$5:$AV$509,3,)=0,0,(VLOOKUP($D275,$C$5:$AV$509,27,)/VLOOKUP($D275,$C$5:$AV$509,3,))*$E275)</f>
        <v>0</v>
      </c>
      <c r="AE275" s="47">
        <f>IF(VLOOKUP($D275,$C$5:$AV$509,3,)=0,0,(VLOOKUP($D275,$C$5:$AV$509,28,)/VLOOKUP($D275,$C$5:$AV$509,3,))*$E275)</f>
        <v>0</v>
      </c>
      <c r="AF275" s="47">
        <f>IF(VLOOKUP($D275,$C$5:$AV$509,3,)=0,0,(VLOOKUP($D275,$C$5:$AV$509,29,)/VLOOKUP($D275,$C$5:$AV$509,3,))*$E275)</f>
        <v>0</v>
      </c>
      <c r="AG275" s="47">
        <f>IF(VLOOKUP($D275,$C$5:$AV$509,3,)=0,0,(VLOOKUP($D275,$C$5:$AV$509,30,)/VLOOKUP($D275,$C$5:$AV$509,3,))*$E275)</f>
        <v>0</v>
      </c>
      <c r="AH275" s="47">
        <f t="shared" ref="AH275:AH276" si="171">SUM(F275:AG275)</f>
        <v>0</v>
      </c>
      <c r="AI275" s="27" t="str">
        <f>IF(ABS(E275-AH275)&lt;0.01,"ok","err")</f>
        <v>ok</v>
      </c>
    </row>
    <row r="276" spans="1:35" x14ac:dyDescent="0.2">
      <c r="A276" s="90" t="s">
        <v>212</v>
      </c>
      <c r="C276" s="14" t="s">
        <v>312</v>
      </c>
      <c r="D276" s="14" t="s">
        <v>666</v>
      </c>
      <c r="E276" s="47">
        <f>'Func &amp; Classif'!I316</f>
        <v>0</v>
      </c>
      <c r="F276" s="47">
        <f>IF(VLOOKUP($D276,$C$5:$AV$509,3,)=0,0,(VLOOKUP($D276,$C$5:$AV$509,4,)/VLOOKUP($D276,$C$5:$AV$509,3,))*$E276)</f>
        <v>0</v>
      </c>
      <c r="G276" s="47">
        <f>IF(VLOOKUP($D276,$C$5:$AV$509,3,)=0,0,(VLOOKUP($D276,$C$5:$AV$509,5,)/VLOOKUP($D276,$C$5:$AV$509,3,))*$E276)</f>
        <v>0</v>
      </c>
      <c r="H276" s="47">
        <f>IF(VLOOKUP($D276,$C$5:$AV$509,3,)=0,0,(VLOOKUP($D276,$C$5:$AV$509,6,)/VLOOKUP($D276,$C$5:$AV$509,3,))*$E276)</f>
        <v>0</v>
      </c>
      <c r="I276" s="47">
        <f>IF(VLOOKUP($D276,$C$5:$AV$509,3,)=0,0,(VLOOKUP($D276,$C$5:$AV$509,7,)/VLOOKUP($D276,$C$5:$AV$509,3,))*$E276)</f>
        <v>0</v>
      </c>
      <c r="J276" s="47">
        <f>IF(VLOOKUP($D276,$C$5:$AV$509,3,)=0,0,(VLOOKUP($D276,$C$5:$AV$509,8,)/VLOOKUP($D276,$C$5:$AV$509,3,))*$E276)</f>
        <v>0</v>
      </c>
      <c r="K276" s="47">
        <f>IF(VLOOKUP($D276,$C$5:$AV$509,3,)=0,0,(VLOOKUP($D276,$C$5:$AV$509,9,)/VLOOKUP($D276,$C$5:$AV$509,3,))*$E276)</f>
        <v>0</v>
      </c>
      <c r="L276" s="47">
        <f>IF(VLOOKUP($D276,$C$5:$AV$509,3,)=0,0,(VLOOKUP($D276,$C$5:$AV$509,10,)/VLOOKUP($D276,$C$5:$AV$509,3,))*$E276)</f>
        <v>0</v>
      </c>
      <c r="M276" s="47">
        <f>IF(VLOOKUP($D276,$C$5:$AV$509,3,)=0,0,(VLOOKUP($D276,$C$5:$AV$509,11,)/VLOOKUP($D276,$C$5:$AV$509,3,))*$E276)</f>
        <v>0</v>
      </c>
      <c r="N276" s="47">
        <f>IF(VLOOKUP($D276,$C$5:$AV$509,3,)=0,0,(VLOOKUP($D276,$C$5:$AV$509,12,)/VLOOKUP($D276,$C$5:$AV$509,3,))*$E276)</f>
        <v>0</v>
      </c>
      <c r="O276" s="47">
        <f t="shared" si="170"/>
        <v>0</v>
      </c>
      <c r="P276" s="47">
        <f t="shared" si="170"/>
        <v>0</v>
      </c>
      <c r="Q276" s="47">
        <f t="shared" si="170"/>
        <v>0</v>
      </c>
      <c r="R276" s="47">
        <f>IF(VLOOKUP($D276,$C$5:$AV$509,3,)=0,0,(VLOOKUP($D276,$C$5:$AV$509,15,)/VLOOKUP($D276,$C$5:$AV$509,3,))*$E276)</f>
        <v>0</v>
      </c>
      <c r="S276" s="47">
        <f>IF(VLOOKUP($D276,$C$5:$AV$509,3,)=0,0,(VLOOKUP($D276,$C$5:$AV$509,16,)/VLOOKUP($D276,$C$5:$AV$509,3,))*$E276)</f>
        <v>0</v>
      </c>
      <c r="T276" s="47">
        <f>IF(VLOOKUP($D276,$C$5:$AV$509,3,)=0,0,(VLOOKUP($D276,$C$5:$AV$509,17,)/VLOOKUP($D276,$C$5:$AV$509,3,))*$E276)</f>
        <v>0</v>
      </c>
      <c r="U276" s="47">
        <f>IF(VLOOKUP($D276,$C$5:$AV$509,3,)=0,0,(VLOOKUP($D276,$C$5:$AV$509,18,)/VLOOKUP($D276,$C$5:$AV$509,3,))*$E276)</f>
        <v>0</v>
      </c>
      <c r="V276" s="47">
        <f>IF(VLOOKUP($D276,$C$5:$AV$509,3,)=0,0,(VLOOKUP($D276,$C$5:$AV$509,19,)/VLOOKUP($D276,$C$5:$AV$509,3,))*$E276)</f>
        <v>0</v>
      </c>
      <c r="W276" s="47">
        <f>IF(VLOOKUP($D276,$C$5:$AV$509,3,)=0,0,(VLOOKUP($D276,$C$5:$AV$509,20,)/VLOOKUP($D276,$C$5:$AV$509,3,))*$E276)</f>
        <v>0</v>
      </c>
      <c r="X276" s="47">
        <f>IF(VLOOKUP($D276,$C$5:$AV$509,3,)=0,0,(VLOOKUP($D276,$C$5:$AV$509,21,)/VLOOKUP($D276,$C$5:$AV$509,3,))*$E276)</f>
        <v>0</v>
      </c>
      <c r="Y276" s="47">
        <f>IF(VLOOKUP($D276,$C$5:$AV$509,3,)=0,0,(VLOOKUP($D276,$C$5:$AV$509,22,)/VLOOKUP($D276,$C$5:$AV$509,3,))*$E276)</f>
        <v>0</v>
      </c>
      <c r="Z276" s="47">
        <f>IF(VLOOKUP($D276,$C$5:$AV$509,3,)=0,0,(VLOOKUP($D276,$C$5:$AV$509,23,)/VLOOKUP($D276,$C$5:$AV$509,3,))*$E276)</f>
        <v>0</v>
      </c>
      <c r="AA276" s="47">
        <f>IF(VLOOKUP($D276,$C$5:$AV$509,3,)=0,0,(VLOOKUP($D276,$C$5:$AV$509,24,)/VLOOKUP($D276,$C$5:$AV$509,3,))*$E276)</f>
        <v>0</v>
      </c>
      <c r="AB276" s="47">
        <f>IF(VLOOKUP($D276,$C$5:$AV$509,3,)=0,0,(VLOOKUP($D276,$C$5:$AV$509,25,)/VLOOKUP($D276,$C$5:$AV$509,3,))*$E276)</f>
        <v>0</v>
      </c>
      <c r="AC276" s="47">
        <f>IF(VLOOKUP($D276,$C$5:$AV$509,3,)=0,0,(VLOOKUP($D276,$C$5:$AV$509,26,)/VLOOKUP($D276,$C$5:$AV$509,3,))*$E276)</f>
        <v>0</v>
      </c>
      <c r="AD276" s="47">
        <f>IF(VLOOKUP($D276,$C$5:$AV$509,3,)=0,0,(VLOOKUP($D276,$C$5:$AV$509,27,)/VLOOKUP($D276,$C$5:$AV$509,3,))*$E276)</f>
        <v>0</v>
      </c>
      <c r="AE276" s="47">
        <f>IF(VLOOKUP($D276,$C$5:$AV$509,3,)=0,0,(VLOOKUP($D276,$C$5:$AV$509,28,)/VLOOKUP($D276,$C$5:$AV$509,3,))*$E276)</f>
        <v>0</v>
      </c>
      <c r="AF276" s="47">
        <f>IF(VLOOKUP($D276,$C$5:$AV$509,3,)=0,0,(VLOOKUP($D276,$C$5:$AV$509,29,)/VLOOKUP($D276,$C$5:$AV$509,3,))*$E276)</f>
        <v>0</v>
      </c>
      <c r="AG276" s="47">
        <f>IF(VLOOKUP($D276,$C$5:$AV$509,3,)=0,0,(VLOOKUP($D276,$C$5:$AV$509,30,)/VLOOKUP($D276,$C$5:$AV$509,3,))*$E276)</f>
        <v>0</v>
      </c>
      <c r="AH276" s="47">
        <f t="shared" si="171"/>
        <v>0</v>
      </c>
      <c r="AI276" s="27" t="str">
        <f>IF(ABS(E276-AH276)&lt;0.01,"ok","err")</f>
        <v>ok</v>
      </c>
    </row>
    <row r="277" spans="1:35" x14ac:dyDescent="0.2">
      <c r="A277" s="14" t="s">
        <v>215</v>
      </c>
      <c r="C277" s="14" t="s">
        <v>313</v>
      </c>
      <c r="E277" s="47">
        <f t="shared" ref="E277:U277" si="172">E275+E276</f>
        <v>0</v>
      </c>
      <c r="F277" s="62">
        <f t="shared" si="172"/>
        <v>0</v>
      </c>
      <c r="G277" s="62">
        <f t="shared" si="172"/>
        <v>0</v>
      </c>
      <c r="H277" s="62">
        <f t="shared" si="172"/>
        <v>0</v>
      </c>
      <c r="I277" s="62">
        <f t="shared" si="172"/>
        <v>0</v>
      </c>
      <c r="J277" s="62">
        <f t="shared" si="172"/>
        <v>0</v>
      </c>
      <c r="K277" s="62">
        <f t="shared" si="172"/>
        <v>0</v>
      </c>
      <c r="L277" s="62">
        <f t="shared" si="172"/>
        <v>0</v>
      </c>
      <c r="M277" s="62">
        <f t="shared" ref="M277" si="173">M275+M276</f>
        <v>0</v>
      </c>
      <c r="N277" s="62">
        <f t="shared" si="172"/>
        <v>0</v>
      </c>
      <c r="O277" s="62">
        <f t="shared" si="172"/>
        <v>0</v>
      </c>
      <c r="P277" s="62">
        <f t="shared" si="172"/>
        <v>0</v>
      </c>
      <c r="Q277" s="62">
        <f t="shared" si="172"/>
        <v>0</v>
      </c>
      <c r="R277" s="62">
        <f t="shared" si="172"/>
        <v>0</v>
      </c>
      <c r="S277" s="62">
        <f t="shared" si="172"/>
        <v>0</v>
      </c>
      <c r="T277" s="62">
        <f t="shared" si="172"/>
        <v>0</v>
      </c>
      <c r="U277" s="62">
        <f t="shared" si="172"/>
        <v>0</v>
      </c>
      <c r="V277" s="62">
        <f t="shared" ref="V277:AG277" si="174">V275+V276</f>
        <v>0</v>
      </c>
      <c r="W277" s="62">
        <f t="shared" si="174"/>
        <v>0</v>
      </c>
      <c r="X277" s="62">
        <f t="shared" si="174"/>
        <v>0</v>
      </c>
      <c r="Y277" s="62">
        <f t="shared" si="174"/>
        <v>0</v>
      </c>
      <c r="Z277" s="62">
        <f t="shared" si="174"/>
        <v>0</v>
      </c>
      <c r="AA277" s="62">
        <f t="shared" si="174"/>
        <v>0</v>
      </c>
      <c r="AB277" s="62">
        <f t="shared" si="174"/>
        <v>0</v>
      </c>
      <c r="AC277" s="62">
        <f t="shared" si="174"/>
        <v>0</v>
      </c>
      <c r="AD277" s="62">
        <f t="shared" si="174"/>
        <v>0</v>
      </c>
      <c r="AE277" s="62">
        <f t="shared" si="174"/>
        <v>0</v>
      </c>
      <c r="AF277" s="62">
        <f t="shared" si="174"/>
        <v>0</v>
      </c>
      <c r="AG277" s="62">
        <f t="shared" si="174"/>
        <v>0</v>
      </c>
      <c r="AH277" s="87">
        <f>SUM(F277:AG277)</f>
        <v>0</v>
      </c>
      <c r="AI277" s="27" t="str">
        <f>IF(ABS(E277-AH277)&lt;0.01,"ok","err")</f>
        <v>ok</v>
      </c>
    </row>
    <row r="278" spans="1:35" x14ac:dyDescent="0.2">
      <c r="E278" s="47"/>
      <c r="F278" s="47"/>
    </row>
    <row r="279" spans="1:35" x14ac:dyDescent="0.2">
      <c r="A279" s="13" t="s">
        <v>350</v>
      </c>
      <c r="E279" s="47"/>
      <c r="F279" s="47"/>
    </row>
    <row r="280" spans="1:35" x14ac:dyDescent="0.2">
      <c r="A280" s="90" t="s">
        <v>209</v>
      </c>
      <c r="C280" s="14" t="s">
        <v>892</v>
      </c>
      <c r="D280" s="14" t="s">
        <v>625</v>
      </c>
      <c r="E280" s="62">
        <f>'Func &amp; Classif'!K316</f>
        <v>0</v>
      </c>
      <c r="F280" s="47">
        <f>IF(VLOOKUP($D280,$C$5:$AV$509,3,)=0,0,(VLOOKUP($D280,$C$5:$AV$509,4,)/VLOOKUP($D280,$C$5:$AV$509,3,))*$E280)</f>
        <v>0</v>
      </c>
      <c r="G280" s="47">
        <f>IF(VLOOKUP($D280,$C$5:$AV$509,3,)=0,0,(VLOOKUP($D280,$C$5:$AV$509,5,)/VLOOKUP($D280,$C$5:$AV$509,3,))*$E280)</f>
        <v>0</v>
      </c>
      <c r="H280" s="47">
        <f>IF(VLOOKUP($D280,$C$5:$AV$509,3,)=0,0,(VLOOKUP($D280,$C$5:$AV$509,6,)/VLOOKUP($D280,$C$5:$AV$509,3,))*$E280)</f>
        <v>0</v>
      </c>
      <c r="I280" s="47">
        <f>IF(VLOOKUP($D280,$C$5:$AV$509,3,)=0,0,(VLOOKUP($D280,$C$5:$AV$509,7,)/VLOOKUP($D280,$C$5:$AV$509,3,))*$E280)</f>
        <v>0</v>
      </c>
      <c r="J280" s="47">
        <f>IF(VLOOKUP($D280,$C$5:$AV$509,3,)=0,0,(VLOOKUP($D280,$C$5:$AV$509,8,)/VLOOKUP($D280,$C$5:$AV$509,3,))*$E280)</f>
        <v>0</v>
      </c>
      <c r="K280" s="47">
        <f>IF(VLOOKUP($D280,$C$5:$AV$509,3,)=0,0,(VLOOKUP($D280,$C$5:$AV$509,9,)/VLOOKUP($D280,$C$5:$AV$509,3,))*$E280)</f>
        <v>0</v>
      </c>
      <c r="L280" s="47">
        <f>IF(VLOOKUP($D280,$C$5:$AV$509,3,)=0,0,(VLOOKUP($D280,$C$5:$AV$509,10,)/VLOOKUP($D280,$C$5:$AV$509,3,))*$E280)</f>
        <v>0</v>
      </c>
      <c r="M280" s="47">
        <f>IF(VLOOKUP($D280,$C$5:$AV$509,3,)=0,0,(VLOOKUP($D280,$C$5:$AV$509,11,)/VLOOKUP($D280,$C$5:$AV$509,3,))*$E280)</f>
        <v>0</v>
      </c>
      <c r="N280" s="47">
        <f>IF(VLOOKUP($D280,$C$5:$AV$509,3,)=0,0,(VLOOKUP($D280,$C$5:$AV$509,12,)/VLOOKUP($D280,$C$5:$AV$509,3,))*$E280)</f>
        <v>0</v>
      </c>
      <c r="O280" s="47">
        <f>IF(VLOOKUP($D280,$C$5:$AV$509,3,)=0,0,(VLOOKUP($D280,$C$5:$AV$509,14,)/VLOOKUP($D280,$C$5:$AV$509,3,))*$E280)</f>
        <v>0</v>
      </c>
      <c r="P280" s="47">
        <f>IF(VLOOKUP($D280,$C$5:$AV$509,3,)=0,0,(VLOOKUP($D280,$C$5:$AV$509,14,)/VLOOKUP($D280,$C$5:$AV$509,3,))*$E280)</f>
        <v>0</v>
      </c>
      <c r="Q280" s="47">
        <f>IF(VLOOKUP($D280,$C$5:$AV$509,3,)=0,0,(VLOOKUP($D280,$C$5:$AV$509,14,)/VLOOKUP($D280,$C$5:$AV$509,3,))*$E280)</f>
        <v>0</v>
      </c>
      <c r="R280" s="47">
        <f>IF(VLOOKUP($D280,$C$5:$AV$509,3,)=0,0,(VLOOKUP($D280,$C$5:$AV$509,15,)/VLOOKUP($D280,$C$5:$AV$509,3,))*$E280)</f>
        <v>0</v>
      </c>
      <c r="S280" s="47">
        <f>IF(VLOOKUP($D280,$C$5:$AV$509,3,)=0,0,(VLOOKUP($D280,$C$5:$AV$509,16,)/VLOOKUP($D280,$C$5:$AV$509,3,))*$E280)</f>
        <v>0</v>
      </c>
      <c r="T280" s="47">
        <f>IF(VLOOKUP($D280,$C$5:$AV$509,3,)=0,0,(VLOOKUP($D280,$C$5:$AV$509,17,)/VLOOKUP($D280,$C$5:$AV$509,3,))*$E280)</f>
        <v>0</v>
      </c>
      <c r="U280" s="47">
        <f>IF(VLOOKUP($D280,$C$5:$AV$509,3,)=0,0,(VLOOKUP($D280,$C$5:$AV$509,18,)/VLOOKUP($D280,$C$5:$AV$509,3,))*$E280)</f>
        <v>0</v>
      </c>
      <c r="V280" s="47">
        <f>IF(VLOOKUP($D280,$C$5:$AV$509,3,)=0,0,(VLOOKUP($D280,$C$5:$AV$509,19,)/VLOOKUP($D280,$C$5:$AV$509,3,))*$E280)</f>
        <v>0</v>
      </c>
      <c r="W280" s="47">
        <f>IF(VLOOKUP($D280,$C$5:$AV$509,3,)=0,0,(VLOOKUP($D280,$C$5:$AV$509,20,)/VLOOKUP($D280,$C$5:$AV$509,3,))*$E280)</f>
        <v>0</v>
      </c>
      <c r="X280" s="47">
        <f>IF(VLOOKUP($D280,$C$5:$AV$509,3,)=0,0,(VLOOKUP($D280,$C$5:$AV$509,21,)/VLOOKUP($D280,$C$5:$AV$509,3,))*$E280)</f>
        <v>0</v>
      </c>
      <c r="Y280" s="47">
        <f>IF(VLOOKUP($D280,$C$5:$AV$509,3,)=0,0,(VLOOKUP($D280,$C$5:$AV$509,22,)/VLOOKUP($D280,$C$5:$AV$509,3,))*$E280)</f>
        <v>0</v>
      </c>
      <c r="Z280" s="47">
        <f>IF(VLOOKUP($D280,$C$5:$AV$509,3,)=0,0,(VLOOKUP($D280,$C$5:$AV$509,23,)/VLOOKUP($D280,$C$5:$AV$509,3,))*$E280)</f>
        <v>0</v>
      </c>
      <c r="AA280" s="47">
        <f>IF(VLOOKUP($D280,$C$5:$AV$509,3,)=0,0,(VLOOKUP($D280,$C$5:$AV$509,24,)/VLOOKUP($D280,$C$5:$AV$509,3,))*$E280)</f>
        <v>0</v>
      </c>
      <c r="AB280" s="47">
        <f>IF(VLOOKUP($D280,$C$5:$AV$509,3,)=0,0,(VLOOKUP($D280,$C$5:$AV$509,25,)/VLOOKUP($D280,$C$5:$AV$509,3,))*$E280)</f>
        <v>0</v>
      </c>
      <c r="AC280" s="47">
        <f>IF(VLOOKUP($D280,$C$5:$AV$509,3,)=0,0,(VLOOKUP($D280,$C$5:$AV$509,26,)/VLOOKUP($D280,$C$5:$AV$509,3,))*$E280)</f>
        <v>0</v>
      </c>
      <c r="AD280" s="47">
        <f>IF(VLOOKUP($D280,$C$5:$AV$509,3,)=0,0,(VLOOKUP($D280,$C$5:$AV$509,27,)/VLOOKUP($D280,$C$5:$AV$509,3,))*$E280)</f>
        <v>0</v>
      </c>
      <c r="AE280" s="47">
        <f>IF(VLOOKUP($D280,$C$5:$AV$509,3,)=0,0,(VLOOKUP($D280,$C$5:$AV$509,28,)/VLOOKUP($D280,$C$5:$AV$509,3,))*$E280)</f>
        <v>0</v>
      </c>
      <c r="AF280" s="47">
        <f>IF(VLOOKUP($D280,$C$5:$AV$509,3,)=0,0,(VLOOKUP($D280,$C$5:$AV$509,29,)/VLOOKUP($D280,$C$5:$AV$509,3,))*$E280)</f>
        <v>0</v>
      </c>
      <c r="AG280" s="47">
        <f>IF(VLOOKUP($D280,$C$5:$AV$509,3,)=0,0,(VLOOKUP($D280,$C$5:$AV$509,30,)/VLOOKUP($D280,$C$5:$AV$509,3,))*$E280)</f>
        <v>0</v>
      </c>
      <c r="AH280" s="47">
        <f t="shared" ref="AH280" si="175">SUM(F280:AG280)</f>
        <v>0</v>
      </c>
      <c r="AI280" s="27" t="str">
        <f>IF(ABS(E280-AH280)&lt;0.01,"ok","err")</f>
        <v>ok</v>
      </c>
    </row>
    <row r="281" spans="1:35" x14ac:dyDescent="0.2">
      <c r="E281" s="47"/>
    </row>
    <row r="282" spans="1:35" x14ac:dyDescent="0.2">
      <c r="A282" s="13" t="s">
        <v>1</v>
      </c>
      <c r="E282" s="47"/>
      <c r="F282" s="47"/>
    </row>
    <row r="283" spans="1:35" x14ac:dyDescent="0.2">
      <c r="A283" s="90" t="s">
        <v>209</v>
      </c>
      <c r="C283" s="14" t="s">
        <v>314</v>
      </c>
      <c r="D283" s="14" t="s">
        <v>632</v>
      </c>
      <c r="E283" s="62">
        <f>'Func &amp; Classif'!M316</f>
        <v>201.00319072608224</v>
      </c>
      <c r="F283" s="47">
        <f>IF(VLOOKUP($D283,$C$5:$AV$509,3,)=0,0,(VLOOKUP($D283,$C$5:$AV$509,4,)/VLOOKUP($D283,$C$5:$AV$509,3,))*$E283)</f>
        <v>153.03235466624787</v>
      </c>
      <c r="G283" s="47">
        <f>IF(VLOOKUP($D283,$C$5:$AV$509,3,)=0,0,(VLOOKUP($D283,$C$5:$AV$509,5,)/VLOOKUP($D283,$C$5:$AV$509,3,))*$E283)</f>
        <v>0.11546946447787222</v>
      </c>
      <c r="H283" s="47">
        <f>IF(VLOOKUP($D283,$C$5:$AV$509,3,)=0,0,(VLOOKUP($D283,$C$5:$AV$509,6,)/VLOOKUP($D283,$C$5:$AV$509,3,))*$E283)</f>
        <v>16.058102293818425</v>
      </c>
      <c r="I283" s="47">
        <f>IF(VLOOKUP($D283,$C$5:$AV$509,3,)=0,0,(VLOOKUP($D283,$C$5:$AV$509,7,)/VLOOKUP($D283,$C$5:$AV$509,3,))*$E283)</f>
        <v>1.7153103043481783</v>
      </c>
      <c r="J283" s="47">
        <f>IF(VLOOKUP($D283,$C$5:$AV$509,3,)=0,0,(VLOOKUP($D283,$C$5:$AV$509,8,)/VLOOKUP($D283,$C$5:$AV$509,3,))*$E283)</f>
        <v>16.04544906602435</v>
      </c>
      <c r="K283" s="47">
        <f>IF(VLOOKUP($D283,$C$5:$AV$509,3,)=0,0,(VLOOKUP($D283,$C$5:$AV$509,9,)/VLOOKUP($D283,$C$5:$AV$509,3,))*$E283)</f>
        <v>0</v>
      </c>
      <c r="L283" s="47">
        <f>IF(VLOOKUP($D283,$C$5:$AV$509,3,)=0,0,(VLOOKUP($D283,$C$5:$AV$509,10,)/VLOOKUP($D283,$C$5:$AV$509,3,))*$E283)</f>
        <v>10.141684800930319</v>
      </c>
      <c r="M283" s="47">
        <f>IF(VLOOKUP($D283,$C$5:$AV$509,3,)=0,0,(VLOOKUP($D283,$C$5:$AV$509,11,)/VLOOKUP($D283,$C$5:$AV$509,3,))*$E283)</f>
        <v>2.9104415834979105</v>
      </c>
      <c r="N283" s="47">
        <f>IF(VLOOKUP($D283,$C$5:$AV$509,3,)=0,0,(VLOOKUP($D283,$C$5:$AV$509,12,)/VLOOKUP($D283,$C$5:$AV$509,3,))*$E283)</f>
        <v>0.98437854673728709</v>
      </c>
      <c r="O283" s="47">
        <f>IF(VLOOKUP($D283,$C$5:$AV$509,3,)=0,0,(VLOOKUP($D283,$C$5:$AV$509,14,)/VLOOKUP($D283,$C$5:$AV$509,3,))*$E283)</f>
        <v>0</v>
      </c>
      <c r="P283" s="47">
        <f>IF(VLOOKUP($D283,$C$5:$AV$509,3,)=0,0,(VLOOKUP($D283,$C$5:$AV$509,14,)/VLOOKUP($D283,$C$5:$AV$509,3,))*$E283)</f>
        <v>0</v>
      </c>
      <c r="Q283" s="47">
        <f>IF(VLOOKUP($D283,$C$5:$AV$509,3,)=0,0,(VLOOKUP($D283,$C$5:$AV$509,14,)/VLOOKUP($D283,$C$5:$AV$509,3,))*$E283)</f>
        <v>0</v>
      </c>
      <c r="R283" s="47">
        <f>IF(VLOOKUP($D283,$C$5:$AV$509,3,)=0,0,(VLOOKUP($D283,$C$5:$AV$509,15,)/VLOOKUP($D283,$C$5:$AV$509,3,))*$E283)</f>
        <v>0</v>
      </c>
      <c r="S283" s="47">
        <f>IF(VLOOKUP($D283,$C$5:$AV$509,3,)=0,0,(VLOOKUP($D283,$C$5:$AV$509,16,)/VLOOKUP($D283,$C$5:$AV$509,3,))*$E283)</f>
        <v>0</v>
      </c>
      <c r="T283" s="47">
        <f>IF(VLOOKUP($D283,$C$5:$AV$509,3,)=0,0,(VLOOKUP($D283,$C$5:$AV$509,17,)/VLOOKUP($D283,$C$5:$AV$509,3,))*$E283)</f>
        <v>0</v>
      </c>
      <c r="U283" s="47">
        <f>IF(VLOOKUP($D283,$C$5:$AV$509,3,)=0,0,(VLOOKUP($D283,$C$5:$AV$509,18,)/VLOOKUP($D283,$C$5:$AV$509,3,))*$E283)</f>
        <v>0</v>
      </c>
      <c r="V283" s="47">
        <f>IF(VLOOKUP($D283,$C$5:$AV$509,3,)=0,0,(VLOOKUP($D283,$C$5:$AV$509,19,)/VLOOKUP($D283,$C$5:$AV$509,3,))*$E283)</f>
        <v>0</v>
      </c>
      <c r="W283" s="47">
        <f>IF(VLOOKUP($D283,$C$5:$AV$509,3,)=0,0,(VLOOKUP($D283,$C$5:$AV$509,20,)/VLOOKUP($D283,$C$5:$AV$509,3,))*$E283)</f>
        <v>0</v>
      </c>
      <c r="X283" s="47">
        <f>IF(VLOOKUP($D283,$C$5:$AV$509,3,)=0,0,(VLOOKUP($D283,$C$5:$AV$509,21,)/VLOOKUP($D283,$C$5:$AV$509,3,))*$E283)</f>
        <v>0</v>
      </c>
      <c r="Y283" s="47">
        <f>IF(VLOOKUP($D283,$C$5:$AV$509,3,)=0,0,(VLOOKUP($D283,$C$5:$AV$509,22,)/VLOOKUP($D283,$C$5:$AV$509,3,))*$E283)</f>
        <v>0</v>
      </c>
      <c r="Z283" s="47">
        <f>IF(VLOOKUP($D283,$C$5:$AV$509,3,)=0,0,(VLOOKUP($D283,$C$5:$AV$509,23,)/VLOOKUP($D283,$C$5:$AV$509,3,))*$E283)</f>
        <v>0</v>
      </c>
      <c r="AA283" s="47">
        <f>IF(VLOOKUP($D283,$C$5:$AV$509,3,)=0,0,(VLOOKUP($D283,$C$5:$AV$509,24,)/VLOOKUP($D283,$C$5:$AV$509,3,))*$E283)</f>
        <v>0</v>
      </c>
      <c r="AB283" s="47">
        <f>IF(VLOOKUP($D283,$C$5:$AV$509,3,)=0,0,(VLOOKUP($D283,$C$5:$AV$509,25,)/VLOOKUP($D283,$C$5:$AV$509,3,))*$E283)</f>
        <v>0</v>
      </c>
      <c r="AC283" s="47">
        <f>IF(VLOOKUP($D283,$C$5:$AV$509,3,)=0,0,(VLOOKUP($D283,$C$5:$AV$509,26,)/VLOOKUP($D283,$C$5:$AV$509,3,))*$E283)</f>
        <v>0</v>
      </c>
      <c r="AD283" s="47">
        <f>IF(VLOOKUP($D283,$C$5:$AV$509,3,)=0,0,(VLOOKUP($D283,$C$5:$AV$509,27,)/VLOOKUP($D283,$C$5:$AV$509,3,))*$E283)</f>
        <v>0</v>
      </c>
      <c r="AE283" s="47">
        <f>IF(VLOOKUP($D283,$C$5:$AV$509,3,)=0,0,(VLOOKUP($D283,$C$5:$AV$509,28,)/VLOOKUP($D283,$C$5:$AV$509,3,))*$E283)</f>
        <v>0</v>
      </c>
      <c r="AF283" s="47">
        <f>IF(VLOOKUP($D283,$C$5:$AV$509,3,)=0,0,(VLOOKUP($D283,$C$5:$AV$509,29,)/VLOOKUP($D283,$C$5:$AV$509,3,))*$E283)</f>
        <v>0</v>
      </c>
      <c r="AG283" s="47">
        <f>IF(VLOOKUP($D283,$C$5:$AV$509,3,)=0,0,(VLOOKUP($D283,$C$5:$AV$509,30,)/VLOOKUP($D283,$C$5:$AV$509,3,))*$E283)</f>
        <v>0</v>
      </c>
      <c r="AH283" s="47">
        <f t="shared" ref="AH283" si="176">SUM(F283:AG283)</f>
        <v>201.00319072608221</v>
      </c>
      <c r="AI283" s="27" t="str">
        <f>IF(ABS(E283-AH283)&lt;0.01,"ok","err")</f>
        <v>ok</v>
      </c>
    </row>
    <row r="284" spans="1:35" x14ac:dyDescent="0.2">
      <c r="E284" s="47"/>
    </row>
    <row r="285" spans="1:35" x14ac:dyDescent="0.2">
      <c r="A285" s="13" t="s">
        <v>2</v>
      </c>
      <c r="E285" s="47"/>
    </row>
    <row r="286" spans="1:35" x14ac:dyDescent="0.2">
      <c r="A286" s="90" t="s">
        <v>209</v>
      </c>
      <c r="C286" s="14" t="s">
        <v>315</v>
      </c>
      <c r="D286" s="14" t="s">
        <v>629</v>
      </c>
      <c r="E286" s="62">
        <f>'Func &amp; Classif'!O316</f>
        <v>15120.00050345515</v>
      </c>
      <c r="F286" s="47">
        <f>IF(VLOOKUP($D286,$C$5:$AV$509,3,)=0,0,(VLOOKUP($D286,$C$5:$AV$509,4,)/VLOOKUP($D286,$C$5:$AV$509,3,))*$E286)</f>
        <v>12682.266229134137</v>
      </c>
      <c r="G286" s="47">
        <f>IF(VLOOKUP($D286,$C$5:$AV$509,3,)=0,0,(VLOOKUP($D286,$C$5:$AV$509,5,)/VLOOKUP($D286,$C$5:$AV$509,3,))*$E286)</f>
        <v>12.839873047838166</v>
      </c>
      <c r="H286" s="47">
        <f>IF(VLOOKUP($D286,$C$5:$AV$509,3,)=0,0,(VLOOKUP($D286,$C$5:$AV$509,6,)/VLOOKUP($D286,$C$5:$AV$509,3,))*$E286)</f>
        <v>990.76737478955749</v>
      </c>
      <c r="I286" s="47">
        <f>IF(VLOOKUP($D286,$C$5:$AV$509,3,)=0,0,(VLOOKUP($D286,$C$5:$AV$509,7,)/VLOOKUP($D286,$C$5:$AV$509,3,))*$E286)</f>
        <v>112.8882906895906</v>
      </c>
      <c r="J286" s="47">
        <f>IF(VLOOKUP($D286,$C$5:$AV$509,3,)=0,0,(VLOOKUP($D286,$C$5:$AV$509,8,)/VLOOKUP($D286,$C$5:$AV$509,3,))*$E286)</f>
        <v>801.69432283618073</v>
      </c>
      <c r="K286" s="47">
        <f>IF(VLOOKUP($D286,$C$5:$AV$509,3,)=0,0,(VLOOKUP($D286,$C$5:$AV$509,9,)/VLOOKUP($D286,$C$5:$AV$509,3,))*$E286)</f>
        <v>0</v>
      </c>
      <c r="L286" s="47">
        <f>IF(VLOOKUP($D286,$C$5:$AV$509,3,)=0,0,(VLOOKUP($D286,$C$5:$AV$509,10,)/VLOOKUP($D286,$C$5:$AV$509,3,))*$E286)</f>
        <v>359.79525409217325</v>
      </c>
      <c r="M286" s="47">
        <f>IF(VLOOKUP($D286,$C$5:$AV$509,3,)=0,0,(VLOOKUP($D286,$C$5:$AV$509,11,)/VLOOKUP($D286,$C$5:$AV$509,3,))*$E286)</f>
        <v>103.25336367769968</v>
      </c>
      <c r="N286" s="47">
        <f>IF(VLOOKUP($D286,$C$5:$AV$509,3,)=0,0,(VLOOKUP($D286,$C$5:$AV$509,12,)/VLOOKUP($D286,$C$5:$AV$509,3,))*$E286)</f>
        <v>56.49579518797561</v>
      </c>
      <c r="O286" s="47">
        <f t="shared" ref="O286:Q287" si="177">IF(VLOOKUP($D286,$C$5:$AV$509,3,)=0,0,(VLOOKUP($D286,$C$5:$AV$509,14,)/VLOOKUP($D286,$C$5:$AV$509,3,))*$E286)</f>
        <v>0</v>
      </c>
      <c r="P286" s="47">
        <f t="shared" si="177"/>
        <v>0</v>
      </c>
      <c r="Q286" s="47">
        <f t="shared" si="177"/>
        <v>0</v>
      </c>
      <c r="R286" s="47">
        <f>IF(VLOOKUP($D286,$C$5:$AV$509,3,)=0,0,(VLOOKUP($D286,$C$5:$AV$509,15,)/VLOOKUP($D286,$C$5:$AV$509,3,))*$E286)</f>
        <v>0</v>
      </c>
      <c r="S286" s="47">
        <f>IF(VLOOKUP($D286,$C$5:$AV$509,3,)=0,0,(VLOOKUP($D286,$C$5:$AV$509,16,)/VLOOKUP($D286,$C$5:$AV$509,3,))*$E286)</f>
        <v>0</v>
      </c>
      <c r="T286" s="47">
        <f>IF(VLOOKUP($D286,$C$5:$AV$509,3,)=0,0,(VLOOKUP($D286,$C$5:$AV$509,17,)/VLOOKUP($D286,$C$5:$AV$509,3,))*$E286)</f>
        <v>0</v>
      </c>
      <c r="U286" s="47">
        <f>IF(VLOOKUP($D286,$C$5:$AV$509,3,)=0,0,(VLOOKUP($D286,$C$5:$AV$509,18,)/VLOOKUP($D286,$C$5:$AV$509,3,))*$E286)</f>
        <v>0</v>
      </c>
      <c r="V286" s="47">
        <f>IF(VLOOKUP($D286,$C$5:$AV$509,3,)=0,0,(VLOOKUP($D286,$C$5:$AV$509,19,)/VLOOKUP($D286,$C$5:$AV$509,3,))*$E286)</f>
        <v>0</v>
      </c>
      <c r="W286" s="47">
        <f>IF(VLOOKUP($D286,$C$5:$AV$509,3,)=0,0,(VLOOKUP($D286,$C$5:$AV$509,20,)/VLOOKUP($D286,$C$5:$AV$509,3,))*$E286)</f>
        <v>0</v>
      </c>
      <c r="X286" s="47">
        <f>IF(VLOOKUP($D286,$C$5:$AV$509,3,)=0,0,(VLOOKUP($D286,$C$5:$AV$509,21,)/VLOOKUP($D286,$C$5:$AV$509,3,))*$E286)</f>
        <v>0</v>
      </c>
      <c r="Y286" s="47">
        <f>IF(VLOOKUP($D286,$C$5:$AV$509,3,)=0,0,(VLOOKUP($D286,$C$5:$AV$509,22,)/VLOOKUP($D286,$C$5:$AV$509,3,))*$E286)</f>
        <v>0</v>
      </c>
      <c r="Z286" s="47">
        <f>IF(VLOOKUP($D286,$C$5:$AV$509,3,)=0,0,(VLOOKUP($D286,$C$5:$AV$509,23,)/VLOOKUP($D286,$C$5:$AV$509,3,))*$E286)</f>
        <v>0</v>
      </c>
      <c r="AA286" s="47">
        <f>IF(VLOOKUP($D286,$C$5:$AV$509,3,)=0,0,(VLOOKUP($D286,$C$5:$AV$509,24,)/VLOOKUP($D286,$C$5:$AV$509,3,))*$E286)</f>
        <v>0</v>
      </c>
      <c r="AB286" s="47">
        <f>IF(VLOOKUP($D286,$C$5:$AV$509,3,)=0,0,(VLOOKUP($D286,$C$5:$AV$509,25,)/VLOOKUP($D286,$C$5:$AV$509,3,))*$E286)</f>
        <v>0</v>
      </c>
      <c r="AC286" s="47">
        <f>IF(VLOOKUP($D286,$C$5:$AV$509,3,)=0,0,(VLOOKUP($D286,$C$5:$AV$509,26,)/VLOOKUP($D286,$C$5:$AV$509,3,))*$E286)</f>
        <v>0</v>
      </c>
      <c r="AD286" s="47">
        <f>IF(VLOOKUP($D286,$C$5:$AV$509,3,)=0,0,(VLOOKUP($D286,$C$5:$AV$509,27,)/VLOOKUP($D286,$C$5:$AV$509,3,))*$E286)</f>
        <v>0</v>
      </c>
      <c r="AE286" s="47">
        <f>IF(VLOOKUP($D286,$C$5:$AV$509,3,)=0,0,(VLOOKUP($D286,$C$5:$AV$509,28,)/VLOOKUP($D286,$C$5:$AV$509,3,))*$E286)</f>
        <v>0</v>
      </c>
      <c r="AF286" s="47">
        <f>IF(VLOOKUP($D286,$C$5:$AV$509,3,)=0,0,(VLOOKUP($D286,$C$5:$AV$509,29,)/VLOOKUP($D286,$C$5:$AV$509,3,))*$E286)</f>
        <v>0</v>
      </c>
      <c r="AG286" s="47">
        <f>IF(VLOOKUP($D286,$C$5:$AV$509,3,)=0,0,(VLOOKUP($D286,$C$5:$AV$509,30,)/VLOOKUP($D286,$C$5:$AV$509,3,))*$E286)</f>
        <v>0</v>
      </c>
      <c r="AH286" s="47">
        <f t="shared" ref="AH286:AH287" si="178">SUM(F286:AG286)</f>
        <v>15120.00050345515</v>
      </c>
      <c r="AI286" s="27" t="str">
        <f>IF(ABS(E286-AH286)&lt;0.01,"ok","err")</f>
        <v>ok</v>
      </c>
    </row>
    <row r="287" spans="1:35" x14ac:dyDescent="0.2">
      <c r="A287" s="90" t="s">
        <v>221</v>
      </c>
      <c r="C287" s="14" t="s">
        <v>316</v>
      </c>
      <c r="D287" s="14" t="s">
        <v>223</v>
      </c>
      <c r="E287" s="47">
        <f>'Func &amp; Classif'!P316</f>
        <v>28441.0278982048</v>
      </c>
      <c r="F287" s="47">
        <f>IF(VLOOKUP($D287,$C$5:$AV$509,3,)=0,0,(VLOOKUP($D287,$C$5:$AV$509,4,)/VLOOKUP($D287,$C$5:$AV$509,3,))*$E287)</f>
        <v>25739.410954430561</v>
      </c>
      <c r="G287" s="47">
        <f>IF(VLOOKUP($D287,$C$5:$AV$509,3,)=0,0,(VLOOKUP($D287,$C$5:$AV$509,5,)/VLOOKUP($D287,$C$5:$AV$509,3,))*$E287)</f>
        <v>1.0017283889640227</v>
      </c>
      <c r="H287" s="47">
        <f>IF(VLOOKUP($D287,$C$5:$AV$509,3,)=0,0,(VLOOKUP($D287,$C$5:$AV$509,6,)/VLOOKUP($D287,$C$5:$AV$509,3,))*$E287)</f>
        <v>2035.5120863748941</v>
      </c>
      <c r="I287" s="47">
        <f>IF(VLOOKUP($D287,$C$5:$AV$509,3,)=0,0,(VLOOKUP($D287,$C$5:$AV$509,7,)/VLOOKUP($D287,$C$5:$AV$509,3,))*$E287)</f>
        <v>314.54271413470315</v>
      </c>
      <c r="J287" s="47">
        <f>IF(VLOOKUP($D287,$C$5:$AV$509,3,)=0,0,(VLOOKUP($D287,$C$5:$AV$509,8,)/VLOOKUP($D287,$C$5:$AV$509,3,))*$E287)</f>
        <v>119.20567828671869</v>
      </c>
      <c r="K287" s="47">
        <f>IF(VLOOKUP($D287,$C$5:$AV$509,3,)=0,0,(VLOOKUP($D287,$C$5:$AV$509,9,)/VLOOKUP($D287,$C$5:$AV$509,3,))*$E287)</f>
        <v>0</v>
      </c>
      <c r="L287" s="47">
        <f>IF(VLOOKUP($D287,$C$5:$AV$509,3,)=0,0,(VLOOKUP($D287,$C$5:$AV$509,10,)/VLOOKUP($D287,$C$5:$AV$509,3,))*$E287)</f>
        <v>8.0138271117121818</v>
      </c>
      <c r="M287" s="47">
        <f>IF(VLOOKUP($D287,$C$5:$AV$509,3,)=0,0,(VLOOKUP($D287,$C$5:$AV$509,11,)/VLOOKUP($D287,$C$5:$AV$509,3,))*$E287)</f>
        <v>1.0017283889640227</v>
      </c>
      <c r="N287" s="47">
        <f>IF(VLOOKUP($D287,$C$5:$AV$509,3,)=0,0,(VLOOKUP($D287,$C$5:$AV$509,12,)/VLOOKUP($D287,$C$5:$AV$509,3,))*$E287)</f>
        <v>222.33918108828129</v>
      </c>
      <c r="O287" s="47">
        <f t="shared" si="177"/>
        <v>0</v>
      </c>
      <c r="P287" s="47">
        <f t="shared" si="177"/>
        <v>0</v>
      </c>
      <c r="Q287" s="47">
        <f t="shared" si="177"/>
        <v>0</v>
      </c>
      <c r="R287" s="47">
        <f>IF(VLOOKUP($D287,$C$5:$AV$509,3,)=0,0,(VLOOKUP($D287,$C$5:$AV$509,15,)/VLOOKUP($D287,$C$5:$AV$509,3,))*$E287)</f>
        <v>0</v>
      </c>
      <c r="S287" s="47">
        <f>IF(VLOOKUP($D287,$C$5:$AV$509,3,)=0,0,(VLOOKUP($D287,$C$5:$AV$509,16,)/VLOOKUP($D287,$C$5:$AV$509,3,))*$E287)</f>
        <v>0</v>
      </c>
      <c r="T287" s="47">
        <f>IF(VLOOKUP($D287,$C$5:$AV$509,3,)=0,0,(VLOOKUP($D287,$C$5:$AV$509,17,)/VLOOKUP($D287,$C$5:$AV$509,3,))*$E287)</f>
        <v>0</v>
      </c>
      <c r="U287" s="47">
        <f>IF(VLOOKUP($D287,$C$5:$AV$509,3,)=0,0,(VLOOKUP($D287,$C$5:$AV$509,18,)/VLOOKUP($D287,$C$5:$AV$509,3,))*$E287)</f>
        <v>0</v>
      </c>
      <c r="V287" s="47">
        <f>IF(VLOOKUP($D287,$C$5:$AV$509,3,)=0,0,(VLOOKUP($D287,$C$5:$AV$509,19,)/VLOOKUP($D287,$C$5:$AV$509,3,))*$E287)</f>
        <v>0</v>
      </c>
      <c r="W287" s="47">
        <f>IF(VLOOKUP($D287,$C$5:$AV$509,3,)=0,0,(VLOOKUP($D287,$C$5:$AV$509,20,)/VLOOKUP($D287,$C$5:$AV$509,3,))*$E287)</f>
        <v>0</v>
      </c>
      <c r="X287" s="47">
        <f>IF(VLOOKUP($D287,$C$5:$AV$509,3,)=0,0,(VLOOKUP($D287,$C$5:$AV$509,21,)/VLOOKUP($D287,$C$5:$AV$509,3,))*$E287)</f>
        <v>0</v>
      </c>
      <c r="Y287" s="47">
        <f>IF(VLOOKUP($D287,$C$5:$AV$509,3,)=0,0,(VLOOKUP($D287,$C$5:$AV$509,22,)/VLOOKUP($D287,$C$5:$AV$509,3,))*$E287)</f>
        <v>0</v>
      </c>
      <c r="Z287" s="47">
        <f>IF(VLOOKUP($D287,$C$5:$AV$509,3,)=0,0,(VLOOKUP($D287,$C$5:$AV$509,23,)/VLOOKUP($D287,$C$5:$AV$509,3,))*$E287)</f>
        <v>0</v>
      </c>
      <c r="AA287" s="47">
        <f>IF(VLOOKUP($D287,$C$5:$AV$509,3,)=0,0,(VLOOKUP($D287,$C$5:$AV$509,24,)/VLOOKUP($D287,$C$5:$AV$509,3,))*$E287)</f>
        <v>0</v>
      </c>
      <c r="AB287" s="47">
        <f>IF(VLOOKUP($D287,$C$5:$AV$509,3,)=0,0,(VLOOKUP($D287,$C$5:$AV$509,25,)/VLOOKUP($D287,$C$5:$AV$509,3,))*$E287)</f>
        <v>0</v>
      </c>
      <c r="AC287" s="47">
        <f>IF(VLOOKUP($D287,$C$5:$AV$509,3,)=0,0,(VLOOKUP($D287,$C$5:$AV$509,26,)/VLOOKUP($D287,$C$5:$AV$509,3,))*$E287)</f>
        <v>0</v>
      </c>
      <c r="AD287" s="47">
        <f>IF(VLOOKUP($D287,$C$5:$AV$509,3,)=0,0,(VLOOKUP($D287,$C$5:$AV$509,27,)/VLOOKUP($D287,$C$5:$AV$509,3,))*$E287)</f>
        <v>0</v>
      </c>
      <c r="AE287" s="47">
        <f>IF(VLOOKUP($D287,$C$5:$AV$509,3,)=0,0,(VLOOKUP($D287,$C$5:$AV$509,28,)/VLOOKUP($D287,$C$5:$AV$509,3,))*$E287)</f>
        <v>0</v>
      </c>
      <c r="AF287" s="47">
        <f>IF(VLOOKUP($D287,$C$5:$AV$509,3,)=0,0,(VLOOKUP($D287,$C$5:$AV$509,29,)/VLOOKUP($D287,$C$5:$AV$509,3,))*$E287)</f>
        <v>0</v>
      </c>
      <c r="AG287" s="47">
        <f>IF(VLOOKUP($D287,$C$5:$AV$509,3,)=0,0,(VLOOKUP($D287,$C$5:$AV$509,30,)/VLOOKUP($D287,$C$5:$AV$509,3,))*$E287)</f>
        <v>0</v>
      </c>
      <c r="AH287" s="47">
        <f t="shared" si="178"/>
        <v>28441.0278982048</v>
      </c>
      <c r="AI287" s="27" t="str">
        <f>IF(ABS(E287-AH287)&lt;0.01,"ok","err")</f>
        <v>ok</v>
      </c>
    </row>
    <row r="288" spans="1:35" x14ac:dyDescent="0.2">
      <c r="A288" s="14" t="s">
        <v>224</v>
      </c>
      <c r="E288" s="62">
        <f t="shared" ref="E288:U288" si="179">E286+E287</f>
        <v>43561.028401659947</v>
      </c>
      <c r="F288" s="62">
        <f t="shared" si="179"/>
        <v>38421.677183564694</v>
      </c>
      <c r="G288" s="62">
        <f t="shared" si="179"/>
        <v>13.84160143680219</v>
      </c>
      <c r="H288" s="62">
        <f t="shared" si="179"/>
        <v>3026.2794611644517</v>
      </c>
      <c r="I288" s="62">
        <f t="shared" si="179"/>
        <v>427.43100482429372</v>
      </c>
      <c r="J288" s="62">
        <f t="shared" si="179"/>
        <v>920.90000112289943</v>
      </c>
      <c r="K288" s="62">
        <f t="shared" si="179"/>
        <v>0</v>
      </c>
      <c r="L288" s="62">
        <f t="shared" si="179"/>
        <v>367.80908120388546</v>
      </c>
      <c r="M288" s="62">
        <f t="shared" ref="M288" si="180">M286+M287</f>
        <v>104.25509206666371</v>
      </c>
      <c r="N288" s="62">
        <f t="shared" si="179"/>
        <v>278.8349762762569</v>
      </c>
      <c r="O288" s="62">
        <f t="shared" si="179"/>
        <v>0</v>
      </c>
      <c r="P288" s="62">
        <f t="shared" si="179"/>
        <v>0</v>
      </c>
      <c r="Q288" s="62">
        <f t="shared" si="179"/>
        <v>0</v>
      </c>
      <c r="R288" s="62">
        <f t="shared" si="179"/>
        <v>0</v>
      </c>
      <c r="S288" s="62">
        <f t="shared" si="179"/>
        <v>0</v>
      </c>
      <c r="T288" s="62">
        <f t="shared" si="179"/>
        <v>0</v>
      </c>
      <c r="U288" s="62">
        <f t="shared" si="179"/>
        <v>0</v>
      </c>
      <c r="V288" s="62">
        <f t="shared" ref="V288:AG288" si="181">V286+V287</f>
        <v>0</v>
      </c>
      <c r="W288" s="62">
        <f t="shared" si="181"/>
        <v>0</v>
      </c>
      <c r="X288" s="62">
        <f t="shared" si="181"/>
        <v>0</v>
      </c>
      <c r="Y288" s="62">
        <f t="shared" si="181"/>
        <v>0</v>
      </c>
      <c r="Z288" s="62">
        <f t="shared" si="181"/>
        <v>0</v>
      </c>
      <c r="AA288" s="62">
        <f t="shared" si="181"/>
        <v>0</v>
      </c>
      <c r="AB288" s="62">
        <f t="shared" si="181"/>
        <v>0</v>
      </c>
      <c r="AC288" s="62">
        <f t="shared" si="181"/>
        <v>0</v>
      </c>
      <c r="AD288" s="62">
        <f t="shared" si="181"/>
        <v>0</v>
      </c>
      <c r="AE288" s="62">
        <f t="shared" si="181"/>
        <v>0</v>
      </c>
      <c r="AF288" s="62">
        <f t="shared" si="181"/>
        <v>0</v>
      </c>
      <c r="AG288" s="62">
        <f t="shared" si="181"/>
        <v>0</v>
      </c>
      <c r="AH288" s="87">
        <f>SUM(F288:AG288)</f>
        <v>43561.028401659947</v>
      </c>
      <c r="AI288" s="27" t="str">
        <f>IF(ABS(E288-AH288)&lt;0.01,"ok","err")</f>
        <v>ok</v>
      </c>
    </row>
    <row r="289" spans="1:35" x14ac:dyDescent="0.2">
      <c r="E289" s="47"/>
    </row>
    <row r="290" spans="1:35" x14ac:dyDescent="0.2">
      <c r="A290" s="13" t="s">
        <v>3</v>
      </c>
      <c r="E290" s="47"/>
    </row>
    <row r="291" spans="1:35" x14ac:dyDescent="0.2">
      <c r="A291" s="90" t="s">
        <v>209</v>
      </c>
      <c r="C291" s="14" t="s">
        <v>317</v>
      </c>
      <c r="D291" s="14" t="s">
        <v>701</v>
      </c>
      <c r="E291" s="62">
        <f>'Func &amp; Classif'!R316</f>
        <v>0</v>
      </c>
      <c r="F291" s="47">
        <f>IF(VLOOKUP($D291,$C$5:$AV$509,3,)=0,0,(VLOOKUP($D291,$C$5:$AV$509,4,)/VLOOKUP($D291,$C$5:$AV$509,3,))*$E291)</f>
        <v>0</v>
      </c>
      <c r="G291" s="47">
        <f>IF(VLOOKUP($D291,$C$5:$AV$509,3,)=0,0,(VLOOKUP($D291,$C$5:$AV$509,5,)/VLOOKUP($D291,$C$5:$AV$509,3,))*$E291)</f>
        <v>0</v>
      </c>
      <c r="H291" s="47">
        <f>IF(VLOOKUP($D291,$C$5:$AV$509,3,)=0,0,(VLOOKUP($D291,$C$5:$AV$509,6,)/VLOOKUP($D291,$C$5:$AV$509,3,))*$E291)</f>
        <v>0</v>
      </c>
      <c r="I291" s="47">
        <f>IF(VLOOKUP($D291,$C$5:$AV$509,3,)=0,0,(VLOOKUP($D291,$C$5:$AV$509,7,)/VLOOKUP($D291,$C$5:$AV$509,3,))*$E291)</f>
        <v>0</v>
      </c>
      <c r="J291" s="47">
        <f>IF(VLOOKUP($D291,$C$5:$AV$509,3,)=0,0,(VLOOKUP($D291,$C$5:$AV$509,8,)/VLOOKUP($D291,$C$5:$AV$509,3,))*$E291)</f>
        <v>0</v>
      </c>
      <c r="K291" s="47">
        <f>IF(VLOOKUP($D291,$C$5:$AV$509,3,)=0,0,(VLOOKUP($D291,$C$5:$AV$509,9,)/VLOOKUP($D291,$C$5:$AV$509,3,))*$E291)</f>
        <v>0</v>
      </c>
      <c r="L291" s="47">
        <f>IF(VLOOKUP($D291,$C$5:$AV$509,3,)=0,0,(VLOOKUP($D291,$C$5:$AV$509,10,)/VLOOKUP($D291,$C$5:$AV$509,3,))*$E291)</f>
        <v>0</v>
      </c>
      <c r="M291" s="47">
        <f>IF(VLOOKUP($D291,$C$5:$AV$509,3,)=0,0,(VLOOKUP($D291,$C$5:$AV$509,11,)/VLOOKUP($D291,$C$5:$AV$509,3,))*$E291)</f>
        <v>0</v>
      </c>
      <c r="N291" s="47">
        <f>IF(VLOOKUP($D291,$C$5:$AV$509,3,)=0,0,(VLOOKUP($D291,$C$5:$AV$509,12,)/VLOOKUP($D291,$C$5:$AV$509,3,))*$E291)</f>
        <v>0</v>
      </c>
      <c r="O291" s="47">
        <f t="shared" ref="O291:Q292" si="182">IF(VLOOKUP($D291,$C$5:$AV$509,3,)=0,0,(VLOOKUP($D291,$C$5:$AV$509,14,)/VLOOKUP($D291,$C$5:$AV$509,3,))*$E291)</f>
        <v>0</v>
      </c>
      <c r="P291" s="47">
        <f t="shared" si="182"/>
        <v>0</v>
      </c>
      <c r="Q291" s="47">
        <f t="shared" si="182"/>
        <v>0</v>
      </c>
      <c r="R291" s="47">
        <f>IF(VLOOKUP($D291,$C$5:$AV$509,3,)=0,0,(VLOOKUP($D291,$C$5:$AV$509,15,)/VLOOKUP($D291,$C$5:$AV$509,3,))*$E291)</f>
        <v>0</v>
      </c>
      <c r="S291" s="47">
        <f>IF(VLOOKUP($D291,$C$5:$AV$509,3,)=0,0,(VLOOKUP($D291,$C$5:$AV$509,16,)/VLOOKUP($D291,$C$5:$AV$509,3,))*$E291)</f>
        <v>0</v>
      </c>
      <c r="T291" s="47">
        <f>IF(VLOOKUP($D291,$C$5:$AV$509,3,)=0,0,(VLOOKUP($D291,$C$5:$AV$509,17,)/VLOOKUP($D291,$C$5:$AV$509,3,))*$E291)</f>
        <v>0</v>
      </c>
      <c r="U291" s="47">
        <f>IF(VLOOKUP($D291,$C$5:$AV$509,3,)=0,0,(VLOOKUP($D291,$C$5:$AV$509,18,)/VLOOKUP($D291,$C$5:$AV$509,3,))*$E291)</f>
        <v>0</v>
      </c>
      <c r="V291" s="47">
        <f>IF(VLOOKUP($D291,$C$5:$AV$509,3,)=0,0,(VLOOKUP($D291,$C$5:$AV$509,19,)/VLOOKUP($D291,$C$5:$AV$509,3,))*$E291)</f>
        <v>0</v>
      </c>
      <c r="W291" s="47">
        <f>IF(VLOOKUP($D291,$C$5:$AV$509,3,)=0,0,(VLOOKUP($D291,$C$5:$AV$509,20,)/VLOOKUP($D291,$C$5:$AV$509,3,))*$E291)</f>
        <v>0</v>
      </c>
      <c r="X291" s="47">
        <f>IF(VLOOKUP($D291,$C$5:$AV$509,3,)=0,0,(VLOOKUP($D291,$C$5:$AV$509,21,)/VLOOKUP($D291,$C$5:$AV$509,3,))*$E291)</f>
        <v>0</v>
      </c>
      <c r="Y291" s="47">
        <f>IF(VLOOKUP($D291,$C$5:$AV$509,3,)=0,0,(VLOOKUP($D291,$C$5:$AV$509,22,)/VLOOKUP($D291,$C$5:$AV$509,3,))*$E291)</f>
        <v>0</v>
      </c>
      <c r="Z291" s="47">
        <f>IF(VLOOKUP($D291,$C$5:$AV$509,3,)=0,0,(VLOOKUP($D291,$C$5:$AV$509,23,)/VLOOKUP($D291,$C$5:$AV$509,3,))*$E291)</f>
        <v>0</v>
      </c>
      <c r="AA291" s="47">
        <f>IF(VLOOKUP($D291,$C$5:$AV$509,3,)=0,0,(VLOOKUP($D291,$C$5:$AV$509,24,)/VLOOKUP($D291,$C$5:$AV$509,3,))*$E291)</f>
        <v>0</v>
      </c>
      <c r="AB291" s="47">
        <f>IF(VLOOKUP($D291,$C$5:$AV$509,3,)=0,0,(VLOOKUP($D291,$C$5:$AV$509,25,)/VLOOKUP($D291,$C$5:$AV$509,3,))*$E291)</f>
        <v>0</v>
      </c>
      <c r="AC291" s="47">
        <f>IF(VLOOKUP($D291,$C$5:$AV$509,3,)=0,0,(VLOOKUP($D291,$C$5:$AV$509,26,)/VLOOKUP($D291,$C$5:$AV$509,3,))*$E291)</f>
        <v>0</v>
      </c>
      <c r="AD291" s="47">
        <f>IF(VLOOKUP($D291,$C$5:$AV$509,3,)=0,0,(VLOOKUP($D291,$C$5:$AV$509,27,)/VLOOKUP($D291,$C$5:$AV$509,3,))*$E291)</f>
        <v>0</v>
      </c>
      <c r="AE291" s="47">
        <f>IF(VLOOKUP($D291,$C$5:$AV$509,3,)=0,0,(VLOOKUP($D291,$C$5:$AV$509,28,)/VLOOKUP($D291,$C$5:$AV$509,3,))*$E291)</f>
        <v>0</v>
      </c>
      <c r="AF291" s="47">
        <f>IF(VLOOKUP($D291,$C$5:$AV$509,3,)=0,0,(VLOOKUP($D291,$C$5:$AV$509,29,)/VLOOKUP($D291,$C$5:$AV$509,3,))*$E291)</f>
        <v>0</v>
      </c>
      <c r="AG291" s="47">
        <f>IF(VLOOKUP($D291,$C$5:$AV$509,3,)=0,0,(VLOOKUP($D291,$C$5:$AV$509,30,)/VLOOKUP($D291,$C$5:$AV$509,3,))*$E291)</f>
        <v>0</v>
      </c>
      <c r="AH291" s="47">
        <f t="shared" ref="AH291:AH292" si="183">SUM(F291:AG291)</f>
        <v>0</v>
      </c>
      <c r="AI291" s="27" t="str">
        <f>IF(ABS(E291-AH291)&lt;0.01,"ok","err")</f>
        <v>ok</v>
      </c>
    </row>
    <row r="292" spans="1:35" x14ac:dyDescent="0.2">
      <c r="A292" s="90" t="s">
        <v>221</v>
      </c>
      <c r="C292" s="14" t="s">
        <v>318</v>
      </c>
      <c r="D292" s="14" t="s">
        <v>701</v>
      </c>
      <c r="E292" s="47">
        <f>'Func &amp; Classif'!S316</f>
        <v>5907.0557494427057</v>
      </c>
      <c r="F292" s="47">
        <f>IF(VLOOKUP($D292,$C$5:$AV$509,3,)=0,0,(VLOOKUP($D292,$C$5:$AV$509,4,)/VLOOKUP($D292,$C$5:$AV$509,3,))*$E292)</f>
        <v>5038.7744905159498</v>
      </c>
      <c r="G292" s="47">
        <f>IF(VLOOKUP($D292,$C$5:$AV$509,3,)=0,0,(VLOOKUP($D292,$C$5:$AV$509,5,)/VLOOKUP($D292,$C$5:$AV$509,3,))*$E292)</f>
        <v>0.19609941585973728</v>
      </c>
      <c r="H292" s="47">
        <f>IF(VLOOKUP($D292,$C$5:$AV$509,3,)=0,0,(VLOOKUP($D292,$C$5:$AV$509,6,)/VLOOKUP($D292,$C$5:$AV$509,3,))*$E292)</f>
        <v>729.35735972772045</v>
      </c>
      <c r="I292" s="47">
        <f>IF(VLOOKUP($D292,$C$5:$AV$509,3,)=0,0,(VLOOKUP($D292,$C$5:$AV$509,7,)/VLOOKUP($D292,$C$5:$AV$509,3,))*$E292)</f>
        <v>75.093769090752872</v>
      </c>
      <c r="J292" s="47">
        <f>IF(VLOOKUP($D292,$C$5:$AV$509,3,)=0,0,(VLOOKUP($D292,$C$5:$AV$509,8,)/VLOOKUP($D292,$C$5:$AV$509,3,))*$E292)</f>
        <v>60.047058817762554</v>
      </c>
      <c r="K292" s="47">
        <f>IF(VLOOKUP($D292,$C$5:$AV$509,3,)=0,0,(VLOOKUP($D292,$C$5:$AV$509,9,)/VLOOKUP($D292,$C$5:$AV$509,3,))*$E292)</f>
        <v>0</v>
      </c>
      <c r="L292" s="47">
        <f>IF(VLOOKUP($D292,$C$5:$AV$509,3,)=0,0,(VLOOKUP($D292,$C$5:$AV$509,10,)/VLOOKUP($D292,$C$5:$AV$509,3,))*$E292)</f>
        <v>3.082374741738978</v>
      </c>
      <c r="M292" s="47">
        <f>IF(VLOOKUP($D292,$C$5:$AV$509,3,)=0,0,(VLOOKUP($D292,$C$5:$AV$509,11,)/VLOOKUP($D292,$C$5:$AV$509,3,))*$E292)</f>
        <v>0.5045971329223744</v>
      </c>
      <c r="N292" s="47">
        <f>IF(VLOOKUP($D292,$C$5:$AV$509,3,)=0,0,(VLOOKUP($D292,$C$5:$AV$509,12,)/VLOOKUP($D292,$C$5:$AV$509,3,))*$E292)</f>
        <v>0</v>
      </c>
      <c r="O292" s="47">
        <f t="shared" si="182"/>
        <v>0</v>
      </c>
      <c r="P292" s="47">
        <f t="shared" si="182"/>
        <v>0</v>
      </c>
      <c r="Q292" s="47">
        <f t="shared" si="182"/>
        <v>0</v>
      </c>
      <c r="R292" s="47">
        <f>IF(VLOOKUP($D292,$C$5:$AV$509,3,)=0,0,(VLOOKUP($D292,$C$5:$AV$509,15,)/VLOOKUP($D292,$C$5:$AV$509,3,))*$E292)</f>
        <v>0</v>
      </c>
      <c r="S292" s="47">
        <f>IF(VLOOKUP($D292,$C$5:$AV$509,3,)=0,0,(VLOOKUP($D292,$C$5:$AV$509,16,)/VLOOKUP($D292,$C$5:$AV$509,3,))*$E292)</f>
        <v>0</v>
      </c>
      <c r="T292" s="47">
        <f>IF(VLOOKUP($D292,$C$5:$AV$509,3,)=0,0,(VLOOKUP($D292,$C$5:$AV$509,17,)/VLOOKUP($D292,$C$5:$AV$509,3,))*$E292)</f>
        <v>0</v>
      </c>
      <c r="U292" s="47">
        <f>IF(VLOOKUP($D292,$C$5:$AV$509,3,)=0,0,(VLOOKUP($D292,$C$5:$AV$509,18,)/VLOOKUP($D292,$C$5:$AV$509,3,))*$E292)</f>
        <v>0</v>
      </c>
      <c r="V292" s="47">
        <f>IF(VLOOKUP($D292,$C$5:$AV$509,3,)=0,0,(VLOOKUP($D292,$C$5:$AV$509,19,)/VLOOKUP($D292,$C$5:$AV$509,3,))*$E292)</f>
        <v>0</v>
      </c>
      <c r="W292" s="47">
        <f>IF(VLOOKUP($D292,$C$5:$AV$509,3,)=0,0,(VLOOKUP($D292,$C$5:$AV$509,20,)/VLOOKUP($D292,$C$5:$AV$509,3,))*$E292)</f>
        <v>0</v>
      </c>
      <c r="X292" s="47">
        <f>IF(VLOOKUP($D292,$C$5:$AV$509,3,)=0,0,(VLOOKUP($D292,$C$5:$AV$509,21,)/VLOOKUP($D292,$C$5:$AV$509,3,))*$E292)</f>
        <v>0</v>
      </c>
      <c r="Y292" s="47">
        <f>IF(VLOOKUP($D292,$C$5:$AV$509,3,)=0,0,(VLOOKUP($D292,$C$5:$AV$509,22,)/VLOOKUP($D292,$C$5:$AV$509,3,))*$E292)</f>
        <v>0</v>
      </c>
      <c r="Z292" s="47">
        <f>IF(VLOOKUP($D292,$C$5:$AV$509,3,)=0,0,(VLOOKUP($D292,$C$5:$AV$509,23,)/VLOOKUP($D292,$C$5:$AV$509,3,))*$E292)</f>
        <v>0</v>
      </c>
      <c r="AA292" s="47">
        <f>IF(VLOOKUP($D292,$C$5:$AV$509,3,)=0,0,(VLOOKUP($D292,$C$5:$AV$509,24,)/VLOOKUP($D292,$C$5:$AV$509,3,))*$E292)</f>
        <v>0</v>
      </c>
      <c r="AB292" s="47">
        <f>IF(VLOOKUP($D292,$C$5:$AV$509,3,)=0,0,(VLOOKUP($D292,$C$5:$AV$509,25,)/VLOOKUP($D292,$C$5:$AV$509,3,))*$E292)</f>
        <v>0</v>
      </c>
      <c r="AC292" s="47">
        <f>IF(VLOOKUP($D292,$C$5:$AV$509,3,)=0,0,(VLOOKUP($D292,$C$5:$AV$509,26,)/VLOOKUP($D292,$C$5:$AV$509,3,))*$E292)</f>
        <v>0</v>
      </c>
      <c r="AD292" s="47">
        <f>IF(VLOOKUP($D292,$C$5:$AV$509,3,)=0,0,(VLOOKUP($D292,$C$5:$AV$509,27,)/VLOOKUP($D292,$C$5:$AV$509,3,))*$E292)</f>
        <v>0</v>
      </c>
      <c r="AE292" s="47">
        <f>IF(VLOOKUP($D292,$C$5:$AV$509,3,)=0,0,(VLOOKUP($D292,$C$5:$AV$509,28,)/VLOOKUP($D292,$C$5:$AV$509,3,))*$E292)</f>
        <v>0</v>
      </c>
      <c r="AF292" s="47">
        <f>IF(VLOOKUP($D292,$C$5:$AV$509,3,)=0,0,(VLOOKUP($D292,$C$5:$AV$509,29,)/VLOOKUP($D292,$C$5:$AV$509,3,))*$E292)</f>
        <v>0</v>
      </c>
      <c r="AG292" s="47">
        <f>IF(VLOOKUP($D292,$C$5:$AV$509,3,)=0,0,(VLOOKUP($D292,$C$5:$AV$509,30,)/VLOOKUP($D292,$C$5:$AV$509,3,))*$E292)</f>
        <v>0</v>
      </c>
      <c r="AH292" s="47">
        <f t="shared" si="183"/>
        <v>5907.0557494427067</v>
      </c>
      <c r="AI292" s="27" t="str">
        <f>IF(ABS(E292-AH292)&lt;0.01,"ok","err")</f>
        <v>ok</v>
      </c>
    </row>
    <row r="293" spans="1:35" x14ac:dyDescent="0.2">
      <c r="A293" s="14" t="s">
        <v>228</v>
      </c>
      <c r="E293" s="62">
        <f t="shared" ref="E293:U293" si="184">E291+E292</f>
        <v>5907.0557494427057</v>
      </c>
      <c r="F293" s="62">
        <f t="shared" si="184"/>
        <v>5038.7744905159498</v>
      </c>
      <c r="G293" s="62">
        <f t="shared" si="184"/>
        <v>0.19609941585973728</v>
      </c>
      <c r="H293" s="62">
        <f t="shared" si="184"/>
        <v>729.35735972772045</v>
      </c>
      <c r="I293" s="62">
        <f t="shared" si="184"/>
        <v>75.093769090752872</v>
      </c>
      <c r="J293" s="62">
        <f t="shared" si="184"/>
        <v>60.047058817762554</v>
      </c>
      <c r="K293" s="62">
        <f t="shared" si="184"/>
        <v>0</v>
      </c>
      <c r="L293" s="62">
        <f t="shared" si="184"/>
        <v>3.082374741738978</v>
      </c>
      <c r="M293" s="62">
        <f t="shared" ref="M293" si="185">M291+M292</f>
        <v>0.5045971329223744</v>
      </c>
      <c r="N293" s="62">
        <f t="shared" si="184"/>
        <v>0</v>
      </c>
      <c r="O293" s="62">
        <f t="shared" si="184"/>
        <v>0</v>
      </c>
      <c r="P293" s="62">
        <f t="shared" si="184"/>
        <v>0</v>
      </c>
      <c r="Q293" s="62">
        <f t="shared" si="184"/>
        <v>0</v>
      </c>
      <c r="R293" s="62">
        <f t="shared" si="184"/>
        <v>0</v>
      </c>
      <c r="S293" s="62">
        <f t="shared" si="184"/>
        <v>0</v>
      </c>
      <c r="T293" s="62">
        <f t="shared" si="184"/>
        <v>0</v>
      </c>
      <c r="U293" s="62">
        <f t="shared" si="184"/>
        <v>0</v>
      </c>
      <c r="V293" s="62">
        <f t="shared" ref="V293:AG293" si="186">V291+V292</f>
        <v>0</v>
      </c>
      <c r="W293" s="62">
        <f t="shared" si="186"/>
        <v>0</v>
      </c>
      <c r="X293" s="62">
        <f t="shared" si="186"/>
        <v>0</v>
      </c>
      <c r="Y293" s="62">
        <f t="shared" si="186"/>
        <v>0</v>
      </c>
      <c r="Z293" s="62">
        <f t="shared" si="186"/>
        <v>0</v>
      </c>
      <c r="AA293" s="62">
        <f t="shared" si="186"/>
        <v>0</v>
      </c>
      <c r="AB293" s="62">
        <f t="shared" si="186"/>
        <v>0</v>
      </c>
      <c r="AC293" s="62">
        <f t="shared" si="186"/>
        <v>0</v>
      </c>
      <c r="AD293" s="62">
        <f t="shared" si="186"/>
        <v>0</v>
      </c>
      <c r="AE293" s="62">
        <f t="shared" si="186"/>
        <v>0</v>
      </c>
      <c r="AF293" s="62">
        <f t="shared" si="186"/>
        <v>0</v>
      </c>
      <c r="AG293" s="62">
        <f t="shared" si="186"/>
        <v>0</v>
      </c>
      <c r="AH293" s="87">
        <f>SUM(F293:AG293)</f>
        <v>5907.0557494427067</v>
      </c>
      <c r="AI293" s="27" t="str">
        <f>IF(ABS(E293-AH293)&lt;0.01,"ok","err")</f>
        <v>ok</v>
      </c>
    </row>
    <row r="294" spans="1:35" x14ac:dyDescent="0.2">
      <c r="E294" s="47"/>
    </row>
    <row r="295" spans="1:35" x14ac:dyDescent="0.2">
      <c r="A295" s="13" t="s">
        <v>4</v>
      </c>
      <c r="E295" s="47"/>
    </row>
    <row r="296" spans="1:35" x14ac:dyDescent="0.2">
      <c r="A296" s="90" t="s">
        <v>221</v>
      </c>
      <c r="C296" s="14" t="s">
        <v>319</v>
      </c>
      <c r="D296" s="14" t="s">
        <v>230</v>
      </c>
      <c r="E296" s="62">
        <f>'Func &amp; Classif'!U316</f>
        <v>2593.3256486646137</v>
      </c>
      <c r="F296" s="47">
        <f>IF(VLOOKUP($D296,$C$5:$AV$509,3,)=0,0,(VLOOKUP($D296,$C$5:$AV$509,4,)/VLOOKUP($D296,$C$5:$AV$509,3,))*$E296)</f>
        <v>2305.8749093963561</v>
      </c>
      <c r="G296" s="47">
        <f>IF(VLOOKUP($D296,$C$5:$AV$509,3,)=0,0,(VLOOKUP($D296,$C$5:$AV$509,5,)/VLOOKUP($D296,$C$5:$AV$509,3,))*$E296)</f>
        <v>8.9740218306921832E-2</v>
      </c>
      <c r="H296" s="47">
        <f>IF(VLOOKUP($D296,$C$5:$AV$509,3,)=0,0,(VLOOKUP($D296,$C$5:$AV$509,6,)/VLOOKUP($D296,$C$5:$AV$509,3,))*$E296)</f>
        <v>227.21653496148753</v>
      </c>
      <c r="I296" s="47">
        <f>IF(VLOOKUP($D296,$C$5:$AV$509,3,)=0,0,(VLOOKUP($D296,$C$5:$AV$509,7,)/VLOOKUP($D296,$C$5:$AV$509,3,))*$E296)</f>
        <v>28.178428548373454</v>
      </c>
      <c r="J296" s="47">
        <f>IF(VLOOKUP($D296,$C$5:$AV$509,3,)=0,0,(VLOOKUP($D296,$C$5:$AV$509,8,)/VLOOKUP($D296,$C$5:$AV$509,3,))*$E296)</f>
        <v>29.325109115628567</v>
      </c>
      <c r="K296" s="47">
        <f>IF(VLOOKUP($D296,$C$5:$AV$509,3,)=0,0,(VLOOKUP($D296,$C$5:$AV$509,9,)/VLOOKUP($D296,$C$5:$AV$509,3,))*$E296)</f>
        <v>0</v>
      </c>
      <c r="L296" s="47">
        <f>IF(VLOOKUP($D296,$C$5:$AV$509,3,)=0,0,(VLOOKUP($D296,$C$5:$AV$509,10,)/VLOOKUP($D296,$C$5:$AV$509,3,))*$E296)</f>
        <v>2.3474901550763043</v>
      </c>
      <c r="M296" s="47">
        <f>IF(VLOOKUP($D296,$C$5:$AV$509,3,)=0,0,(VLOOKUP($D296,$C$5:$AV$509,11,)/VLOOKUP($D296,$C$5:$AV$509,3,))*$E296)</f>
        <v>0.29343626938453804</v>
      </c>
      <c r="N296" s="47">
        <f>IF(VLOOKUP($D296,$C$5:$AV$509,3,)=0,0,(VLOOKUP($D296,$C$5:$AV$509,12,)/VLOOKUP($D296,$C$5:$AV$509,3,))*$E296)</f>
        <v>0</v>
      </c>
      <c r="O296" s="47">
        <f>IF(VLOOKUP($D296,$C$5:$AV$509,3,)=0,0,(VLOOKUP($D296,$C$5:$AV$509,14,)/VLOOKUP($D296,$C$5:$AV$509,3,))*$E296)</f>
        <v>0</v>
      </c>
      <c r="P296" s="47">
        <f>IF(VLOOKUP($D296,$C$5:$AV$509,3,)=0,0,(VLOOKUP($D296,$C$5:$AV$509,14,)/VLOOKUP($D296,$C$5:$AV$509,3,))*$E296)</f>
        <v>0</v>
      </c>
      <c r="Q296" s="47">
        <f>IF(VLOOKUP($D296,$C$5:$AV$509,3,)=0,0,(VLOOKUP($D296,$C$5:$AV$509,14,)/VLOOKUP($D296,$C$5:$AV$509,3,))*$E296)</f>
        <v>0</v>
      </c>
      <c r="R296" s="47">
        <f>IF(VLOOKUP($D296,$C$5:$AV$509,3,)=0,0,(VLOOKUP($D296,$C$5:$AV$509,15,)/VLOOKUP($D296,$C$5:$AV$509,3,))*$E296)</f>
        <v>0</v>
      </c>
      <c r="S296" s="47">
        <f>IF(VLOOKUP($D296,$C$5:$AV$509,3,)=0,0,(VLOOKUP($D296,$C$5:$AV$509,16,)/VLOOKUP($D296,$C$5:$AV$509,3,))*$E296)</f>
        <v>0</v>
      </c>
      <c r="T296" s="47">
        <f>IF(VLOOKUP($D296,$C$5:$AV$509,3,)=0,0,(VLOOKUP($D296,$C$5:$AV$509,17,)/VLOOKUP($D296,$C$5:$AV$509,3,))*$E296)</f>
        <v>0</v>
      </c>
      <c r="U296" s="47">
        <f>IF(VLOOKUP($D296,$C$5:$AV$509,3,)=0,0,(VLOOKUP($D296,$C$5:$AV$509,18,)/VLOOKUP($D296,$C$5:$AV$509,3,))*$E296)</f>
        <v>0</v>
      </c>
      <c r="V296" s="47">
        <f>IF(VLOOKUP($D296,$C$5:$AV$509,3,)=0,0,(VLOOKUP($D296,$C$5:$AV$509,19,)/VLOOKUP($D296,$C$5:$AV$509,3,))*$E296)</f>
        <v>0</v>
      </c>
      <c r="W296" s="47">
        <f>IF(VLOOKUP($D296,$C$5:$AV$509,3,)=0,0,(VLOOKUP($D296,$C$5:$AV$509,20,)/VLOOKUP($D296,$C$5:$AV$509,3,))*$E296)</f>
        <v>0</v>
      </c>
      <c r="X296" s="47">
        <f>IF(VLOOKUP($D296,$C$5:$AV$509,3,)=0,0,(VLOOKUP($D296,$C$5:$AV$509,21,)/VLOOKUP($D296,$C$5:$AV$509,3,))*$E296)</f>
        <v>0</v>
      </c>
      <c r="Y296" s="47">
        <f>IF(VLOOKUP($D296,$C$5:$AV$509,3,)=0,0,(VLOOKUP($D296,$C$5:$AV$509,22,)/VLOOKUP($D296,$C$5:$AV$509,3,))*$E296)</f>
        <v>0</v>
      </c>
      <c r="Z296" s="47">
        <f>IF(VLOOKUP($D296,$C$5:$AV$509,3,)=0,0,(VLOOKUP($D296,$C$5:$AV$509,23,)/VLOOKUP($D296,$C$5:$AV$509,3,))*$E296)</f>
        <v>0</v>
      </c>
      <c r="AA296" s="47">
        <f>IF(VLOOKUP($D296,$C$5:$AV$509,3,)=0,0,(VLOOKUP($D296,$C$5:$AV$509,24,)/VLOOKUP($D296,$C$5:$AV$509,3,))*$E296)</f>
        <v>0</v>
      </c>
      <c r="AB296" s="47">
        <f>IF(VLOOKUP($D296,$C$5:$AV$509,3,)=0,0,(VLOOKUP($D296,$C$5:$AV$509,25,)/VLOOKUP($D296,$C$5:$AV$509,3,))*$E296)</f>
        <v>0</v>
      </c>
      <c r="AC296" s="47">
        <f>IF(VLOOKUP($D296,$C$5:$AV$509,3,)=0,0,(VLOOKUP($D296,$C$5:$AV$509,26,)/VLOOKUP($D296,$C$5:$AV$509,3,))*$E296)</f>
        <v>0</v>
      </c>
      <c r="AD296" s="47">
        <f>IF(VLOOKUP($D296,$C$5:$AV$509,3,)=0,0,(VLOOKUP($D296,$C$5:$AV$509,27,)/VLOOKUP($D296,$C$5:$AV$509,3,))*$E296)</f>
        <v>0</v>
      </c>
      <c r="AE296" s="47">
        <f>IF(VLOOKUP($D296,$C$5:$AV$509,3,)=0,0,(VLOOKUP($D296,$C$5:$AV$509,28,)/VLOOKUP($D296,$C$5:$AV$509,3,))*$E296)</f>
        <v>0</v>
      </c>
      <c r="AF296" s="47">
        <f>IF(VLOOKUP($D296,$C$5:$AV$509,3,)=0,0,(VLOOKUP($D296,$C$5:$AV$509,29,)/VLOOKUP($D296,$C$5:$AV$509,3,))*$E296)</f>
        <v>0</v>
      </c>
      <c r="AG296" s="47">
        <f>IF(VLOOKUP($D296,$C$5:$AV$509,3,)=0,0,(VLOOKUP($D296,$C$5:$AV$509,30,)/VLOOKUP($D296,$C$5:$AV$509,3,))*$E296)</f>
        <v>0</v>
      </c>
      <c r="AH296" s="47">
        <f t="shared" ref="AH296" si="187">SUM(F296:AG296)</f>
        <v>2593.3256486646133</v>
      </c>
      <c r="AI296" s="27" t="str">
        <f>IF(ABS(E296-AH296)&lt;0.01,"ok","err")</f>
        <v>ok</v>
      </c>
    </row>
    <row r="297" spans="1:35" x14ac:dyDescent="0.2">
      <c r="E297" s="47"/>
    </row>
    <row r="298" spans="1:35" x14ac:dyDescent="0.2">
      <c r="A298" s="13" t="s">
        <v>5</v>
      </c>
      <c r="E298" s="47"/>
    </row>
    <row r="299" spans="1:35" x14ac:dyDescent="0.2">
      <c r="A299" s="90" t="s">
        <v>221</v>
      </c>
      <c r="C299" s="14" t="s">
        <v>320</v>
      </c>
      <c r="D299" s="14" t="s">
        <v>232</v>
      </c>
      <c r="E299" s="62">
        <f>'Func &amp; Classif'!W316</f>
        <v>1819.2270095066299</v>
      </c>
      <c r="F299" s="47">
        <f>IF(VLOOKUP($D299,$C$5:$AV$509,3,)=0,0,(VLOOKUP($D299,$C$5:$AV$509,4,)/VLOOKUP($D299,$C$5:$AV$509,3,))*$E299)</f>
        <v>0</v>
      </c>
      <c r="G299" s="47">
        <f>IF(VLOOKUP($D299,$C$5:$AV$509,3,)=0,0,(VLOOKUP($D299,$C$5:$AV$509,5,)/VLOOKUP($D299,$C$5:$AV$509,3,))*$E299)</f>
        <v>0</v>
      </c>
      <c r="H299" s="47">
        <f>IF(VLOOKUP($D299,$C$5:$AV$509,3,)=0,0,(VLOOKUP($D299,$C$5:$AV$509,6,)/VLOOKUP($D299,$C$5:$AV$509,3,))*$E299)</f>
        <v>0</v>
      </c>
      <c r="I299" s="47">
        <f>IF(VLOOKUP($D299,$C$5:$AV$509,3,)=0,0,(VLOOKUP($D299,$C$5:$AV$509,7,)/VLOOKUP($D299,$C$5:$AV$509,3,))*$E299)</f>
        <v>0</v>
      </c>
      <c r="J299" s="47">
        <f>IF(VLOOKUP($D299,$C$5:$AV$509,3,)=0,0,(VLOOKUP($D299,$C$5:$AV$509,8,)/VLOOKUP($D299,$C$5:$AV$509,3,))*$E299)</f>
        <v>0</v>
      </c>
      <c r="K299" s="47">
        <f>IF(VLOOKUP($D299,$C$5:$AV$509,3,)=0,0,(VLOOKUP($D299,$C$5:$AV$509,9,)/VLOOKUP($D299,$C$5:$AV$509,3,))*$E299)</f>
        <v>0</v>
      </c>
      <c r="L299" s="47">
        <f>IF(VLOOKUP($D299,$C$5:$AV$509,3,)=0,0,(VLOOKUP($D299,$C$5:$AV$509,10,)/VLOOKUP($D299,$C$5:$AV$509,3,))*$E299)</f>
        <v>0</v>
      </c>
      <c r="M299" s="47">
        <f>IF(VLOOKUP($D299,$C$5:$AV$509,3,)=0,0,(VLOOKUP($D299,$C$5:$AV$509,11,)/VLOOKUP($D299,$C$5:$AV$509,3,))*$E299)</f>
        <v>0</v>
      </c>
      <c r="N299" s="47">
        <f>IF(VLOOKUP($D299,$C$5:$AV$509,3,)=0,0,(VLOOKUP($D299,$C$5:$AV$509,12,)/VLOOKUP($D299,$C$5:$AV$509,3,))*$E299)</f>
        <v>1819.2270095066299</v>
      </c>
      <c r="O299" s="47">
        <f>IF(VLOOKUP($D299,$C$5:$AV$509,3,)=0,0,(VLOOKUP($D299,$C$5:$AV$509,14,)/VLOOKUP($D299,$C$5:$AV$509,3,))*$E299)</f>
        <v>0</v>
      </c>
      <c r="P299" s="47">
        <f>IF(VLOOKUP($D299,$C$5:$AV$509,3,)=0,0,(VLOOKUP($D299,$C$5:$AV$509,14,)/VLOOKUP($D299,$C$5:$AV$509,3,))*$E299)</f>
        <v>0</v>
      </c>
      <c r="Q299" s="47">
        <f>IF(VLOOKUP($D299,$C$5:$AV$509,3,)=0,0,(VLOOKUP($D299,$C$5:$AV$509,14,)/VLOOKUP($D299,$C$5:$AV$509,3,))*$E299)</f>
        <v>0</v>
      </c>
      <c r="R299" s="47">
        <f>IF(VLOOKUP($D299,$C$5:$AV$509,3,)=0,0,(VLOOKUP($D299,$C$5:$AV$509,15,)/VLOOKUP($D299,$C$5:$AV$509,3,))*$E299)</f>
        <v>0</v>
      </c>
      <c r="S299" s="47">
        <f>IF(VLOOKUP($D299,$C$5:$AV$509,3,)=0,0,(VLOOKUP($D299,$C$5:$AV$509,16,)/VLOOKUP($D299,$C$5:$AV$509,3,))*$E299)</f>
        <v>0</v>
      </c>
      <c r="T299" s="47">
        <f>IF(VLOOKUP($D299,$C$5:$AV$509,3,)=0,0,(VLOOKUP($D299,$C$5:$AV$509,17,)/VLOOKUP($D299,$C$5:$AV$509,3,))*$E299)</f>
        <v>0</v>
      </c>
      <c r="U299" s="47">
        <f>IF(VLOOKUP($D299,$C$5:$AV$509,3,)=0,0,(VLOOKUP($D299,$C$5:$AV$509,18,)/VLOOKUP($D299,$C$5:$AV$509,3,))*$E299)</f>
        <v>0</v>
      </c>
      <c r="V299" s="47">
        <f>IF(VLOOKUP($D299,$C$5:$AV$509,3,)=0,0,(VLOOKUP($D299,$C$5:$AV$509,19,)/VLOOKUP($D299,$C$5:$AV$509,3,))*$E299)</f>
        <v>0</v>
      </c>
      <c r="W299" s="47">
        <f>IF(VLOOKUP($D299,$C$5:$AV$509,3,)=0,0,(VLOOKUP($D299,$C$5:$AV$509,20,)/VLOOKUP($D299,$C$5:$AV$509,3,))*$E299)</f>
        <v>0</v>
      </c>
      <c r="X299" s="47">
        <f>IF(VLOOKUP($D299,$C$5:$AV$509,3,)=0,0,(VLOOKUP($D299,$C$5:$AV$509,21,)/VLOOKUP($D299,$C$5:$AV$509,3,))*$E299)</f>
        <v>0</v>
      </c>
      <c r="Y299" s="47">
        <f>IF(VLOOKUP($D299,$C$5:$AV$509,3,)=0,0,(VLOOKUP($D299,$C$5:$AV$509,22,)/VLOOKUP($D299,$C$5:$AV$509,3,))*$E299)</f>
        <v>0</v>
      </c>
      <c r="Z299" s="47">
        <f>IF(VLOOKUP($D299,$C$5:$AV$509,3,)=0,0,(VLOOKUP($D299,$C$5:$AV$509,23,)/VLOOKUP($D299,$C$5:$AV$509,3,))*$E299)</f>
        <v>0</v>
      </c>
      <c r="AA299" s="47">
        <f>IF(VLOOKUP($D299,$C$5:$AV$509,3,)=0,0,(VLOOKUP($D299,$C$5:$AV$509,24,)/VLOOKUP($D299,$C$5:$AV$509,3,))*$E299)</f>
        <v>0</v>
      </c>
      <c r="AB299" s="47">
        <f>IF(VLOOKUP($D299,$C$5:$AV$509,3,)=0,0,(VLOOKUP($D299,$C$5:$AV$509,25,)/VLOOKUP($D299,$C$5:$AV$509,3,))*$E299)</f>
        <v>0</v>
      </c>
      <c r="AC299" s="47">
        <f>IF(VLOOKUP($D299,$C$5:$AV$509,3,)=0,0,(VLOOKUP($D299,$C$5:$AV$509,26,)/VLOOKUP($D299,$C$5:$AV$509,3,))*$E299)</f>
        <v>0</v>
      </c>
      <c r="AD299" s="47">
        <f>IF(VLOOKUP($D299,$C$5:$AV$509,3,)=0,0,(VLOOKUP($D299,$C$5:$AV$509,27,)/VLOOKUP($D299,$C$5:$AV$509,3,))*$E299)</f>
        <v>0</v>
      </c>
      <c r="AE299" s="47">
        <f>IF(VLOOKUP($D299,$C$5:$AV$509,3,)=0,0,(VLOOKUP($D299,$C$5:$AV$509,28,)/VLOOKUP($D299,$C$5:$AV$509,3,))*$E299)</f>
        <v>0</v>
      </c>
      <c r="AF299" s="47">
        <f>IF(VLOOKUP($D299,$C$5:$AV$509,3,)=0,0,(VLOOKUP($D299,$C$5:$AV$509,29,)/VLOOKUP($D299,$C$5:$AV$509,3,))*$E299)</f>
        <v>0</v>
      </c>
      <c r="AG299" s="47">
        <f>IF(VLOOKUP($D299,$C$5:$AV$509,3,)=0,0,(VLOOKUP($D299,$C$5:$AV$509,30,)/VLOOKUP($D299,$C$5:$AV$509,3,))*$E299)</f>
        <v>0</v>
      </c>
      <c r="AH299" s="47">
        <f t="shared" ref="AH299" si="188">SUM(F299:AG299)</f>
        <v>1819.2270095066299</v>
      </c>
      <c r="AI299" s="27" t="str">
        <f>IF(ABS(E299-AH299)&lt;0.01,"ok","err")</f>
        <v>ok</v>
      </c>
    </row>
    <row r="300" spans="1:35" x14ac:dyDescent="0.2">
      <c r="E300" s="47"/>
    </row>
    <row r="301" spans="1:35" x14ac:dyDescent="0.2">
      <c r="A301" s="13" t="s">
        <v>545</v>
      </c>
      <c r="E301" s="47"/>
    </row>
    <row r="302" spans="1:35" x14ac:dyDescent="0.2">
      <c r="A302" s="90" t="s">
        <v>221</v>
      </c>
      <c r="C302" s="14" t="s">
        <v>321</v>
      </c>
      <c r="D302" s="14" t="s">
        <v>234</v>
      </c>
      <c r="E302" s="62">
        <f>'Func &amp; Classif'!Y316</f>
        <v>0</v>
      </c>
      <c r="F302" s="47">
        <f>IF(VLOOKUP($D302,$C$5:$AV$509,3,)=0,0,(VLOOKUP($D302,$C$5:$AV$509,4,)/VLOOKUP($D302,$C$5:$AV$509,3,))*$E302)</f>
        <v>0</v>
      </c>
      <c r="G302" s="47">
        <f>IF(VLOOKUP($D302,$C$5:$AV$509,3,)=0,0,(VLOOKUP($D302,$C$5:$AV$509,5,)/VLOOKUP($D302,$C$5:$AV$509,3,))*$E302)</f>
        <v>0</v>
      </c>
      <c r="H302" s="47">
        <f>IF(VLOOKUP($D302,$C$5:$AV$509,3,)=0,0,(VLOOKUP($D302,$C$5:$AV$509,6,)/VLOOKUP($D302,$C$5:$AV$509,3,))*$E302)</f>
        <v>0</v>
      </c>
      <c r="I302" s="47">
        <f>IF(VLOOKUP($D302,$C$5:$AV$509,3,)=0,0,(VLOOKUP($D302,$C$5:$AV$509,7,)/VLOOKUP($D302,$C$5:$AV$509,3,))*$E302)</f>
        <v>0</v>
      </c>
      <c r="J302" s="47">
        <f>IF(VLOOKUP($D302,$C$5:$AV$509,3,)=0,0,(VLOOKUP($D302,$C$5:$AV$509,8,)/VLOOKUP($D302,$C$5:$AV$509,3,))*$E302)</f>
        <v>0</v>
      </c>
      <c r="K302" s="47">
        <f>IF(VLOOKUP($D302,$C$5:$AV$509,3,)=0,0,(VLOOKUP($D302,$C$5:$AV$509,9,)/VLOOKUP($D302,$C$5:$AV$509,3,))*$E302)</f>
        <v>0</v>
      </c>
      <c r="L302" s="47">
        <f>IF(VLOOKUP($D302,$C$5:$AV$509,3,)=0,0,(VLOOKUP($D302,$C$5:$AV$509,10,)/VLOOKUP($D302,$C$5:$AV$509,3,))*$E302)</f>
        <v>0</v>
      </c>
      <c r="M302" s="47">
        <f>IF(VLOOKUP($D302,$C$5:$AV$509,3,)=0,0,(VLOOKUP($D302,$C$5:$AV$509,11,)/VLOOKUP($D302,$C$5:$AV$509,3,))*$E302)</f>
        <v>0</v>
      </c>
      <c r="N302" s="47">
        <f>IF(VLOOKUP($D302,$C$5:$AV$509,3,)=0,0,(VLOOKUP($D302,$C$5:$AV$509,12,)/VLOOKUP($D302,$C$5:$AV$509,3,))*$E302)</f>
        <v>0</v>
      </c>
      <c r="O302" s="47">
        <f>IF(VLOOKUP($D302,$C$5:$AV$509,3,)=0,0,(VLOOKUP($D302,$C$5:$AV$509,14,)/VLOOKUP($D302,$C$5:$AV$509,3,))*$E302)</f>
        <v>0</v>
      </c>
      <c r="P302" s="47">
        <f>IF(VLOOKUP($D302,$C$5:$AV$509,3,)=0,0,(VLOOKUP($D302,$C$5:$AV$509,14,)/VLOOKUP($D302,$C$5:$AV$509,3,))*$E302)</f>
        <v>0</v>
      </c>
      <c r="Q302" s="47">
        <f>IF(VLOOKUP($D302,$C$5:$AV$509,3,)=0,0,(VLOOKUP($D302,$C$5:$AV$509,14,)/VLOOKUP($D302,$C$5:$AV$509,3,))*$E302)</f>
        <v>0</v>
      </c>
      <c r="R302" s="47">
        <f>IF(VLOOKUP($D302,$C$5:$AV$509,3,)=0,0,(VLOOKUP($D302,$C$5:$AV$509,15,)/VLOOKUP($D302,$C$5:$AV$509,3,))*$E302)</f>
        <v>0</v>
      </c>
      <c r="S302" s="47">
        <f>IF(VLOOKUP($D302,$C$5:$AV$509,3,)=0,0,(VLOOKUP($D302,$C$5:$AV$509,16,)/VLOOKUP($D302,$C$5:$AV$509,3,))*$E302)</f>
        <v>0</v>
      </c>
      <c r="T302" s="47">
        <f>IF(VLOOKUP($D302,$C$5:$AV$509,3,)=0,0,(VLOOKUP($D302,$C$5:$AV$509,17,)/VLOOKUP($D302,$C$5:$AV$509,3,))*$E302)</f>
        <v>0</v>
      </c>
      <c r="U302" s="47">
        <f>IF(VLOOKUP($D302,$C$5:$AV$509,3,)=0,0,(VLOOKUP($D302,$C$5:$AV$509,18,)/VLOOKUP($D302,$C$5:$AV$509,3,))*$E302)</f>
        <v>0</v>
      </c>
      <c r="V302" s="47">
        <f>IF(VLOOKUP($D302,$C$5:$AV$509,3,)=0,0,(VLOOKUP($D302,$C$5:$AV$509,19,)/VLOOKUP($D302,$C$5:$AV$509,3,))*$E302)</f>
        <v>0</v>
      </c>
      <c r="W302" s="47">
        <f>IF(VLOOKUP($D302,$C$5:$AV$509,3,)=0,0,(VLOOKUP($D302,$C$5:$AV$509,20,)/VLOOKUP($D302,$C$5:$AV$509,3,))*$E302)</f>
        <v>0</v>
      </c>
      <c r="X302" s="47">
        <f>IF(VLOOKUP($D302,$C$5:$AV$509,3,)=0,0,(VLOOKUP($D302,$C$5:$AV$509,21,)/VLOOKUP($D302,$C$5:$AV$509,3,))*$E302)</f>
        <v>0</v>
      </c>
      <c r="Y302" s="47">
        <f>IF(VLOOKUP($D302,$C$5:$AV$509,3,)=0,0,(VLOOKUP($D302,$C$5:$AV$509,22,)/VLOOKUP($D302,$C$5:$AV$509,3,))*$E302)</f>
        <v>0</v>
      </c>
      <c r="Z302" s="47">
        <f>IF(VLOOKUP($D302,$C$5:$AV$509,3,)=0,0,(VLOOKUP($D302,$C$5:$AV$509,23,)/VLOOKUP($D302,$C$5:$AV$509,3,))*$E302)</f>
        <v>0</v>
      </c>
      <c r="AA302" s="47">
        <f>IF(VLOOKUP($D302,$C$5:$AV$509,3,)=0,0,(VLOOKUP($D302,$C$5:$AV$509,24,)/VLOOKUP($D302,$C$5:$AV$509,3,))*$E302)</f>
        <v>0</v>
      </c>
      <c r="AB302" s="47">
        <f>IF(VLOOKUP($D302,$C$5:$AV$509,3,)=0,0,(VLOOKUP($D302,$C$5:$AV$509,25,)/VLOOKUP($D302,$C$5:$AV$509,3,))*$E302)</f>
        <v>0</v>
      </c>
      <c r="AC302" s="47">
        <f>IF(VLOOKUP($D302,$C$5:$AV$509,3,)=0,0,(VLOOKUP($D302,$C$5:$AV$509,26,)/VLOOKUP($D302,$C$5:$AV$509,3,))*$E302)</f>
        <v>0</v>
      </c>
      <c r="AD302" s="47">
        <f>IF(VLOOKUP($D302,$C$5:$AV$509,3,)=0,0,(VLOOKUP($D302,$C$5:$AV$509,27,)/VLOOKUP($D302,$C$5:$AV$509,3,))*$E302)</f>
        <v>0</v>
      </c>
      <c r="AE302" s="47">
        <f>IF(VLOOKUP($D302,$C$5:$AV$509,3,)=0,0,(VLOOKUP($D302,$C$5:$AV$509,28,)/VLOOKUP($D302,$C$5:$AV$509,3,))*$E302)</f>
        <v>0</v>
      </c>
      <c r="AF302" s="47">
        <f>IF(VLOOKUP($D302,$C$5:$AV$509,3,)=0,0,(VLOOKUP($D302,$C$5:$AV$509,29,)/VLOOKUP($D302,$C$5:$AV$509,3,))*$E302)</f>
        <v>0</v>
      </c>
      <c r="AG302" s="47">
        <f>IF(VLOOKUP($D302,$C$5:$AV$509,3,)=0,0,(VLOOKUP($D302,$C$5:$AV$509,30,)/VLOOKUP($D302,$C$5:$AV$509,3,))*$E302)</f>
        <v>0</v>
      </c>
      <c r="AH302" s="47">
        <f t="shared" ref="AH302" si="189">SUM(F302:AG302)</f>
        <v>0</v>
      </c>
      <c r="AI302" s="27" t="str">
        <f>IF(ABS(E302-AH302)&lt;0.01,"ok","err")</f>
        <v>ok</v>
      </c>
    </row>
    <row r="303" spans="1:35" x14ac:dyDescent="0.2">
      <c r="E303" s="47"/>
    </row>
    <row r="304" spans="1:35" x14ac:dyDescent="0.2">
      <c r="A304" s="13" t="s">
        <v>470</v>
      </c>
      <c r="E304" s="47"/>
    </row>
    <row r="305" spans="1:42" x14ac:dyDescent="0.2">
      <c r="A305" s="90" t="s">
        <v>221</v>
      </c>
      <c r="C305" s="14" t="s">
        <v>318</v>
      </c>
      <c r="D305" s="14" t="s">
        <v>235</v>
      </c>
      <c r="E305" s="62">
        <f>'Func &amp; Classif'!AA316</f>
        <v>0</v>
      </c>
      <c r="F305" s="47">
        <f>IF(VLOOKUP($D305,$C$5:$AV$509,3,)=0,0,(VLOOKUP($D305,$C$5:$AV$509,4,)/VLOOKUP($D305,$C$5:$AV$509,3,))*$E305)</f>
        <v>0</v>
      </c>
      <c r="G305" s="47">
        <f>IF(VLOOKUP($D305,$C$5:$AV$509,3,)=0,0,(VLOOKUP($D305,$C$5:$AV$509,5,)/VLOOKUP($D305,$C$5:$AV$509,3,))*$E305)</f>
        <v>0</v>
      </c>
      <c r="H305" s="47">
        <f>IF(VLOOKUP($D305,$C$5:$AV$509,3,)=0,0,(VLOOKUP($D305,$C$5:$AV$509,6,)/VLOOKUP($D305,$C$5:$AV$509,3,))*$E305)</f>
        <v>0</v>
      </c>
      <c r="I305" s="47">
        <f>IF(VLOOKUP($D305,$C$5:$AV$509,3,)=0,0,(VLOOKUP($D305,$C$5:$AV$509,7,)/VLOOKUP($D305,$C$5:$AV$509,3,))*$E305)</f>
        <v>0</v>
      </c>
      <c r="J305" s="47">
        <f>IF(VLOOKUP($D305,$C$5:$AV$509,3,)=0,0,(VLOOKUP($D305,$C$5:$AV$509,8,)/VLOOKUP($D305,$C$5:$AV$509,3,))*$E305)</f>
        <v>0</v>
      </c>
      <c r="K305" s="47">
        <f>IF(VLOOKUP($D305,$C$5:$AV$509,3,)=0,0,(VLOOKUP($D305,$C$5:$AV$509,9,)/VLOOKUP($D305,$C$5:$AV$509,3,))*$E305)</f>
        <v>0</v>
      </c>
      <c r="L305" s="47">
        <f>IF(VLOOKUP($D305,$C$5:$AV$509,3,)=0,0,(VLOOKUP($D305,$C$5:$AV$509,10,)/VLOOKUP($D305,$C$5:$AV$509,3,))*$E305)</f>
        <v>0</v>
      </c>
      <c r="M305" s="47">
        <f>IF(VLOOKUP($D305,$C$5:$AV$509,3,)=0,0,(VLOOKUP($D305,$C$5:$AV$509,11,)/VLOOKUP($D305,$C$5:$AV$509,3,))*$E305)</f>
        <v>0</v>
      </c>
      <c r="N305" s="47">
        <f>IF(VLOOKUP($D305,$C$5:$AV$509,3,)=0,0,(VLOOKUP($D305,$C$5:$AV$509,12,)/VLOOKUP($D305,$C$5:$AV$509,3,))*$E305)</f>
        <v>0</v>
      </c>
      <c r="O305" s="47">
        <f>IF(VLOOKUP($D305,$C$5:$AV$509,3,)=0,0,(VLOOKUP($D305,$C$5:$AV$509,14,)/VLOOKUP($D305,$C$5:$AV$509,3,))*$E305)</f>
        <v>0</v>
      </c>
      <c r="P305" s="47">
        <f>IF(VLOOKUP($D305,$C$5:$AV$509,3,)=0,0,(VLOOKUP($D305,$C$5:$AV$509,14,)/VLOOKUP($D305,$C$5:$AV$509,3,))*$E305)</f>
        <v>0</v>
      </c>
      <c r="Q305" s="47">
        <f>IF(VLOOKUP($D305,$C$5:$AV$509,3,)=0,0,(VLOOKUP($D305,$C$5:$AV$509,14,)/VLOOKUP($D305,$C$5:$AV$509,3,))*$E305)</f>
        <v>0</v>
      </c>
      <c r="R305" s="47">
        <f>IF(VLOOKUP($D305,$C$5:$AV$509,3,)=0,0,(VLOOKUP($D305,$C$5:$AV$509,15,)/VLOOKUP($D305,$C$5:$AV$509,3,))*$E305)</f>
        <v>0</v>
      </c>
      <c r="S305" s="47">
        <f>IF(VLOOKUP($D305,$C$5:$AV$509,3,)=0,0,(VLOOKUP($D305,$C$5:$AV$509,16,)/VLOOKUP($D305,$C$5:$AV$509,3,))*$E305)</f>
        <v>0</v>
      </c>
      <c r="T305" s="47">
        <f>IF(VLOOKUP($D305,$C$5:$AV$509,3,)=0,0,(VLOOKUP($D305,$C$5:$AV$509,17,)/VLOOKUP($D305,$C$5:$AV$509,3,))*$E305)</f>
        <v>0</v>
      </c>
      <c r="U305" s="47">
        <f>IF(VLOOKUP($D305,$C$5:$AV$509,3,)=0,0,(VLOOKUP($D305,$C$5:$AV$509,18,)/VLOOKUP($D305,$C$5:$AV$509,3,))*$E305)</f>
        <v>0</v>
      </c>
      <c r="V305" s="47">
        <f>IF(VLOOKUP($D305,$C$5:$AV$509,3,)=0,0,(VLOOKUP($D305,$C$5:$AV$509,19,)/VLOOKUP($D305,$C$5:$AV$509,3,))*$E305)</f>
        <v>0</v>
      </c>
      <c r="W305" s="47">
        <f>IF(VLOOKUP($D305,$C$5:$AV$509,3,)=0,0,(VLOOKUP($D305,$C$5:$AV$509,20,)/VLOOKUP($D305,$C$5:$AV$509,3,))*$E305)</f>
        <v>0</v>
      </c>
      <c r="X305" s="47">
        <f>IF(VLOOKUP($D305,$C$5:$AV$509,3,)=0,0,(VLOOKUP($D305,$C$5:$AV$509,21,)/VLOOKUP($D305,$C$5:$AV$509,3,))*$E305)</f>
        <v>0</v>
      </c>
      <c r="Y305" s="47">
        <f>IF(VLOOKUP($D305,$C$5:$AV$509,3,)=0,0,(VLOOKUP($D305,$C$5:$AV$509,22,)/VLOOKUP($D305,$C$5:$AV$509,3,))*$E305)</f>
        <v>0</v>
      </c>
      <c r="Z305" s="47">
        <f>IF(VLOOKUP($D305,$C$5:$AV$509,3,)=0,0,(VLOOKUP($D305,$C$5:$AV$509,23,)/VLOOKUP($D305,$C$5:$AV$509,3,))*$E305)</f>
        <v>0</v>
      </c>
      <c r="AA305" s="47">
        <f>IF(VLOOKUP($D305,$C$5:$AV$509,3,)=0,0,(VLOOKUP($D305,$C$5:$AV$509,24,)/VLOOKUP($D305,$C$5:$AV$509,3,))*$E305)</f>
        <v>0</v>
      </c>
      <c r="AB305" s="47">
        <f>IF(VLOOKUP($D305,$C$5:$AV$509,3,)=0,0,(VLOOKUP($D305,$C$5:$AV$509,25,)/VLOOKUP($D305,$C$5:$AV$509,3,))*$E305)</f>
        <v>0</v>
      </c>
      <c r="AC305" s="47">
        <f>IF(VLOOKUP($D305,$C$5:$AV$509,3,)=0,0,(VLOOKUP($D305,$C$5:$AV$509,26,)/VLOOKUP($D305,$C$5:$AV$509,3,))*$E305)</f>
        <v>0</v>
      </c>
      <c r="AD305" s="47">
        <f>IF(VLOOKUP($D305,$C$5:$AV$509,3,)=0,0,(VLOOKUP($D305,$C$5:$AV$509,27,)/VLOOKUP($D305,$C$5:$AV$509,3,))*$E305)</f>
        <v>0</v>
      </c>
      <c r="AE305" s="47">
        <f>IF(VLOOKUP($D305,$C$5:$AV$509,3,)=0,0,(VLOOKUP($D305,$C$5:$AV$509,28,)/VLOOKUP($D305,$C$5:$AV$509,3,))*$E305)</f>
        <v>0</v>
      </c>
      <c r="AF305" s="47">
        <f>IF(VLOOKUP($D305,$C$5:$AV$509,3,)=0,0,(VLOOKUP($D305,$C$5:$AV$509,29,)/VLOOKUP($D305,$C$5:$AV$509,3,))*$E305)</f>
        <v>0</v>
      </c>
      <c r="AG305" s="47">
        <f>IF(VLOOKUP($D305,$C$5:$AV$509,3,)=0,0,(VLOOKUP($D305,$C$5:$AV$509,30,)/VLOOKUP($D305,$C$5:$AV$509,3,))*$E305)</f>
        <v>0</v>
      </c>
      <c r="AH305" s="47">
        <f t="shared" ref="AH305" si="190">SUM(F305:AG305)</f>
        <v>0</v>
      </c>
      <c r="AI305" s="27" t="str">
        <f>IF(ABS(E305-AH305)&lt;0.01,"ok","err")</f>
        <v>ok</v>
      </c>
    </row>
    <row r="306" spans="1:42" x14ac:dyDescent="0.2">
      <c r="E306" s="47"/>
    </row>
    <row r="307" spans="1:42" x14ac:dyDescent="0.2">
      <c r="A307" s="14" t="s">
        <v>0</v>
      </c>
      <c r="C307" s="14" t="s">
        <v>322</v>
      </c>
      <c r="E307" s="62">
        <f>E277+E280+E283+E288+E293+E296+E299+E302+E305</f>
        <v>54081.639999999978</v>
      </c>
      <c r="F307" s="62">
        <f t="shared" ref="F307:S307" si="191">F277+F280+F283+F288+F293+F296+F299+F302+F305</f>
        <v>45919.358938143247</v>
      </c>
      <c r="G307" s="62">
        <f t="shared" si="191"/>
        <v>14.242910535446722</v>
      </c>
      <c r="H307" s="62">
        <f t="shared" si="191"/>
        <v>3998.9114581474782</v>
      </c>
      <c r="I307" s="62">
        <f t="shared" si="191"/>
        <v>532.41851276776822</v>
      </c>
      <c r="J307" s="62">
        <f t="shared" si="191"/>
        <v>1026.317618122315</v>
      </c>
      <c r="K307" s="62">
        <f t="shared" si="191"/>
        <v>0</v>
      </c>
      <c r="L307" s="62">
        <f t="shared" si="191"/>
        <v>383.38063090163104</v>
      </c>
      <c r="M307" s="62">
        <f t="shared" ref="M307" si="192">M277+M280+M283+M288+M293+M296+M299+M302+M305</f>
        <v>107.96356705246853</v>
      </c>
      <c r="N307" s="62">
        <f t="shared" si="191"/>
        <v>2099.0463643296239</v>
      </c>
      <c r="O307" s="62">
        <f t="shared" si="191"/>
        <v>0</v>
      </c>
      <c r="P307" s="62">
        <f t="shared" si="191"/>
        <v>0</v>
      </c>
      <c r="Q307" s="62">
        <f t="shared" si="191"/>
        <v>0</v>
      </c>
      <c r="R307" s="62">
        <f t="shared" si="191"/>
        <v>0</v>
      </c>
      <c r="S307" s="62">
        <f t="shared" si="191"/>
        <v>0</v>
      </c>
      <c r="T307" s="62">
        <f t="shared" ref="T307:AG307" si="193">T277+T283+T288+T293+T296+T299+T302+T305</f>
        <v>0</v>
      </c>
      <c r="U307" s="62">
        <f t="shared" si="193"/>
        <v>0</v>
      </c>
      <c r="V307" s="62">
        <f t="shared" si="193"/>
        <v>0</v>
      </c>
      <c r="W307" s="62">
        <f t="shared" si="193"/>
        <v>0</v>
      </c>
      <c r="X307" s="62">
        <f t="shared" si="193"/>
        <v>0</v>
      </c>
      <c r="Y307" s="62">
        <f t="shared" si="193"/>
        <v>0</v>
      </c>
      <c r="Z307" s="62">
        <f t="shared" si="193"/>
        <v>0</v>
      </c>
      <c r="AA307" s="62">
        <f t="shared" si="193"/>
        <v>0</v>
      </c>
      <c r="AB307" s="62">
        <f t="shared" si="193"/>
        <v>0</v>
      </c>
      <c r="AC307" s="62">
        <f t="shared" si="193"/>
        <v>0</v>
      </c>
      <c r="AD307" s="62">
        <f t="shared" si="193"/>
        <v>0</v>
      </c>
      <c r="AE307" s="62">
        <f t="shared" si="193"/>
        <v>0</v>
      </c>
      <c r="AF307" s="62">
        <f t="shared" si="193"/>
        <v>0</v>
      </c>
      <c r="AG307" s="62">
        <f t="shared" si="193"/>
        <v>0</v>
      </c>
      <c r="AH307" s="87">
        <f>SUM(F307:AG307)</f>
        <v>54081.639999999978</v>
      </c>
      <c r="AI307" s="27" t="str">
        <f>IF(ABS(E307-AH307)&lt;0.01,"ok","err")</f>
        <v>ok</v>
      </c>
    </row>
    <row r="308" spans="1:42" x14ac:dyDescent="0.2"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87"/>
      <c r="AI308" s="27"/>
    </row>
    <row r="309" spans="1:42" x14ac:dyDescent="0.2"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87"/>
      <c r="AI309" s="27"/>
    </row>
    <row r="310" spans="1:42" x14ac:dyDescent="0.2">
      <c r="A310" s="25" t="s">
        <v>581</v>
      </c>
    </row>
    <row r="311" spans="1:42" x14ac:dyDescent="0.2">
      <c r="E311" s="87"/>
    </row>
    <row r="312" spans="1:42" x14ac:dyDescent="0.2">
      <c r="A312" s="13" t="s">
        <v>323</v>
      </c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AK312" s="84"/>
      <c r="AL312" s="171"/>
      <c r="AM312" s="84"/>
      <c r="AN312" s="84"/>
      <c r="AO312" s="84"/>
      <c r="AP312" s="84"/>
    </row>
    <row r="313" spans="1:42" x14ac:dyDescent="0.2">
      <c r="A313" s="14" t="s">
        <v>764</v>
      </c>
      <c r="C313" s="14" t="s">
        <v>324</v>
      </c>
      <c r="D313" s="14" t="s">
        <v>561</v>
      </c>
      <c r="E313" s="62">
        <f>'Billing Det'!E25</f>
        <v>56631024.510816008</v>
      </c>
      <c r="F313" s="47">
        <f>IF(VLOOKUP($D313,$C$5:$AV$509,3,)=0,0,(VLOOKUP($D313,$C$5:$AV$509,4,)/VLOOKUP($D313,$C$5:$AV$509,3,))*$E313)</f>
        <v>42005561.815520003</v>
      </c>
      <c r="G313" s="47">
        <f>IF(VLOOKUP($D313,$C$5:$AV$509,3,)=0,0,(VLOOKUP($D313,$C$5:$AV$509,5,)/VLOOKUP($D313,$C$5:$AV$509,3,))*$E313)</f>
        <v>24044</v>
      </c>
      <c r="H313" s="47">
        <f>IF(VLOOKUP($D313,$C$5:$AV$509,3,)=0,0,(VLOOKUP($D313,$C$5:$AV$509,6,)/VLOOKUP($D313,$C$5:$AV$509,3,))*$E313)</f>
        <v>4669689.5269399993</v>
      </c>
      <c r="I313" s="47">
        <f>IF(VLOOKUP($D313,$C$5:$AV$509,3,)=0,0,(VLOOKUP($D313,$C$5:$AV$509,7,)/VLOOKUP($D313,$C$5:$AV$509,3,))*$E313)</f>
        <v>522504.48239999998</v>
      </c>
      <c r="J313" s="47">
        <f>IF(VLOOKUP($D313,$C$5:$AV$509,3,)=0,0,(VLOOKUP($D313,$C$5:$AV$509,8,)/VLOOKUP($D313,$C$5:$AV$509,3,))*$E313)</f>
        <v>5150171.1242999993</v>
      </c>
      <c r="K313" s="47">
        <f>IF(VLOOKUP($D313,$C$5:$AV$509,3,)=0,0,(VLOOKUP($D313,$C$5:$AV$509,9,)/VLOOKUP($D313,$C$5:$AV$509,3,))*$E313)</f>
        <v>0</v>
      </c>
      <c r="L313" s="47">
        <f>IF(VLOOKUP($D313,$C$5:$AV$509,3,)=0,0,(VLOOKUP($D313,$C$5:$AV$509,10,)/VLOOKUP($D313,$C$5:$AV$509,3,))*$E313)</f>
        <v>2213581.8679999998</v>
      </c>
      <c r="M313" s="47">
        <f>IF(VLOOKUP($D313,$C$5:$AV$509,3,)=0,0,(VLOOKUP($D313,$C$5:$AV$509,11,)/VLOOKUP($D313,$C$5:$AV$509,3,))*$E313)</f>
        <v>857825.64365600003</v>
      </c>
      <c r="N313" s="47">
        <f>IF(VLOOKUP($D313,$C$5:$AV$509,3,)=0,0,(VLOOKUP($D313,$C$5:$AV$509,12,)/VLOOKUP($D313,$C$5:$AV$509,3,))*$E313)</f>
        <v>1187646.0499999998</v>
      </c>
      <c r="O313" s="47">
        <f t="shared" ref="O313:Q314" si="194">IF(VLOOKUP($D313,$C$5:$AV$509,3,)=0,0,(VLOOKUP($D313,$C$5:$AV$509,14,)/VLOOKUP($D313,$C$5:$AV$509,3,))*$E313)</f>
        <v>0</v>
      </c>
      <c r="P313" s="47">
        <f t="shared" si="194"/>
        <v>0</v>
      </c>
      <c r="Q313" s="47">
        <f t="shared" si="194"/>
        <v>0</v>
      </c>
      <c r="R313" s="47">
        <f>IF(VLOOKUP($D313,$C$5:$AV$509,3,)=0,0,(VLOOKUP($D313,$C$5:$AV$509,15,)/VLOOKUP($D313,$C$5:$AV$509,3,))*$E313)</f>
        <v>0</v>
      </c>
      <c r="S313" s="47">
        <f>IF(VLOOKUP($D313,$C$5:$AV$509,3,)=0,0,(VLOOKUP($D313,$C$5:$AV$509,16,)/VLOOKUP($D313,$C$5:$AV$509,3,))*$E313)</f>
        <v>0</v>
      </c>
      <c r="T313" s="47">
        <f>IF(VLOOKUP($D313,$C$5:$AV$509,3,)=0,0,(VLOOKUP($D313,$C$5:$AV$509,17,)/VLOOKUP($D313,$C$5:$AV$509,3,))*$E313)</f>
        <v>0</v>
      </c>
      <c r="U313" s="47">
        <f>IF(VLOOKUP($D313,$C$5:$AV$509,3,)=0,0,(VLOOKUP($D313,$C$5:$AV$509,18,)/VLOOKUP($D313,$C$5:$AV$509,3,))*$E313)</f>
        <v>0</v>
      </c>
      <c r="V313" s="47">
        <f>IF(VLOOKUP($D313,$C$5:$AV$509,3,)=0,0,(VLOOKUP($D313,$C$5:$AV$509,19,)/VLOOKUP($D313,$C$5:$AV$509,3,))*$E313)</f>
        <v>0</v>
      </c>
      <c r="W313" s="47">
        <f>IF(VLOOKUP($D313,$C$5:$AV$509,3,)=0,0,(VLOOKUP($D313,$C$5:$AV$509,20,)/VLOOKUP($D313,$C$5:$AV$509,3,))*$E313)</f>
        <v>0</v>
      </c>
      <c r="X313" s="47">
        <f>IF(VLOOKUP($D313,$C$5:$AV$509,3,)=0,0,(VLOOKUP($D313,$C$5:$AV$509,21,)/VLOOKUP($D313,$C$5:$AV$509,3,))*$E313)</f>
        <v>0</v>
      </c>
      <c r="Y313" s="47">
        <f>IF(VLOOKUP($D313,$C$5:$AV$509,3,)=0,0,(VLOOKUP($D313,$C$5:$AV$509,22,)/VLOOKUP($D313,$C$5:$AV$509,3,))*$E313)</f>
        <v>0</v>
      </c>
      <c r="Z313" s="47">
        <f>IF(VLOOKUP($D313,$C$5:$AV$509,3,)=0,0,(VLOOKUP($D313,$C$5:$AV$509,23,)/VLOOKUP($D313,$C$5:$AV$509,3,))*$E313)</f>
        <v>0</v>
      </c>
      <c r="AA313" s="47">
        <f>IF(VLOOKUP($D313,$C$5:$AV$509,3,)=0,0,(VLOOKUP($D313,$C$5:$AV$509,24,)/VLOOKUP($D313,$C$5:$AV$509,3,))*$E313)</f>
        <v>0</v>
      </c>
      <c r="AB313" s="47">
        <f>IF(VLOOKUP($D313,$C$5:$AV$509,3,)=0,0,(VLOOKUP($D313,$C$5:$AV$509,25,)/VLOOKUP($D313,$C$5:$AV$509,3,))*$E313)</f>
        <v>0</v>
      </c>
      <c r="AC313" s="47">
        <f>IF(VLOOKUP($D313,$C$5:$AV$509,3,)=0,0,(VLOOKUP($D313,$C$5:$AV$509,26,)/VLOOKUP($D313,$C$5:$AV$509,3,))*$E313)</f>
        <v>0</v>
      </c>
      <c r="AD313" s="47">
        <f>IF(VLOOKUP($D313,$C$5:$AV$509,3,)=0,0,(VLOOKUP($D313,$C$5:$AV$509,27,)/VLOOKUP($D313,$C$5:$AV$509,3,))*$E313)</f>
        <v>0</v>
      </c>
      <c r="AE313" s="47">
        <f>IF(VLOOKUP($D313,$C$5:$AV$509,3,)=0,0,(VLOOKUP($D313,$C$5:$AV$509,28,)/VLOOKUP($D313,$C$5:$AV$509,3,))*$E313)</f>
        <v>0</v>
      </c>
      <c r="AF313" s="47">
        <f>IF(VLOOKUP($D313,$C$5:$AV$509,3,)=0,0,(VLOOKUP($D313,$C$5:$AV$509,29,)/VLOOKUP($D313,$C$5:$AV$509,3,))*$E313)</f>
        <v>0</v>
      </c>
      <c r="AG313" s="47">
        <f>IF(VLOOKUP($D313,$C$5:$AV$509,3,)=0,0,(VLOOKUP($D313,$C$5:$AV$509,30,)/VLOOKUP($D313,$C$5:$AV$509,3,))*$E313)</f>
        <v>0</v>
      </c>
      <c r="AH313" s="47">
        <f t="shared" ref="AH313:AH314" si="195">SUM(F313:AG313)</f>
        <v>56631024.510816008</v>
      </c>
      <c r="AI313" s="27" t="str">
        <f t="shared" ref="AI313:AI314" si="196">IF(ABS(E313-AH313)&lt;0.01,"ok","err")</f>
        <v>ok</v>
      </c>
      <c r="AK313" s="73"/>
      <c r="AL313" s="73"/>
      <c r="AM313" s="73"/>
      <c r="AN313" s="73"/>
      <c r="AO313" s="73"/>
      <c r="AP313" s="73"/>
    </row>
    <row r="314" spans="1:42" x14ac:dyDescent="0.2">
      <c r="A314" s="14" t="s">
        <v>765</v>
      </c>
      <c r="D314" s="14" t="s">
        <v>748</v>
      </c>
      <c r="E314" s="62">
        <v>1459768.3599999999</v>
      </c>
      <c r="F314" s="47">
        <f>IF(VLOOKUP($D314,$C$5:$AV$509,3,)=0,0,(VLOOKUP($D314,$C$5:$AV$509,4,)/VLOOKUP($D314,$C$5:$AV$509,3,))*$E314)</f>
        <v>1245196.234202503</v>
      </c>
      <c r="G314" s="47">
        <f>IF(VLOOKUP($D314,$C$5:$AV$509,3,)=0,0,(VLOOKUP($D314,$C$5:$AV$509,5,)/VLOOKUP($D314,$C$5:$AV$509,3,))*$E314)</f>
        <v>48.460643479373537</v>
      </c>
      <c r="H314" s="47">
        <f>IF(VLOOKUP($D314,$C$5:$AV$509,3,)=0,0,(VLOOKUP($D314,$C$5:$AV$509,6,)/VLOOKUP($D314,$C$5:$AV$509,3,))*$E314)</f>
        <v>180240.85805591248</v>
      </c>
      <c r="I314" s="47">
        <f>IF(VLOOKUP($D314,$C$5:$AV$509,3,)=0,0,(VLOOKUP($D314,$C$5:$AV$509,7,)/VLOOKUP($D314,$C$5:$AV$509,3,))*$E314)</f>
        <v>18557.385066523017</v>
      </c>
      <c r="J314" s="47">
        <f>IF(VLOOKUP($D314,$C$5:$AV$509,3,)=0,0,(VLOOKUP($D314,$C$5:$AV$509,8,)/VLOOKUP($D314,$C$5:$AV$509,3,))*$E314)</f>
        <v>14838.999374857507</v>
      </c>
      <c r="K314" s="47">
        <f>IF(VLOOKUP($D314,$C$5:$AV$509,3,)=0,0,(VLOOKUP($D314,$C$5:$AV$509,9,)/VLOOKUP($D314,$C$5:$AV$509,3,))*$E314)</f>
        <v>0</v>
      </c>
      <c r="L314" s="47">
        <f>IF(VLOOKUP($D314,$C$5:$AV$509,3,)=0,0,(VLOOKUP($D314,$C$5:$AV$509,10,)/VLOOKUP($D314,$C$5:$AV$509,3,))*$E314)</f>
        <v>761.72518298616626</v>
      </c>
      <c r="M314" s="47">
        <f>IF(VLOOKUP($D314,$C$5:$AV$509,3,)=0,0,(VLOOKUP($D314,$C$5:$AV$509,11,)/VLOOKUP($D314,$C$5:$AV$509,3,))*$E314)</f>
        <v>124.69747373829838</v>
      </c>
      <c r="N314" s="47">
        <f>IF(VLOOKUP($D314,$C$5:$AV$509,3,)=0,0,(VLOOKUP($D314,$C$5:$AV$509,12,)/VLOOKUP($D314,$C$5:$AV$509,3,))*$E314)</f>
        <v>0</v>
      </c>
      <c r="O314" s="47">
        <f t="shared" si="194"/>
        <v>0</v>
      </c>
      <c r="P314" s="47">
        <f t="shared" si="194"/>
        <v>0</v>
      </c>
      <c r="Q314" s="47">
        <f t="shared" si="194"/>
        <v>0</v>
      </c>
      <c r="R314" s="47">
        <f>IF(VLOOKUP($D314,$C$5:$AV$509,3,)=0,0,(VLOOKUP($D314,$C$5:$AV$509,15,)/VLOOKUP($D314,$C$5:$AV$509,3,))*$E314)</f>
        <v>0</v>
      </c>
      <c r="S314" s="47">
        <f>IF(VLOOKUP($D314,$C$5:$AV$509,3,)=0,0,(VLOOKUP($D314,$C$5:$AV$509,16,)/VLOOKUP($D314,$C$5:$AV$509,3,))*$E314)</f>
        <v>0</v>
      </c>
      <c r="T314" s="47">
        <f>IF(VLOOKUP($D314,$C$5:$AV$509,3,)=0,0,(VLOOKUP($D314,$C$5:$AV$509,17,)/VLOOKUP($D314,$C$5:$AV$509,3,))*$E314)</f>
        <v>0</v>
      </c>
      <c r="U314" s="47">
        <f>IF(VLOOKUP($D314,$C$5:$AV$509,3,)=0,0,(VLOOKUP($D314,$C$5:$AV$509,18,)/VLOOKUP($D314,$C$5:$AV$509,3,))*$E314)</f>
        <v>0</v>
      </c>
      <c r="V314" s="47">
        <f>IF(VLOOKUP($D314,$C$5:$AV$509,3,)=0,0,(VLOOKUP($D314,$C$5:$AV$509,19,)/VLOOKUP($D314,$C$5:$AV$509,3,))*$E314)</f>
        <v>0</v>
      </c>
      <c r="W314" s="47">
        <f>IF(VLOOKUP($D314,$C$5:$AV$509,3,)=0,0,(VLOOKUP($D314,$C$5:$AV$509,20,)/VLOOKUP($D314,$C$5:$AV$509,3,))*$E314)</f>
        <v>0</v>
      </c>
      <c r="X314" s="47">
        <f>IF(VLOOKUP($D314,$C$5:$AV$509,3,)=0,0,(VLOOKUP($D314,$C$5:$AV$509,21,)/VLOOKUP($D314,$C$5:$AV$509,3,))*$E314)</f>
        <v>0</v>
      </c>
      <c r="Y314" s="47">
        <f>IF(VLOOKUP($D314,$C$5:$AV$509,3,)=0,0,(VLOOKUP($D314,$C$5:$AV$509,22,)/VLOOKUP($D314,$C$5:$AV$509,3,))*$E314)</f>
        <v>0</v>
      </c>
      <c r="Z314" s="47">
        <f>IF(VLOOKUP($D314,$C$5:$AV$509,3,)=0,0,(VLOOKUP($D314,$C$5:$AV$509,23,)/VLOOKUP($D314,$C$5:$AV$509,3,))*$E314)</f>
        <v>0</v>
      </c>
      <c r="AA314" s="47">
        <f>IF(VLOOKUP($D314,$C$5:$AV$509,3,)=0,0,(VLOOKUP($D314,$C$5:$AV$509,24,)/VLOOKUP($D314,$C$5:$AV$509,3,))*$E314)</f>
        <v>0</v>
      </c>
      <c r="AB314" s="47">
        <f>IF(VLOOKUP($D314,$C$5:$AV$509,3,)=0,0,(VLOOKUP($D314,$C$5:$AV$509,25,)/VLOOKUP($D314,$C$5:$AV$509,3,))*$E314)</f>
        <v>0</v>
      </c>
      <c r="AC314" s="47">
        <f>IF(VLOOKUP($D314,$C$5:$AV$509,3,)=0,0,(VLOOKUP($D314,$C$5:$AV$509,26,)/VLOOKUP($D314,$C$5:$AV$509,3,))*$E314)</f>
        <v>0</v>
      </c>
      <c r="AD314" s="47">
        <f>IF(VLOOKUP($D314,$C$5:$AV$509,3,)=0,0,(VLOOKUP($D314,$C$5:$AV$509,27,)/VLOOKUP($D314,$C$5:$AV$509,3,))*$E314)</f>
        <v>0</v>
      </c>
      <c r="AE314" s="47">
        <f>IF(VLOOKUP($D314,$C$5:$AV$509,3,)=0,0,(VLOOKUP($D314,$C$5:$AV$509,28,)/VLOOKUP($D314,$C$5:$AV$509,3,))*$E314)</f>
        <v>0</v>
      </c>
      <c r="AF314" s="47">
        <f>IF(VLOOKUP($D314,$C$5:$AV$509,3,)=0,0,(VLOOKUP($D314,$C$5:$AV$509,29,)/VLOOKUP($D314,$C$5:$AV$509,3,))*$E314)</f>
        <v>0</v>
      </c>
      <c r="AG314" s="47">
        <f>IF(VLOOKUP($D314,$C$5:$AV$509,3,)=0,0,(VLOOKUP($D314,$C$5:$AV$509,30,)/VLOOKUP($D314,$C$5:$AV$509,3,))*$E314)</f>
        <v>0</v>
      </c>
      <c r="AH314" s="47">
        <f t="shared" si="195"/>
        <v>1459768.3599999996</v>
      </c>
      <c r="AI314" s="27" t="str">
        <f t="shared" si="196"/>
        <v>ok</v>
      </c>
      <c r="AK314" s="73"/>
      <c r="AL314" s="73"/>
      <c r="AM314" s="73"/>
      <c r="AN314" s="73"/>
      <c r="AO314" s="73"/>
      <c r="AP314" s="73"/>
    </row>
    <row r="315" spans="1:42" x14ac:dyDescent="0.2">
      <c r="AH315" s="87"/>
    </row>
    <row r="316" spans="1:42" x14ac:dyDescent="0.2">
      <c r="A316" s="14" t="s">
        <v>325</v>
      </c>
      <c r="C316" s="14" t="s">
        <v>326</v>
      </c>
      <c r="E316" s="87">
        <f t="shared" ref="E316:AG316" si="197">SUM(E313:E315)</f>
        <v>58090792.870816007</v>
      </c>
      <c r="F316" s="87">
        <f t="shared" si="197"/>
        <v>43250758.049722508</v>
      </c>
      <c r="G316" s="87">
        <f t="shared" si="197"/>
        <v>24092.460643479375</v>
      </c>
      <c r="H316" s="87">
        <f t="shared" si="197"/>
        <v>4849930.3849959122</v>
      </c>
      <c r="I316" s="87">
        <f t="shared" si="197"/>
        <v>541061.86746652296</v>
      </c>
      <c r="J316" s="87">
        <f t="shared" si="197"/>
        <v>5165010.1236748565</v>
      </c>
      <c r="K316" s="87">
        <f t="shared" si="197"/>
        <v>0</v>
      </c>
      <c r="L316" s="87">
        <f t="shared" si="197"/>
        <v>2214343.5931829861</v>
      </c>
      <c r="M316" s="87">
        <f t="shared" ref="M316" si="198">SUM(M313:M315)</f>
        <v>857950.34112973837</v>
      </c>
      <c r="N316" s="87">
        <f t="shared" si="197"/>
        <v>1187646.0499999998</v>
      </c>
      <c r="O316" s="87">
        <f t="shared" si="197"/>
        <v>0</v>
      </c>
      <c r="P316" s="87">
        <f t="shared" si="197"/>
        <v>0</v>
      </c>
      <c r="Q316" s="87">
        <f t="shared" si="197"/>
        <v>0</v>
      </c>
      <c r="R316" s="87">
        <f t="shared" si="197"/>
        <v>0</v>
      </c>
      <c r="S316" s="87">
        <f t="shared" si="197"/>
        <v>0</v>
      </c>
      <c r="T316" s="87">
        <f t="shared" si="197"/>
        <v>0</v>
      </c>
      <c r="U316" s="87">
        <f t="shared" si="197"/>
        <v>0</v>
      </c>
      <c r="V316" s="87">
        <f t="shared" si="197"/>
        <v>0</v>
      </c>
      <c r="W316" s="87">
        <f t="shared" si="197"/>
        <v>0</v>
      </c>
      <c r="X316" s="87">
        <f t="shared" si="197"/>
        <v>0</v>
      </c>
      <c r="Y316" s="87">
        <f t="shared" si="197"/>
        <v>0</v>
      </c>
      <c r="Z316" s="87">
        <f t="shared" si="197"/>
        <v>0</v>
      </c>
      <c r="AA316" s="87">
        <f t="shared" si="197"/>
        <v>0</v>
      </c>
      <c r="AB316" s="87">
        <f t="shared" si="197"/>
        <v>0</v>
      </c>
      <c r="AC316" s="87">
        <f t="shared" si="197"/>
        <v>0</v>
      </c>
      <c r="AD316" s="87">
        <f t="shared" si="197"/>
        <v>0</v>
      </c>
      <c r="AE316" s="87">
        <f t="shared" si="197"/>
        <v>0</v>
      </c>
      <c r="AF316" s="87">
        <f t="shared" si="197"/>
        <v>0</v>
      </c>
      <c r="AG316" s="87">
        <f t="shared" si="197"/>
        <v>0</v>
      </c>
      <c r="AH316" s="87">
        <f>SUM(F316:AG316)</f>
        <v>58090792.870816</v>
      </c>
      <c r="AI316" s="27" t="str">
        <f>IF(ABS(E316-AH316)&lt;0.01,"ok","err")</f>
        <v>ok</v>
      </c>
    </row>
    <row r="318" spans="1:42" x14ac:dyDescent="0.2">
      <c r="A318" s="13" t="s">
        <v>327</v>
      </c>
      <c r="AK318" s="84"/>
      <c r="AL318" s="171"/>
      <c r="AM318" s="84"/>
      <c r="AN318" s="84"/>
      <c r="AO318" s="84"/>
      <c r="AP318" s="84"/>
    </row>
    <row r="319" spans="1:42" x14ac:dyDescent="0.2">
      <c r="A319" s="90" t="s">
        <v>328</v>
      </c>
      <c r="E319" s="87">
        <f t="shared" ref="E319:AG319" si="199">E155</f>
        <v>50155082.840000011</v>
      </c>
      <c r="F319" s="87">
        <f t="shared" si="199"/>
        <v>38935973.270264119</v>
      </c>
      <c r="G319" s="87">
        <f t="shared" si="199"/>
        <v>30225.771558208889</v>
      </c>
      <c r="H319" s="87">
        <f t="shared" si="199"/>
        <v>3757762.3733047545</v>
      </c>
      <c r="I319" s="87">
        <f t="shared" si="199"/>
        <v>441932.65972135303</v>
      </c>
      <c r="J319" s="87">
        <f t="shared" si="199"/>
        <v>3823790.4592275363</v>
      </c>
      <c r="K319" s="87">
        <f t="shared" si="199"/>
        <v>0</v>
      </c>
      <c r="L319" s="87">
        <f t="shared" si="199"/>
        <v>2008300.7399160843</v>
      </c>
      <c r="M319" s="87">
        <f t="shared" ref="M319" si="200">M155</f>
        <v>717584.60327629664</v>
      </c>
      <c r="N319" s="87">
        <f t="shared" si="199"/>
        <v>439512.96273164626</v>
      </c>
      <c r="O319" s="87">
        <f t="shared" si="199"/>
        <v>0</v>
      </c>
      <c r="P319" s="87">
        <f t="shared" si="199"/>
        <v>0</v>
      </c>
      <c r="Q319" s="87">
        <f t="shared" si="199"/>
        <v>0</v>
      </c>
      <c r="R319" s="87">
        <f t="shared" si="199"/>
        <v>0</v>
      </c>
      <c r="S319" s="87">
        <f t="shared" si="199"/>
        <v>0</v>
      </c>
      <c r="T319" s="87">
        <f t="shared" si="199"/>
        <v>0</v>
      </c>
      <c r="U319" s="87">
        <f t="shared" si="199"/>
        <v>0</v>
      </c>
      <c r="V319" s="87">
        <f t="shared" si="199"/>
        <v>0</v>
      </c>
      <c r="W319" s="87">
        <f t="shared" si="199"/>
        <v>0</v>
      </c>
      <c r="X319" s="87">
        <f t="shared" si="199"/>
        <v>0</v>
      </c>
      <c r="Y319" s="87">
        <f t="shared" si="199"/>
        <v>0</v>
      </c>
      <c r="Z319" s="87">
        <f t="shared" si="199"/>
        <v>0</v>
      </c>
      <c r="AA319" s="87">
        <f t="shared" si="199"/>
        <v>0</v>
      </c>
      <c r="AB319" s="87">
        <f t="shared" si="199"/>
        <v>0</v>
      </c>
      <c r="AC319" s="87">
        <f t="shared" si="199"/>
        <v>0</v>
      </c>
      <c r="AD319" s="87">
        <f t="shared" si="199"/>
        <v>0</v>
      </c>
      <c r="AE319" s="87">
        <f t="shared" si="199"/>
        <v>0</v>
      </c>
      <c r="AF319" s="87">
        <f t="shared" si="199"/>
        <v>0</v>
      </c>
      <c r="AG319" s="87">
        <f t="shared" si="199"/>
        <v>0</v>
      </c>
      <c r="AH319" s="87">
        <f>SUM(F319:AG319)</f>
        <v>50155082.840000004</v>
      </c>
      <c r="AI319" s="27" t="str">
        <f>IF(ABS(E319-AH319)&lt;0.01,"ok","err")</f>
        <v>ok</v>
      </c>
      <c r="AK319" s="73"/>
      <c r="AL319" s="73"/>
      <c r="AM319" s="73"/>
      <c r="AN319" s="73"/>
      <c r="AO319" s="73"/>
      <c r="AP319" s="73"/>
    </row>
    <row r="320" spans="1:42" x14ac:dyDescent="0.2">
      <c r="A320" s="90" t="s">
        <v>329</v>
      </c>
      <c r="E320" s="47">
        <f t="shared" ref="E320:AG320" si="201">E231</f>
        <v>6305894.9199999971</v>
      </c>
      <c r="F320" s="47">
        <f t="shared" si="201"/>
        <v>5354176.6162729925</v>
      </c>
      <c r="G320" s="47">
        <f t="shared" si="201"/>
        <v>1660.716967745208</v>
      </c>
      <c r="H320" s="47">
        <f t="shared" si="201"/>
        <v>466271.27893055708</v>
      </c>
      <c r="I320" s="47">
        <f t="shared" si="201"/>
        <v>62079.759322687416</v>
      </c>
      <c r="J320" s="47">
        <f t="shared" si="201"/>
        <v>119668.17305140903</v>
      </c>
      <c r="K320" s="47">
        <f t="shared" si="201"/>
        <v>0</v>
      </c>
      <c r="L320" s="47">
        <f t="shared" si="201"/>
        <v>44702.009273923461</v>
      </c>
      <c r="M320" s="47">
        <f t="shared" ref="M320" si="202">M231</f>
        <v>12588.503400067761</v>
      </c>
      <c r="N320" s="47">
        <f t="shared" si="201"/>
        <v>244747.8627806154</v>
      </c>
      <c r="O320" s="47">
        <f t="shared" si="201"/>
        <v>0</v>
      </c>
      <c r="P320" s="47">
        <f t="shared" si="201"/>
        <v>0</v>
      </c>
      <c r="Q320" s="47">
        <f t="shared" si="201"/>
        <v>0</v>
      </c>
      <c r="R320" s="47">
        <f t="shared" si="201"/>
        <v>0</v>
      </c>
      <c r="S320" s="47">
        <f t="shared" si="201"/>
        <v>0</v>
      </c>
      <c r="T320" s="47">
        <f t="shared" si="201"/>
        <v>0</v>
      </c>
      <c r="U320" s="47">
        <f t="shared" si="201"/>
        <v>0</v>
      </c>
      <c r="V320" s="47">
        <f t="shared" si="201"/>
        <v>0</v>
      </c>
      <c r="W320" s="47">
        <f t="shared" si="201"/>
        <v>0</v>
      </c>
      <c r="X320" s="47">
        <f t="shared" si="201"/>
        <v>0</v>
      </c>
      <c r="Y320" s="47">
        <f t="shared" si="201"/>
        <v>0</v>
      </c>
      <c r="Z320" s="47">
        <f t="shared" si="201"/>
        <v>0</v>
      </c>
      <c r="AA320" s="47">
        <f t="shared" si="201"/>
        <v>0</v>
      </c>
      <c r="AB320" s="47">
        <f t="shared" si="201"/>
        <v>0</v>
      </c>
      <c r="AC320" s="47">
        <f t="shared" si="201"/>
        <v>0</v>
      </c>
      <c r="AD320" s="47">
        <f t="shared" si="201"/>
        <v>0</v>
      </c>
      <c r="AE320" s="47">
        <f t="shared" si="201"/>
        <v>0</v>
      </c>
      <c r="AF320" s="47">
        <f t="shared" si="201"/>
        <v>0</v>
      </c>
      <c r="AG320" s="47">
        <f t="shared" si="201"/>
        <v>0</v>
      </c>
      <c r="AH320" s="87">
        <f>SUM(F320:AG320)</f>
        <v>6305894.9199999971</v>
      </c>
      <c r="AI320" s="27" t="str">
        <f>IF(ABS(E320-AH320)&lt;0.01,"ok","err")</f>
        <v>ok</v>
      </c>
      <c r="AK320" s="73"/>
      <c r="AL320" s="73"/>
      <c r="AM320" s="73"/>
      <c r="AN320" s="73"/>
      <c r="AO320" s="73"/>
      <c r="AP320" s="73"/>
    </row>
    <row r="321" spans="1:42" x14ac:dyDescent="0.2">
      <c r="A321" s="90" t="s">
        <v>330</v>
      </c>
      <c r="D321" s="14" t="s">
        <v>248</v>
      </c>
      <c r="E321" s="47">
        <f t="shared" ref="E321:AG321" si="203">E269</f>
        <v>0</v>
      </c>
      <c r="F321" s="47">
        <f t="shared" si="203"/>
        <v>0</v>
      </c>
      <c r="G321" s="47">
        <f t="shared" si="203"/>
        <v>0</v>
      </c>
      <c r="H321" s="47">
        <f t="shared" si="203"/>
        <v>0</v>
      </c>
      <c r="I321" s="47">
        <f t="shared" si="203"/>
        <v>0</v>
      </c>
      <c r="J321" s="47">
        <f t="shared" si="203"/>
        <v>0</v>
      </c>
      <c r="K321" s="47">
        <f t="shared" si="203"/>
        <v>0</v>
      </c>
      <c r="L321" s="47">
        <f t="shared" si="203"/>
        <v>0</v>
      </c>
      <c r="M321" s="47">
        <f t="shared" ref="M321" si="204">M269</f>
        <v>0</v>
      </c>
      <c r="N321" s="47">
        <f t="shared" si="203"/>
        <v>0</v>
      </c>
      <c r="O321" s="47">
        <f t="shared" si="203"/>
        <v>0</v>
      </c>
      <c r="P321" s="47">
        <f t="shared" si="203"/>
        <v>0</v>
      </c>
      <c r="Q321" s="47">
        <f t="shared" si="203"/>
        <v>0</v>
      </c>
      <c r="R321" s="47">
        <f t="shared" si="203"/>
        <v>0</v>
      </c>
      <c r="S321" s="47">
        <f t="shared" si="203"/>
        <v>0</v>
      </c>
      <c r="T321" s="47">
        <f t="shared" si="203"/>
        <v>0</v>
      </c>
      <c r="U321" s="47">
        <f t="shared" si="203"/>
        <v>0</v>
      </c>
      <c r="V321" s="47">
        <f t="shared" si="203"/>
        <v>0</v>
      </c>
      <c r="W321" s="47">
        <f t="shared" si="203"/>
        <v>0</v>
      </c>
      <c r="X321" s="47">
        <f t="shared" si="203"/>
        <v>0</v>
      </c>
      <c r="Y321" s="47">
        <f t="shared" si="203"/>
        <v>0</v>
      </c>
      <c r="Z321" s="47">
        <f t="shared" si="203"/>
        <v>0</v>
      </c>
      <c r="AA321" s="47">
        <f t="shared" si="203"/>
        <v>0</v>
      </c>
      <c r="AB321" s="47">
        <f t="shared" si="203"/>
        <v>0</v>
      </c>
      <c r="AC321" s="47">
        <f t="shared" si="203"/>
        <v>0</v>
      </c>
      <c r="AD321" s="47">
        <f t="shared" si="203"/>
        <v>0</v>
      </c>
      <c r="AE321" s="47">
        <f t="shared" si="203"/>
        <v>0</v>
      </c>
      <c r="AF321" s="47">
        <f t="shared" si="203"/>
        <v>0</v>
      </c>
      <c r="AG321" s="47">
        <f t="shared" si="203"/>
        <v>0</v>
      </c>
      <c r="AH321" s="87">
        <f>SUM(F321:AG321)</f>
        <v>0</v>
      </c>
      <c r="AI321" s="27" t="str">
        <f>IF(ABS(E321-AH321)&lt;0.01,"ok","err")</f>
        <v>ok</v>
      </c>
      <c r="AK321" s="73"/>
      <c r="AL321" s="73"/>
      <c r="AM321" s="73"/>
      <c r="AN321" s="73"/>
      <c r="AO321" s="73"/>
      <c r="AP321" s="73"/>
    </row>
    <row r="322" spans="1:42" x14ac:dyDescent="0.2">
      <c r="A322" s="90" t="s">
        <v>331</v>
      </c>
      <c r="E322" s="47">
        <f t="shared" ref="E322:AG322" si="205">E307</f>
        <v>54081.639999999978</v>
      </c>
      <c r="F322" s="47">
        <f t="shared" si="205"/>
        <v>45919.358938143247</v>
      </c>
      <c r="G322" s="47">
        <f t="shared" si="205"/>
        <v>14.242910535446722</v>
      </c>
      <c r="H322" s="47">
        <f t="shared" si="205"/>
        <v>3998.9114581474782</v>
      </c>
      <c r="I322" s="47">
        <f t="shared" si="205"/>
        <v>532.41851276776822</v>
      </c>
      <c r="J322" s="47">
        <f t="shared" si="205"/>
        <v>1026.317618122315</v>
      </c>
      <c r="K322" s="47">
        <f t="shared" si="205"/>
        <v>0</v>
      </c>
      <c r="L322" s="47">
        <f t="shared" si="205"/>
        <v>383.38063090163104</v>
      </c>
      <c r="M322" s="47">
        <f t="shared" ref="M322" si="206">M307</f>
        <v>107.96356705246853</v>
      </c>
      <c r="N322" s="47">
        <f t="shared" si="205"/>
        <v>2099.0463643296239</v>
      </c>
      <c r="O322" s="47">
        <f t="shared" si="205"/>
        <v>0</v>
      </c>
      <c r="P322" s="47">
        <f t="shared" si="205"/>
        <v>0</v>
      </c>
      <c r="Q322" s="47">
        <f t="shared" si="205"/>
        <v>0</v>
      </c>
      <c r="R322" s="47">
        <f t="shared" si="205"/>
        <v>0</v>
      </c>
      <c r="S322" s="47">
        <f t="shared" si="205"/>
        <v>0</v>
      </c>
      <c r="T322" s="47">
        <f t="shared" si="205"/>
        <v>0</v>
      </c>
      <c r="U322" s="47">
        <f t="shared" si="205"/>
        <v>0</v>
      </c>
      <c r="V322" s="47">
        <f t="shared" si="205"/>
        <v>0</v>
      </c>
      <c r="W322" s="47">
        <f t="shared" si="205"/>
        <v>0</v>
      </c>
      <c r="X322" s="47">
        <f t="shared" si="205"/>
        <v>0</v>
      </c>
      <c r="Y322" s="47">
        <f t="shared" si="205"/>
        <v>0</v>
      </c>
      <c r="Z322" s="47">
        <f t="shared" si="205"/>
        <v>0</v>
      </c>
      <c r="AA322" s="47">
        <f t="shared" si="205"/>
        <v>0</v>
      </c>
      <c r="AB322" s="47">
        <f t="shared" si="205"/>
        <v>0</v>
      </c>
      <c r="AC322" s="47">
        <f t="shared" si="205"/>
        <v>0</v>
      </c>
      <c r="AD322" s="47">
        <f t="shared" si="205"/>
        <v>0</v>
      </c>
      <c r="AE322" s="47">
        <f t="shared" si="205"/>
        <v>0</v>
      </c>
      <c r="AF322" s="47">
        <f t="shared" si="205"/>
        <v>0</v>
      </c>
      <c r="AG322" s="47">
        <f t="shared" si="205"/>
        <v>0</v>
      </c>
      <c r="AH322" s="87">
        <f>SUM(F322:AG322)</f>
        <v>54081.639999999978</v>
      </c>
      <c r="AI322" s="27" t="str">
        <f>IF(ABS(E322-AH322)&lt;0.01,"ok","err")</f>
        <v>ok</v>
      </c>
      <c r="AK322" s="73"/>
      <c r="AL322" s="73"/>
      <c r="AM322" s="73"/>
      <c r="AN322" s="73"/>
      <c r="AO322" s="73"/>
      <c r="AP322" s="73"/>
    </row>
    <row r="323" spans="1:42" x14ac:dyDescent="0.2">
      <c r="A323" s="90"/>
      <c r="AH323" s="87"/>
      <c r="AI323" s="27"/>
      <c r="AK323" s="73"/>
      <c r="AL323" s="73"/>
      <c r="AM323" s="73"/>
      <c r="AN323" s="73"/>
      <c r="AO323" s="73"/>
      <c r="AP323" s="73"/>
    </row>
    <row r="324" spans="1:42" x14ac:dyDescent="0.2">
      <c r="A324" s="14" t="s">
        <v>332</v>
      </c>
      <c r="C324" s="14" t="s">
        <v>198</v>
      </c>
      <c r="E324" s="87">
        <f t="shared" ref="E324:U324" si="207">SUM(E319:E323)</f>
        <v>56515059.400000006</v>
      </c>
      <c r="F324" s="87">
        <f t="shared" si="207"/>
        <v>44336069.245475255</v>
      </c>
      <c r="G324" s="87">
        <f t="shared" si="207"/>
        <v>31900.731436489543</v>
      </c>
      <c r="H324" s="87">
        <f t="shared" si="207"/>
        <v>4228032.5636934591</v>
      </c>
      <c r="I324" s="87">
        <f t="shared" si="207"/>
        <v>504544.8375568082</v>
      </c>
      <c r="J324" s="87">
        <f t="shared" si="207"/>
        <v>3944484.9498970676</v>
      </c>
      <c r="K324" s="87">
        <f t="shared" si="207"/>
        <v>0</v>
      </c>
      <c r="L324" s="87">
        <f t="shared" si="207"/>
        <v>2053386.1298209094</v>
      </c>
      <c r="M324" s="87">
        <f t="shared" ref="M324" si="208">SUM(M319:M323)</f>
        <v>730281.07024341694</v>
      </c>
      <c r="N324" s="87">
        <f t="shared" si="207"/>
        <v>686359.87187659123</v>
      </c>
      <c r="O324" s="87">
        <f t="shared" si="207"/>
        <v>0</v>
      </c>
      <c r="P324" s="87">
        <f t="shared" si="207"/>
        <v>0</v>
      </c>
      <c r="Q324" s="87">
        <f t="shared" si="207"/>
        <v>0</v>
      </c>
      <c r="R324" s="87">
        <f t="shared" si="207"/>
        <v>0</v>
      </c>
      <c r="S324" s="87">
        <f t="shared" si="207"/>
        <v>0</v>
      </c>
      <c r="T324" s="87">
        <f t="shared" si="207"/>
        <v>0</v>
      </c>
      <c r="U324" s="87">
        <f t="shared" si="207"/>
        <v>0</v>
      </c>
      <c r="V324" s="87">
        <f t="shared" ref="V324:AG324" si="209">SUM(V319:V323)</f>
        <v>0</v>
      </c>
      <c r="W324" s="87">
        <f t="shared" si="209"/>
        <v>0</v>
      </c>
      <c r="X324" s="87">
        <f t="shared" si="209"/>
        <v>0</v>
      </c>
      <c r="Y324" s="87">
        <f t="shared" si="209"/>
        <v>0</v>
      </c>
      <c r="Z324" s="87">
        <f t="shared" si="209"/>
        <v>0</v>
      </c>
      <c r="AA324" s="87">
        <f t="shared" si="209"/>
        <v>0</v>
      </c>
      <c r="AB324" s="87">
        <f t="shared" si="209"/>
        <v>0</v>
      </c>
      <c r="AC324" s="87">
        <f t="shared" si="209"/>
        <v>0</v>
      </c>
      <c r="AD324" s="87">
        <f t="shared" si="209"/>
        <v>0</v>
      </c>
      <c r="AE324" s="87">
        <f t="shared" si="209"/>
        <v>0</v>
      </c>
      <c r="AF324" s="87">
        <f t="shared" si="209"/>
        <v>0</v>
      </c>
      <c r="AG324" s="87">
        <f t="shared" si="209"/>
        <v>0</v>
      </c>
      <c r="AH324" s="87">
        <f>SUM(F324:AG324)</f>
        <v>56515059.399999999</v>
      </c>
      <c r="AI324" s="27" t="str">
        <f>IF(ABS(E324-AH324)&lt;0.01,"ok","err")</f>
        <v>ok</v>
      </c>
      <c r="AK324" s="73"/>
      <c r="AL324" s="73"/>
      <c r="AM324" s="73"/>
      <c r="AN324" s="73"/>
      <c r="AO324" s="73"/>
      <c r="AP324" s="73"/>
    </row>
    <row r="325" spans="1:42" x14ac:dyDescent="0.2">
      <c r="A325" s="90"/>
    </row>
    <row r="326" spans="1:42" x14ac:dyDescent="0.2">
      <c r="A326" s="14" t="s">
        <v>333</v>
      </c>
      <c r="C326" s="14" t="s">
        <v>182</v>
      </c>
      <c r="E326" s="87">
        <f>E316-E324</f>
        <v>1575733.4708160013</v>
      </c>
      <c r="F326" s="87">
        <f t="shared" ref="F326:S326" si="210">F316-F324</f>
        <v>-1085311.1957527474</v>
      </c>
      <c r="G326" s="87">
        <f t="shared" si="210"/>
        <v>-7808.2707930101678</v>
      </c>
      <c r="H326" s="87">
        <f t="shared" si="210"/>
        <v>621897.82130245306</v>
      </c>
      <c r="I326" s="87">
        <f t="shared" si="210"/>
        <v>36517.029909714765</v>
      </c>
      <c r="J326" s="87">
        <f t="shared" si="210"/>
        <v>1220525.1737777889</v>
      </c>
      <c r="K326" s="87">
        <f t="shared" si="210"/>
        <v>0</v>
      </c>
      <c r="L326" s="87">
        <f t="shared" si="210"/>
        <v>160957.46336207679</v>
      </c>
      <c r="M326" s="87">
        <f t="shared" ref="M326" si="211">M316-M324</f>
        <v>127669.27088632144</v>
      </c>
      <c r="N326" s="87">
        <f t="shared" si="210"/>
        <v>501286.17812340858</v>
      </c>
      <c r="O326" s="87">
        <f t="shared" si="210"/>
        <v>0</v>
      </c>
      <c r="P326" s="87">
        <f t="shared" si="210"/>
        <v>0</v>
      </c>
      <c r="Q326" s="87">
        <f t="shared" si="210"/>
        <v>0</v>
      </c>
      <c r="R326" s="87">
        <f>R316-R324</f>
        <v>0</v>
      </c>
      <c r="S326" s="87">
        <f t="shared" si="210"/>
        <v>0</v>
      </c>
      <c r="T326" s="87">
        <f>T316-T324</f>
        <v>0</v>
      </c>
      <c r="U326" s="87">
        <f>U316-U324</f>
        <v>0</v>
      </c>
      <c r="V326" s="87">
        <f t="shared" ref="V326:AG326" si="212">V316-V324</f>
        <v>0</v>
      </c>
      <c r="W326" s="87">
        <f t="shared" si="212"/>
        <v>0</v>
      </c>
      <c r="X326" s="87">
        <f t="shared" si="212"/>
        <v>0</v>
      </c>
      <c r="Y326" s="87">
        <f t="shared" si="212"/>
        <v>0</v>
      </c>
      <c r="Z326" s="87">
        <f t="shared" si="212"/>
        <v>0</v>
      </c>
      <c r="AA326" s="87">
        <f t="shared" si="212"/>
        <v>0</v>
      </c>
      <c r="AB326" s="87">
        <f t="shared" si="212"/>
        <v>0</v>
      </c>
      <c r="AC326" s="87">
        <f t="shared" si="212"/>
        <v>0</v>
      </c>
      <c r="AD326" s="87">
        <f t="shared" si="212"/>
        <v>0</v>
      </c>
      <c r="AE326" s="87">
        <f t="shared" si="212"/>
        <v>0</v>
      </c>
      <c r="AF326" s="87">
        <f t="shared" si="212"/>
        <v>0</v>
      </c>
      <c r="AG326" s="87">
        <f t="shared" si="212"/>
        <v>0</v>
      </c>
      <c r="AH326" s="87">
        <f>SUM(F326:AG326)</f>
        <v>1575733.470816006</v>
      </c>
      <c r="AI326" s="27" t="str">
        <f>IF(ABS(E326-AH326)&lt;0.01,"ok","err")</f>
        <v>ok</v>
      </c>
    </row>
    <row r="328" spans="1:42" x14ac:dyDescent="0.2">
      <c r="A328" s="13" t="s">
        <v>249</v>
      </c>
      <c r="E328" s="87">
        <f t="shared" ref="E328:AG328" si="213">E117</f>
        <v>110819625.55153848</v>
      </c>
      <c r="F328" s="87">
        <f t="shared" si="213"/>
        <v>94136212.983319223</v>
      </c>
      <c r="G328" s="87">
        <f t="shared" si="213"/>
        <v>29167.126963194252</v>
      </c>
      <c r="H328" s="87">
        <f t="shared" si="213"/>
        <v>8191620.071561249</v>
      </c>
      <c r="I328" s="87">
        <f t="shared" si="213"/>
        <v>1091320.717431678</v>
      </c>
      <c r="J328" s="87">
        <f t="shared" si="213"/>
        <v>2101293.4624647214</v>
      </c>
      <c r="K328" s="87">
        <f t="shared" si="213"/>
        <v>0</v>
      </c>
      <c r="L328" s="87">
        <f t="shared" si="213"/>
        <v>784906.06854340143</v>
      </c>
      <c r="M328" s="87">
        <f t="shared" ref="M328" si="214">M117</f>
        <v>221031.63491170568</v>
      </c>
      <c r="N328" s="87">
        <f t="shared" si="213"/>
        <v>4264073.4863433111</v>
      </c>
      <c r="O328" s="87">
        <f t="shared" si="213"/>
        <v>0</v>
      </c>
      <c r="P328" s="87">
        <f t="shared" si="213"/>
        <v>0</v>
      </c>
      <c r="Q328" s="87">
        <f t="shared" si="213"/>
        <v>0</v>
      </c>
      <c r="R328" s="87">
        <f t="shared" si="213"/>
        <v>0</v>
      </c>
      <c r="S328" s="87">
        <f t="shared" si="213"/>
        <v>0</v>
      </c>
      <c r="T328" s="87">
        <f t="shared" si="213"/>
        <v>0</v>
      </c>
      <c r="U328" s="87">
        <f t="shared" si="213"/>
        <v>0</v>
      </c>
      <c r="V328" s="87">
        <f t="shared" si="213"/>
        <v>0</v>
      </c>
      <c r="W328" s="87">
        <f t="shared" si="213"/>
        <v>0</v>
      </c>
      <c r="X328" s="87">
        <f t="shared" si="213"/>
        <v>0</v>
      </c>
      <c r="Y328" s="87">
        <f t="shared" si="213"/>
        <v>0</v>
      </c>
      <c r="Z328" s="87">
        <f t="shared" si="213"/>
        <v>0</v>
      </c>
      <c r="AA328" s="87">
        <f t="shared" si="213"/>
        <v>0</v>
      </c>
      <c r="AB328" s="87">
        <f t="shared" si="213"/>
        <v>0</v>
      </c>
      <c r="AC328" s="87">
        <f t="shared" si="213"/>
        <v>0</v>
      </c>
      <c r="AD328" s="87">
        <f t="shared" si="213"/>
        <v>0</v>
      </c>
      <c r="AE328" s="87">
        <f t="shared" si="213"/>
        <v>0</v>
      </c>
      <c r="AF328" s="87">
        <f t="shared" si="213"/>
        <v>0</v>
      </c>
      <c r="AG328" s="87">
        <f t="shared" si="213"/>
        <v>0</v>
      </c>
      <c r="AH328" s="87">
        <f>SUM(F328:AG328)</f>
        <v>110819625.55153848</v>
      </c>
      <c r="AI328" s="27" t="str">
        <f>IF(ABS(E328-AH328)&lt;0.01,"ok","err")</f>
        <v>ok</v>
      </c>
    </row>
    <row r="329" spans="1:42" ht="13.5" thickBot="1" x14ac:dyDescent="0.25"/>
    <row r="330" spans="1:42" s="13" customFormat="1" ht="13.5" thickBot="1" x14ac:dyDescent="0.25">
      <c r="A330" s="172" t="s">
        <v>334</v>
      </c>
      <c r="B330" s="173"/>
      <c r="C330" s="173"/>
      <c r="D330" s="173"/>
      <c r="E330" s="97">
        <f>E326/E328</f>
        <v>1.4218902680583239E-2</v>
      </c>
      <c r="F330" s="97">
        <f t="shared" ref="F330:S330" si="215">F326/F328</f>
        <v>-1.1529157179342478E-2</v>
      </c>
      <c r="G330" s="97">
        <f t="shared" si="215"/>
        <v>-0.267707916616654</v>
      </c>
      <c r="H330" s="97">
        <f t="shared" si="215"/>
        <v>7.5918782349475467E-2</v>
      </c>
      <c r="I330" s="97">
        <f t="shared" si="215"/>
        <v>3.3461318314980962E-2</v>
      </c>
      <c r="J330" s="97">
        <f t="shared" si="215"/>
        <v>0.58084470140889721</v>
      </c>
      <c r="K330" s="97" t="e">
        <f t="shared" si="215"/>
        <v>#DIV/0!</v>
      </c>
      <c r="L330" s="97">
        <f t="shared" si="215"/>
        <v>0.20506589235674463</v>
      </c>
      <c r="M330" s="97">
        <f t="shared" ref="M330" si="216">M326/M328</f>
        <v>0.57760632742603013</v>
      </c>
      <c r="N330" s="97">
        <f t="shared" si="215"/>
        <v>0.11756039846144641</v>
      </c>
      <c r="O330" s="97" t="e">
        <f t="shared" si="215"/>
        <v>#DIV/0!</v>
      </c>
      <c r="P330" s="97" t="e">
        <f t="shared" si="215"/>
        <v>#DIV/0!</v>
      </c>
      <c r="Q330" s="97" t="e">
        <f t="shared" si="215"/>
        <v>#DIV/0!</v>
      </c>
      <c r="R330" s="97" t="e">
        <f>R326/R328</f>
        <v>#DIV/0!</v>
      </c>
      <c r="S330" s="97" t="e">
        <f t="shared" si="215"/>
        <v>#DIV/0!</v>
      </c>
      <c r="T330" s="97" t="e">
        <f>T326/T328</f>
        <v>#DIV/0!</v>
      </c>
      <c r="U330" s="97" t="e">
        <f>U326/U328</f>
        <v>#DIV/0!</v>
      </c>
      <c r="V330" s="97" t="e">
        <f t="shared" ref="V330:AH330" si="217">V326/V328</f>
        <v>#DIV/0!</v>
      </c>
      <c r="W330" s="97" t="e">
        <f t="shared" si="217"/>
        <v>#DIV/0!</v>
      </c>
      <c r="X330" s="97" t="e">
        <f t="shared" si="217"/>
        <v>#DIV/0!</v>
      </c>
      <c r="Y330" s="97" t="e">
        <f t="shared" si="217"/>
        <v>#DIV/0!</v>
      </c>
      <c r="Z330" s="97" t="e">
        <f t="shared" si="217"/>
        <v>#DIV/0!</v>
      </c>
      <c r="AA330" s="97" t="e">
        <f t="shared" si="217"/>
        <v>#DIV/0!</v>
      </c>
      <c r="AB330" s="97" t="e">
        <f t="shared" si="217"/>
        <v>#DIV/0!</v>
      </c>
      <c r="AC330" s="97" t="e">
        <f t="shared" si="217"/>
        <v>#DIV/0!</v>
      </c>
      <c r="AD330" s="97" t="e">
        <f t="shared" si="217"/>
        <v>#DIV/0!</v>
      </c>
      <c r="AE330" s="97" t="e">
        <f t="shared" si="217"/>
        <v>#DIV/0!</v>
      </c>
      <c r="AF330" s="97" t="e">
        <f t="shared" si="217"/>
        <v>#DIV/0!</v>
      </c>
      <c r="AG330" s="97" t="e">
        <f t="shared" si="217"/>
        <v>#DIV/0!</v>
      </c>
      <c r="AH330" s="97">
        <f t="shared" si="217"/>
        <v>1.4218902680583281E-2</v>
      </c>
      <c r="AI330" s="27" t="str">
        <f>IF(ABS(E330-AH330)&lt;0.01,"ok","err")</f>
        <v>ok</v>
      </c>
      <c r="AL330" s="174"/>
    </row>
    <row r="331" spans="1:42" s="13" customFormat="1" x14ac:dyDescent="0.2">
      <c r="A331" s="13" t="s">
        <v>952</v>
      </c>
      <c r="E331" s="175">
        <f>E330/$E$330</f>
        <v>1</v>
      </c>
      <c r="F331" s="175">
        <f t="shared" ref="F331:AG331" si="218">F330/$E$330</f>
        <v>-0.81083311689630111</v>
      </c>
      <c r="G331" s="175">
        <f t="shared" si="218"/>
        <v>-18.827607349913517</v>
      </c>
      <c r="H331" s="175">
        <f t="shared" si="218"/>
        <v>5.3392856013528451</v>
      </c>
      <c r="I331" s="175">
        <f t="shared" si="218"/>
        <v>2.3532982162311575</v>
      </c>
      <c r="J331" s="175">
        <f t="shared" si="218"/>
        <v>40.850177714633027</v>
      </c>
      <c r="K331" s="175" t="e">
        <f t="shared" si="218"/>
        <v>#DIV/0!</v>
      </c>
      <c r="L331" s="175">
        <f t="shared" si="218"/>
        <v>14.422061741569857</v>
      </c>
      <c r="M331" s="175">
        <f t="shared" ref="M331" si="219">M330/$E$330</f>
        <v>40.622426385601898</v>
      </c>
      <c r="N331" s="175">
        <f t="shared" si="218"/>
        <v>8.2678952871646096</v>
      </c>
      <c r="O331" s="175" t="e">
        <f t="shared" si="218"/>
        <v>#DIV/0!</v>
      </c>
      <c r="P331" s="175" t="e">
        <f t="shared" si="218"/>
        <v>#DIV/0!</v>
      </c>
      <c r="Q331" s="175" t="e">
        <f t="shared" si="218"/>
        <v>#DIV/0!</v>
      </c>
      <c r="R331" s="175" t="e">
        <f t="shared" si="218"/>
        <v>#DIV/0!</v>
      </c>
      <c r="S331" s="175" t="e">
        <f t="shared" si="218"/>
        <v>#DIV/0!</v>
      </c>
      <c r="T331" s="175" t="e">
        <f t="shared" si="218"/>
        <v>#DIV/0!</v>
      </c>
      <c r="U331" s="175" t="e">
        <f t="shared" si="218"/>
        <v>#DIV/0!</v>
      </c>
      <c r="V331" s="175" t="e">
        <f t="shared" si="218"/>
        <v>#DIV/0!</v>
      </c>
      <c r="W331" s="175" t="e">
        <f t="shared" si="218"/>
        <v>#DIV/0!</v>
      </c>
      <c r="X331" s="175" t="e">
        <f t="shared" si="218"/>
        <v>#DIV/0!</v>
      </c>
      <c r="Y331" s="175" t="e">
        <f t="shared" si="218"/>
        <v>#DIV/0!</v>
      </c>
      <c r="Z331" s="175" t="e">
        <f t="shared" si="218"/>
        <v>#DIV/0!</v>
      </c>
      <c r="AA331" s="175" t="e">
        <f t="shared" si="218"/>
        <v>#DIV/0!</v>
      </c>
      <c r="AB331" s="175" t="e">
        <f t="shared" si="218"/>
        <v>#DIV/0!</v>
      </c>
      <c r="AC331" s="175" t="e">
        <f t="shared" si="218"/>
        <v>#DIV/0!</v>
      </c>
      <c r="AD331" s="175" t="e">
        <f t="shared" si="218"/>
        <v>#DIV/0!</v>
      </c>
      <c r="AE331" s="175" t="e">
        <f t="shared" si="218"/>
        <v>#DIV/0!</v>
      </c>
      <c r="AF331" s="175" t="e">
        <f t="shared" si="218"/>
        <v>#DIV/0!</v>
      </c>
      <c r="AG331" s="175" t="e">
        <f t="shared" si="218"/>
        <v>#DIV/0!</v>
      </c>
      <c r="AH331" s="176"/>
      <c r="AI331" s="27"/>
      <c r="AL331" s="174"/>
    </row>
    <row r="334" spans="1:42" x14ac:dyDescent="0.2">
      <c r="A334" s="25" t="s">
        <v>868</v>
      </c>
    </row>
    <row r="336" spans="1:42" x14ac:dyDescent="0.2">
      <c r="A336" s="13" t="s">
        <v>323</v>
      </c>
    </row>
    <row r="338" spans="1:35" x14ac:dyDescent="0.2">
      <c r="A338" s="14" t="s">
        <v>568</v>
      </c>
      <c r="E338" s="87">
        <f t="shared" ref="E338:AG338" si="220">E316</f>
        <v>58090792.870816007</v>
      </c>
      <c r="F338" s="87">
        <f t="shared" si="220"/>
        <v>43250758.049722508</v>
      </c>
      <c r="G338" s="87">
        <f t="shared" si="220"/>
        <v>24092.460643479375</v>
      </c>
      <c r="H338" s="87">
        <f t="shared" si="220"/>
        <v>4849930.3849959122</v>
      </c>
      <c r="I338" s="87">
        <f t="shared" si="220"/>
        <v>541061.86746652296</v>
      </c>
      <c r="J338" s="87">
        <f t="shared" si="220"/>
        <v>5165010.1236748565</v>
      </c>
      <c r="K338" s="87">
        <f t="shared" si="220"/>
        <v>0</v>
      </c>
      <c r="L338" s="87">
        <f t="shared" si="220"/>
        <v>2214343.5931829861</v>
      </c>
      <c r="M338" s="87">
        <f t="shared" ref="M338" si="221">M316</f>
        <v>857950.34112973837</v>
      </c>
      <c r="N338" s="87">
        <f t="shared" si="220"/>
        <v>1187646.0499999998</v>
      </c>
      <c r="O338" s="87">
        <f t="shared" si="220"/>
        <v>0</v>
      </c>
      <c r="P338" s="87">
        <f t="shared" si="220"/>
        <v>0</v>
      </c>
      <c r="Q338" s="87">
        <f t="shared" si="220"/>
        <v>0</v>
      </c>
      <c r="R338" s="87">
        <f t="shared" si="220"/>
        <v>0</v>
      </c>
      <c r="S338" s="87">
        <f t="shared" si="220"/>
        <v>0</v>
      </c>
      <c r="T338" s="87">
        <f t="shared" si="220"/>
        <v>0</v>
      </c>
      <c r="U338" s="87">
        <f t="shared" si="220"/>
        <v>0</v>
      </c>
      <c r="V338" s="87">
        <f t="shared" si="220"/>
        <v>0</v>
      </c>
      <c r="W338" s="87">
        <f t="shared" si="220"/>
        <v>0</v>
      </c>
      <c r="X338" s="87">
        <f t="shared" si="220"/>
        <v>0</v>
      </c>
      <c r="Y338" s="87">
        <f t="shared" si="220"/>
        <v>0</v>
      </c>
      <c r="Z338" s="87">
        <f t="shared" si="220"/>
        <v>0</v>
      </c>
      <c r="AA338" s="87">
        <f t="shared" si="220"/>
        <v>0</v>
      </c>
      <c r="AB338" s="87">
        <f t="shared" si="220"/>
        <v>0</v>
      </c>
      <c r="AC338" s="87">
        <f t="shared" si="220"/>
        <v>0</v>
      </c>
      <c r="AD338" s="87">
        <f t="shared" si="220"/>
        <v>0</v>
      </c>
      <c r="AE338" s="87">
        <f t="shared" si="220"/>
        <v>0</v>
      </c>
      <c r="AF338" s="87">
        <f t="shared" si="220"/>
        <v>0</v>
      </c>
      <c r="AG338" s="87">
        <f t="shared" si="220"/>
        <v>0</v>
      </c>
      <c r="AH338" s="87">
        <f>SUM(F338:AG338)</f>
        <v>58090792.870816</v>
      </c>
      <c r="AI338" s="27" t="str">
        <f>IF(ABS(E338-AH338)&lt;0.01,"ok","err")</f>
        <v>ok</v>
      </c>
    </row>
    <row r="339" spans="1:35" x14ac:dyDescent="0.2"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87"/>
      <c r="AC339" s="87"/>
      <c r="AD339" s="87"/>
      <c r="AE339" s="87"/>
      <c r="AF339" s="87"/>
      <c r="AG339" s="87"/>
      <c r="AH339" s="87"/>
      <c r="AI339" s="27"/>
    </row>
    <row r="340" spans="1:35" x14ac:dyDescent="0.2">
      <c r="A340" s="14" t="s">
        <v>569</v>
      </c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87"/>
      <c r="AC340" s="87"/>
      <c r="AD340" s="87"/>
      <c r="AE340" s="87"/>
      <c r="AF340" s="87"/>
      <c r="AG340" s="87"/>
      <c r="AH340" s="87"/>
      <c r="AI340" s="27"/>
    </row>
    <row r="341" spans="1:35" x14ac:dyDescent="0.2">
      <c r="A341" s="222">
        <v>1.01</v>
      </c>
      <c r="B341" s="223" t="s">
        <v>950</v>
      </c>
      <c r="D341" s="14" t="s">
        <v>561</v>
      </c>
      <c r="E341" s="62">
        <v>-2826503.04</v>
      </c>
      <c r="F341" s="62">
        <f>IF(VLOOKUP($D341,$C$5:$AV$509,3,)=0,0,(VLOOKUP($D341,$C$5:$AV$509,4,)/VLOOKUP($D341,$C$5:$AV$509,3,))*$E341)</f>
        <v>-2096533.6437768152</v>
      </c>
      <c r="G341" s="62">
        <f>IF(VLOOKUP($D341,$C$5:$AV$509,3,)=0,0,(VLOOKUP($D341,$C$5:$AV$509,5,)/VLOOKUP($D341,$C$5:$AV$509,3,))*$E341)</f>
        <v>-1200.0566770742453</v>
      </c>
      <c r="H341" s="62">
        <f>IF(VLOOKUP($D341,$C$5:$AV$509,3,)=0,0,(VLOOKUP($D341,$C$5:$AV$509,6,)/VLOOKUP($D341,$C$5:$AV$509,3,))*$E341)</f>
        <v>-233068.2123052745</v>
      </c>
      <c r="I341" s="62">
        <f>IF(VLOOKUP($D341,$C$5:$AV$509,3,)=0,0,(VLOOKUP($D341,$C$5:$AV$509,7,)/VLOOKUP($D341,$C$5:$AV$509,3,))*$E341)</f>
        <v>-26078.64718455093</v>
      </c>
      <c r="J341" s="62">
        <f>IF(VLOOKUP($D341,$C$5:$AV$509,3,)=0,0,(VLOOKUP($D341,$C$5:$AV$509,8,)/VLOOKUP($D341,$C$5:$AV$509,3,))*$E341)</f>
        <v>-257049.46122904625</v>
      </c>
      <c r="K341" s="62">
        <f>IF(VLOOKUP($D341,$C$5:$AV$509,3,)=0,0,(VLOOKUP($D341,$C$5:$AV$509,9,)/VLOOKUP($D341,$C$5:$AV$509,3,))*$E341)</f>
        <v>0</v>
      </c>
      <c r="L341" s="62">
        <f>IF(VLOOKUP($D341,$C$5:$AV$509,3,)=0,0,(VLOOKUP($D341,$C$5:$AV$509,10,)/VLOOKUP($D341,$C$5:$AV$509,3,))*$E341)</f>
        <v>-110481.77095923643</v>
      </c>
      <c r="M341" s="62">
        <f>IF(VLOOKUP($D341,$C$5:$AV$509,3,)=0,0,(VLOOKUP($D341,$C$5:$AV$509,11,)/VLOOKUP($D341,$C$5:$AV$509,3,))*$E341)</f>
        <v>-42814.81415051136</v>
      </c>
      <c r="N341" s="62">
        <f>IF(VLOOKUP($D341,$C$5:$AV$509,3,)=0,0,(VLOOKUP($D341,$C$5:$AV$509,12,)/VLOOKUP($D341,$C$5:$AV$509,3,))*$E341)</f>
        <v>-59276.433717490967</v>
      </c>
      <c r="O341" s="47">
        <f t="shared" ref="O341:Q342" si="222">IF(VLOOKUP($D341,$C$5:$AV$509,3,)=0,0,(VLOOKUP($D341,$C$5:$AV$509,14,)/VLOOKUP($D341,$C$5:$AV$509,3,))*$E341)</f>
        <v>0</v>
      </c>
      <c r="P341" s="47">
        <f t="shared" si="222"/>
        <v>0</v>
      </c>
      <c r="Q341" s="47">
        <f t="shared" si="222"/>
        <v>0</v>
      </c>
      <c r="R341" s="47">
        <f>IF(VLOOKUP($D341,$C$5:$AV$509,3,)=0,0,(VLOOKUP($D341,$C$5:$AV$509,15,)/VLOOKUP($D341,$C$5:$AV$509,3,))*$E341)</f>
        <v>0</v>
      </c>
      <c r="S341" s="47">
        <f>IF(VLOOKUP($D341,$C$5:$AV$509,3,)=0,0,(VLOOKUP($D341,$C$5:$AV$509,16,)/VLOOKUP($D341,$C$5:$AV$509,3,))*$E341)</f>
        <v>0</v>
      </c>
      <c r="T341" s="47">
        <f>IF(VLOOKUP($D341,$C$5:$AV$509,3,)=0,0,(VLOOKUP($D341,$C$5:$AV$509,17,)/VLOOKUP($D341,$C$5:$AV$509,3,))*$E341)</f>
        <v>0</v>
      </c>
      <c r="U341" s="47">
        <f>IF(VLOOKUP($D341,$C$5:$AV$509,3,)=0,0,(VLOOKUP($D341,$C$5:$AV$509,18,)/VLOOKUP($D341,$C$5:$AV$509,3,))*$E341)</f>
        <v>0</v>
      </c>
      <c r="V341" s="47">
        <f>IF(VLOOKUP($D341,$C$5:$AV$509,3,)=0,0,(VLOOKUP($D341,$C$5:$AV$509,19,)/VLOOKUP($D341,$C$5:$AV$509,3,))*$E341)</f>
        <v>0</v>
      </c>
      <c r="W341" s="47">
        <f>IF(VLOOKUP($D341,$C$5:$AV$509,3,)=0,0,(VLOOKUP($D341,$C$5:$AV$509,20,)/VLOOKUP($D341,$C$5:$AV$509,3,))*$E341)</f>
        <v>0</v>
      </c>
      <c r="X341" s="47">
        <f>IF(VLOOKUP($D341,$C$5:$AV$509,3,)=0,0,(VLOOKUP($D341,$C$5:$AV$509,21,)/VLOOKUP($D341,$C$5:$AV$509,3,))*$E341)</f>
        <v>0</v>
      </c>
      <c r="Y341" s="47">
        <f>IF(VLOOKUP($D341,$C$5:$AV$509,3,)=0,0,(VLOOKUP($D341,$C$5:$AV$509,22,)/VLOOKUP($D341,$C$5:$AV$509,3,))*$E341)</f>
        <v>0</v>
      </c>
      <c r="Z341" s="47">
        <f>IF(VLOOKUP($D341,$C$5:$AV$509,3,)=0,0,(VLOOKUP($D341,$C$5:$AV$509,23,)/VLOOKUP($D341,$C$5:$AV$509,3,))*$E341)</f>
        <v>0</v>
      </c>
      <c r="AA341" s="47">
        <f>IF(VLOOKUP($D341,$C$5:$AV$509,3,)=0,0,(VLOOKUP($D341,$C$5:$AV$509,24,)/VLOOKUP($D341,$C$5:$AV$509,3,))*$E341)</f>
        <v>0</v>
      </c>
      <c r="AB341" s="47">
        <f>IF(VLOOKUP($D341,$C$5:$AV$509,3,)=0,0,(VLOOKUP($D341,$C$5:$AV$509,25,)/VLOOKUP($D341,$C$5:$AV$509,3,))*$E341)</f>
        <v>0</v>
      </c>
      <c r="AC341" s="47">
        <f>IF(VLOOKUP($D341,$C$5:$AV$509,3,)=0,0,(VLOOKUP($D341,$C$5:$AV$509,26,)/VLOOKUP($D341,$C$5:$AV$509,3,))*$E341)</f>
        <v>0</v>
      </c>
      <c r="AD341" s="47">
        <f>IF(VLOOKUP($D341,$C$5:$AV$509,3,)=0,0,(VLOOKUP($D341,$C$5:$AV$509,27,)/VLOOKUP($D341,$C$5:$AV$509,3,))*$E341)</f>
        <v>0</v>
      </c>
      <c r="AE341" s="47">
        <f>IF(VLOOKUP($D341,$C$5:$AV$509,3,)=0,0,(VLOOKUP($D341,$C$5:$AV$509,28,)/VLOOKUP($D341,$C$5:$AV$509,3,))*$E341)</f>
        <v>0</v>
      </c>
      <c r="AF341" s="47">
        <f>IF(VLOOKUP($D341,$C$5:$AV$509,3,)=0,0,(VLOOKUP($D341,$C$5:$AV$509,29,)/VLOOKUP($D341,$C$5:$AV$509,3,))*$E341)</f>
        <v>0</v>
      </c>
      <c r="AG341" s="47">
        <f>IF(VLOOKUP($D341,$C$5:$AV$509,3,)=0,0,(VLOOKUP($D341,$C$5:$AV$509,30,)/VLOOKUP($D341,$C$5:$AV$509,3,))*$E341)</f>
        <v>0</v>
      </c>
      <c r="AH341" s="188">
        <f t="shared" ref="AH341:AH342" si="223">SUM(F341:AG341)</f>
        <v>-2826503.04</v>
      </c>
      <c r="AI341" s="27" t="str">
        <f t="shared" ref="AI341" si="224">IF(ABS(E341-AH341)&lt;0.01,"ok","err")</f>
        <v>ok</v>
      </c>
    </row>
    <row r="342" spans="1:35" x14ac:dyDescent="0.2">
      <c r="A342" s="222">
        <v>1.02</v>
      </c>
      <c r="B342" s="223" t="s">
        <v>949</v>
      </c>
      <c r="D342" s="14" t="s">
        <v>561</v>
      </c>
      <c r="E342" s="62">
        <v>-5766679.7999999998</v>
      </c>
      <c r="F342" s="62">
        <f>IF(VLOOKUP($D342,$C$5:$AV$509,3,)=0,0,(VLOOKUP($D342,$C$5:$AV$509,4,)/VLOOKUP($D342,$C$5:$AV$509,3,))*$E342)</f>
        <v>-4277383.7644937243</v>
      </c>
      <c r="G342" s="62">
        <f>IF(VLOOKUP($D342,$C$5:$AV$509,3,)=0,0,(VLOOKUP($D342,$C$5:$AV$509,5,)/VLOOKUP($D342,$C$5:$AV$509,3,))*$E342)</f>
        <v>-2448.3761385019325</v>
      </c>
      <c r="H342" s="62">
        <f>IF(VLOOKUP($D342,$C$5:$AV$509,3,)=0,0,(VLOOKUP($D342,$C$5:$AV$509,6,)/VLOOKUP($D342,$C$5:$AV$509,3,))*$E342)</f>
        <v>-475509.74929180968</v>
      </c>
      <c r="I342" s="62">
        <f>IF(VLOOKUP($D342,$C$5:$AV$509,3,)=0,0,(VLOOKUP($D342,$C$5:$AV$509,7,)/VLOOKUP($D342,$C$5:$AV$509,3,))*$E342)</f>
        <v>-53206.101604078482</v>
      </c>
      <c r="J342" s="62">
        <f>IF(VLOOKUP($D342,$C$5:$AV$509,3,)=0,0,(VLOOKUP($D342,$C$5:$AV$509,8,)/VLOOKUP($D342,$C$5:$AV$509,3,))*$E342)</f>
        <v>-524436.70312501211</v>
      </c>
      <c r="K342" s="62">
        <f>IF(VLOOKUP($D342,$C$5:$AV$509,3,)=0,0,(VLOOKUP($D342,$C$5:$AV$509,9,)/VLOOKUP($D342,$C$5:$AV$509,3,))*$E342)</f>
        <v>0</v>
      </c>
      <c r="L342" s="62">
        <f>IF(VLOOKUP($D342,$C$5:$AV$509,3,)=0,0,(VLOOKUP($D342,$C$5:$AV$509,10,)/VLOOKUP($D342,$C$5:$AV$509,3,))*$E342)</f>
        <v>-225406.79696521937</v>
      </c>
      <c r="M342" s="62">
        <f>IF(VLOOKUP($D342,$C$5:$AV$509,3,)=0,0,(VLOOKUP($D342,$C$5:$AV$509,11,)/VLOOKUP($D342,$C$5:$AV$509,3,))*$E342)</f>
        <v>-87351.515426818019</v>
      </c>
      <c r="N342" s="62">
        <f>IF(VLOOKUP($D342,$C$5:$AV$509,3,)=0,0,(VLOOKUP($D342,$C$5:$AV$509,12,)/VLOOKUP($D342,$C$5:$AV$509,3,))*$E342)</f>
        <v>-120936.79295483584</v>
      </c>
      <c r="O342" s="47">
        <f t="shared" si="222"/>
        <v>0</v>
      </c>
      <c r="P342" s="47">
        <f t="shared" si="222"/>
        <v>0</v>
      </c>
      <c r="Q342" s="47">
        <f t="shared" si="222"/>
        <v>0</v>
      </c>
      <c r="R342" s="47">
        <f>IF(VLOOKUP($D342,$C$5:$AV$509,3,)=0,0,(VLOOKUP($D342,$C$5:$AV$509,15,)/VLOOKUP($D342,$C$5:$AV$509,3,))*$E342)</f>
        <v>0</v>
      </c>
      <c r="S342" s="47">
        <f>IF(VLOOKUP($D342,$C$5:$AV$509,3,)=0,0,(VLOOKUP($D342,$C$5:$AV$509,16,)/VLOOKUP($D342,$C$5:$AV$509,3,))*$E342)</f>
        <v>0</v>
      </c>
      <c r="T342" s="47">
        <f>IF(VLOOKUP($D342,$C$5:$AV$509,3,)=0,0,(VLOOKUP($D342,$C$5:$AV$509,17,)/VLOOKUP($D342,$C$5:$AV$509,3,))*$E342)</f>
        <v>0</v>
      </c>
      <c r="U342" s="47">
        <f>IF(VLOOKUP($D342,$C$5:$AV$509,3,)=0,0,(VLOOKUP($D342,$C$5:$AV$509,18,)/VLOOKUP($D342,$C$5:$AV$509,3,))*$E342)</f>
        <v>0</v>
      </c>
      <c r="V342" s="47">
        <f>IF(VLOOKUP($D342,$C$5:$AV$509,3,)=0,0,(VLOOKUP($D342,$C$5:$AV$509,19,)/VLOOKUP($D342,$C$5:$AV$509,3,))*$E342)</f>
        <v>0</v>
      </c>
      <c r="W342" s="47">
        <f>IF(VLOOKUP($D342,$C$5:$AV$509,3,)=0,0,(VLOOKUP($D342,$C$5:$AV$509,20,)/VLOOKUP($D342,$C$5:$AV$509,3,))*$E342)</f>
        <v>0</v>
      </c>
      <c r="X342" s="47">
        <f>IF(VLOOKUP($D342,$C$5:$AV$509,3,)=0,0,(VLOOKUP($D342,$C$5:$AV$509,21,)/VLOOKUP($D342,$C$5:$AV$509,3,))*$E342)</f>
        <v>0</v>
      </c>
      <c r="Y342" s="47">
        <f>IF(VLOOKUP($D342,$C$5:$AV$509,3,)=0,0,(VLOOKUP($D342,$C$5:$AV$509,22,)/VLOOKUP($D342,$C$5:$AV$509,3,))*$E342)</f>
        <v>0</v>
      </c>
      <c r="Z342" s="47">
        <f>IF(VLOOKUP($D342,$C$5:$AV$509,3,)=0,0,(VLOOKUP($D342,$C$5:$AV$509,23,)/VLOOKUP($D342,$C$5:$AV$509,3,))*$E342)</f>
        <v>0</v>
      </c>
      <c r="AA342" s="47">
        <f>IF(VLOOKUP($D342,$C$5:$AV$509,3,)=0,0,(VLOOKUP($D342,$C$5:$AV$509,24,)/VLOOKUP($D342,$C$5:$AV$509,3,))*$E342)</f>
        <v>0</v>
      </c>
      <c r="AB342" s="47">
        <f>IF(VLOOKUP($D342,$C$5:$AV$509,3,)=0,0,(VLOOKUP($D342,$C$5:$AV$509,25,)/VLOOKUP($D342,$C$5:$AV$509,3,))*$E342)</f>
        <v>0</v>
      </c>
      <c r="AC342" s="47">
        <f>IF(VLOOKUP($D342,$C$5:$AV$509,3,)=0,0,(VLOOKUP($D342,$C$5:$AV$509,26,)/VLOOKUP($D342,$C$5:$AV$509,3,))*$E342)</f>
        <v>0</v>
      </c>
      <c r="AD342" s="47">
        <f>IF(VLOOKUP($D342,$C$5:$AV$509,3,)=0,0,(VLOOKUP($D342,$C$5:$AV$509,27,)/VLOOKUP($D342,$C$5:$AV$509,3,))*$E342)</f>
        <v>0</v>
      </c>
      <c r="AE342" s="47">
        <f>IF(VLOOKUP($D342,$C$5:$AV$509,3,)=0,0,(VLOOKUP($D342,$C$5:$AV$509,28,)/VLOOKUP($D342,$C$5:$AV$509,3,))*$E342)</f>
        <v>0</v>
      </c>
      <c r="AF342" s="47">
        <f>IF(VLOOKUP($D342,$C$5:$AV$509,3,)=0,0,(VLOOKUP($D342,$C$5:$AV$509,29,)/VLOOKUP($D342,$C$5:$AV$509,3,))*$E342)</f>
        <v>0</v>
      </c>
      <c r="AG342" s="47">
        <f>IF(VLOOKUP($D342,$C$5:$AV$509,3,)=0,0,(VLOOKUP($D342,$C$5:$AV$509,30,)/VLOOKUP($D342,$C$5:$AV$509,3,))*$E342)</f>
        <v>0</v>
      </c>
      <c r="AH342" s="188">
        <f t="shared" si="223"/>
        <v>-5766679.7999999998</v>
      </c>
      <c r="AI342" s="27" t="str">
        <f t="shared" ref="AI342:AI343" si="225">IF(ABS(E342-AH342)&lt;0.01,"ok","err")</f>
        <v>ok</v>
      </c>
    </row>
    <row r="343" spans="1:35" x14ac:dyDescent="0.2">
      <c r="A343" s="222">
        <v>1.04</v>
      </c>
      <c r="B343" s="223" t="s">
        <v>1201</v>
      </c>
      <c r="E343" s="62">
        <v>205042.66</v>
      </c>
      <c r="F343" s="62">
        <v>173492.24839721469</v>
      </c>
      <c r="G343" s="62">
        <v>45987.397692506907</v>
      </c>
      <c r="H343" s="62">
        <v>-1630.5298326611548</v>
      </c>
      <c r="I343" s="62">
        <v>-12806.457625586954</v>
      </c>
      <c r="J343" s="62">
        <v>0</v>
      </c>
      <c r="K343" s="62">
        <v>0</v>
      </c>
      <c r="L343" s="62">
        <v>0</v>
      </c>
      <c r="M343" s="62">
        <v>0</v>
      </c>
      <c r="N343" s="62">
        <v>0</v>
      </c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188">
        <f t="shared" ref="AH343" si="226">SUM(F343:AG343)</f>
        <v>205042.65863147349</v>
      </c>
      <c r="AI343" s="27" t="str">
        <f t="shared" si="225"/>
        <v>ok</v>
      </c>
    </row>
    <row r="344" spans="1:35" hidden="1" x14ac:dyDescent="0.2">
      <c r="A344" s="14">
        <v>4</v>
      </c>
      <c r="B344" s="14" t="s">
        <v>1041</v>
      </c>
      <c r="D344" s="14" t="s">
        <v>561</v>
      </c>
      <c r="E344" s="62">
        <v>0</v>
      </c>
      <c r="F344" s="62">
        <f>IF(VLOOKUP($D344,$C$5:$AV$509,3,)=0,0,(VLOOKUP($D344,$C$5:$AV$509,4,)/VLOOKUP($D344,$C$5:$AV$509,3,))*$E344)</f>
        <v>0</v>
      </c>
      <c r="G344" s="62">
        <f>IF(VLOOKUP($D344,$C$5:$AV$509,3,)=0,0,(VLOOKUP($D344,$C$5:$AV$509,5,)/VLOOKUP($D344,$C$5:$AV$509,3,))*$E344)</f>
        <v>0</v>
      </c>
      <c r="H344" s="62">
        <f>IF(VLOOKUP($D344,$C$5:$AV$509,3,)=0,0,(VLOOKUP($D344,$C$5:$AV$509,6,)/VLOOKUP($D344,$C$5:$AV$509,3,))*$E344)</f>
        <v>0</v>
      </c>
      <c r="I344" s="62">
        <f>IF(VLOOKUP($D344,$C$5:$AV$509,3,)=0,0,(VLOOKUP($D344,$C$5:$AV$509,7,)/VLOOKUP($D344,$C$5:$AV$509,3,))*$E344)</f>
        <v>0</v>
      </c>
      <c r="J344" s="62">
        <f>IF(VLOOKUP($D344,$C$5:$AV$509,3,)=0,0,(VLOOKUP($D344,$C$5:$AV$509,8,)/VLOOKUP($D344,$C$5:$AV$509,3,))*$E344)</f>
        <v>0</v>
      </c>
      <c r="K344" s="62">
        <f>IF(VLOOKUP($D344,$C$5:$AV$509,3,)=0,0,(VLOOKUP($D344,$C$5:$AV$509,9,)/VLOOKUP($D344,$C$5:$AV$509,3,))*$E344)</f>
        <v>0</v>
      </c>
      <c r="L344" s="62">
        <f>IF(VLOOKUP($D344,$C$5:$AV$509,3,)=0,0,(VLOOKUP($D344,$C$5:$AV$509,10,)/VLOOKUP($D344,$C$5:$AV$509,3,))*$E344)</f>
        <v>0</v>
      </c>
      <c r="M344" s="62">
        <f>IF(VLOOKUP($D344,$C$5:$AV$509,3,)=0,0,(VLOOKUP($D344,$C$5:$AV$509,11,)/VLOOKUP($D344,$C$5:$AV$509,3,))*$E344)</f>
        <v>0</v>
      </c>
      <c r="N344" s="62">
        <f>IF(VLOOKUP($D344,$C$5:$AV$509,3,)=0,0,(VLOOKUP($D344,$C$5:$AV$509,12,)/VLOOKUP($D344,$C$5:$AV$509,3,))*$E344)</f>
        <v>0</v>
      </c>
      <c r="O344" s="47">
        <f>IF(VLOOKUP($D344,$C$5:$AV$509,3,)=0,0,(VLOOKUP($D344,$C$5:$AV$509,14,)/VLOOKUP($D344,$C$5:$AV$509,3,))*$E344)</f>
        <v>0</v>
      </c>
      <c r="P344" s="47">
        <f>IF(VLOOKUP($D344,$C$5:$AV$509,3,)=0,0,(VLOOKUP($D344,$C$5:$AV$509,14,)/VLOOKUP($D344,$C$5:$AV$509,3,))*$E344)</f>
        <v>0</v>
      </c>
      <c r="Q344" s="47">
        <f>IF(VLOOKUP($D344,$C$5:$AV$509,3,)=0,0,(VLOOKUP($D344,$C$5:$AV$509,14,)/VLOOKUP($D344,$C$5:$AV$509,3,))*$E344)</f>
        <v>0</v>
      </c>
      <c r="R344" s="47">
        <f>IF(VLOOKUP($D344,$C$5:$AV$509,3,)=0,0,(VLOOKUP($D344,$C$5:$AV$509,15,)/VLOOKUP($D344,$C$5:$AV$509,3,))*$E344)</f>
        <v>0</v>
      </c>
      <c r="S344" s="47">
        <f>IF(VLOOKUP($D344,$C$5:$AV$509,3,)=0,0,(VLOOKUP($D344,$C$5:$AV$509,16,)/VLOOKUP($D344,$C$5:$AV$509,3,))*$E344)</f>
        <v>0</v>
      </c>
      <c r="T344" s="47">
        <f>IF(VLOOKUP($D344,$C$5:$AV$509,3,)=0,0,(VLOOKUP($D344,$C$5:$AV$509,17,)/VLOOKUP($D344,$C$5:$AV$509,3,))*$E344)</f>
        <v>0</v>
      </c>
      <c r="U344" s="47">
        <f>IF(VLOOKUP($D344,$C$5:$AV$509,3,)=0,0,(VLOOKUP($D344,$C$5:$AV$509,18,)/VLOOKUP($D344,$C$5:$AV$509,3,))*$E344)</f>
        <v>0</v>
      </c>
      <c r="V344" s="47">
        <f>IF(VLOOKUP($D344,$C$5:$AV$509,3,)=0,0,(VLOOKUP($D344,$C$5:$AV$509,19,)/VLOOKUP($D344,$C$5:$AV$509,3,))*$E344)</f>
        <v>0</v>
      </c>
      <c r="W344" s="47">
        <f>IF(VLOOKUP($D344,$C$5:$AV$509,3,)=0,0,(VLOOKUP($D344,$C$5:$AV$509,20,)/VLOOKUP($D344,$C$5:$AV$509,3,))*$E344)</f>
        <v>0</v>
      </c>
      <c r="X344" s="47">
        <f>IF(VLOOKUP($D344,$C$5:$AV$509,3,)=0,0,(VLOOKUP($D344,$C$5:$AV$509,21,)/VLOOKUP($D344,$C$5:$AV$509,3,))*$E344)</f>
        <v>0</v>
      </c>
      <c r="Y344" s="47">
        <f>IF(VLOOKUP($D344,$C$5:$AV$509,3,)=0,0,(VLOOKUP($D344,$C$5:$AV$509,22,)/VLOOKUP($D344,$C$5:$AV$509,3,))*$E344)</f>
        <v>0</v>
      </c>
      <c r="Z344" s="47">
        <f>IF(VLOOKUP($D344,$C$5:$AV$509,3,)=0,0,(VLOOKUP($D344,$C$5:$AV$509,23,)/VLOOKUP($D344,$C$5:$AV$509,3,))*$E344)</f>
        <v>0</v>
      </c>
      <c r="AA344" s="47">
        <f>IF(VLOOKUP($D344,$C$5:$AV$509,3,)=0,0,(VLOOKUP($D344,$C$5:$AV$509,24,)/VLOOKUP($D344,$C$5:$AV$509,3,))*$E344)</f>
        <v>0</v>
      </c>
      <c r="AB344" s="47">
        <f>IF(VLOOKUP($D344,$C$5:$AV$509,3,)=0,0,(VLOOKUP($D344,$C$5:$AV$509,25,)/VLOOKUP($D344,$C$5:$AV$509,3,))*$E344)</f>
        <v>0</v>
      </c>
      <c r="AC344" s="47">
        <f>IF(VLOOKUP($D344,$C$5:$AV$509,3,)=0,0,(VLOOKUP($D344,$C$5:$AV$509,26,)/VLOOKUP($D344,$C$5:$AV$509,3,))*$E344)</f>
        <v>0</v>
      </c>
      <c r="AD344" s="47">
        <f>IF(VLOOKUP($D344,$C$5:$AV$509,3,)=0,0,(VLOOKUP($D344,$C$5:$AV$509,27,)/VLOOKUP($D344,$C$5:$AV$509,3,))*$E344)</f>
        <v>0</v>
      </c>
      <c r="AE344" s="47">
        <f>IF(VLOOKUP($D344,$C$5:$AV$509,3,)=0,0,(VLOOKUP($D344,$C$5:$AV$509,28,)/VLOOKUP($D344,$C$5:$AV$509,3,))*$E344)</f>
        <v>0</v>
      </c>
      <c r="AF344" s="47">
        <f>IF(VLOOKUP($D344,$C$5:$AV$509,3,)=0,0,(VLOOKUP($D344,$C$5:$AV$509,29,)/VLOOKUP($D344,$C$5:$AV$509,3,))*$E344)</f>
        <v>0</v>
      </c>
      <c r="AG344" s="47">
        <f>IF(VLOOKUP($D344,$C$5:$AV$509,3,)=0,0,(VLOOKUP($D344,$C$5:$AV$509,30,)/VLOOKUP($D344,$C$5:$AV$509,3,))*$E344)</f>
        <v>0</v>
      </c>
      <c r="AH344" s="188">
        <f t="shared" ref="AH344:AH349" si="227">SUM(F344:AG344)</f>
        <v>0</v>
      </c>
      <c r="AI344" s="27" t="str">
        <f t="shared" ref="AI344:AI349" si="228">IF(ABS(E344-AH344)&lt;0.01,"ok","err")</f>
        <v>ok</v>
      </c>
    </row>
    <row r="345" spans="1:35" hidden="1" x14ac:dyDescent="0.2">
      <c r="A345" s="14">
        <v>5</v>
      </c>
      <c r="B345" s="14" t="s">
        <v>1041</v>
      </c>
      <c r="D345" s="14" t="s">
        <v>561</v>
      </c>
      <c r="E345" s="62">
        <v>0</v>
      </c>
      <c r="F345" s="62">
        <f t="shared" ref="F345:F349" si="229">IF(VLOOKUP($D345,$C$5:$AV$509,3,)=0,0,(VLOOKUP($D345,$C$5:$AV$509,4,)/VLOOKUP($D345,$C$5:$AV$509,3,))*$E345)</f>
        <v>0</v>
      </c>
      <c r="G345" s="62">
        <f t="shared" ref="G345:G349" si="230">IF(VLOOKUP($D345,$C$5:$AV$509,3,)=0,0,(VLOOKUP($D345,$C$5:$AV$509,5,)/VLOOKUP($D345,$C$5:$AV$509,3,))*$E345)</f>
        <v>0</v>
      </c>
      <c r="H345" s="62">
        <f t="shared" ref="H345:H349" si="231">IF(VLOOKUP($D345,$C$5:$AV$509,3,)=0,0,(VLOOKUP($D345,$C$5:$AV$509,6,)/VLOOKUP($D345,$C$5:$AV$509,3,))*$E345)</f>
        <v>0</v>
      </c>
      <c r="I345" s="62">
        <f t="shared" ref="I345:I349" si="232">IF(VLOOKUP($D345,$C$5:$AV$509,3,)=0,0,(VLOOKUP($D345,$C$5:$AV$509,7,)/VLOOKUP($D345,$C$5:$AV$509,3,))*$E345)</f>
        <v>0</v>
      </c>
      <c r="J345" s="62">
        <f t="shared" ref="J345:J349" si="233">IF(VLOOKUP($D345,$C$5:$AV$509,3,)=0,0,(VLOOKUP($D345,$C$5:$AV$509,8,)/VLOOKUP($D345,$C$5:$AV$509,3,))*$E345)</f>
        <v>0</v>
      </c>
      <c r="K345" s="62">
        <f t="shared" ref="K345:K349" si="234">IF(VLOOKUP($D345,$C$5:$AV$509,3,)=0,0,(VLOOKUP($D345,$C$5:$AV$509,9,)/VLOOKUP($D345,$C$5:$AV$509,3,))*$E345)</f>
        <v>0</v>
      </c>
      <c r="L345" s="62">
        <f t="shared" ref="L345:L349" si="235">IF(VLOOKUP($D345,$C$5:$AV$509,3,)=0,0,(VLOOKUP($D345,$C$5:$AV$509,10,)/VLOOKUP($D345,$C$5:$AV$509,3,))*$E345)</f>
        <v>0</v>
      </c>
      <c r="M345" s="62">
        <f t="shared" ref="M345:M349" si="236">IF(VLOOKUP($D345,$C$5:$AV$509,3,)=0,0,(VLOOKUP($D345,$C$5:$AV$509,11,)/VLOOKUP($D345,$C$5:$AV$509,3,))*$E345)</f>
        <v>0</v>
      </c>
      <c r="N345" s="62">
        <f t="shared" ref="N345:N349" si="237">IF(VLOOKUP($D345,$C$5:$AV$509,3,)=0,0,(VLOOKUP($D345,$C$5:$AV$509,12,)/VLOOKUP($D345,$C$5:$AV$509,3,))*$E345)</f>
        <v>0</v>
      </c>
      <c r="O345" s="47">
        <f t="shared" ref="O345:Q349" si="238">IF(VLOOKUP($D345,$C$5:$AV$509,3,)=0,0,(VLOOKUP($D345,$C$5:$AV$509,14,)/VLOOKUP($D345,$C$5:$AV$509,3,))*$E345)</f>
        <v>0</v>
      </c>
      <c r="P345" s="47">
        <f t="shared" si="238"/>
        <v>0</v>
      </c>
      <c r="Q345" s="47">
        <f t="shared" si="238"/>
        <v>0</v>
      </c>
      <c r="R345" s="47">
        <f t="shared" ref="R345:R349" si="239">IF(VLOOKUP($D345,$C$5:$AV$509,3,)=0,0,(VLOOKUP($D345,$C$5:$AV$509,15,)/VLOOKUP($D345,$C$5:$AV$509,3,))*$E345)</f>
        <v>0</v>
      </c>
      <c r="S345" s="47">
        <f t="shared" ref="S345:S349" si="240">IF(VLOOKUP($D345,$C$5:$AV$509,3,)=0,0,(VLOOKUP($D345,$C$5:$AV$509,16,)/VLOOKUP($D345,$C$5:$AV$509,3,))*$E345)</f>
        <v>0</v>
      </c>
      <c r="T345" s="47">
        <f t="shared" ref="T345:T349" si="241">IF(VLOOKUP($D345,$C$5:$AV$509,3,)=0,0,(VLOOKUP($D345,$C$5:$AV$509,17,)/VLOOKUP($D345,$C$5:$AV$509,3,))*$E345)</f>
        <v>0</v>
      </c>
      <c r="U345" s="47">
        <f t="shared" ref="U345:U349" si="242">IF(VLOOKUP($D345,$C$5:$AV$509,3,)=0,0,(VLOOKUP($D345,$C$5:$AV$509,18,)/VLOOKUP($D345,$C$5:$AV$509,3,))*$E345)</f>
        <v>0</v>
      </c>
      <c r="V345" s="47">
        <f t="shared" ref="V345:V349" si="243">IF(VLOOKUP($D345,$C$5:$AV$509,3,)=0,0,(VLOOKUP($D345,$C$5:$AV$509,19,)/VLOOKUP($D345,$C$5:$AV$509,3,))*$E345)</f>
        <v>0</v>
      </c>
      <c r="W345" s="47">
        <f t="shared" ref="W345:W349" si="244">IF(VLOOKUP($D345,$C$5:$AV$509,3,)=0,0,(VLOOKUP($D345,$C$5:$AV$509,20,)/VLOOKUP($D345,$C$5:$AV$509,3,))*$E345)</f>
        <v>0</v>
      </c>
      <c r="X345" s="47">
        <f t="shared" ref="X345:X349" si="245">IF(VLOOKUP($D345,$C$5:$AV$509,3,)=0,0,(VLOOKUP($D345,$C$5:$AV$509,21,)/VLOOKUP($D345,$C$5:$AV$509,3,))*$E345)</f>
        <v>0</v>
      </c>
      <c r="Y345" s="47">
        <f t="shared" ref="Y345:Y349" si="246">IF(VLOOKUP($D345,$C$5:$AV$509,3,)=0,0,(VLOOKUP($D345,$C$5:$AV$509,22,)/VLOOKUP($D345,$C$5:$AV$509,3,))*$E345)</f>
        <v>0</v>
      </c>
      <c r="Z345" s="47">
        <f t="shared" ref="Z345:Z349" si="247">IF(VLOOKUP($D345,$C$5:$AV$509,3,)=0,0,(VLOOKUP($D345,$C$5:$AV$509,23,)/VLOOKUP($D345,$C$5:$AV$509,3,))*$E345)</f>
        <v>0</v>
      </c>
      <c r="AA345" s="47">
        <f t="shared" ref="AA345:AA349" si="248">IF(VLOOKUP($D345,$C$5:$AV$509,3,)=0,0,(VLOOKUP($D345,$C$5:$AV$509,24,)/VLOOKUP($D345,$C$5:$AV$509,3,))*$E345)</f>
        <v>0</v>
      </c>
      <c r="AB345" s="47">
        <f t="shared" ref="AB345:AB349" si="249">IF(VLOOKUP($D345,$C$5:$AV$509,3,)=0,0,(VLOOKUP($D345,$C$5:$AV$509,25,)/VLOOKUP($D345,$C$5:$AV$509,3,))*$E345)</f>
        <v>0</v>
      </c>
      <c r="AC345" s="47">
        <f t="shared" ref="AC345:AC349" si="250">IF(VLOOKUP($D345,$C$5:$AV$509,3,)=0,0,(VLOOKUP($D345,$C$5:$AV$509,26,)/VLOOKUP($D345,$C$5:$AV$509,3,))*$E345)</f>
        <v>0</v>
      </c>
      <c r="AD345" s="47">
        <f t="shared" ref="AD345:AD349" si="251">IF(VLOOKUP($D345,$C$5:$AV$509,3,)=0,0,(VLOOKUP($D345,$C$5:$AV$509,27,)/VLOOKUP($D345,$C$5:$AV$509,3,))*$E345)</f>
        <v>0</v>
      </c>
      <c r="AE345" s="47">
        <f t="shared" ref="AE345:AE349" si="252">IF(VLOOKUP($D345,$C$5:$AV$509,3,)=0,0,(VLOOKUP($D345,$C$5:$AV$509,28,)/VLOOKUP($D345,$C$5:$AV$509,3,))*$E345)</f>
        <v>0</v>
      </c>
      <c r="AF345" s="47">
        <f t="shared" ref="AF345:AF349" si="253">IF(VLOOKUP($D345,$C$5:$AV$509,3,)=0,0,(VLOOKUP($D345,$C$5:$AV$509,29,)/VLOOKUP($D345,$C$5:$AV$509,3,))*$E345)</f>
        <v>0</v>
      </c>
      <c r="AG345" s="47">
        <f t="shared" ref="AG345:AG349" si="254">IF(VLOOKUP($D345,$C$5:$AV$509,3,)=0,0,(VLOOKUP($D345,$C$5:$AV$509,30,)/VLOOKUP($D345,$C$5:$AV$509,3,))*$E345)</f>
        <v>0</v>
      </c>
      <c r="AH345" s="188">
        <f t="shared" si="227"/>
        <v>0</v>
      </c>
      <c r="AI345" s="27" t="str">
        <f t="shared" si="228"/>
        <v>ok</v>
      </c>
    </row>
    <row r="346" spans="1:35" hidden="1" x14ac:dyDescent="0.2">
      <c r="A346" s="14">
        <v>6</v>
      </c>
      <c r="B346" s="14" t="s">
        <v>1041</v>
      </c>
      <c r="D346" s="14" t="s">
        <v>561</v>
      </c>
      <c r="E346" s="62">
        <v>0</v>
      </c>
      <c r="F346" s="62">
        <f t="shared" si="229"/>
        <v>0</v>
      </c>
      <c r="G346" s="62">
        <f t="shared" si="230"/>
        <v>0</v>
      </c>
      <c r="H346" s="62">
        <f t="shared" si="231"/>
        <v>0</v>
      </c>
      <c r="I346" s="62">
        <f t="shared" si="232"/>
        <v>0</v>
      </c>
      <c r="J346" s="62">
        <f t="shared" si="233"/>
        <v>0</v>
      </c>
      <c r="K346" s="62">
        <f t="shared" si="234"/>
        <v>0</v>
      </c>
      <c r="L346" s="62">
        <f t="shared" si="235"/>
        <v>0</v>
      </c>
      <c r="M346" s="62">
        <f t="shared" si="236"/>
        <v>0</v>
      </c>
      <c r="N346" s="62">
        <f t="shared" si="237"/>
        <v>0</v>
      </c>
      <c r="O346" s="47">
        <f t="shared" si="238"/>
        <v>0</v>
      </c>
      <c r="P346" s="47">
        <f t="shared" si="238"/>
        <v>0</v>
      </c>
      <c r="Q346" s="47">
        <f t="shared" si="238"/>
        <v>0</v>
      </c>
      <c r="R346" s="47">
        <f t="shared" si="239"/>
        <v>0</v>
      </c>
      <c r="S346" s="47">
        <f t="shared" si="240"/>
        <v>0</v>
      </c>
      <c r="T346" s="47">
        <f t="shared" si="241"/>
        <v>0</v>
      </c>
      <c r="U346" s="47">
        <f t="shared" si="242"/>
        <v>0</v>
      </c>
      <c r="V346" s="47">
        <f t="shared" si="243"/>
        <v>0</v>
      </c>
      <c r="W346" s="47">
        <f t="shared" si="244"/>
        <v>0</v>
      </c>
      <c r="X346" s="47">
        <f t="shared" si="245"/>
        <v>0</v>
      </c>
      <c r="Y346" s="47">
        <f t="shared" si="246"/>
        <v>0</v>
      </c>
      <c r="Z346" s="47">
        <f t="shared" si="247"/>
        <v>0</v>
      </c>
      <c r="AA346" s="47">
        <f t="shared" si="248"/>
        <v>0</v>
      </c>
      <c r="AB346" s="47">
        <f t="shared" si="249"/>
        <v>0</v>
      </c>
      <c r="AC346" s="47">
        <f t="shared" si="250"/>
        <v>0</v>
      </c>
      <c r="AD346" s="47">
        <f t="shared" si="251"/>
        <v>0</v>
      </c>
      <c r="AE346" s="47">
        <f t="shared" si="252"/>
        <v>0</v>
      </c>
      <c r="AF346" s="47">
        <f t="shared" si="253"/>
        <v>0</v>
      </c>
      <c r="AG346" s="47">
        <f t="shared" si="254"/>
        <v>0</v>
      </c>
      <c r="AH346" s="188">
        <f t="shared" si="227"/>
        <v>0</v>
      </c>
      <c r="AI346" s="27" t="str">
        <f t="shared" si="228"/>
        <v>ok</v>
      </c>
    </row>
    <row r="347" spans="1:35" hidden="1" x14ac:dyDescent="0.2">
      <c r="A347" s="14">
        <v>7</v>
      </c>
      <c r="B347" s="14" t="s">
        <v>1041</v>
      </c>
      <c r="D347" s="14" t="s">
        <v>561</v>
      </c>
      <c r="E347" s="62">
        <v>0</v>
      </c>
      <c r="F347" s="62">
        <f t="shared" si="229"/>
        <v>0</v>
      </c>
      <c r="G347" s="62">
        <f t="shared" si="230"/>
        <v>0</v>
      </c>
      <c r="H347" s="62">
        <f t="shared" si="231"/>
        <v>0</v>
      </c>
      <c r="I347" s="62">
        <f t="shared" si="232"/>
        <v>0</v>
      </c>
      <c r="J347" s="62">
        <f t="shared" si="233"/>
        <v>0</v>
      </c>
      <c r="K347" s="62">
        <f t="shared" si="234"/>
        <v>0</v>
      </c>
      <c r="L347" s="62">
        <f t="shared" si="235"/>
        <v>0</v>
      </c>
      <c r="M347" s="62">
        <f t="shared" si="236"/>
        <v>0</v>
      </c>
      <c r="N347" s="62">
        <f t="shared" si="237"/>
        <v>0</v>
      </c>
      <c r="O347" s="47">
        <f t="shared" si="238"/>
        <v>0</v>
      </c>
      <c r="P347" s="47">
        <f t="shared" si="238"/>
        <v>0</v>
      </c>
      <c r="Q347" s="47">
        <f t="shared" si="238"/>
        <v>0</v>
      </c>
      <c r="R347" s="47">
        <f t="shared" si="239"/>
        <v>0</v>
      </c>
      <c r="S347" s="47">
        <f t="shared" si="240"/>
        <v>0</v>
      </c>
      <c r="T347" s="47">
        <f t="shared" si="241"/>
        <v>0</v>
      </c>
      <c r="U347" s="47">
        <f t="shared" si="242"/>
        <v>0</v>
      </c>
      <c r="V347" s="47">
        <f t="shared" si="243"/>
        <v>0</v>
      </c>
      <c r="W347" s="47">
        <f t="shared" si="244"/>
        <v>0</v>
      </c>
      <c r="X347" s="47">
        <f t="shared" si="245"/>
        <v>0</v>
      </c>
      <c r="Y347" s="47">
        <f t="shared" si="246"/>
        <v>0</v>
      </c>
      <c r="Z347" s="47">
        <f t="shared" si="247"/>
        <v>0</v>
      </c>
      <c r="AA347" s="47">
        <f t="shared" si="248"/>
        <v>0</v>
      </c>
      <c r="AB347" s="47">
        <f t="shared" si="249"/>
        <v>0</v>
      </c>
      <c r="AC347" s="47">
        <f t="shared" si="250"/>
        <v>0</v>
      </c>
      <c r="AD347" s="47">
        <f t="shared" si="251"/>
        <v>0</v>
      </c>
      <c r="AE347" s="47">
        <f t="shared" si="252"/>
        <v>0</v>
      </c>
      <c r="AF347" s="47">
        <f t="shared" si="253"/>
        <v>0</v>
      </c>
      <c r="AG347" s="47">
        <f t="shared" si="254"/>
        <v>0</v>
      </c>
      <c r="AH347" s="188">
        <f t="shared" si="227"/>
        <v>0</v>
      </c>
      <c r="AI347" s="27" t="str">
        <f t="shared" si="228"/>
        <v>ok</v>
      </c>
    </row>
    <row r="348" spans="1:35" hidden="1" x14ac:dyDescent="0.2">
      <c r="A348" s="14">
        <v>8</v>
      </c>
      <c r="B348" s="14" t="s">
        <v>1041</v>
      </c>
      <c r="D348" s="14" t="s">
        <v>561</v>
      </c>
      <c r="E348" s="62">
        <v>0</v>
      </c>
      <c r="F348" s="62">
        <f t="shared" si="229"/>
        <v>0</v>
      </c>
      <c r="G348" s="62">
        <f t="shared" si="230"/>
        <v>0</v>
      </c>
      <c r="H348" s="62">
        <f t="shared" si="231"/>
        <v>0</v>
      </c>
      <c r="I348" s="62">
        <f t="shared" si="232"/>
        <v>0</v>
      </c>
      <c r="J348" s="62">
        <f t="shared" si="233"/>
        <v>0</v>
      </c>
      <c r="K348" s="62">
        <f t="shared" si="234"/>
        <v>0</v>
      </c>
      <c r="L348" s="62">
        <f t="shared" si="235"/>
        <v>0</v>
      </c>
      <c r="M348" s="62">
        <f t="shared" si="236"/>
        <v>0</v>
      </c>
      <c r="N348" s="62">
        <f t="shared" si="237"/>
        <v>0</v>
      </c>
      <c r="O348" s="47">
        <f t="shared" si="238"/>
        <v>0</v>
      </c>
      <c r="P348" s="47">
        <f t="shared" si="238"/>
        <v>0</v>
      </c>
      <c r="Q348" s="47">
        <f t="shared" si="238"/>
        <v>0</v>
      </c>
      <c r="R348" s="47">
        <f t="shared" si="239"/>
        <v>0</v>
      </c>
      <c r="S348" s="47">
        <f t="shared" si="240"/>
        <v>0</v>
      </c>
      <c r="T348" s="47">
        <f t="shared" si="241"/>
        <v>0</v>
      </c>
      <c r="U348" s="47">
        <f t="shared" si="242"/>
        <v>0</v>
      </c>
      <c r="V348" s="47">
        <f t="shared" si="243"/>
        <v>0</v>
      </c>
      <c r="W348" s="47">
        <f t="shared" si="244"/>
        <v>0</v>
      </c>
      <c r="X348" s="47">
        <f t="shared" si="245"/>
        <v>0</v>
      </c>
      <c r="Y348" s="47">
        <f t="shared" si="246"/>
        <v>0</v>
      </c>
      <c r="Z348" s="47">
        <f t="shared" si="247"/>
        <v>0</v>
      </c>
      <c r="AA348" s="47">
        <f t="shared" si="248"/>
        <v>0</v>
      </c>
      <c r="AB348" s="47">
        <f t="shared" si="249"/>
        <v>0</v>
      </c>
      <c r="AC348" s="47">
        <f t="shared" si="250"/>
        <v>0</v>
      </c>
      <c r="AD348" s="47">
        <f t="shared" si="251"/>
        <v>0</v>
      </c>
      <c r="AE348" s="47">
        <f t="shared" si="252"/>
        <v>0</v>
      </c>
      <c r="AF348" s="47">
        <f t="shared" si="253"/>
        <v>0</v>
      </c>
      <c r="AG348" s="47">
        <f t="shared" si="254"/>
        <v>0</v>
      </c>
      <c r="AH348" s="188">
        <f t="shared" si="227"/>
        <v>0</v>
      </c>
      <c r="AI348" s="27" t="str">
        <f t="shared" si="228"/>
        <v>ok</v>
      </c>
    </row>
    <row r="349" spans="1:35" hidden="1" x14ac:dyDescent="0.2">
      <c r="A349" s="14">
        <v>9</v>
      </c>
      <c r="B349" s="14" t="s">
        <v>1041</v>
      </c>
      <c r="D349" s="14" t="s">
        <v>561</v>
      </c>
      <c r="E349" s="62">
        <v>0</v>
      </c>
      <c r="F349" s="62">
        <f t="shared" si="229"/>
        <v>0</v>
      </c>
      <c r="G349" s="62">
        <f t="shared" si="230"/>
        <v>0</v>
      </c>
      <c r="H349" s="62">
        <f t="shared" si="231"/>
        <v>0</v>
      </c>
      <c r="I349" s="62">
        <f t="shared" si="232"/>
        <v>0</v>
      </c>
      <c r="J349" s="62">
        <f t="shared" si="233"/>
        <v>0</v>
      </c>
      <c r="K349" s="62">
        <f t="shared" si="234"/>
        <v>0</v>
      </c>
      <c r="L349" s="62">
        <f t="shared" si="235"/>
        <v>0</v>
      </c>
      <c r="M349" s="62">
        <f t="shared" si="236"/>
        <v>0</v>
      </c>
      <c r="N349" s="62">
        <f t="shared" si="237"/>
        <v>0</v>
      </c>
      <c r="O349" s="47">
        <f t="shared" si="238"/>
        <v>0</v>
      </c>
      <c r="P349" s="47">
        <f t="shared" si="238"/>
        <v>0</v>
      </c>
      <c r="Q349" s="47">
        <f t="shared" si="238"/>
        <v>0</v>
      </c>
      <c r="R349" s="47">
        <f t="shared" si="239"/>
        <v>0</v>
      </c>
      <c r="S349" s="47">
        <f t="shared" si="240"/>
        <v>0</v>
      </c>
      <c r="T349" s="47">
        <f t="shared" si="241"/>
        <v>0</v>
      </c>
      <c r="U349" s="47">
        <f t="shared" si="242"/>
        <v>0</v>
      </c>
      <c r="V349" s="47">
        <f t="shared" si="243"/>
        <v>0</v>
      </c>
      <c r="W349" s="47">
        <f t="shared" si="244"/>
        <v>0</v>
      </c>
      <c r="X349" s="47">
        <f t="shared" si="245"/>
        <v>0</v>
      </c>
      <c r="Y349" s="47">
        <f t="shared" si="246"/>
        <v>0</v>
      </c>
      <c r="Z349" s="47">
        <f t="shared" si="247"/>
        <v>0</v>
      </c>
      <c r="AA349" s="47">
        <f t="shared" si="248"/>
        <v>0</v>
      </c>
      <c r="AB349" s="47">
        <f t="shared" si="249"/>
        <v>0</v>
      </c>
      <c r="AC349" s="47">
        <f t="shared" si="250"/>
        <v>0</v>
      </c>
      <c r="AD349" s="47">
        <f t="shared" si="251"/>
        <v>0</v>
      </c>
      <c r="AE349" s="47">
        <f t="shared" si="252"/>
        <v>0</v>
      </c>
      <c r="AF349" s="47">
        <f t="shared" si="253"/>
        <v>0</v>
      </c>
      <c r="AG349" s="47">
        <f t="shared" si="254"/>
        <v>0</v>
      </c>
      <c r="AH349" s="188">
        <f t="shared" si="227"/>
        <v>0</v>
      </c>
      <c r="AI349" s="27" t="str">
        <f t="shared" si="228"/>
        <v>ok</v>
      </c>
    </row>
    <row r="350" spans="1:35" hidden="1" x14ac:dyDescent="0.2">
      <c r="A350" s="14">
        <v>10</v>
      </c>
      <c r="B350" s="14" t="s">
        <v>1041</v>
      </c>
      <c r="D350" s="14" t="s">
        <v>561</v>
      </c>
      <c r="E350" s="62">
        <v>0</v>
      </c>
      <c r="F350" s="62">
        <v>0</v>
      </c>
      <c r="G350" s="62">
        <v>0</v>
      </c>
      <c r="H350" s="62">
        <v>0</v>
      </c>
      <c r="I350" s="62">
        <v>0</v>
      </c>
      <c r="J350" s="62">
        <v>0</v>
      </c>
      <c r="K350" s="62">
        <v>0</v>
      </c>
      <c r="L350" s="62">
        <v>0</v>
      </c>
      <c r="M350" s="62">
        <v>0</v>
      </c>
      <c r="N350" s="62">
        <v>0</v>
      </c>
      <c r="O350" s="62">
        <v>0</v>
      </c>
      <c r="P350" s="62">
        <v>0</v>
      </c>
      <c r="Q350" s="62">
        <v>0</v>
      </c>
      <c r="R350" s="62">
        <v>0</v>
      </c>
      <c r="S350" s="62">
        <v>0</v>
      </c>
      <c r="T350" s="62">
        <v>0</v>
      </c>
      <c r="U350" s="62">
        <v>0</v>
      </c>
      <c r="V350" s="62">
        <v>0</v>
      </c>
      <c r="W350" s="62">
        <v>0</v>
      </c>
      <c r="X350" s="62">
        <v>0</v>
      </c>
      <c r="Y350" s="62">
        <v>0</v>
      </c>
      <c r="Z350" s="62">
        <v>0</v>
      </c>
      <c r="AA350" s="62">
        <v>0</v>
      </c>
      <c r="AB350" s="62">
        <v>0</v>
      </c>
      <c r="AC350" s="62">
        <v>0</v>
      </c>
      <c r="AD350" s="62">
        <v>0</v>
      </c>
      <c r="AE350" s="62">
        <v>0</v>
      </c>
      <c r="AF350" s="62">
        <v>0</v>
      </c>
      <c r="AG350" s="62">
        <v>0</v>
      </c>
      <c r="AH350" s="87">
        <f t="shared" ref="AH350" si="255">SUM(F350:AG350)</f>
        <v>0</v>
      </c>
      <c r="AI350" s="27" t="str">
        <f t="shared" ref="AI350:AI356" si="256">IF(ABS(E350-AH350)&lt;0.01,"ok","err")</f>
        <v>ok</v>
      </c>
    </row>
    <row r="351" spans="1:35" hidden="1" x14ac:dyDescent="0.2">
      <c r="A351" s="14">
        <v>11</v>
      </c>
      <c r="B351" s="14" t="s">
        <v>1041</v>
      </c>
      <c r="D351" s="14" t="s">
        <v>561</v>
      </c>
      <c r="E351" s="62">
        <v>0</v>
      </c>
      <c r="F351" s="62">
        <f>IF(VLOOKUP($D351,$C$5:$AV$527,3,)=0,0,(VLOOKUP($D351,$C$5:$AV$527,4,)/VLOOKUP($D351,$C$5:$AV$527,3,))*$E351)</f>
        <v>0</v>
      </c>
      <c r="G351" s="62">
        <f>IF(VLOOKUP($D351,$C$5:$AV$527,3,)=0,0,(VLOOKUP($D351,$C$5:$AV$527,5,)/VLOOKUP($D351,$C$5:$AV$527,3,))*$E351)</f>
        <v>0</v>
      </c>
      <c r="H351" s="62">
        <f>IF(VLOOKUP($D351,$C$5:$AV$527,3,)=0,0,(VLOOKUP($D351,$C$5:$AV$527,6,)/VLOOKUP($D351,$C$5:$AV$527,3,))*$E351)</f>
        <v>0</v>
      </c>
      <c r="I351" s="62">
        <f>IF(VLOOKUP($D351,$C$5:$AV$527,3,)=0,0,(VLOOKUP($D351,$C$5:$AV$527,7,)/VLOOKUP($D351,$C$5:$AV$527,3,))*$E351)</f>
        <v>0</v>
      </c>
      <c r="J351" s="62">
        <f>IF(VLOOKUP($D351,$C$5:$AV$527,3,)=0,0,(VLOOKUP($D351,$C$5:$AV$527,8,)/VLOOKUP($D351,$C$5:$AV$527,3,))*$E351)</f>
        <v>0</v>
      </c>
      <c r="K351" s="62">
        <f>IF(VLOOKUP($D351,$C$5:$AV$527,3,)=0,0,(VLOOKUP($D351,$C$5:$AV$527,9,)/VLOOKUP($D351,$C$5:$AV$527,3,))*$E351)</f>
        <v>0</v>
      </c>
      <c r="L351" s="62">
        <f t="shared" ref="L351:M354" si="257">IF(VLOOKUP($D351,$C$5:$AV$527,3,)=0,0,(VLOOKUP($D351,$C$5:$AV$527,10,)/VLOOKUP($D351,$C$5:$AV$527,3,))*$E351)</f>
        <v>0</v>
      </c>
      <c r="M351" s="62">
        <f t="shared" si="257"/>
        <v>0</v>
      </c>
      <c r="N351" s="62">
        <f>IF(VLOOKUP($D351,$C$5:$AV$527,3,)=0,0,(VLOOKUP($D351,$C$5:$AV$527,11,)/VLOOKUP($D351,$C$5:$AV$527,3,))*$E351)</f>
        <v>0</v>
      </c>
      <c r="O351" s="62">
        <f>IF(VLOOKUP($D351,$C$5:$AV$527,3,)=0,0,(VLOOKUP($D351,$C$5:$AV$527,12,)/VLOOKUP($D351,$C$5:$AV$527,3,))*$E351)</f>
        <v>0</v>
      </c>
      <c r="P351" s="62">
        <f>IF(VLOOKUP($D351,$C$5:$AV$527,3,)=0,0,(VLOOKUP($D351,$C$5:$AV$527,13,)/VLOOKUP($D351,$C$5:$AV$527,3,))*$E351)</f>
        <v>0</v>
      </c>
      <c r="Q351" s="62">
        <f>IF(VLOOKUP($D351,$C$5:$AV$527,3,)=0,0,(VLOOKUP($D351,$C$5:$AV$527,14,)/VLOOKUP($D351,$C$5:$AV$527,3,))*$E351)</f>
        <v>0</v>
      </c>
      <c r="R351" s="62">
        <f>IF(VLOOKUP($D351,$C$5:$AV$527,3,)=0,0,(VLOOKUP($D351,$C$5:$AV$527,15,)/VLOOKUP($D351,$C$5:$AV$527,3,))*$E351)</f>
        <v>0</v>
      </c>
      <c r="S351" s="62">
        <f>IF(VLOOKUP($D351,$C$5:$AV$527,3,)=0,0,(VLOOKUP($D351,$C$5:$AV$527,16,)/VLOOKUP($D351,$C$5:$AV$527,3,))*$E351)</f>
        <v>0</v>
      </c>
      <c r="T351" s="62">
        <f>IF(VLOOKUP($D351,$C$5:$AV$527,3,)=0,0,(VLOOKUP($D351,$C$5:$AV$527,17,)/VLOOKUP($D351,$C$5:$AV$527,3,))*$E351)</f>
        <v>0</v>
      </c>
      <c r="U351" s="62">
        <f>IF(VLOOKUP($D351,$C$5:$AV$527,3,)=0,0,(VLOOKUP($D351,$C$5:$AV$527,18,)/VLOOKUP($D351,$C$5:$AV$527,3,))*$E351)</f>
        <v>0</v>
      </c>
      <c r="V351" s="62">
        <f>IF(VLOOKUP($D351,$C$5:$AV$527,3,)=0,0,(VLOOKUP($D351,$C$5:$AV$527,19,)/VLOOKUP($D351,$C$5:$AV$527,3,))*$E351)</f>
        <v>0</v>
      </c>
      <c r="W351" s="62">
        <f>IF(VLOOKUP($D351,$C$5:$AV$527,3,)=0,0,(VLOOKUP($D351,$C$5:$AV$527,20,)/VLOOKUP($D351,$C$5:$AV$527,3,))*$E351)</f>
        <v>0</v>
      </c>
      <c r="X351" s="62">
        <f>IF(VLOOKUP($D351,$C$5:$AV$527,3,)=0,0,(VLOOKUP($D351,$C$5:$AV$527,21,)/VLOOKUP($D351,$C$5:$AV$527,3,))*$E351)</f>
        <v>0</v>
      </c>
      <c r="Y351" s="62">
        <f>IF(VLOOKUP($D351,$C$5:$AV$527,3,)=0,0,(VLOOKUP($D351,$C$5:$AV$527,22,)/VLOOKUP($D351,$C$5:$AV$527,3,))*$E351)</f>
        <v>0</v>
      </c>
      <c r="Z351" s="62">
        <f>IF(VLOOKUP($D351,$C$5:$AV$527,3,)=0,0,(VLOOKUP($D351,$C$5:$AV$527,23,)/VLOOKUP($D351,$C$5:$AV$527,3,))*$E351)</f>
        <v>0</v>
      </c>
      <c r="AA351" s="62">
        <f>IF(VLOOKUP($D351,$C$5:$AV$527,3,)=0,0,(VLOOKUP($D351,$C$5:$AV$527,24,)/VLOOKUP($D351,$C$5:$AV$527,3,))*$E351)</f>
        <v>0</v>
      </c>
      <c r="AB351" s="62">
        <f>IF(VLOOKUP($D351,$C$5:$AV$527,3,)=0,0,(VLOOKUP($D351,$C$5:$AV$527,25,)/VLOOKUP($D351,$C$5:$AV$527,3,))*$E351)</f>
        <v>0</v>
      </c>
      <c r="AC351" s="62">
        <f>IF(VLOOKUP($D351,$C$5:$AV$527,3,)=0,0,(VLOOKUP($D351,$C$5:$AV$527,26,)/VLOOKUP($D351,$C$5:$AV$527,3,))*$E351)</f>
        <v>0</v>
      </c>
      <c r="AD351" s="62">
        <f>IF(VLOOKUP($D351,$C$5:$AV$527,3,)=0,0,(VLOOKUP($D351,$C$5:$AV$527,27,)/VLOOKUP($D351,$C$5:$AV$527,3,))*$E351)</f>
        <v>0</v>
      </c>
      <c r="AE351" s="62">
        <f>IF(VLOOKUP($D351,$C$5:$AV$527,3,)=0,0,(VLOOKUP($D351,$C$5:$AV$527,28,)/VLOOKUP($D351,$C$5:$AV$527,3,))*$E351)</f>
        <v>0</v>
      </c>
      <c r="AF351" s="62">
        <f>IF(VLOOKUP($D351,$C$5:$AV$527,3,)=0,0,(VLOOKUP($D351,$C$5:$AV$527,29,)/VLOOKUP($D351,$C$5:$AV$527,3,))*$E351)</f>
        <v>0</v>
      </c>
      <c r="AG351" s="62">
        <f>IF(VLOOKUP($D351,$C$5:$AV$527,3,)=0,0,(VLOOKUP($D351,$C$5:$AV$527,30,)/VLOOKUP($D351,$C$5:$AV$527,3,))*$E351)</f>
        <v>0</v>
      </c>
      <c r="AH351" s="87">
        <f t="shared" ref="AH351:AH352" si="258">SUM(F351:AG351)</f>
        <v>0</v>
      </c>
      <c r="AI351" s="27" t="str">
        <f t="shared" si="256"/>
        <v>ok</v>
      </c>
    </row>
    <row r="352" spans="1:35" hidden="1" x14ac:dyDescent="0.2">
      <c r="A352" s="14">
        <v>12</v>
      </c>
      <c r="B352" s="14" t="s">
        <v>1041</v>
      </c>
      <c r="D352" s="14" t="s">
        <v>561</v>
      </c>
      <c r="E352" s="62">
        <v>0</v>
      </c>
      <c r="F352" s="62">
        <f>IF(VLOOKUP($D352,$C$5:$AV$527,3,)=0,0,(VLOOKUP($D352,$C$5:$AV$527,4,)/VLOOKUP($D352,$C$5:$AV$527,3,))*$E352)</f>
        <v>0</v>
      </c>
      <c r="G352" s="62">
        <f>IF(VLOOKUP($D352,$C$5:$AV$527,3,)=0,0,(VLOOKUP($D352,$C$5:$AV$527,5,)/VLOOKUP($D352,$C$5:$AV$527,3,))*$E352)</f>
        <v>0</v>
      </c>
      <c r="H352" s="62">
        <f>IF(VLOOKUP($D352,$C$5:$AV$527,3,)=0,0,(VLOOKUP($D352,$C$5:$AV$527,6,)/VLOOKUP($D352,$C$5:$AV$527,3,))*$E352)</f>
        <v>0</v>
      </c>
      <c r="I352" s="62">
        <f>IF(VLOOKUP($D352,$C$5:$AV$527,3,)=0,0,(VLOOKUP($D352,$C$5:$AV$527,7,)/VLOOKUP($D352,$C$5:$AV$527,3,))*$E352)</f>
        <v>0</v>
      </c>
      <c r="J352" s="62">
        <f>IF(VLOOKUP($D352,$C$5:$AV$527,3,)=0,0,(VLOOKUP($D352,$C$5:$AV$527,8,)/VLOOKUP($D352,$C$5:$AV$527,3,))*$E352)</f>
        <v>0</v>
      </c>
      <c r="K352" s="62">
        <f>IF(VLOOKUP($D352,$C$5:$AV$527,3,)=0,0,(VLOOKUP($D352,$C$5:$AV$527,9,)/VLOOKUP($D352,$C$5:$AV$527,3,))*$E352)</f>
        <v>0</v>
      </c>
      <c r="L352" s="62">
        <f t="shared" si="257"/>
        <v>0</v>
      </c>
      <c r="M352" s="62">
        <f t="shared" si="257"/>
        <v>0</v>
      </c>
      <c r="N352" s="62">
        <f>IF(VLOOKUP($D352,$C$5:$AV$527,3,)=0,0,(VLOOKUP($D352,$C$5:$AV$527,11,)/VLOOKUP($D352,$C$5:$AV$527,3,))*$E352)</f>
        <v>0</v>
      </c>
      <c r="O352" s="62">
        <f>IF(VLOOKUP($D352,$C$5:$AV$527,3,)=0,0,(VLOOKUP($D352,$C$5:$AV$527,12,)/VLOOKUP($D352,$C$5:$AV$527,3,))*$E352)</f>
        <v>0</v>
      </c>
      <c r="P352" s="62">
        <f>IF(VLOOKUP($D352,$C$5:$AV$527,3,)=0,0,(VLOOKUP($D352,$C$5:$AV$527,13,)/VLOOKUP($D352,$C$5:$AV$527,3,))*$E352)</f>
        <v>0</v>
      </c>
      <c r="Q352" s="62">
        <f>IF(VLOOKUP($D352,$C$5:$AV$527,3,)=0,0,(VLOOKUP($D352,$C$5:$AV$527,14,)/VLOOKUP($D352,$C$5:$AV$527,3,))*$E352)</f>
        <v>0</v>
      </c>
      <c r="R352" s="62">
        <f>IF(VLOOKUP($D352,$C$5:$AV$527,3,)=0,0,(VLOOKUP($D352,$C$5:$AV$527,15,)/VLOOKUP($D352,$C$5:$AV$527,3,))*$E352)</f>
        <v>0</v>
      </c>
      <c r="S352" s="62">
        <f>IF(VLOOKUP($D352,$C$5:$AV$527,3,)=0,0,(VLOOKUP($D352,$C$5:$AV$527,16,)/VLOOKUP($D352,$C$5:$AV$527,3,))*$E352)</f>
        <v>0</v>
      </c>
      <c r="T352" s="62">
        <f>IF(VLOOKUP($D352,$C$5:$AV$527,3,)=0,0,(VLOOKUP($D352,$C$5:$AV$527,17,)/VLOOKUP($D352,$C$5:$AV$527,3,))*$E352)</f>
        <v>0</v>
      </c>
      <c r="U352" s="62">
        <f>IF(VLOOKUP($D352,$C$5:$AV$527,3,)=0,0,(VLOOKUP($D352,$C$5:$AV$527,18,)/VLOOKUP($D352,$C$5:$AV$527,3,))*$E352)</f>
        <v>0</v>
      </c>
      <c r="V352" s="62">
        <f>IF(VLOOKUP($D352,$C$5:$AV$527,3,)=0,0,(VLOOKUP($D352,$C$5:$AV$527,19,)/VLOOKUP($D352,$C$5:$AV$527,3,))*$E352)</f>
        <v>0</v>
      </c>
      <c r="W352" s="62">
        <f>IF(VLOOKUP($D352,$C$5:$AV$527,3,)=0,0,(VLOOKUP($D352,$C$5:$AV$527,20,)/VLOOKUP($D352,$C$5:$AV$527,3,))*$E352)</f>
        <v>0</v>
      </c>
      <c r="X352" s="62">
        <f>IF(VLOOKUP($D352,$C$5:$AV$527,3,)=0,0,(VLOOKUP($D352,$C$5:$AV$527,21,)/VLOOKUP($D352,$C$5:$AV$527,3,))*$E352)</f>
        <v>0</v>
      </c>
      <c r="Y352" s="62">
        <f>IF(VLOOKUP($D352,$C$5:$AV$527,3,)=0,0,(VLOOKUP($D352,$C$5:$AV$527,22,)/VLOOKUP($D352,$C$5:$AV$527,3,))*$E352)</f>
        <v>0</v>
      </c>
      <c r="Z352" s="62">
        <f>IF(VLOOKUP($D352,$C$5:$AV$527,3,)=0,0,(VLOOKUP($D352,$C$5:$AV$527,23,)/VLOOKUP($D352,$C$5:$AV$527,3,))*$E352)</f>
        <v>0</v>
      </c>
      <c r="AA352" s="62">
        <f>IF(VLOOKUP($D352,$C$5:$AV$527,3,)=0,0,(VLOOKUP($D352,$C$5:$AV$527,24,)/VLOOKUP($D352,$C$5:$AV$527,3,))*$E352)</f>
        <v>0</v>
      </c>
      <c r="AB352" s="62">
        <f>IF(VLOOKUP($D352,$C$5:$AV$527,3,)=0,0,(VLOOKUP($D352,$C$5:$AV$527,25,)/VLOOKUP($D352,$C$5:$AV$527,3,))*$E352)</f>
        <v>0</v>
      </c>
      <c r="AC352" s="62">
        <f>IF(VLOOKUP($D352,$C$5:$AV$527,3,)=0,0,(VLOOKUP($D352,$C$5:$AV$527,26,)/VLOOKUP($D352,$C$5:$AV$527,3,))*$E352)</f>
        <v>0</v>
      </c>
      <c r="AD352" s="62">
        <f>IF(VLOOKUP($D352,$C$5:$AV$527,3,)=0,0,(VLOOKUP($D352,$C$5:$AV$527,27,)/VLOOKUP($D352,$C$5:$AV$527,3,))*$E352)</f>
        <v>0</v>
      </c>
      <c r="AE352" s="62">
        <f>IF(VLOOKUP($D352,$C$5:$AV$527,3,)=0,0,(VLOOKUP($D352,$C$5:$AV$527,28,)/VLOOKUP($D352,$C$5:$AV$527,3,))*$E352)</f>
        <v>0</v>
      </c>
      <c r="AF352" s="62">
        <f>IF(VLOOKUP($D352,$C$5:$AV$527,3,)=0,0,(VLOOKUP($D352,$C$5:$AV$527,29,)/VLOOKUP($D352,$C$5:$AV$527,3,))*$E352)</f>
        <v>0</v>
      </c>
      <c r="AG352" s="62">
        <f>IF(VLOOKUP($D352,$C$5:$AV$527,3,)=0,0,(VLOOKUP($D352,$C$5:$AV$527,30,)/VLOOKUP($D352,$C$5:$AV$527,3,))*$E352)</f>
        <v>0</v>
      </c>
      <c r="AH352" s="87">
        <f t="shared" si="258"/>
        <v>0</v>
      </c>
      <c r="AI352" s="27" t="str">
        <f t="shared" si="256"/>
        <v>ok</v>
      </c>
    </row>
    <row r="353" spans="1:38" hidden="1" x14ac:dyDescent="0.2">
      <c r="A353" s="14">
        <v>13</v>
      </c>
      <c r="B353" s="14" t="s">
        <v>1041</v>
      </c>
      <c r="D353" s="14" t="s">
        <v>561</v>
      </c>
      <c r="E353" s="62">
        <v>0</v>
      </c>
      <c r="F353" s="62">
        <f>IF(VLOOKUP($D353,$C$5:$AV$527,3,)=0,0,(VLOOKUP($D353,$C$5:$AV$527,4,)/VLOOKUP($D353,$C$5:$AV$527,3,))*$E353)</f>
        <v>0</v>
      </c>
      <c r="G353" s="62">
        <f>IF(VLOOKUP($D353,$C$5:$AV$527,3,)=0,0,(VLOOKUP($D353,$C$5:$AV$527,5,)/VLOOKUP($D353,$C$5:$AV$527,3,))*$E353)</f>
        <v>0</v>
      </c>
      <c r="H353" s="62">
        <f>IF(VLOOKUP($D353,$C$5:$AV$527,3,)=0,0,(VLOOKUP($D353,$C$5:$AV$527,6,)/VLOOKUP($D353,$C$5:$AV$527,3,))*$E353)</f>
        <v>0</v>
      </c>
      <c r="I353" s="62">
        <f>IF(VLOOKUP($D353,$C$5:$AV$527,3,)=0,0,(VLOOKUP($D353,$C$5:$AV$527,7,)/VLOOKUP($D353,$C$5:$AV$527,3,))*$E353)</f>
        <v>0</v>
      </c>
      <c r="J353" s="62">
        <f>IF(VLOOKUP($D353,$C$5:$AV$527,3,)=0,0,(VLOOKUP($D353,$C$5:$AV$527,8,)/VLOOKUP($D353,$C$5:$AV$527,3,))*$E353)</f>
        <v>0</v>
      </c>
      <c r="K353" s="62">
        <f>IF(VLOOKUP($D353,$C$5:$AV$527,3,)=0,0,(VLOOKUP($D353,$C$5:$AV$527,9,)/VLOOKUP($D353,$C$5:$AV$527,3,))*$E353)</f>
        <v>0</v>
      </c>
      <c r="L353" s="62">
        <f t="shared" si="257"/>
        <v>0</v>
      </c>
      <c r="M353" s="62">
        <f t="shared" si="257"/>
        <v>0</v>
      </c>
      <c r="N353" s="62">
        <f>IF(VLOOKUP($D353,$C$5:$AV$527,3,)=0,0,(VLOOKUP($D353,$C$5:$AV$527,11,)/VLOOKUP($D353,$C$5:$AV$527,3,))*$E353)</f>
        <v>0</v>
      </c>
      <c r="O353" s="62">
        <f>IF(VLOOKUP($D353,$C$5:$AV$527,3,)=0,0,(VLOOKUP($D353,$C$5:$AV$527,12,)/VLOOKUP($D353,$C$5:$AV$527,3,))*$E353)</f>
        <v>0</v>
      </c>
      <c r="P353" s="62">
        <f>IF(VLOOKUP($D353,$C$5:$AV$527,3,)=0,0,(VLOOKUP($D353,$C$5:$AV$527,13,)/VLOOKUP($D353,$C$5:$AV$527,3,))*$E353)</f>
        <v>0</v>
      </c>
      <c r="Q353" s="62">
        <f>IF(VLOOKUP($D353,$C$5:$AV$527,3,)=0,0,(VLOOKUP($D353,$C$5:$AV$527,14,)/VLOOKUP($D353,$C$5:$AV$527,3,))*$E353)</f>
        <v>0</v>
      </c>
      <c r="R353" s="62">
        <f>IF(VLOOKUP($D353,$C$5:$AV$527,3,)=0,0,(VLOOKUP($D353,$C$5:$AV$527,15,)/VLOOKUP($D353,$C$5:$AV$527,3,))*$E353)</f>
        <v>0</v>
      </c>
      <c r="S353" s="62">
        <f>IF(VLOOKUP($D353,$C$5:$AV$527,3,)=0,0,(VLOOKUP($D353,$C$5:$AV$527,16,)/VLOOKUP($D353,$C$5:$AV$527,3,))*$E353)</f>
        <v>0</v>
      </c>
      <c r="T353" s="62">
        <f>IF(VLOOKUP($D353,$C$5:$AV$527,3,)=0,0,(VLOOKUP($D353,$C$5:$AV$527,17,)/VLOOKUP($D353,$C$5:$AV$527,3,))*$E353)</f>
        <v>0</v>
      </c>
      <c r="U353" s="62">
        <f>IF(VLOOKUP($D353,$C$5:$AV$527,3,)=0,0,(VLOOKUP($D353,$C$5:$AV$527,18,)/VLOOKUP($D353,$C$5:$AV$527,3,))*$E353)</f>
        <v>0</v>
      </c>
      <c r="V353" s="62">
        <f>IF(VLOOKUP($D353,$C$5:$AV$527,3,)=0,0,(VLOOKUP($D353,$C$5:$AV$527,19,)/VLOOKUP($D353,$C$5:$AV$527,3,))*$E353)</f>
        <v>0</v>
      </c>
      <c r="W353" s="62">
        <f>IF(VLOOKUP($D353,$C$5:$AV$527,3,)=0,0,(VLOOKUP($D353,$C$5:$AV$527,20,)/VLOOKUP($D353,$C$5:$AV$527,3,))*$E353)</f>
        <v>0</v>
      </c>
      <c r="X353" s="62">
        <f>IF(VLOOKUP($D353,$C$5:$AV$527,3,)=0,0,(VLOOKUP($D353,$C$5:$AV$527,21,)/VLOOKUP($D353,$C$5:$AV$527,3,))*$E353)</f>
        <v>0</v>
      </c>
      <c r="Y353" s="62">
        <f>IF(VLOOKUP($D353,$C$5:$AV$527,3,)=0,0,(VLOOKUP($D353,$C$5:$AV$527,22,)/VLOOKUP($D353,$C$5:$AV$527,3,))*$E353)</f>
        <v>0</v>
      </c>
      <c r="Z353" s="62">
        <f>IF(VLOOKUP($D353,$C$5:$AV$527,3,)=0,0,(VLOOKUP($D353,$C$5:$AV$527,23,)/VLOOKUP($D353,$C$5:$AV$527,3,))*$E353)</f>
        <v>0</v>
      </c>
      <c r="AA353" s="62">
        <f>IF(VLOOKUP($D353,$C$5:$AV$527,3,)=0,0,(VLOOKUP($D353,$C$5:$AV$527,24,)/VLOOKUP($D353,$C$5:$AV$527,3,))*$E353)</f>
        <v>0</v>
      </c>
      <c r="AB353" s="62">
        <f>IF(VLOOKUP($D353,$C$5:$AV$527,3,)=0,0,(VLOOKUP($D353,$C$5:$AV$527,25,)/VLOOKUP($D353,$C$5:$AV$527,3,))*$E353)</f>
        <v>0</v>
      </c>
      <c r="AC353" s="62">
        <f>IF(VLOOKUP($D353,$C$5:$AV$527,3,)=0,0,(VLOOKUP($D353,$C$5:$AV$527,26,)/VLOOKUP($D353,$C$5:$AV$527,3,))*$E353)</f>
        <v>0</v>
      </c>
      <c r="AD353" s="62">
        <f>IF(VLOOKUP($D353,$C$5:$AV$527,3,)=0,0,(VLOOKUP($D353,$C$5:$AV$527,27,)/VLOOKUP($D353,$C$5:$AV$527,3,))*$E353)</f>
        <v>0</v>
      </c>
      <c r="AE353" s="62">
        <f>IF(VLOOKUP($D353,$C$5:$AV$527,3,)=0,0,(VLOOKUP($D353,$C$5:$AV$527,28,)/VLOOKUP($D353,$C$5:$AV$527,3,))*$E353)</f>
        <v>0</v>
      </c>
      <c r="AF353" s="62">
        <f>IF(VLOOKUP($D353,$C$5:$AV$527,3,)=0,0,(VLOOKUP($D353,$C$5:$AV$527,29,)/VLOOKUP($D353,$C$5:$AV$527,3,))*$E353)</f>
        <v>0</v>
      </c>
      <c r="AG353" s="62">
        <f>IF(VLOOKUP($D353,$C$5:$AV$527,3,)=0,0,(VLOOKUP($D353,$C$5:$AV$527,30,)/VLOOKUP($D353,$C$5:$AV$527,3,))*$E353)</f>
        <v>0</v>
      </c>
      <c r="AH353" s="87">
        <f t="shared" ref="AH353:AH355" si="259">SUM(F353:AG353)</f>
        <v>0</v>
      </c>
      <c r="AI353" s="27" t="str">
        <f t="shared" si="256"/>
        <v>ok</v>
      </c>
    </row>
    <row r="354" spans="1:38" hidden="1" x14ac:dyDescent="0.2">
      <c r="A354" s="14">
        <v>14</v>
      </c>
      <c r="B354" s="14" t="s">
        <v>1041</v>
      </c>
      <c r="D354" s="14" t="s">
        <v>561</v>
      </c>
      <c r="E354" s="62">
        <v>0</v>
      </c>
      <c r="F354" s="62">
        <f>IF(VLOOKUP($D354,$C$5:$AV$527,3,)=0,0,(VLOOKUP($D354,$C$5:$AV$527,4,)/VLOOKUP($D354,$C$5:$AV$527,3,))*$E354)</f>
        <v>0</v>
      </c>
      <c r="G354" s="62">
        <f>IF(VLOOKUP($D354,$C$5:$AV$527,3,)=0,0,(VLOOKUP($D354,$C$5:$AV$527,5,)/VLOOKUP($D354,$C$5:$AV$527,3,))*$E354)</f>
        <v>0</v>
      </c>
      <c r="H354" s="62">
        <f>IF(VLOOKUP($D354,$C$5:$AV$527,3,)=0,0,(VLOOKUP($D354,$C$5:$AV$527,6,)/VLOOKUP($D354,$C$5:$AV$527,3,))*$E354)</f>
        <v>0</v>
      </c>
      <c r="I354" s="62">
        <f>IF(VLOOKUP($D354,$C$5:$AV$527,3,)=0,0,(VLOOKUP($D354,$C$5:$AV$527,7,)/VLOOKUP($D354,$C$5:$AV$527,3,))*$E354)</f>
        <v>0</v>
      </c>
      <c r="J354" s="62">
        <f>IF(VLOOKUP($D354,$C$5:$AV$527,3,)=0,0,(VLOOKUP($D354,$C$5:$AV$527,8,)/VLOOKUP($D354,$C$5:$AV$527,3,))*$E354)</f>
        <v>0</v>
      </c>
      <c r="K354" s="62">
        <f>IF(VLOOKUP($D354,$C$5:$AV$527,3,)=0,0,(VLOOKUP($D354,$C$5:$AV$527,9,)/VLOOKUP($D354,$C$5:$AV$527,3,))*$E354)</f>
        <v>0</v>
      </c>
      <c r="L354" s="62">
        <f t="shared" si="257"/>
        <v>0</v>
      </c>
      <c r="M354" s="62">
        <f t="shared" si="257"/>
        <v>0</v>
      </c>
      <c r="N354" s="62">
        <f>IF(VLOOKUP($D354,$C$5:$AV$527,3,)=0,0,(VLOOKUP($D354,$C$5:$AV$527,11,)/VLOOKUP($D354,$C$5:$AV$527,3,))*$E354)</f>
        <v>0</v>
      </c>
      <c r="O354" s="62">
        <f>IF(VLOOKUP($D354,$C$5:$AV$527,3,)=0,0,(VLOOKUP($D354,$C$5:$AV$527,12,)/VLOOKUP($D354,$C$5:$AV$527,3,))*$E354)</f>
        <v>0</v>
      </c>
      <c r="P354" s="62">
        <f>IF(VLOOKUP($D354,$C$5:$AV$527,3,)=0,0,(VLOOKUP($D354,$C$5:$AV$527,13,)/VLOOKUP($D354,$C$5:$AV$527,3,))*$E354)</f>
        <v>0</v>
      </c>
      <c r="Q354" s="62">
        <f>IF(VLOOKUP($D354,$C$5:$AV$527,3,)=0,0,(VLOOKUP($D354,$C$5:$AV$527,14,)/VLOOKUP($D354,$C$5:$AV$527,3,))*$E354)</f>
        <v>0</v>
      </c>
      <c r="R354" s="62">
        <f>IF(VLOOKUP($D354,$C$5:$AV$527,3,)=0,0,(VLOOKUP($D354,$C$5:$AV$527,15,)/VLOOKUP($D354,$C$5:$AV$527,3,))*$E354)</f>
        <v>0</v>
      </c>
      <c r="S354" s="62">
        <f>IF(VLOOKUP($D354,$C$5:$AV$527,3,)=0,0,(VLOOKUP($D354,$C$5:$AV$527,16,)/VLOOKUP($D354,$C$5:$AV$527,3,))*$E354)</f>
        <v>0</v>
      </c>
      <c r="T354" s="62">
        <f>IF(VLOOKUP($D354,$C$5:$AV$527,3,)=0,0,(VLOOKUP($D354,$C$5:$AV$527,17,)/VLOOKUP($D354,$C$5:$AV$527,3,))*$E354)</f>
        <v>0</v>
      </c>
      <c r="U354" s="62">
        <f>IF(VLOOKUP($D354,$C$5:$AV$527,3,)=0,0,(VLOOKUP($D354,$C$5:$AV$527,18,)/VLOOKUP($D354,$C$5:$AV$527,3,))*$E354)</f>
        <v>0</v>
      </c>
      <c r="V354" s="62">
        <f>IF(VLOOKUP($D354,$C$5:$AV$527,3,)=0,0,(VLOOKUP($D354,$C$5:$AV$527,19,)/VLOOKUP($D354,$C$5:$AV$527,3,))*$E354)</f>
        <v>0</v>
      </c>
      <c r="W354" s="62">
        <f>IF(VLOOKUP($D354,$C$5:$AV$527,3,)=0,0,(VLOOKUP($D354,$C$5:$AV$527,20,)/VLOOKUP($D354,$C$5:$AV$527,3,))*$E354)</f>
        <v>0</v>
      </c>
      <c r="X354" s="62">
        <f>IF(VLOOKUP($D354,$C$5:$AV$527,3,)=0,0,(VLOOKUP($D354,$C$5:$AV$527,21,)/VLOOKUP($D354,$C$5:$AV$527,3,))*$E354)</f>
        <v>0</v>
      </c>
      <c r="Y354" s="62">
        <f>IF(VLOOKUP($D354,$C$5:$AV$527,3,)=0,0,(VLOOKUP($D354,$C$5:$AV$527,22,)/VLOOKUP($D354,$C$5:$AV$527,3,))*$E354)</f>
        <v>0</v>
      </c>
      <c r="Z354" s="62">
        <f>IF(VLOOKUP($D354,$C$5:$AV$527,3,)=0,0,(VLOOKUP($D354,$C$5:$AV$527,23,)/VLOOKUP($D354,$C$5:$AV$527,3,))*$E354)</f>
        <v>0</v>
      </c>
      <c r="AA354" s="62">
        <f>IF(VLOOKUP($D354,$C$5:$AV$527,3,)=0,0,(VLOOKUP($D354,$C$5:$AV$527,24,)/VLOOKUP($D354,$C$5:$AV$527,3,))*$E354)</f>
        <v>0</v>
      </c>
      <c r="AB354" s="62">
        <f>IF(VLOOKUP($D354,$C$5:$AV$527,3,)=0,0,(VLOOKUP($D354,$C$5:$AV$527,25,)/VLOOKUP($D354,$C$5:$AV$527,3,))*$E354)</f>
        <v>0</v>
      </c>
      <c r="AC354" s="62">
        <f>IF(VLOOKUP($D354,$C$5:$AV$527,3,)=0,0,(VLOOKUP($D354,$C$5:$AV$527,26,)/VLOOKUP($D354,$C$5:$AV$527,3,))*$E354)</f>
        <v>0</v>
      </c>
      <c r="AD354" s="62">
        <f>IF(VLOOKUP($D354,$C$5:$AV$527,3,)=0,0,(VLOOKUP($D354,$C$5:$AV$527,27,)/VLOOKUP($D354,$C$5:$AV$527,3,))*$E354)</f>
        <v>0</v>
      </c>
      <c r="AE354" s="62">
        <f>IF(VLOOKUP($D354,$C$5:$AV$527,3,)=0,0,(VLOOKUP($D354,$C$5:$AV$527,28,)/VLOOKUP($D354,$C$5:$AV$527,3,))*$E354)</f>
        <v>0</v>
      </c>
      <c r="AF354" s="62">
        <f>IF(VLOOKUP($D354,$C$5:$AV$527,3,)=0,0,(VLOOKUP($D354,$C$5:$AV$527,29,)/VLOOKUP($D354,$C$5:$AV$527,3,))*$E354)</f>
        <v>0</v>
      </c>
      <c r="AG354" s="62">
        <f>IF(VLOOKUP($D354,$C$5:$AV$527,3,)=0,0,(VLOOKUP($D354,$C$5:$AV$527,30,)/VLOOKUP($D354,$C$5:$AV$527,3,))*$E354)</f>
        <v>0</v>
      </c>
      <c r="AH354" s="87">
        <f t="shared" si="259"/>
        <v>0</v>
      </c>
      <c r="AI354" s="27" t="str">
        <f t="shared" si="256"/>
        <v>ok</v>
      </c>
    </row>
    <row r="355" spans="1:38" s="227" customFormat="1" x14ac:dyDescent="0.2">
      <c r="A355" s="228">
        <v>15</v>
      </c>
      <c r="B355" s="227" t="s">
        <v>1198</v>
      </c>
      <c r="E355" s="62">
        <f>F355</f>
        <v>0</v>
      </c>
      <c r="F355" s="213">
        <f>2820550.27927999*AJ355</f>
        <v>0</v>
      </c>
      <c r="G355" s="213">
        <v>0</v>
      </c>
      <c r="H355" s="213">
        <v>0</v>
      </c>
      <c r="I355" s="213">
        <v>0</v>
      </c>
      <c r="J355" s="62">
        <v>0</v>
      </c>
      <c r="K355" s="62">
        <v>0</v>
      </c>
      <c r="L355" s="62">
        <v>0</v>
      </c>
      <c r="M355" s="62">
        <v>0</v>
      </c>
      <c r="N355" s="62">
        <v>0</v>
      </c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>
        <f t="shared" ref="AH355" si="260">SUM(F355:AG355)</f>
        <v>0</v>
      </c>
      <c r="AI355" s="228" t="str">
        <f t="shared" si="256"/>
        <v>ok</v>
      </c>
      <c r="AJ355" s="227">
        <v>0</v>
      </c>
      <c r="AL355" s="47"/>
    </row>
    <row r="356" spans="1:38" x14ac:dyDescent="0.2">
      <c r="B356" s="24" t="s">
        <v>903</v>
      </c>
      <c r="E356" s="98">
        <f t="shared" ref="E356:AH356" si="261">SUM(E341:E355)</f>
        <v>-8388140.1799999997</v>
      </c>
      <c r="F356" s="98">
        <f t="shared" si="261"/>
        <v>-6200425.1598733254</v>
      </c>
      <c r="G356" s="98">
        <f t="shared" si="261"/>
        <v>42338.964876930731</v>
      </c>
      <c r="H356" s="98">
        <f t="shared" si="261"/>
        <v>-710208.49142974534</v>
      </c>
      <c r="I356" s="98">
        <f t="shared" si="261"/>
        <v>-92091.206414216373</v>
      </c>
      <c r="J356" s="98">
        <f t="shared" si="261"/>
        <v>-781486.16435405833</v>
      </c>
      <c r="K356" s="98">
        <f t="shared" si="261"/>
        <v>0</v>
      </c>
      <c r="L356" s="98">
        <f t="shared" si="261"/>
        <v>-335888.5679244558</v>
      </c>
      <c r="M356" s="98">
        <f t="shared" ref="M356" si="262">SUM(M341:M355)</f>
        <v>-130166.32957732938</v>
      </c>
      <c r="N356" s="98">
        <f t="shared" si="261"/>
        <v>-180213.2266723268</v>
      </c>
      <c r="O356" s="98">
        <f t="shared" si="261"/>
        <v>0</v>
      </c>
      <c r="P356" s="98">
        <f t="shared" si="261"/>
        <v>0</v>
      </c>
      <c r="Q356" s="98">
        <f t="shared" si="261"/>
        <v>0</v>
      </c>
      <c r="R356" s="98">
        <f t="shared" si="261"/>
        <v>0</v>
      </c>
      <c r="S356" s="98">
        <f t="shared" si="261"/>
        <v>0</v>
      </c>
      <c r="T356" s="98">
        <f t="shared" si="261"/>
        <v>0</v>
      </c>
      <c r="U356" s="98">
        <f t="shared" si="261"/>
        <v>0</v>
      </c>
      <c r="V356" s="98">
        <f t="shared" si="261"/>
        <v>0</v>
      </c>
      <c r="W356" s="98">
        <f t="shared" si="261"/>
        <v>0</v>
      </c>
      <c r="X356" s="98">
        <f t="shared" si="261"/>
        <v>0</v>
      </c>
      <c r="Y356" s="98">
        <f t="shared" si="261"/>
        <v>0</v>
      </c>
      <c r="Z356" s="98">
        <f t="shared" si="261"/>
        <v>0</v>
      </c>
      <c r="AA356" s="98">
        <f t="shared" si="261"/>
        <v>0</v>
      </c>
      <c r="AB356" s="98">
        <f t="shared" si="261"/>
        <v>0</v>
      </c>
      <c r="AC356" s="98">
        <f t="shared" si="261"/>
        <v>0</v>
      </c>
      <c r="AD356" s="98">
        <f t="shared" si="261"/>
        <v>0</v>
      </c>
      <c r="AE356" s="98">
        <f t="shared" si="261"/>
        <v>0</v>
      </c>
      <c r="AF356" s="98">
        <f t="shared" si="261"/>
        <v>0</v>
      </c>
      <c r="AG356" s="98">
        <f t="shared" si="261"/>
        <v>0</v>
      </c>
      <c r="AH356" s="98">
        <f t="shared" si="261"/>
        <v>-8388140.1813685261</v>
      </c>
      <c r="AI356" s="27" t="str">
        <f t="shared" si="256"/>
        <v>ok</v>
      </c>
    </row>
    <row r="357" spans="1:38" x14ac:dyDescent="0.2">
      <c r="A357" s="14" t="s">
        <v>751</v>
      </c>
      <c r="B357" s="14" t="s">
        <v>751</v>
      </c>
    </row>
    <row r="358" spans="1:38" x14ac:dyDescent="0.2">
      <c r="A358" s="14" t="s">
        <v>570</v>
      </c>
      <c r="E358" s="87">
        <f>E338+E356</f>
        <v>49702652.690816008</v>
      </c>
      <c r="F358" s="87">
        <f t="shared" ref="F358:AH358" si="263">F338+F356</f>
        <v>37050332.889849186</v>
      </c>
      <c r="G358" s="87">
        <f t="shared" si="263"/>
        <v>66431.425520410106</v>
      </c>
      <c r="H358" s="87">
        <f t="shared" si="263"/>
        <v>4139721.893566167</v>
      </c>
      <c r="I358" s="87">
        <f t="shared" si="263"/>
        <v>448970.66105230659</v>
      </c>
      <c r="J358" s="87">
        <f t="shared" si="263"/>
        <v>4383523.9593207985</v>
      </c>
      <c r="K358" s="87">
        <f t="shared" si="263"/>
        <v>0</v>
      </c>
      <c r="L358" s="87">
        <f t="shared" si="263"/>
        <v>1878455.0252585304</v>
      </c>
      <c r="M358" s="87">
        <f t="shared" ref="M358" si="264">M338+M356</f>
        <v>727784.01155240904</v>
      </c>
      <c r="N358" s="87">
        <f t="shared" si="263"/>
        <v>1007432.823327673</v>
      </c>
      <c r="O358" s="87">
        <f t="shared" si="263"/>
        <v>0</v>
      </c>
      <c r="P358" s="87">
        <f t="shared" si="263"/>
        <v>0</v>
      </c>
      <c r="Q358" s="87">
        <f t="shared" si="263"/>
        <v>0</v>
      </c>
      <c r="R358" s="87">
        <f t="shared" si="263"/>
        <v>0</v>
      </c>
      <c r="S358" s="87">
        <f t="shared" si="263"/>
        <v>0</v>
      </c>
      <c r="T358" s="87">
        <f t="shared" si="263"/>
        <v>0</v>
      </c>
      <c r="U358" s="87">
        <f t="shared" si="263"/>
        <v>0</v>
      </c>
      <c r="V358" s="87">
        <f t="shared" si="263"/>
        <v>0</v>
      </c>
      <c r="W358" s="87">
        <f t="shared" si="263"/>
        <v>0</v>
      </c>
      <c r="X358" s="87">
        <f t="shared" si="263"/>
        <v>0</v>
      </c>
      <c r="Y358" s="87">
        <f t="shared" si="263"/>
        <v>0</v>
      </c>
      <c r="Z358" s="87">
        <f t="shared" si="263"/>
        <v>0</v>
      </c>
      <c r="AA358" s="87">
        <f t="shared" si="263"/>
        <v>0</v>
      </c>
      <c r="AB358" s="87">
        <f t="shared" si="263"/>
        <v>0</v>
      </c>
      <c r="AC358" s="87">
        <f t="shared" si="263"/>
        <v>0</v>
      </c>
      <c r="AD358" s="87">
        <f t="shared" si="263"/>
        <v>0</v>
      </c>
      <c r="AE358" s="87">
        <f t="shared" si="263"/>
        <v>0</v>
      </c>
      <c r="AF358" s="87">
        <f t="shared" si="263"/>
        <v>0</v>
      </c>
      <c r="AG358" s="87">
        <f t="shared" si="263"/>
        <v>0</v>
      </c>
      <c r="AH358" s="87">
        <f t="shared" si="263"/>
        <v>49702652.689447477</v>
      </c>
      <c r="AI358" s="27" t="str">
        <f>IF(ABS(E358-AH358)&lt;0.01,"ok","err")</f>
        <v>ok</v>
      </c>
    </row>
    <row r="360" spans="1:38" x14ac:dyDescent="0.2">
      <c r="A360" s="13" t="s">
        <v>327</v>
      </c>
    </row>
    <row r="362" spans="1:38" x14ac:dyDescent="0.2">
      <c r="A362" s="14" t="s">
        <v>571</v>
      </c>
      <c r="C362" s="14" t="s">
        <v>198</v>
      </c>
      <c r="E362" s="87">
        <f t="shared" ref="E362:V362" si="265">E324</f>
        <v>56515059.400000006</v>
      </c>
      <c r="F362" s="87">
        <f t="shared" si="265"/>
        <v>44336069.245475255</v>
      </c>
      <c r="G362" s="87">
        <f t="shared" si="265"/>
        <v>31900.731436489543</v>
      </c>
      <c r="H362" s="87">
        <f t="shared" si="265"/>
        <v>4228032.5636934591</v>
      </c>
      <c r="I362" s="87">
        <f t="shared" si="265"/>
        <v>504544.8375568082</v>
      </c>
      <c r="J362" s="87">
        <f t="shared" si="265"/>
        <v>3944484.9498970676</v>
      </c>
      <c r="K362" s="87">
        <f t="shared" si="265"/>
        <v>0</v>
      </c>
      <c r="L362" s="87">
        <f t="shared" si="265"/>
        <v>2053386.1298209094</v>
      </c>
      <c r="M362" s="87">
        <f t="shared" ref="M362" si="266">M324</f>
        <v>730281.07024341694</v>
      </c>
      <c r="N362" s="87">
        <f t="shared" si="265"/>
        <v>686359.87187659123</v>
      </c>
      <c r="O362" s="87">
        <f t="shared" si="265"/>
        <v>0</v>
      </c>
      <c r="P362" s="87">
        <f t="shared" si="265"/>
        <v>0</v>
      </c>
      <c r="Q362" s="87">
        <f t="shared" si="265"/>
        <v>0</v>
      </c>
      <c r="R362" s="87">
        <f t="shared" si="265"/>
        <v>0</v>
      </c>
      <c r="S362" s="87">
        <f t="shared" si="265"/>
        <v>0</v>
      </c>
      <c r="T362" s="87">
        <f t="shared" si="265"/>
        <v>0</v>
      </c>
      <c r="U362" s="87">
        <f t="shared" si="265"/>
        <v>0</v>
      </c>
      <c r="V362" s="87">
        <f t="shared" si="265"/>
        <v>0</v>
      </c>
      <c r="W362" s="87">
        <f t="shared" ref="W362:AF362" si="267">W324-W125</f>
        <v>0</v>
      </c>
      <c r="X362" s="87">
        <f t="shared" si="267"/>
        <v>0</v>
      </c>
      <c r="Y362" s="87">
        <f t="shared" si="267"/>
        <v>0</v>
      </c>
      <c r="Z362" s="87">
        <f t="shared" si="267"/>
        <v>0</v>
      </c>
      <c r="AA362" s="87">
        <f t="shared" si="267"/>
        <v>0</v>
      </c>
      <c r="AB362" s="87">
        <f t="shared" si="267"/>
        <v>0</v>
      </c>
      <c r="AC362" s="87">
        <f t="shared" si="267"/>
        <v>0</v>
      </c>
      <c r="AD362" s="87">
        <f t="shared" si="267"/>
        <v>0</v>
      </c>
      <c r="AE362" s="87">
        <f t="shared" si="267"/>
        <v>0</v>
      </c>
      <c r="AF362" s="87">
        <f t="shared" si="267"/>
        <v>0</v>
      </c>
      <c r="AG362" s="87">
        <f>AG324</f>
        <v>0</v>
      </c>
      <c r="AH362" s="87">
        <f>SUM(F362:AG362)</f>
        <v>56515059.399999999</v>
      </c>
      <c r="AI362" s="27" t="str">
        <f>IF(ABS(E362-AH362)&lt;0.01,"ok","err")</f>
        <v>ok</v>
      </c>
    </row>
    <row r="364" spans="1:38" x14ac:dyDescent="0.2">
      <c r="A364" s="14" t="s">
        <v>569</v>
      </c>
    </row>
    <row r="365" spans="1:38" x14ac:dyDescent="0.2">
      <c r="A365" s="14">
        <v>1.01</v>
      </c>
      <c r="B365" s="14" t="s">
        <v>950</v>
      </c>
      <c r="D365" s="14" t="s">
        <v>214</v>
      </c>
      <c r="E365" s="62">
        <v>-2826503</v>
      </c>
      <c r="F365" s="62">
        <f>IF(VLOOKUP($D365,$C$5:$AV$509,3,)=0,0,(VLOOKUP($D365,$C$5:$AV$509,4,)/VLOOKUP($D365,$C$5:$AV$509,3,))*$E365)</f>
        <v>-2104135.8576768143</v>
      </c>
      <c r="G365" s="62">
        <f>IF(VLOOKUP($D365,$C$5:$AV$509,3,)=0,0,(VLOOKUP($D365,$C$5:$AV$509,5,)/VLOOKUP($D365,$C$5:$AV$509,3,))*$E365)</f>
        <v>-2142.1756189970874</v>
      </c>
      <c r="H365" s="62">
        <f>IF(VLOOKUP($D365,$C$5:$AV$509,3,)=0,0,(VLOOKUP($D365,$C$5:$AV$509,6,)/VLOOKUP($D365,$C$5:$AV$509,3,))*$E365)</f>
        <v>-204598.5811327846</v>
      </c>
      <c r="I365" s="62">
        <f>IF(VLOOKUP($D365,$C$5:$AV$509,3,)=0,0,(VLOOKUP($D365,$C$5:$AV$509,7,)/VLOOKUP($D365,$C$5:$AV$509,3,))*$E365)</f>
        <v>-23282.362803058575</v>
      </c>
      <c r="J365" s="62">
        <f>IF(VLOOKUP($D365,$C$5:$AV$509,3,)=0,0,(VLOOKUP($D365,$C$5:$AV$509,8,)/VLOOKUP($D365,$C$5:$AV$509,3,))*$E365)</f>
        <v>-271101.9566574971</v>
      </c>
      <c r="K365" s="62">
        <f>IF(VLOOKUP($D365,$C$5:$AV$509,3,)=0,0,(VLOOKUP($D365,$C$5:$AV$509,9,)/VLOOKUP($D365,$C$5:$AV$509,3,))*$E365)</f>
        <v>0</v>
      </c>
      <c r="L365" s="62">
        <f>IF(VLOOKUP($D365,$C$5:$AV$509,3,)=0,0,(VLOOKUP($D365,$C$5:$AV$509,10,)/VLOOKUP($D365,$C$5:$AV$509,3,))*$E365)</f>
        <v>-135482.19508403001</v>
      </c>
      <c r="M365" s="62">
        <f>IF(VLOOKUP($D365,$C$5:$AV$509,3,)=0,0,(VLOOKUP($D365,$C$5:$AV$509,11,)/VLOOKUP($D365,$C$5:$AV$509,3,))*$E365)</f>
        <v>-59710.284031919102</v>
      </c>
      <c r="N365" s="62">
        <f>IF(VLOOKUP($D365,$C$5:$AV$509,3,)=0,0,(VLOOKUP($D365,$C$5:$AV$509,12,)/VLOOKUP($D365,$C$5:$AV$509,3,))*$E365)</f>
        <v>-26049.586994899164</v>
      </c>
      <c r="O365" s="47">
        <f t="shared" ref="O365:Q367" si="268">IF(VLOOKUP($D365,$C$5:$AV$509,3,)=0,0,(VLOOKUP($D365,$C$5:$AV$509,14,)/VLOOKUP($D365,$C$5:$AV$509,3,))*$E365)</f>
        <v>0</v>
      </c>
      <c r="P365" s="47">
        <f t="shared" si="268"/>
        <v>0</v>
      </c>
      <c r="Q365" s="47">
        <f t="shared" si="268"/>
        <v>0</v>
      </c>
      <c r="R365" s="47">
        <f>IF(VLOOKUP($D365,$C$5:$AV$509,3,)=0,0,(VLOOKUP($D365,$C$5:$AV$509,15,)/VLOOKUP($D365,$C$5:$AV$509,3,))*$E365)</f>
        <v>0</v>
      </c>
      <c r="S365" s="47">
        <f>IF(VLOOKUP($D365,$C$5:$AV$509,3,)=0,0,(VLOOKUP($D365,$C$5:$AV$509,16,)/VLOOKUP($D365,$C$5:$AV$509,3,))*$E365)</f>
        <v>0</v>
      </c>
      <c r="T365" s="47">
        <f>IF(VLOOKUP($D365,$C$5:$AV$509,3,)=0,0,(VLOOKUP($D365,$C$5:$AV$509,17,)/VLOOKUP($D365,$C$5:$AV$509,3,))*$E365)</f>
        <v>0</v>
      </c>
      <c r="U365" s="47">
        <f>IF(VLOOKUP($D365,$C$5:$AV$509,3,)=0,0,(VLOOKUP($D365,$C$5:$AV$509,18,)/VLOOKUP($D365,$C$5:$AV$509,3,))*$E365)</f>
        <v>0</v>
      </c>
      <c r="V365" s="47">
        <f>IF(VLOOKUP($D365,$C$5:$AV$509,3,)=0,0,(VLOOKUP($D365,$C$5:$AV$509,19,)/VLOOKUP($D365,$C$5:$AV$509,3,))*$E365)</f>
        <v>0</v>
      </c>
      <c r="W365" s="47">
        <f>IF(VLOOKUP($D365,$C$5:$AV$509,3,)=0,0,(VLOOKUP($D365,$C$5:$AV$509,20,)/VLOOKUP($D365,$C$5:$AV$509,3,))*$E365)</f>
        <v>0</v>
      </c>
      <c r="X365" s="47">
        <f>IF(VLOOKUP($D365,$C$5:$AV$509,3,)=0,0,(VLOOKUP($D365,$C$5:$AV$509,21,)/VLOOKUP($D365,$C$5:$AV$509,3,))*$E365)</f>
        <v>0</v>
      </c>
      <c r="Y365" s="47">
        <f>IF(VLOOKUP($D365,$C$5:$AV$509,3,)=0,0,(VLOOKUP($D365,$C$5:$AV$509,22,)/VLOOKUP($D365,$C$5:$AV$509,3,))*$E365)</f>
        <v>0</v>
      </c>
      <c r="Z365" s="47">
        <f>IF(VLOOKUP($D365,$C$5:$AV$509,3,)=0,0,(VLOOKUP($D365,$C$5:$AV$509,23,)/VLOOKUP($D365,$C$5:$AV$509,3,))*$E365)</f>
        <v>0</v>
      </c>
      <c r="AA365" s="47">
        <f>IF(VLOOKUP($D365,$C$5:$AV$509,3,)=0,0,(VLOOKUP($D365,$C$5:$AV$509,24,)/VLOOKUP($D365,$C$5:$AV$509,3,))*$E365)</f>
        <v>0</v>
      </c>
      <c r="AB365" s="47">
        <f>IF(VLOOKUP($D365,$C$5:$AV$509,3,)=0,0,(VLOOKUP($D365,$C$5:$AV$509,25,)/VLOOKUP($D365,$C$5:$AV$509,3,))*$E365)</f>
        <v>0</v>
      </c>
      <c r="AC365" s="47">
        <f>IF(VLOOKUP($D365,$C$5:$AV$509,3,)=0,0,(VLOOKUP($D365,$C$5:$AV$509,26,)/VLOOKUP($D365,$C$5:$AV$509,3,))*$E365)</f>
        <v>0</v>
      </c>
      <c r="AD365" s="47">
        <f>IF(VLOOKUP($D365,$C$5:$AV$509,3,)=0,0,(VLOOKUP($D365,$C$5:$AV$509,27,)/VLOOKUP($D365,$C$5:$AV$509,3,))*$E365)</f>
        <v>0</v>
      </c>
      <c r="AE365" s="47">
        <f>IF(VLOOKUP($D365,$C$5:$AV$509,3,)=0,0,(VLOOKUP($D365,$C$5:$AV$509,28,)/VLOOKUP($D365,$C$5:$AV$509,3,))*$E365)</f>
        <v>0</v>
      </c>
      <c r="AF365" s="47">
        <f>IF(VLOOKUP($D365,$C$5:$AV$509,3,)=0,0,(VLOOKUP($D365,$C$5:$AV$509,29,)/VLOOKUP($D365,$C$5:$AV$509,3,))*$E365)</f>
        <v>0</v>
      </c>
      <c r="AG365" s="47">
        <f>IF(VLOOKUP($D365,$C$5:$AV$509,3,)=0,0,(VLOOKUP($D365,$C$5:$AV$509,30,)/VLOOKUP($D365,$C$5:$AV$509,3,))*$E365)</f>
        <v>0</v>
      </c>
      <c r="AH365" s="87">
        <f t="shared" ref="AH365:AH368" si="269">SUM(F365:AG365)</f>
        <v>-2826503</v>
      </c>
      <c r="AI365" s="27" t="str">
        <f t="shared" ref="AI365:AI390" si="270">IF(ABS(E365-AH365)&lt;0.01,"ok","err")</f>
        <v>ok</v>
      </c>
    </row>
    <row r="366" spans="1:38" x14ac:dyDescent="0.2">
      <c r="A366" s="26">
        <v>1.02</v>
      </c>
      <c r="B366" s="14" t="s">
        <v>949</v>
      </c>
      <c r="D366" s="14" t="s">
        <v>956</v>
      </c>
      <c r="E366" s="62">
        <v>-5766680</v>
      </c>
      <c r="F366" s="62">
        <f>IF(VLOOKUP($D366,$C$5:$AV$509,3,)=0,0,(VLOOKUP($D366,$C$5:$AV$509,4,)/VLOOKUP($D366,$C$5:$AV$509,3,))*$E366)</f>
        <v>-4390420.9471449265</v>
      </c>
      <c r="G366" s="62">
        <f>IF(VLOOKUP($D366,$C$5:$AV$509,3,)=0,0,(VLOOKUP($D366,$C$5:$AV$509,5,)/VLOOKUP($D366,$C$5:$AV$509,3,))*$E366)</f>
        <v>-3312.7606035004696</v>
      </c>
      <c r="H366" s="62">
        <f>IF(VLOOKUP($D366,$C$5:$AV$509,3,)=0,0,(VLOOKUP($D366,$C$5:$AV$509,6,)/VLOOKUP($D366,$C$5:$AV$509,3,))*$E366)</f>
        <v>-460698.84264628636</v>
      </c>
      <c r="I366" s="62">
        <f>IF(VLOOKUP($D366,$C$5:$AV$509,3,)=0,0,(VLOOKUP($D366,$C$5:$AV$509,7,)/VLOOKUP($D366,$C$5:$AV$509,3,))*$E366)</f>
        <v>-49211.386098633753</v>
      </c>
      <c r="J366" s="62">
        <f>IF(VLOOKUP($D366,$C$5:$AV$509,3,)=0,0,(VLOOKUP($D366,$C$5:$AV$509,8,)/VLOOKUP($D366,$C$5:$AV$509,3,))*$E366)</f>
        <v>-460335.82793297776</v>
      </c>
      <c r="K366" s="62">
        <f>IF(VLOOKUP($D366,$C$5:$AV$509,3,)=0,0,(VLOOKUP($D366,$C$5:$AV$509,9,)/VLOOKUP($D366,$C$5:$AV$509,3,))*$E366)</f>
        <v>0</v>
      </c>
      <c r="L366" s="62">
        <f>IF(VLOOKUP($D366,$C$5:$AV$509,3,)=0,0,(VLOOKUP($D366,$C$5:$AV$509,10,)/VLOOKUP($D366,$C$5:$AV$509,3,))*$E366)</f>
        <v>-290959.81360578455</v>
      </c>
      <c r="M366" s="62">
        <f>IF(VLOOKUP($D366,$C$5:$AV$509,3,)=0,0,(VLOOKUP($D366,$C$5:$AV$509,11,)/VLOOKUP($D366,$C$5:$AV$509,3,))*$E366)</f>
        <v>-83499.098746136908</v>
      </c>
      <c r="N366" s="62">
        <f>IF(VLOOKUP($D366,$C$5:$AV$509,3,)=0,0,(VLOOKUP($D366,$C$5:$AV$509,12,)/VLOOKUP($D366,$C$5:$AV$509,3,))*$E366)</f>
        <v>-28241.323221753126</v>
      </c>
      <c r="O366" s="47">
        <f t="shared" si="268"/>
        <v>0</v>
      </c>
      <c r="P366" s="47">
        <f t="shared" si="268"/>
        <v>0</v>
      </c>
      <c r="Q366" s="47">
        <f t="shared" si="268"/>
        <v>0</v>
      </c>
      <c r="R366" s="47">
        <f>IF(VLOOKUP($D366,$C$5:$AV$509,3,)=0,0,(VLOOKUP($D366,$C$5:$AV$509,15,)/VLOOKUP($D366,$C$5:$AV$509,3,))*$E366)</f>
        <v>0</v>
      </c>
      <c r="S366" s="47">
        <f>IF(VLOOKUP($D366,$C$5:$AV$509,3,)=0,0,(VLOOKUP($D366,$C$5:$AV$509,16,)/VLOOKUP($D366,$C$5:$AV$509,3,))*$E366)</f>
        <v>0</v>
      </c>
      <c r="T366" s="47">
        <f>IF(VLOOKUP($D366,$C$5:$AV$509,3,)=0,0,(VLOOKUP($D366,$C$5:$AV$509,17,)/VLOOKUP($D366,$C$5:$AV$509,3,))*$E366)</f>
        <v>0</v>
      </c>
      <c r="U366" s="47">
        <f>IF(VLOOKUP($D366,$C$5:$AV$509,3,)=0,0,(VLOOKUP($D366,$C$5:$AV$509,18,)/VLOOKUP($D366,$C$5:$AV$509,3,))*$E366)</f>
        <v>0</v>
      </c>
      <c r="V366" s="47">
        <f>IF(VLOOKUP($D366,$C$5:$AV$509,3,)=0,0,(VLOOKUP($D366,$C$5:$AV$509,19,)/VLOOKUP($D366,$C$5:$AV$509,3,))*$E366)</f>
        <v>0</v>
      </c>
      <c r="W366" s="47">
        <f>IF(VLOOKUP($D366,$C$5:$AV$509,3,)=0,0,(VLOOKUP($D366,$C$5:$AV$509,20,)/VLOOKUP($D366,$C$5:$AV$509,3,))*$E366)</f>
        <v>0</v>
      </c>
      <c r="X366" s="47">
        <f>IF(VLOOKUP($D366,$C$5:$AV$509,3,)=0,0,(VLOOKUP($D366,$C$5:$AV$509,21,)/VLOOKUP($D366,$C$5:$AV$509,3,))*$E366)</f>
        <v>0</v>
      </c>
      <c r="Y366" s="47">
        <f>IF(VLOOKUP($D366,$C$5:$AV$509,3,)=0,0,(VLOOKUP($D366,$C$5:$AV$509,22,)/VLOOKUP($D366,$C$5:$AV$509,3,))*$E366)</f>
        <v>0</v>
      </c>
      <c r="Z366" s="47">
        <f>IF(VLOOKUP($D366,$C$5:$AV$509,3,)=0,0,(VLOOKUP($D366,$C$5:$AV$509,23,)/VLOOKUP($D366,$C$5:$AV$509,3,))*$E366)</f>
        <v>0</v>
      </c>
      <c r="AA366" s="47">
        <f>IF(VLOOKUP($D366,$C$5:$AV$509,3,)=0,0,(VLOOKUP($D366,$C$5:$AV$509,24,)/VLOOKUP($D366,$C$5:$AV$509,3,))*$E366)</f>
        <v>0</v>
      </c>
      <c r="AB366" s="47">
        <f>IF(VLOOKUP($D366,$C$5:$AV$509,3,)=0,0,(VLOOKUP($D366,$C$5:$AV$509,25,)/VLOOKUP($D366,$C$5:$AV$509,3,))*$E366)</f>
        <v>0</v>
      </c>
      <c r="AC366" s="47">
        <f>IF(VLOOKUP($D366,$C$5:$AV$509,3,)=0,0,(VLOOKUP($D366,$C$5:$AV$509,26,)/VLOOKUP($D366,$C$5:$AV$509,3,))*$E366)</f>
        <v>0</v>
      </c>
      <c r="AD366" s="47">
        <f>IF(VLOOKUP($D366,$C$5:$AV$509,3,)=0,0,(VLOOKUP($D366,$C$5:$AV$509,27,)/VLOOKUP($D366,$C$5:$AV$509,3,))*$E366)</f>
        <v>0</v>
      </c>
      <c r="AE366" s="47">
        <f>IF(VLOOKUP($D366,$C$5:$AV$509,3,)=0,0,(VLOOKUP($D366,$C$5:$AV$509,28,)/VLOOKUP($D366,$C$5:$AV$509,3,))*$E366)</f>
        <v>0</v>
      </c>
      <c r="AF366" s="47">
        <f>IF(VLOOKUP($D366,$C$5:$AV$509,3,)=0,0,(VLOOKUP($D366,$C$5:$AV$509,29,)/VLOOKUP($D366,$C$5:$AV$509,3,))*$E366)</f>
        <v>0</v>
      </c>
      <c r="AG366" s="47">
        <f>IF(VLOOKUP($D366,$C$5:$AV$509,3,)=0,0,(VLOOKUP($D366,$C$5:$AV$509,30,)/VLOOKUP($D366,$C$5:$AV$509,3,))*$E366)</f>
        <v>0</v>
      </c>
      <c r="AH366" s="87">
        <f t="shared" si="269"/>
        <v>-5766680</v>
      </c>
      <c r="AI366" s="27" t="str">
        <f t="shared" si="270"/>
        <v>ok</v>
      </c>
    </row>
    <row r="367" spans="1:38" x14ac:dyDescent="0.2">
      <c r="A367" s="26">
        <v>1.03</v>
      </c>
      <c r="B367" s="14" t="s">
        <v>1200</v>
      </c>
      <c r="D367" s="14" t="s">
        <v>214</v>
      </c>
      <c r="E367" s="62">
        <v>16666.669999999998</v>
      </c>
      <c r="F367" s="62">
        <f>IF(VLOOKUP($D367,$C$5:$AV$509,3,)=0,0,(VLOOKUP($D367,$C$5:$AV$509,4,)/VLOOKUP($D367,$C$5:$AV$509,3,))*$E367)</f>
        <v>12407.182293833202</v>
      </c>
      <c r="G367" s="62">
        <f>IF(VLOOKUP($D367,$C$5:$AV$509,3,)=0,0,(VLOOKUP($D367,$C$5:$AV$509,5,)/VLOOKUP($D367,$C$5:$AV$509,3,))*$E367)</f>
        <v>12.631486371629601</v>
      </c>
      <c r="H367" s="62">
        <f>IF(VLOOKUP($D367,$C$5:$AV$509,3,)=0,0,(VLOOKUP($D367,$C$5:$AV$509,6,)/VLOOKUP($D367,$C$5:$AV$509,3,))*$E367)</f>
        <v>1206.4296532529231</v>
      </c>
      <c r="I367" s="62">
        <f>IF(VLOOKUP($D367,$C$5:$AV$509,3,)=0,0,(VLOOKUP($D367,$C$5:$AV$509,7,)/VLOOKUP($D367,$C$5:$AV$509,3,))*$E367)</f>
        <v>137.28605901315237</v>
      </c>
      <c r="J367" s="62">
        <f>IF(VLOOKUP($D367,$C$5:$AV$509,3,)=0,0,(VLOOKUP($D367,$C$5:$AV$509,8,)/VLOOKUP($D367,$C$5:$AV$509,3,))*$E367)</f>
        <v>1598.5713965153432</v>
      </c>
      <c r="K367" s="62">
        <f>IF(VLOOKUP($D367,$C$5:$AV$509,3,)=0,0,(VLOOKUP($D367,$C$5:$AV$509,9,)/VLOOKUP($D367,$C$5:$AV$509,3,))*$E367)</f>
        <v>0</v>
      </c>
      <c r="L367" s="62">
        <f>IF(VLOOKUP($D367,$C$5:$AV$509,3,)=0,0,(VLOOKUP($D367,$C$5:$AV$509,10,)/VLOOKUP($D367,$C$5:$AV$509,3,))*$E367)</f>
        <v>798.88011310837112</v>
      </c>
      <c r="M367" s="62">
        <f>IF(VLOOKUP($D367,$C$5:$AV$509,3,)=0,0,(VLOOKUP($D367,$C$5:$AV$509,11,)/VLOOKUP($D367,$C$5:$AV$509,3,))*$E367)</f>
        <v>352.08581047544089</v>
      </c>
      <c r="N367" s="62">
        <f>IF(VLOOKUP($D367,$C$5:$AV$509,3,)=0,0,(VLOOKUP($D367,$C$5:$AV$509,12,)/VLOOKUP($D367,$C$5:$AV$509,3,))*$E367)</f>
        <v>153.60318742993587</v>
      </c>
      <c r="O367" s="47">
        <f t="shared" si="268"/>
        <v>0</v>
      </c>
      <c r="P367" s="47">
        <f t="shared" si="268"/>
        <v>0</v>
      </c>
      <c r="Q367" s="47">
        <f t="shared" si="268"/>
        <v>0</v>
      </c>
      <c r="R367" s="47">
        <f>IF(VLOOKUP($D367,$C$5:$AV$509,3,)=0,0,(VLOOKUP($D367,$C$5:$AV$509,15,)/VLOOKUP($D367,$C$5:$AV$509,3,))*$E367)</f>
        <v>0</v>
      </c>
      <c r="S367" s="47">
        <f>IF(VLOOKUP($D367,$C$5:$AV$509,3,)=0,0,(VLOOKUP($D367,$C$5:$AV$509,16,)/VLOOKUP($D367,$C$5:$AV$509,3,))*$E367)</f>
        <v>0</v>
      </c>
      <c r="T367" s="47">
        <f>IF(VLOOKUP($D367,$C$5:$AV$509,3,)=0,0,(VLOOKUP($D367,$C$5:$AV$509,17,)/VLOOKUP($D367,$C$5:$AV$509,3,))*$E367)</f>
        <v>0</v>
      </c>
      <c r="U367" s="47">
        <f>IF(VLOOKUP($D367,$C$5:$AV$509,3,)=0,0,(VLOOKUP($D367,$C$5:$AV$509,18,)/VLOOKUP($D367,$C$5:$AV$509,3,))*$E367)</f>
        <v>0</v>
      </c>
      <c r="V367" s="47">
        <f>IF(VLOOKUP($D367,$C$5:$AV$509,3,)=0,0,(VLOOKUP($D367,$C$5:$AV$509,19,)/VLOOKUP($D367,$C$5:$AV$509,3,))*$E367)</f>
        <v>0</v>
      </c>
      <c r="W367" s="47">
        <f>IF(VLOOKUP($D367,$C$5:$AV$509,3,)=0,0,(VLOOKUP($D367,$C$5:$AV$509,20,)/VLOOKUP($D367,$C$5:$AV$509,3,))*$E367)</f>
        <v>0</v>
      </c>
      <c r="X367" s="47">
        <f>IF(VLOOKUP($D367,$C$5:$AV$509,3,)=0,0,(VLOOKUP($D367,$C$5:$AV$509,21,)/VLOOKUP($D367,$C$5:$AV$509,3,))*$E367)</f>
        <v>0</v>
      </c>
      <c r="Y367" s="47">
        <f>IF(VLOOKUP($D367,$C$5:$AV$509,3,)=0,0,(VLOOKUP($D367,$C$5:$AV$509,22,)/VLOOKUP($D367,$C$5:$AV$509,3,))*$E367)</f>
        <v>0</v>
      </c>
      <c r="Z367" s="47">
        <f>IF(VLOOKUP($D367,$C$5:$AV$509,3,)=0,0,(VLOOKUP($D367,$C$5:$AV$509,23,)/VLOOKUP($D367,$C$5:$AV$509,3,))*$E367)</f>
        <v>0</v>
      </c>
      <c r="AA367" s="47">
        <f>IF(VLOOKUP($D367,$C$5:$AV$509,3,)=0,0,(VLOOKUP($D367,$C$5:$AV$509,24,)/VLOOKUP($D367,$C$5:$AV$509,3,))*$E367)</f>
        <v>0</v>
      </c>
      <c r="AB367" s="47">
        <f>IF(VLOOKUP($D367,$C$5:$AV$509,3,)=0,0,(VLOOKUP($D367,$C$5:$AV$509,25,)/VLOOKUP($D367,$C$5:$AV$509,3,))*$E367)</f>
        <v>0</v>
      </c>
      <c r="AC367" s="47">
        <f>IF(VLOOKUP($D367,$C$5:$AV$509,3,)=0,0,(VLOOKUP($D367,$C$5:$AV$509,26,)/VLOOKUP($D367,$C$5:$AV$509,3,))*$E367)</f>
        <v>0</v>
      </c>
      <c r="AD367" s="47">
        <f>IF(VLOOKUP($D367,$C$5:$AV$509,3,)=0,0,(VLOOKUP($D367,$C$5:$AV$509,27,)/VLOOKUP($D367,$C$5:$AV$509,3,))*$E367)</f>
        <v>0</v>
      </c>
      <c r="AE367" s="47">
        <f>IF(VLOOKUP($D367,$C$5:$AV$509,3,)=0,0,(VLOOKUP($D367,$C$5:$AV$509,28,)/VLOOKUP($D367,$C$5:$AV$509,3,))*$E367)</f>
        <v>0</v>
      </c>
      <c r="AF367" s="47">
        <f>IF(VLOOKUP($D367,$C$5:$AV$509,3,)=0,0,(VLOOKUP($D367,$C$5:$AV$509,29,)/VLOOKUP($D367,$C$5:$AV$509,3,))*$E367)</f>
        <v>0</v>
      </c>
      <c r="AG367" s="47">
        <f>IF(VLOOKUP($D367,$C$5:$AV$509,3,)=0,0,(VLOOKUP($D367,$C$5:$AV$509,30,)/VLOOKUP($D367,$C$5:$AV$509,3,))*$E367)</f>
        <v>0</v>
      </c>
      <c r="AH367" s="87">
        <f t="shared" si="269"/>
        <v>16666.669999999998</v>
      </c>
      <c r="AI367" s="27" t="str">
        <f t="shared" ref="AI367:AI369" si="271">IF(ABS(E367-AH367)&lt;0.01,"ok","err")</f>
        <v>ok</v>
      </c>
    </row>
    <row r="368" spans="1:38" x14ac:dyDescent="0.2">
      <c r="A368" s="14">
        <v>1.04</v>
      </c>
      <c r="B368" s="14" t="s">
        <v>1201</v>
      </c>
      <c r="E368" s="62">
        <v>112375.21</v>
      </c>
      <c r="F368" s="62">
        <v>97790.315362489651</v>
      </c>
      <c r="G368" s="62">
        <v>0</v>
      </c>
      <c r="H368" s="62">
        <v>23398.37069113092</v>
      </c>
      <c r="I368" s="62">
        <v>-845.02300321261691</v>
      </c>
      <c r="J368" s="62">
        <v>-7968.4506918130273</v>
      </c>
      <c r="K368" s="62">
        <v>0</v>
      </c>
      <c r="L368" s="62">
        <v>0</v>
      </c>
      <c r="M368" s="62">
        <v>0</v>
      </c>
      <c r="N368" s="62">
        <v>0</v>
      </c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87">
        <f t="shared" si="269"/>
        <v>112375.21235859493</v>
      </c>
      <c r="AI368" s="27" t="str">
        <f t="shared" ref="AI368" si="272">IF(ABS(E368-AH368)&lt;0.01,"ok","err")</f>
        <v>ok</v>
      </c>
    </row>
    <row r="369" spans="1:35" x14ac:dyDescent="0.2">
      <c r="A369" s="14">
        <v>1.05</v>
      </c>
      <c r="B369" s="14" t="s">
        <v>1202</v>
      </c>
      <c r="E369" s="62">
        <v>0</v>
      </c>
      <c r="F369" s="62">
        <v>0</v>
      </c>
      <c r="G369" s="62">
        <v>0</v>
      </c>
      <c r="H369" s="62">
        <v>0</v>
      </c>
      <c r="I369" s="62">
        <v>0</v>
      </c>
      <c r="J369" s="62">
        <v>0</v>
      </c>
      <c r="K369" s="62">
        <v>0</v>
      </c>
      <c r="L369" s="62">
        <v>0</v>
      </c>
      <c r="M369" s="62">
        <v>0</v>
      </c>
      <c r="N369" s="62">
        <v>0</v>
      </c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87">
        <f t="shared" ref="AH369" si="273">SUM(F369:AG369)</f>
        <v>0</v>
      </c>
      <c r="AI369" s="27" t="str">
        <f t="shared" si="271"/>
        <v>ok</v>
      </c>
    </row>
    <row r="370" spans="1:35" x14ac:dyDescent="0.2">
      <c r="A370" s="14">
        <v>1.06</v>
      </c>
      <c r="B370" s="14" t="s">
        <v>1203</v>
      </c>
      <c r="D370" s="14" t="s">
        <v>261</v>
      </c>
      <c r="E370" s="62">
        <v>-77500</v>
      </c>
      <c r="F370" s="62">
        <f t="shared" ref="F370:F374" si="274">IF(VLOOKUP($D370,$C$5:$AV$509,3,)=0,0,(VLOOKUP($D370,$C$5:$AV$509,4,)/VLOOKUP($D370,$C$5:$AV$509,3,))*$E370)</f>
        <v>-65832.712120240132</v>
      </c>
      <c r="G370" s="62">
        <f t="shared" ref="G370:G374" si="275">IF(VLOOKUP($D370,$C$5:$AV$509,3,)=0,0,(VLOOKUP($D370,$C$5:$AV$509,5,)/VLOOKUP($D370,$C$5:$AV$509,3,))*$E370)</f>
        <v>-20.397581460842368</v>
      </c>
      <c r="H370" s="62">
        <f t="shared" ref="H370:H374" si="276">IF(VLOOKUP($D370,$C$5:$AV$509,3,)=0,0,(VLOOKUP($D370,$C$5:$AV$509,6,)/VLOOKUP($D370,$C$5:$AV$509,3,))*$E370)</f>
        <v>-5728.6834564402061</v>
      </c>
      <c r="I370" s="62">
        <f t="shared" ref="I370:I374" si="277">IF(VLOOKUP($D370,$C$5:$AV$509,3,)=0,0,(VLOOKUP($D370,$C$5:$AV$509,7,)/VLOOKUP($D370,$C$5:$AV$509,3,))*$E370)</f>
        <v>-763.1983520971288</v>
      </c>
      <c r="J370" s="62">
        <f t="shared" ref="J370:J374" si="278">IF(VLOOKUP($D370,$C$5:$AV$509,3,)=0,0,(VLOOKUP($D370,$C$5:$AV$509,8,)/VLOOKUP($D370,$C$5:$AV$509,3,))*$E370)</f>
        <v>-1469.5072513602722</v>
      </c>
      <c r="K370" s="62">
        <f t="shared" ref="K370:K374" si="279">IF(VLOOKUP($D370,$C$5:$AV$509,3,)=0,0,(VLOOKUP($D370,$C$5:$AV$509,9,)/VLOOKUP($D370,$C$5:$AV$509,3,))*$E370)</f>
        <v>0</v>
      </c>
      <c r="L370" s="62">
        <f t="shared" ref="L370:L374" si="280">IF(VLOOKUP($D370,$C$5:$AV$509,3,)=0,0,(VLOOKUP($D370,$C$5:$AV$509,10,)/VLOOKUP($D370,$C$5:$AV$509,3,))*$E370)</f>
        <v>-548.91198205523199</v>
      </c>
      <c r="M370" s="62">
        <f t="shared" ref="M370:M374" si="281">IF(VLOOKUP($D370,$C$5:$AV$509,3,)=0,0,(VLOOKUP($D370,$C$5:$AV$509,11,)/VLOOKUP($D370,$C$5:$AV$509,3,))*$E370)</f>
        <v>-154.57507296566911</v>
      </c>
      <c r="N370" s="62">
        <f t="shared" ref="N370:N374" si="282">IF(VLOOKUP($D370,$C$5:$AV$509,3,)=0,0,(VLOOKUP($D370,$C$5:$AV$509,12,)/VLOOKUP($D370,$C$5:$AV$509,3,))*$E370)</f>
        <v>-2982.0141833805255</v>
      </c>
      <c r="O370" s="47">
        <f t="shared" ref="O370:Q374" si="283">IF(VLOOKUP($D370,$C$5:$AV$509,3,)=0,0,(VLOOKUP($D370,$C$5:$AV$509,14,)/VLOOKUP($D370,$C$5:$AV$509,3,))*$E370)</f>
        <v>0</v>
      </c>
      <c r="P370" s="47">
        <f t="shared" si="283"/>
        <v>0</v>
      </c>
      <c r="Q370" s="47">
        <f t="shared" si="283"/>
        <v>0</v>
      </c>
      <c r="R370" s="47">
        <f t="shared" ref="R370:R374" si="284">IF(VLOOKUP($D370,$C$5:$AV$509,3,)=0,0,(VLOOKUP($D370,$C$5:$AV$509,15,)/VLOOKUP($D370,$C$5:$AV$509,3,))*$E370)</f>
        <v>0</v>
      </c>
      <c r="S370" s="47">
        <f t="shared" ref="S370:S374" si="285">IF(VLOOKUP($D370,$C$5:$AV$509,3,)=0,0,(VLOOKUP($D370,$C$5:$AV$509,16,)/VLOOKUP($D370,$C$5:$AV$509,3,))*$E370)</f>
        <v>0</v>
      </c>
      <c r="T370" s="47">
        <f t="shared" ref="T370:T374" si="286">IF(VLOOKUP($D370,$C$5:$AV$509,3,)=0,0,(VLOOKUP($D370,$C$5:$AV$509,17,)/VLOOKUP($D370,$C$5:$AV$509,3,))*$E370)</f>
        <v>0</v>
      </c>
      <c r="U370" s="47">
        <f t="shared" ref="U370:U374" si="287">IF(VLOOKUP($D370,$C$5:$AV$509,3,)=0,0,(VLOOKUP($D370,$C$5:$AV$509,18,)/VLOOKUP($D370,$C$5:$AV$509,3,))*$E370)</f>
        <v>0</v>
      </c>
      <c r="V370" s="47">
        <f t="shared" ref="V370:V374" si="288">IF(VLOOKUP($D370,$C$5:$AV$509,3,)=0,0,(VLOOKUP($D370,$C$5:$AV$509,19,)/VLOOKUP($D370,$C$5:$AV$509,3,))*$E370)</f>
        <v>0</v>
      </c>
      <c r="W370" s="47">
        <f t="shared" ref="W370:W374" si="289">IF(VLOOKUP($D370,$C$5:$AV$509,3,)=0,0,(VLOOKUP($D370,$C$5:$AV$509,20,)/VLOOKUP($D370,$C$5:$AV$509,3,))*$E370)</f>
        <v>0</v>
      </c>
      <c r="X370" s="47">
        <f t="shared" ref="X370:X374" si="290">IF(VLOOKUP($D370,$C$5:$AV$509,3,)=0,0,(VLOOKUP($D370,$C$5:$AV$509,21,)/VLOOKUP($D370,$C$5:$AV$509,3,))*$E370)</f>
        <v>0</v>
      </c>
      <c r="Y370" s="47">
        <f t="shared" ref="Y370:Y374" si="291">IF(VLOOKUP($D370,$C$5:$AV$509,3,)=0,0,(VLOOKUP($D370,$C$5:$AV$509,22,)/VLOOKUP($D370,$C$5:$AV$509,3,))*$E370)</f>
        <v>0</v>
      </c>
      <c r="Z370" s="47">
        <f t="shared" ref="Z370:Z374" si="292">IF(VLOOKUP($D370,$C$5:$AV$509,3,)=0,0,(VLOOKUP($D370,$C$5:$AV$509,23,)/VLOOKUP($D370,$C$5:$AV$509,3,))*$E370)</f>
        <v>0</v>
      </c>
      <c r="AA370" s="47">
        <f t="shared" ref="AA370:AA374" si="293">IF(VLOOKUP($D370,$C$5:$AV$509,3,)=0,0,(VLOOKUP($D370,$C$5:$AV$509,24,)/VLOOKUP($D370,$C$5:$AV$509,3,))*$E370)</f>
        <v>0</v>
      </c>
      <c r="AB370" s="47">
        <f t="shared" ref="AB370:AB374" si="294">IF(VLOOKUP($D370,$C$5:$AV$509,3,)=0,0,(VLOOKUP($D370,$C$5:$AV$509,25,)/VLOOKUP($D370,$C$5:$AV$509,3,))*$E370)</f>
        <v>0</v>
      </c>
      <c r="AC370" s="47">
        <f t="shared" ref="AC370:AC374" si="295">IF(VLOOKUP($D370,$C$5:$AV$509,3,)=0,0,(VLOOKUP($D370,$C$5:$AV$509,26,)/VLOOKUP($D370,$C$5:$AV$509,3,))*$E370)</f>
        <v>0</v>
      </c>
      <c r="AD370" s="47">
        <f t="shared" ref="AD370:AD374" si="296">IF(VLOOKUP($D370,$C$5:$AV$509,3,)=0,0,(VLOOKUP($D370,$C$5:$AV$509,27,)/VLOOKUP($D370,$C$5:$AV$509,3,))*$E370)</f>
        <v>0</v>
      </c>
      <c r="AE370" s="47">
        <f t="shared" ref="AE370:AE374" si="297">IF(VLOOKUP($D370,$C$5:$AV$509,3,)=0,0,(VLOOKUP($D370,$C$5:$AV$509,28,)/VLOOKUP($D370,$C$5:$AV$509,3,))*$E370)</f>
        <v>0</v>
      </c>
      <c r="AF370" s="47">
        <f t="shared" ref="AF370:AF374" si="298">IF(VLOOKUP($D370,$C$5:$AV$509,3,)=0,0,(VLOOKUP($D370,$C$5:$AV$509,29,)/VLOOKUP($D370,$C$5:$AV$509,3,))*$E370)</f>
        <v>0</v>
      </c>
      <c r="AG370" s="47">
        <f t="shared" ref="AG370:AG374" si="299">IF(VLOOKUP($D370,$C$5:$AV$509,3,)=0,0,(VLOOKUP($D370,$C$5:$AV$509,30,)/VLOOKUP($D370,$C$5:$AV$509,3,))*$E370)</f>
        <v>0</v>
      </c>
      <c r="AH370" s="87">
        <f t="shared" ref="AH370:AH375" si="300">SUM(F370:AG370)</f>
        <v>-77500.000000000015</v>
      </c>
      <c r="AI370" s="27" t="str">
        <f t="shared" si="270"/>
        <v>ok</v>
      </c>
    </row>
    <row r="371" spans="1:35" x14ac:dyDescent="0.2">
      <c r="A371" s="26">
        <v>1.07</v>
      </c>
      <c r="B371" s="14" t="s">
        <v>1204</v>
      </c>
      <c r="D371" s="14" t="s">
        <v>297</v>
      </c>
      <c r="E371" s="62">
        <v>120318.50999999982</v>
      </c>
      <c r="F371" s="62">
        <f t="shared" si="274"/>
        <v>102159.41764326252</v>
      </c>
      <c r="G371" s="62">
        <f t="shared" si="275"/>
        <v>31.687015661659849</v>
      </c>
      <c r="H371" s="62">
        <f t="shared" si="276"/>
        <v>8896.6064687800026</v>
      </c>
      <c r="I371" s="62">
        <f t="shared" si="277"/>
        <v>1184.5018411541103</v>
      </c>
      <c r="J371" s="62">
        <f t="shared" si="278"/>
        <v>2283.3073590080808</v>
      </c>
      <c r="K371" s="62">
        <f t="shared" si="279"/>
        <v>0</v>
      </c>
      <c r="L371" s="62">
        <f t="shared" si="280"/>
        <v>852.92876238487133</v>
      </c>
      <c r="M371" s="62">
        <f t="shared" si="281"/>
        <v>240.19270721150639</v>
      </c>
      <c r="N371" s="62">
        <f t="shared" si="282"/>
        <v>4669.8682025370754</v>
      </c>
      <c r="O371" s="47">
        <f t="shared" si="283"/>
        <v>0</v>
      </c>
      <c r="P371" s="47">
        <f t="shared" si="283"/>
        <v>0</v>
      </c>
      <c r="Q371" s="47">
        <f t="shared" si="283"/>
        <v>0</v>
      </c>
      <c r="R371" s="47">
        <f t="shared" si="284"/>
        <v>0</v>
      </c>
      <c r="S371" s="47">
        <f t="shared" si="285"/>
        <v>0</v>
      </c>
      <c r="T371" s="47">
        <f t="shared" si="286"/>
        <v>0</v>
      </c>
      <c r="U371" s="47">
        <f t="shared" si="287"/>
        <v>0</v>
      </c>
      <c r="V371" s="47">
        <f t="shared" si="288"/>
        <v>0</v>
      </c>
      <c r="W371" s="47">
        <f t="shared" si="289"/>
        <v>0</v>
      </c>
      <c r="X371" s="47">
        <f t="shared" si="290"/>
        <v>0</v>
      </c>
      <c r="Y371" s="47">
        <f t="shared" si="291"/>
        <v>0</v>
      </c>
      <c r="Z371" s="47">
        <f t="shared" si="292"/>
        <v>0</v>
      </c>
      <c r="AA371" s="47">
        <f t="shared" si="293"/>
        <v>0</v>
      </c>
      <c r="AB371" s="47">
        <f t="shared" si="294"/>
        <v>0</v>
      </c>
      <c r="AC371" s="47">
        <f t="shared" si="295"/>
        <v>0</v>
      </c>
      <c r="AD371" s="47">
        <f t="shared" si="296"/>
        <v>0</v>
      </c>
      <c r="AE371" s="47">
        <f t="shared" si="297"/>
        <v>0</v>
      </c>
      <c r="AF371" s="47">
        <f t="shared" si="298"/>
        <v>0</v>
      </c>
      <c r="AG371" s="47">
        <f t="shared" si="299"/>
        <v>0</v>
      </c>
      <c r="AH371" s="87">
        <f t="shared" si="300"/>
        <v>120318.50999999982</v>
      </c>
      <c r="AI371" s="27" t="str">
        <f t="shared" si="270"/>
        <v>ok</v>
      </c>
    </row>
    <row r="372" spans="1:35" x14ac:dyDescent="0.2">
      <c r="A372" s="26">
        <v>1.08</v>
      </c>
      <c r="B372" s="14" t="s">
        <v>1205</v>
      </c>
      <c r="D372" s="14" t="s">
        <v>261</v>
      </c>
      <c r="E372" s="62">
        <v>-198427.6</v>
      </c>
      <c r="F372" s="62">
        <f t="shared" si="274"/>
        <v>-168555.18796787303</v>
      </c>
      <c r="G372" s="62">
        <f t="shared" si="275"/>
        <v>-52.225072710702513</v>
      </c>
      <c r="H372" s="62">
        <f t="shared" si="276"/>
        <v>-14667.469798982382</v>
      </c>
      <c r="I372" s="62">
        <f t="shared" si="277"/>
        <v>-1954.0595784592033</v>
      </c>
      <c r="J372" s="62">
        <f t="shared" si="278"/>
        <v>-3762.4618976776201</v>
      </c>
      <c r="K372" s="62">
        <f t="shared" si="279"/>
        <v>0</v>
      </c>
      <c r="L372" s="62">
        <f t="shared" si="280"/>
        <v>-1405.410157554358</v>
      </c>
      <c r="M372" s="62">
        <f t="shared" si="281"/>
        <v>-395.7672354632594</v>
      </c>
      <c r="N372" s="62">
        <f t="shared" si="282"/>
        <v>-7635.0182912794526</v>
      </c>
      <c r="O372" s="47">
        <f t="shared" si="283"/>
        <v>0</v>
      </c>
      <c r="P372" s="47">
        <f t="shared" si="283"/>
        <v>0</v>
      </c>
      <c r="Q372" s="47">
        <f t="shared" si="283"/>
        <v>0</v>
      </c>
      <c r="R372" s="47">
        <f t="shared" si="284"/>
        <v>0</v>
      </c>
      <c r="S372" s="47">
        <f t="shared" si="285"/>
        <v>0</v>
      </c>
      <c r="T372" s="47">
        <f t="shared" si="286"/>
        <v>0</v>
      </c>
      <c r="U372" s="47">
        <f t="shared" si="287"/>
        <v>0</v>
      </c>
      <c r="V372" s="47">
        <f t="shared" si="288"/>
        <v>0</v>
      </c>
      <c r="W372" s="47">
        <f t="shared" si="289"/>
        <v>0</v>
      </c>
      <c r="X372" s="47">
        <f t="shared" si="290"/>
        <v>0</v>
      </c>
      <c r="Y372" s="47">
        <f t="shared" si="291"/>
        <v>0</v>
      </c>
      <c r="Z372" s="47">
        <f t="shared" si="292"/>
        <v>0</v>
      </c>
      <c r="AA372" s="47">
        <f t="shared" si="293"/>
        <v>0</v>
      </c>
      <c r="AB372" s="47">
        <f t="shared" si="294"/>
        <v>0</v>
      </c>
      <c r="AC372" s="47">
        <f t="shared" si="295"/>
        <v>0</v>
      </c>
      <c r="AD372" s="47">
        <f t="shared" si="296"/>
        <v>0</v>
      </c>
      <c r="AE372" s="47">
        <f t="shared" si="297"/>
        <v>0</v>
      </c>
      <c r="AF372" s="47">
        <f t="shared" si="298"/>
        <v>0</v>
      </c>
      <c r="AG372" s="47">
        <f t="shared" si="299"/>
        <v>0</v>
      </c>
      <c r="AH372" s="87">
        <f t="shared" si="300"/>
        <v>-198427.6</v>
      </c>
      <c r="AI372" s="27" t="str">
        <f t="shared" si="270"/>
        <v>ok</v>
      </c>
    </row>
    <row r="373" spans="1:35" x14ac:dyDescent="0.2">
      <c r="A373" s="14">
        <v>1.0900000000000001</v>
      </c>
      <c r="B373" s="14" t="s">
        <v>1206</v>
      </c>
      <c r="D373" s="14" t="s">
        <v>261</v>
      </c>
      <c r="E373" s="62">
        <v>-10800</v>
      </c>
      <c r="F373" s="62">
        <f t="shared" si="274"/>
        <v>-9174.1069793366878</v>
      </c>
      <c r="G373" s="62">
        <f t="shared" si="275"/>
        <v>-2.8425016745431941</v>
      </c>
      <c r="H373" s="62">
        <f t="shared" si="276"/>
        <v>-798.31975909102221</v>
      </c>
      <c r="I373" s="62">
        <f t="shared" si="277"/>
        <v>-106.35538325998699</v>
      </c>
      <c r="J373" s="62">
        <f t="shared" si="278"/>
        <v>-204.78294599601213</v>
      </c>
      <c r="K373" s="62">
        <f t="shared" si="279"/>
        <v>0</v>
      </c>
      <c r="L373" s="62">
        <f t="shared" si="280"/>
        <v>-76.493540725116191</v>
      </c>
      <c r="M373" s="62">
        <f t="shared" si="281"/>
        <v>-21.540784361667434</v>
      </c>
      <c r="N373" s="62">
        <f t="shared" si="282"/>
        <v>-415.5581055549635</v>
      </c>
      <c r="O373" s="47">
        <f t="shared" si="283"/>
        <v>0</v>
      </c>
      <c r="P373" s="47">
        <f t="shared" si="283"/>
        <v>0</v>
      </c>
      <c r="Q373" s="47">
        <f t="shared" si="283"/>
        <v>0</v>
      </c>
      <c r="R373" s="47">
        <f t="shared" si="284"/>
        <v>0</v>
      </c>
      <c r="S373" s="47">
        <f t="shared" si="285"/>
        <v>0</v>
      </c>
      <c r="T373" s="47">
        <f t="shared" si="286"/>
        <v>0</v>
      </c>
      <c r="U373" s="47">
        <f t="shared" si="287"/>
        <v>0</v>
      </c>
      <c r="V373" s="47">
        <f t="shared" si="288"/>
        <v>0</v>
      </c>
      <c r="W373" s="47">
        <f t="shared" si="289"/>
        <v>0</v>
      </c>
      <c r="X373" s="47">
        <f t="shared" si="290"/>
        <v>0</v>
      </c>
      <c r="Y373" s="47">
        <f t="shared" si="291"/>
        <v>0</v>
      </c>
      <c r="Z373" s="47">
        <f t="shared" si="292"/>
        <v>0</v>
      </c>
      <c r="AA373" s="47">
        <f t="shared" si="293"/>
        <v>0</v>
      </c>
      <c r="AB373" s="47">
        <f t="shared" si="294"/>
        <v>0</v>
      </c>
      <c r="AC373" s="47">
        <f t="shared" si="295"/>
        <v>0</v>
      </c>
      <c r="AD373" s="47">
        <f t="shared" si="296"/>
        <v>0</v>
      </c>
      <c r="AE373" s="47">
        <f t="shared" si="297"/>
        <v>0</v>
      </c>
      <c r="AF373" s="47">
        <f t="shared" si="298"/>
        <v>0</v>
      </c>
      <c r="AG373" s="47">
        <f t="shared" si="299"/>
        <v>0</v>
      </c>
      <c r="AH373" s="87">
        <f t="shared" si="300"/>
        <v>-10799.999999999996</v>
      </c>
      <c r="AI373" s="27" t="str">
        <f t="shared" si="270"/>
        <v>ok</v>
      </c>
    </row>
    <row r="374" spans="1:35" x14ac:dyDescent="0.2">
      <c r="A374" s="86">
        <v>1.1000000000000001</v>
      </c>
      <c r="B374" s="14" t="s">
        <v>1207</v>
      </c>
      <c r="D374" s="14" t="s">
        <v>261</v>
      </c>
      <c r="E374" s="62">
        <v>0</v>
      </c>
      <c r="F374" s="62">
        <f t="shared" si="274"/>
        <v>0</v>
      </c>
      <c r="G374" s="62">
        <f t="shared" si="275"/>
        <v>0</v>
      </c>
      <c r="H374" s="62">
        <f t="shared" si="276"/>
        <v>0</v>
      </c>
      <c r="I374" s="62">
        <f t="shared" si="277"/>
        <v>0</v>
      </c>
      <c r="J374" s="62">
        <f t="shared" si="278"/>
        <v>0</v>
      </c>
      <c r="K374" s="62">
        <f t="shared" si="279"/>
        <v>0</v>
      </c>
      <c r="L374" s="62">
        <f t="shared" si="280"/>
        <v>0</v>
      </c>
      <c r="M374" s="62">
        <f t="shared" si="281"/>
        <v>0</v>
      </c>
      <c r="N374" s="62">
        <f t="shared" si="282"/>
        <v>0</v>
      </c>
      <c r="O374" s="47">
        <f t="shared" si="283"/>
        <v>0</v>
      </c>
      <c r="P374" s="47">
        <f t="shared" si="283"/>
        <v>0</v>
      </c>
      <c r="Q374" s="47">
        <f t="shared" si="283"/>
        <v>0</v>
      </c>
      <c r="R374" s="47">
        <f t="shared" si="284"/>
        <v>0</v>
      </c>
      <c r="S374" s="47">
        <f t="shared" si="285"/>
        <v>0</v>
      </c>
      <c r="T374" s="47">
        <f t="shared" si="286"/>
        <v>0</v>
      </c>
      <c r="U374" s="47">
        <f t="shared" si="287"/>
        <v>0</v>
      </c>
      <c r="V374" s="47">
        <f t="shared" si="288"/>
        <v>0</v>
      </c>
      <c r="W374" s="47">
        <f t="shared" si="289"/>
        <v>0</v>
      </c>
      <c r="X374" s="47">
        <f t="shared" si="290"/>
        <v>0</v>
      </c>
      <c r="Y374" s="47">
        <f t="shared" si="291"/>
        <v>0</v>
      </c>
      <c r="Z374" s="47">
        <f t="shared" si="292"/>
        <v>0</v>
      </c>
      <c r="AA374" s="47">
        <f t="shared" si="293"/>
        <v>0</v>
      </c>
      <c r="AB374" s="47">
        <f t="shared" si="294"/>
        <v>0</v>
      </c>
      <c r="AC374" s="47">
        <f t="shared" si="295"/>
        <v>0</v>
      </c>
      <c r="AD374" s="47">
        <f t="shared" si="296"/>
        <v>0</v>
      </c>
      <c r="AE374" s="47">
        <f t="shared" si="297"/>
        <v>0</v>
      </c>
      <c r="AF374" s="47">
        <f t="shared" si="298"/>
        <v>0</v>
      </c>
      <c r="AG374" s="47">
        <f t="shared" si="299"/>
        <v>0</v>
      </c>
      <c r="AH374" s="87">
        <f t="shared" si="300"/>
        <v>0</v>
      </c>
      <c r="AI374" s="27" t="str">
        <f>IF(ABS(E374-AH374)&lt;0.01,"ok","err")</f>
        <v>ok</v>
      </c>
    </row>
    <row r="375" spans="1:35" x14ac:dyDescent="0.2">
      <c r="A375" s="14">
        <v>1.1100000000000001</v>
      </c>
      <c r="B375" s="14" t="s">
        <v>1208</v>
      </c>
      <c r="D375" s="14" t="s">
        <v>285</v>
      </c>
      <c r="E375" s="62">
        <v>-31742.91</v>
      </c>
      <c r="F375" s="62">
        <f>IF(VLOOKUP($D375,$C$5:$AV$509,3,)=0,0,(VLOOKUP($D375,$C$5:$AV$509,4,)/VLOOKUP($D375,$C$5:$AV$509,3,))*$E375)</f>
        <v>-27985.632089666451</v>
      </c>
      <c r="G375" s="62">
        <f>IF(VLOOKUP($D375,$C$5:$AV$509,3,)=0,0,(VLOOKUP($D375,$C$5:$AV$509,5,)/VLOOKUP($D375,$C$5:$AV$509,3,))*$E375)</f>
        <v>-6.9192206286327869</v>
      </c>
      <c r="H375" s="62">
        <f>IF(VLOOKUP($D375,$C$5:$AV$509,3,)=0,0,(VLOOKUP($D375,$C$5:$AV$509,6,)/VLOOKUP($D375,$C$5:$AV$509,3,))*$E375)</f>
        <v>-2293.3695944912902</v>
      </c>
      <c r="I375" s="62">
        <f>IF(VLOOKUP($D375,$C$5:$AV$509,3,)=0,0,(VLOOKUP($D375,$C$5:$AV$509,7,)/VLOOKUP($D375,$C$5:$AV$509,3,))*$E375)</f>
        <v>-323.78071148439398</v>
      </c>
      <c r="J375" s="62">
        <f>IF(VLOOKUP($D375,$C$5:$AV$509,3,)=0,0,(VLOOKUP($D375,$C$5:$AV$509,8,)/VLOOKUP($D375,$C$5:$AV$509,3,))*$E375)</f>
        <v>-504.88036333657453</v>
      </c>
      <c r="K375" s="62">
        <f>IF(VLOOKUP($D375,$C$5:$AV$509,3,)=0,0,(VLOOKUP($D375,$C$5:$AV$509,9,)/VLOOKUP($D375,$C$5:$AV$509,3,))*$E375)</f>
        <v>0</v>
      </c>
      <c r="L375" s="62">
        <f>IF(VLOOKUP($D375,$C$5:$AV$509,3,)=0,0,(VLOOKUP($D375,$C$5:$AV$509,10,)/VLOOKUP($D375,$C$5:$AV$509,3,))*$E375)</f>
        <v>-179.47844134446981</v>
      </c>
      <c r="M375" s="62">
        <f>IF(VLOOKUP($D375,$C$5:$AV$509,3,)=0,0,(VLOOKUP($D375,$C$5:$AV$509,11,)/VLOOKUP($D375,$C$5:$AV$509,3,))*$E375)</f>
        <v>-50.115108118897531</v>
      </c>
      <c r="N375" s="62">
        <f>IF(VLOOKUP($D375,$C$5:$AV$509,3,)=0,0,(VLOOKUP($D375,$C$5:$AV$509,12,)/VLOOKUP($D375,$C$5:$AV$509,3,))*$E375)</f>
        <v>-398.73447092929075</v>
      </c>
      <c r="O375" s="47">
        <f>IF(VLOOKUP($D375,$C$5:$AV$509,3,)=0,0,(VLOOKUP($D375,$C$5:$AV$509,14,)/VLOOKUP($D375,$C$5:$AV$509,3,))*$E375)</f>
        <v>0</v>
      </c>
      <c r="P375" s="47">
        <f>IF(VLOOKUP($D375,$C$5:$AV$509,3,)=0,0,(VLOOKUP($D375,$C$5:$AV$509,14,)/VLOOKUP($D375,$C$5:$AV$509,3,))*$E375)</f>
        <v>0</v>
      </c>
      <c r="Q375" s="47">
        <f>IF(VLOOKUP($D375,$C$5:$AV$509,3,)=0,0,(VLOOKUP($D375,$C$5:$AV$509,14,)/VLOOKUP($D375,$C$5:$AV$509,3,))*$E375)</f>
        <v>0</v>
      </c>
      <c r="R375" s="47">
        <f>IF(VLOOKUP($D375,$C$5:$AV$509,3,)=0,0,(VLOOKUP($D375,$C$5:$AV$509,15,)/VLOOKUP($D375,$C$5:$AV$509,3,))*$E375)</f>
        <v>0</v>
      </c>
      <c r="S375" s="47">
        <f>IF(VLOOKUP($D375,$C$5:$AV$509,3,)=0,0,(VLOOKUP($D375,$C$5:$AV$509,16,)/VLOOKUP($D375,$C$5:$AV$509,3,))*$E375)</f>
        <v>0</v>
      </c>
      <c r="T375" s="47">
        <f>IF(VLOOKUP($D375,$C$5:$AV$509,3,)=0,0,(VLOOKUP($D375,$C$5:$AV$509,17,)/VLOOKUP($D375,$C$5:$AV$509,3,))*$E375)</f>
        <v>0</v>
      </c>
      <c r="U375" s="47">
        <f>IF(VLOOKUP($D375,$C$5:$AV$509,3,)=0,0,(VLOOKUP($D375,$C$5:$AV$509,18,)/VLOOKUP($D375,$C$5:$AV$509,3,))*$E375)</f>
        <v>0</v>
      </c>
      <c r="V375" s="47">
        <f>IF(VLOOKUP($D375,$C$5:$AV$509,3,)=0,0,(VLOOKUP($D375,$C$5:$AV$509,19,)/VLOOKUP($D375,$C$5:$AV$509,3,))*$E375)</f>
        <v>0</v>
      </c>
      <c r="W375" s="47">
        <f>IF(VLOOKUP($D375,$C$5:$AV$509,3,)=0,0,(VLOOKUP($D375,$C$5:$AV$509,20,)/VLOOKUP($D375,$C$5:$AV$509,3,))*$E375)</f>
        <v>0</v>
      </c>
      <c r="X375" s="47">
        <f>IF(VLOOKUP($D375,$C$5:$AV$509,3,)=0,0,(VLOOKUP($D375,$C$5:$AV$509,21,)/VLOOKUP($D375,$C$5:$AV$509,3,))*$E375)</f>
        <v>0</v>
      </c>
      <c r="Y375" s="47">
        <f>IF(VLOOKUP($D375,$C$5:$AV$509,3,)=0,0,(VLOOKUP($D375,$C$5:$AV$509,22,)/VLOOKUP($D375,$C$5:$AV$509,3,))*$E375)</f>
        <v>0</v>
      </c>
      <c r="Z375" s="47">
        <f>IF(VLOOKUP($D375,$C$5:$AV$509,3,)=0,0,(VLOOKUP($D375,$C$5:$AV$509,23,)/VLOOKUP($D375,$C$5:$AV$509,3,))*$E375)</f>
        <v>0</v>
      </c>
      <c r="AA375" s="47">
        <f>IF(VLOOKUP($D375,$C$5:$AV$509,3,)=0,0,(VLOOKUP($D375,$C$5:$AV$509,24,)/VLOOKUP($D375,$C$5:$AV$509,3,))*$E375)</f>
        <v>0</v>
      </c>
      <c r="AB375" s="47">
        <f>IF(VLOOKUP($D375,$C$5:$AV$509,3,)=0,0,(VLOOKUP($D375,$C$5:$AV$509,25,)/VLOOKUP($D375,$C$5:$AV$509,3,))*$E375)</f>
        <v>0</v>
      </c>
      <c r="AC375" s="47">
        <f>IF(VLOOKUP($D375,$C$5:$AV$509,3,)=0,0,(VLOOKUP($D375,$C$5:$AV$509,26,)/VLOOKUP($D375,$C$5:$AV$509,3,))*$E375)</f>
        <v>0</v>
      </c>
      <c r="AD375" s="47">
        <f>IF(VLOOKUP($D375,$C$5:$AV$509,3,)=0,0,(VLOOKUP($D375,$C$5:$AV$509,27,)/VLOOKUP($D375,$C$5:$AV$509,3,))*$E375)</f>
        <v>0</v>
      </c>
      <c r="AE375" s="47">
        <f>IF(VLOOKUP($D375,$C$5:$AV$509,3,)=0,0,(VLOOKUP($D375,$C$5:$AV$509,28,)/VLOOKUP($D375,$C$5:$AV$509,3,))*$E375)</f>
        <v>0</v>
      </c>
      <c r="AF375" s="47">
        <f>IF(VLOOKUP($D375,$C$5:$AV$509,3,)=0,0,(VLOOKUP($D375,$C$5:$AV$509,29,)/VLOOKUP($D375,$C$5:$AV$509,3,))*$E375)</f>
        <v>0</v>
      </c>
      <c r="AG375" s="47">
        <f>IF(VLOOKUP($D375,$C$5:$AV$509,3,)=0,0,(VLOOKUP($D375,$C$5:$AV$509,30,)/VLOOKUP($D375,$C$5:$AV$509,3,))*$E375)</f>
        <v>0</v>
      </c>
      <c r="AH375" s="87">
        <f t="shared" si="300"/>
        <v>-31742.91</v>
      </c>
      <c r="AI375" s="27" t="str">
        <f>IF(ABS(E375-AH375)&lt;0.01,"ok","err")</f>
        <v>ok</v>
      </c>
    </row>
    <row r="376" spans="1:35" x14ac:dyDescent="0.2">
      <c r="A376" s="26">
        <v>1.1200000000000001</v>
      </c>
      <c r="B376" s="14" t="s">
        <v>1209</v>
      </c>
      <c r="D376" s="14" t="s">
        <v>285</v>
      </c>
      <c r="E376" s="62">
        <v>340995.14145</v>
      </c>
      <c r="F376" s="62">
        <f>IF(VLOOKUP($D376,$C$5:$AV$509,3,)=0,0,(VLOOKUP($D376,$C$5:$AV$509,4,)/VLOOKUP($D376,$C$5:$AV$509,3,))*$E376)</f>
        <v>300632.94678980188</v>
      </c>
      <c r="G376" s="62">
        <f>IF(VLOOKUP($D376,$C$5:$AV$509,3,)=0,0,(VLOOKUP($D376,$C$5:$AV$509,5,)/VLOOKUP($D376,$C$5:$AV$509,3,))*$E376)</f>
        <v>74.329058582984203</v>
      </c>
      <c r="H376" s="62">
        <f>IF(VLOOKUP($D376,$C$5:$AV$509,3,)=0,0,(VLOOKUP($D376,$C$5:$AV$509,6,)/VLOOKUP($D376,$C$5:$AV$509,3,))*$E376)</f>
        <v>24636.301122697529</v>
      </c>
      <c r="I376" s="62">
        <f>IF(VLOOKUP($D376,$C$5:$AV$509,3,)=0,0,(VLOOKUP($D376,$C$5:$AV$509,7,)/VLOOKUP($D376,$C$5:$AV$509,3,))*$E376)</f>
        <v>3478.1829867331808</v>
      </c>
      <c r="J376" s="62">
        <f>IF(VLOOKUP($D376,$C$5:$AV$509,3,)=0,0,(VLOOKUP($D376,$C$5:$AV$509,8,)/VLOOKUP($D376,$C$5:$AV$509,3,))*$E376)</f>
        <v>5423.628486212594</v>
      </c>
      <c r="K376" s="62">
        <f>IF(VLOOKUP($D376,$C$5:$AV$509,3,)=0,0,(VLOOKUP($D376,$C$5:$AV$509,9,)/VLOOKUP($D376,$C$5:$AV$509,3,))*$E376)</f>
        <v>0</v>
      </c>
      <c r="L376" s="62">
        <f>IF(VLOOKUP($D376,$C$5:$AV$509,3,)=0,0,(VLOOKUP($D376,$C$5:$AV$509,10,)/VLOOKUP($D376,$C$5:$AV$509,3,))*$E376)</f>
        <v>1928.0298023553294</v>
      </c>
      <c r="M376" s="62">
        <f>IF(VLOOKUP($D376,$C$5:$AV$509,3,)=0,0,(VLOOKUP($D376,$C$5:$AV$509,11,)/VLOOKUP($D376,$C$5:$AV$509,3,))*$E376)</f>
        <v>538.35670333266569</v>
      </c>
      <c r="N376" s="62">
        <f>IF(VLOOKUP($D376,$C$5:$AV$509,3,)=0,0,(VLOOKUP($D376,$C$5:$AV$509,12,)/VLOOKUP($D376,$C$5:$AV$509,3,))*$E376)</f>
        <v>4283.3665002838243</v>
      </c>
      <c r="O376" s="47">
        <f>IF(VLOOKUP($D376,$C$5:$AV$509,3,)=0,0,(VLOOKUP($D376,$C$5:$AV$509,14,)/VLOOKUP($D376,$C$5:$AV$509,3,))*$E376)</f>
        <v>0</v>
      </c>
      <c r="P376" s="47">
        <f>IF(VLOOKUP($D376,$C$5:$AV$509,3,)=0,0,(VLOOKUP($D376,$C$5:$AV$509,14,)/VLOOKUP($D376,$C$5:$AV$509,3,))*$E376)</f>
        <v>0</v>
      </c>
      <c r="Q376" s="47">
        <f>IF(VLOOKUP($D376,$C$5:$AV$509,3,)=0,0,(VLOOKUP($D376,$C$5:$AV$509,14,)/VLOOKUP($D376,$C$5:$AV$509,3,))*$E376)</f>
        <v>0</v>
      </c>
      <c r="R376" s="47">
        <f>IF(VLOOKUP($D376,$C$5:$AV$509,3,)=0,0,(VLOOKUP($D376,$C$5:$AV$509,15,)/VLOOKUP($D376,$C$5:$AV$509,3,))*$E376)</f>
        <v>0</v>
      </c>
      <c r="S376" s="47">
        <f>IF(VLOOKUP($D376,$C$5:$AV$509,3,)=0,0,(VLOOKUP($D376,$C$5:$AV$509,16,)/VLOOKUP($D376,$C$5:$AV$509,3,))*$E376)</f>
        <v>0</v>
      </c>
      <c r="T376" s="47">
        <f>IF(VLOOKUP($D376,$C$5:$AV$509,3,)=0,0,(VLOOKUP($D376,$C$5:$AV$509,17,)/VLOOKUP($D376,$C$5:$AV$509,3,))*$E376)</f>
        <v>0</v>
      </c>
      <c r="U376" s="47">
        <f>IF(VLOOKUP($D376,$C$5:$AV$509,3,)=0,0,(VLOOKUP($D376,$C$5:$AV$509,18,)/VLOOKUP($D376,$C$5:$AV$509,3,))*$E376)</f>
        <v>0</v>
      </c>
      <c r="V376" s="47">
        <f>IF(VLOOKUP($D376,$C$5:$AV$509,3,)=0,0,(VLOOKUP($D376,$C$5:$AV$509,19,)/VLOOKUP($D376,$C$5:$AV$509,3,))*$E376)</f>
        <v>0</v>
      </c>
      <c r="W376" s="47">
        <f>IF(VLOOKUP($D376,$C$5:$AV$509,3,)=0,0,(VLOOKUP($D376,$C$5:$AV$509,20,)/VLOOKUP($D376,$C$5:$AV$509,3,))*$E376)</f>
        <v>0</v>
      </c>
      <c r="X376" s="47">
        <f>IF(VLOOKUP($D376,$C$5:$AV$509,3,)=0,0,(VLOOKUP($D376,$C$5:$AV$509,21,)/VLOOKUP($D376,$C$5:$AV$509,3,))*$E376)</f>
        <v>0</v>
      </c>
      <c r="Y376" s="47">
        <f>IF(VLOOKUP($D376,$C$5:$AV$509,3,)=0,0,(VLOOKUP($D376,$C$5:$AV$509,22,)/VLOOKUP($D376,$C$5:$AV$509,3,))*$E376)</f>
        <v>0</v>
      </c>
      <c r="Z376" s="47">
        <f>IF(VLOOKUP($D376,$C$5:$AV$509,3,)=0,0,(VLOOKUP($D376,$C$5:$AV$509,23,)/VLOOKUP($D376,$C$5:$AV$509,3,))*$E376)</f>
        <v>0</v>
      </c>
      <c r="AA376" s="47">
        <f>IF(VLOOKUP($D376,$C$5:$AV$509,3,)=0,0,(VLOOKUP($D376,$C$5:$AV$509,24,)/VLOOKUP($D376,$C$5:$AV$509,3,))*$E376)</f>
        <v>0</v>
      </c>
      <c r="AB376" s="47">
        <f>IF(VLOOKUP($D376,$C$5:$AV$509,3,)=0,0,(VLOOKUP($D376,$C$5:$AV$509,25,)/VLOOKUP($D376,$C$5:$AV$509,3,))*$E376)</f>
        <v>0</v>
      </c>
      <c r="AC376" s="47">
        <f>IF(VLOOKUP($D376,$C$5:$AV$509,3,)=0,0,(VLOOKUP($D376,$C$5:$AV$509,26,)/VLOOKUP($D376,$C$5:$AV$509,3,))*$E376)</f>
        <v>0</v>
      </c>
      <c r="AD376" s="47">
        <f>IF(VLOOKUP($D376,$C$5:$AV$509,3,)=0,0,(VLOOKUP($D376,$C$5:$AV$509,27,)/VLOOKUP($D376,$C$5:$AV$509,3,))*$E376)</f>
        <v>0</v>
      </c>
      <c r="AE376" s="47">
        <f>IF(VLOOKUP($D376,$C$5:$AV$509,3,)=0,0,(VLOOKUP($D376,$C$5:$AV$509,28,)/VLOOKUP($D376,$C$5:$AV$509,3,))*$E376)</f>
        <v>0</v>
      </c>
      <c r="AF376" s="47">
        <f>IF(VLOOKUP($D376,$C$5:$AV$509,3,)=0,0,(VLOOKUP($D376,$C$5:$AV$509,29,)/VLOOKUP($D376,$C$5:$AV$509,3,))*$E376)</f>
        <v>0</v>
      </c>
      <c r="AG376" s="47">
        <f>IF(VLOOKUP($D376,$C$5:$AV$509,3,)=0,0,(VLOOKUP($D376,$C$5:$AV$509,30,)/VLOOKUP($D376,$C$5:$AV$509,3,))*$E376)</f>
        <v>0</v>
      </c>
      <c r="AH376" s="87">
        <f t="shared" ref="AH376" si="301">SUM(F376:AG376)</f>
        <v>340995.14145</v>
      </c>
      <c r="AI376" s="27" t="str">
        <f>IF(ABS(E376-AH376)&lt;0.01,"ok","err")</f>
        <v>ok</v>
      </c>
    </row>
    <row r="377" spans="1:35" hidden="1" x14ac:dyDescent="0.2">
      <c r="A377" s="26">
        <v>13</v>
      </c>
      <c r="B377" s="14" t="s">
        <v>1041</v>
      </c>
      <c r="D377" s="14" t="s">
        <v>261</v>
      </c>
      <c r="E377" s="62">
        <v>0</v>
      </c>
      <c r="F377" s="62">
        <f>IF(VLOOKUP($D377,$C$5:$AV$527,3,)=0,0,(VLOOKUP($D377,$C$5:$AV$527,4,)/VLOOKUP($D377,$C$5:$AV$527,3,))*$E377)</f>
        <v>0</v>
      </c>
      <c r="G377" s="62">
        <f>IF(VLOOKUP($D377,$C$5:$AV$527,3,)=0,0,(VLOOKUP($D377,$C$5:$AV$527,5,)/VLOOKUP($D377,$C$5:$AV$527,3,))*$E377)</f>
        <v>0</v>
      </c>
      <c r="H377" s="62">
        <f>IF(VLOOKUP($D377,$C$5:$AV$527,3,)=0,0,(VLOOKUP($D377,$C$5:$AV$527,6,)/VLOOKUP($D377,$C$5:$AV$527,3,))*$E377)</f>
        <v>0</v>
      </c>
      <c r="I377" s="62">
        <f>IF(VLOOKUP($D377,$C$5:$AV$527,3,)=0,0,(VLOOKUP($D377,$C$5:$AV$527,7,)/VLOOKUP($D377,$C$5:$AV$527,3,))*$E377)</f>
        <v>0</v>
      </c>
      <c r="J377" s="62">
        <f>IF(VLOOKUP($D377,$C$5:$AV$527,3,)=0,0,(VLOOKUP($D377,$C$5:$AV$527,8,)/VLOOKUP($D377,$C$5:$AV$527,3,))*$E377)</f>
        <v>0</v>
      </c>
      <c r="K377" s="62">
        <f>IF(VLOOKUP($D377,$C$5:$AV$527,3,)=0,0,(VLOOKUP($D377,$C$5:$AV$527,9,)/VLOOKUP($D377,$C$5:$AV$527,3,))*$E377)</f>
        <v>0</v>
      </c>
      <c r="L377" s="62">
        <f>IF(VLOOKUP($D377,$C$5:$AV$527,3,)=0,0,(VLOOKUP($D377,$C$5:$AV$527,10,)/VLOOKUP($D377,$C$5:$AV$527,3,))*$E377)</f>
        <v>0</v>
      </c>
      <c r="M377" s="62">
        <f>IF(VLOOKUP($D377,$C$5:$AV$527,3,)=0,0,(VLOOKUP($D377,$C$5:$AV$527,10,)/VLOOKUP($D377,$C$5:$AV$527,3,))*$E377)</f>
        <v>0</v>
      </c>
      <c r="N377" s="62">
        <f>IF(VLOOKUP($D377,$C$5:$AV$527,3,)=0,0,(VLOOKUP($D377,$C$5:$AV$527,11,)/VLOOKUP($D377,$C$5:$AV$527,3,))*$E377)</f>
        <v>0</v>
      </c>
      <c r="O377" s="62">
        <f>IF(VLOOKUP($D377,$C$5:$AV$527,3,)=0,0,(VLOOKUP($D377,$C$5:$AV$527,12,)/VLOOKUP($D377,$C$5:$AV$527,3,))*$E377)</f>
        <v>0</v>
      </c>
      <c r="P377" s="62">
        <f>IF(VLOOKUP($D377,$C$5:$AV$527,3,)=0,0,(VLOOKUP($D377,$C$5:$AV$527,13,)/VLOOKUP($D377,$C$5:$AV$527,3,))*$E377)</f>
        <v>0</v>
      </c>
      <c r="Q377" s="62">
        <f>IF(VLOOKUP($D377,$C$5:$AV$527,3,)=0,0,(VLOOKUP($D377,$C$5:$AV$527,14,)/VLOOKUP($D377,$C$5:$AV$527,3,))*$E377)</f>
        <v>0</v>
      </c>
      <c r="R377" s="62">
        <f>IF(VLOOKUP($D377,$C$5:$AV$527,3,)=0,0,(VLOOKUP($D377,$C$5:$AV$527,15,)/VLOOKUP($D377,$C$5:$AV$527,3,))*$E377)</f>
        <v>0</v>
      </c>
      <c r="S377" s="62">
        <f>IF(VLOOKUP($D377,$C$5:$AV$527,3,)=0,0,(VLOOKUP($D377,$C$5:$AV$527,16,)/VLOOKUP($D377,$C$5:$AV$527,3,))*$E377)</f>
        <v>0</v>
      </c>
      <c r="T377" s="62">
        <f>IF(VLOOKUP($D377,$C$5:$AV$527,3,)=0,0,(VLOOKUP($D377,$C$5:$AV$527,17,)/VLOOKUP($D377,$C$5:$AV$527,3,))*$E377)</f>
        <v>0</v>
      </c>
      <c r="U377" s="62">
        <f>IF(VLOOKUP($D377,$C$5:$AV$527,3,)=0,0,(VLOOKUP($D377,$C$5:$AV$527,18,)/VLOOKUP($D377,$C$5:$AV$527,3,))*$E377)</f>
        <v>0</v>
      </c>
      <c r="V377" s="62">
        <f>IF(VLOOKUP($D377,$C$5:$AV$527,3,)=0,0,(VLOOKUP($D377,$C$5:$AV$527,19,)/VLOOKUP($D377,$C$5:$AV$527,3,))*$E377)</f>
        <v>0</v>
      </c>
      <c r="W377" s="62">
        <f>IF(VLOOKUP($D377,$C$5:$AV$527,3,)=0,0,(VLOOKUP($D377,$C$5:$AV$527,20,)/VLOOKUP($D377,$C$5:$AV$527,3,))*$E377)</f>
        <v>0</v>
      </c>
      <c r="X377" s="62">
        <f>IF(VLOOKUP($D377,$C$5:$AV$527,3,)=0,0,(VLOOKUP($D377,$C$5:$AV$527,21,)/VLOOKUP($D377,$C$5:$AV$527,3,))*$E377)</f>
        <v>0</v>
      </c>
      <c r="Y377" s="62">
        <f>IF(VLOOKUP($D377,$C$5:$AV$527,3,)=0,0,(VLOOKUP($D377,$C$5:$AV$527,22,)/VLOOKUP($D377,$C$5:$AV$527,3,))*$E377)</f>
        <v>0</v>
      </c>
      <c r="Z377" s="62">
        <f>IF(VLOOKUP($D377,$C$5:$AV$527,3,)=0,0,(VLOOKUP($D377,$C$5:$AV$527,23,)/VLOOKUP($D377,$C$5:$AV$527,3,))*$E377)</f>
        <v>0</v>
      </c>
      <c r="AA377" s="62">
        <f>IF(VLOOKUP($D377,$C$5:$AV$527,3,)=0,0,(VLOOKUP($D377,$C$5:$AV$527,24,)/VLOOKUP($D377,$C$5:$AV$527,3,))*$E377)</f>
        <v>0</v>
      </c>
      <c r="AB377" s="62">
        <f>IF(VLOOKUP($D377,$C$5:$AV$527,3,)=0,0,(VLOOKUP($D377,$C$5:$AV$527,25,)/VLOOKUP($D377,$C$5:$AV$527,3,))*$E377)</f>
        <v>0</v>
      </c>
      <c r="AC377" s="62">
        <f>IF(VLOOKUP($D377,$C$5:$AV$527,3,)=0,0,(VLOOKUP($D377,$C$5:$AV$527,26,)/VLOOKUP($D377,$C$5:$AV$527,3,))*$E377)</f>
        <v>0</v>
      </c>
      <c r="AD377" s="62">
        <f>IF(VLOOKUP($D377,$C$5:$AV$527,3,)=0,0,(VLOOKUP($D377,$C$5:$AV$527,27,)/VLOOKUP($D377,$C$5:$AV$527,3,))*$E377)</f>
        <v>0</v>
      </c>
      <c r="AE377" s="62">
        <f>IF(VLOOKUP($D377,$C$5:$AV$527,3,)=0,0,(VLOOKUP($D377,$C$5:$AV$527,28,)/VLOOKUP($D377,$C$5:$AV$527,3,))*$E377)</f>
        <v>0</v>
      </c>
      <c r="AF377" s="62">
        <f>IF(VLOOKUP($D377,$C$5:$AV$527,3,)=0,0,(VLOOKUP($D377,$C$5:$AV$527,29,)/VLOOKUP($D377,$C$5:$AV$527,3,))*$E377)</f>
        <v>0</v>
      </c>
      <c r="AG377" s="62">
        <f>IF(VLOOKUP($D377,$C$5:$AV$527,3,)=0,0,(VLOOKUP($D377,$C$5:$AV$527,30,)/VLOOKUP($D377,$C$5:$AV$527,3,))*$E377)</f>
        <v>0</v>
      </c>
      <c r="AH377" s="87">
        <f t="shared" ref="AH376:AH390" si="302">SUM(F377:AG377)</f>
        <v>0</v>
      </c>
      <c r="AI377" s="27" t="str">
        <f t="shared" si="270"/>
        <v>ok</v>
      </c>
    </row>
    <row r="378" spans="1:35" hidden="1" x14ac:dyDescent="0.2">
      <c r="A378" s="14">
        <v>14</v>
      </c>
      <c r="B378" s="14" t="s">
        <v>1041</v>
      </c>
      <c r="D378" s="14" t="s">
        <v>261</v>
      </c>
      <c r="E378" s="62">
        <v>0</v>
      </c>
      <c r="F378" s="62">
        <f>IF(VLOOKUP($D378,$C$5:$AV$527,3,)=0,0,(VLOOKUP($D378,$C$5:$AV$527,4,)/VLOOKUP($D378,$C$5:$AV$527,3,))*$E378)</f>
        <v>0</v>
      </c>
      <c r="G378" s="62">
        <f>IF(VLOOKUP($D378,$C$5:$AV$527,3,)=0,0,(VLOOKUP($D378,$C$5:$AV$527,5,)/VLOOKUP($D378,$C$5:$AV$527,3,))*$E378)</f>
        <v>0</v>
      </c>
      <c r="H378" s="62">
        <f>IF(VLOOKUP($D378,$C$5:$AV$527,3,)=0,0,(VLOOKUP($D378,$C$5:$AV$527,6,)/VLOOKUP($D378,$C$5:$AV$527,3,))*$E378)</f>
        <v>0</v>
      </c>
      <c r="I378" s="62">
        <f>IF(VLOOKUP($D378,$C$5:$AV$527,3,)=0,0,(VLOOKUP($D378,$C$5:$AV$527,7,)/VLOOKUP($D378,$C$5:$AV$527,3,))*$E378)</f>
        <v>0</v>
      </c>
      <c r="J378" s="62">
        <f>IF(VLOOKUP($D378,$C$5:$AV$527,3,)=0,0,(VLOOKUP($D378,$C$5:$AV$527,8,)/VLOOKUP($D378,$C$5:$AV$527,3,))*$E378)</f>
        <v>0</v>
      </c>
      <c r="K378" s="62">
        <f>IF(VLOOKUP($D378,$C$5:$AV$527,3,)=0,0,(VLOOKUP($D378,$C$5:$AV$527,9,)/VLOOKUP($D378,$C$5:$AV$527,3,))*$E378)</f>
        <v>0</v>
      </c>
      <c r="L378" s="62">
        <f>IF(VLOOKUP($D378,$C$5:$AV$527,3,)=0,0,(VLOOKUP($D378,$C$5:$AV$527,10,)/VLOOKUP($D378,$C$5:$AV$527,3,))*$E378)</f>
        <v>0</v>
      </c>
      <c r="M378" s="62">
        <f>IF(VLOOKUP($D378,$C$5:$AV$527,3,)=0,0,(VLOOKUP($D378,$C$5:$AV$527,10,)/VLOOKUP($D378,$C$5:$AV$527,3,))*$E378)</f>
        <v>0</v>
      </c>
      <c r="N378" s="62">
        <f>IF(VLOOKUP($D378,$C$5:$AV$527,3,)=0,0,(VLOOKUP($D378,$C$5:$AV$527,11,)/VLOOKUP($D378,$C$5:$AV$527,3,))*$E378)</f>
        <v>0</v>
      </c>
      <c r="O378" s="62">
        <f>IF(VLOOKUP($D378,$C$5:$AV$527,3,)=0,0,(VLOOKUP($D378,$C$5:$AV$527,12,)/VLOOKUP($D378,$C$5:$AV$527,3,))*$E378)</f>
        <v>0</v>
      </c>
      <c r="P378" s="62">
        <f>IF(VLOOKUP($D378,$C$5:$AV$527,3,)=0,0,(VLOOKUP($D378,$C$5:$AV$527,13,)/VLOOKUP($D378,$C$5:$AV$527,3,))*$E378)</f>
        <v>0</v>
      </c>
      <c r="Q378" s="62">
        <f>IF(VLOOKUP($D378,$C$5:$AV$527,3,)=0,0,(VLOOKUP($D378,$C$5:$AV$527,14,)/VLOOKUP($D378,$C$5:$AV$527,3,))*$E378)</f>
        <v>0</v>
      </c>
      <c r="R378" s="62">
        <f>IF(VLOOKUP($D378,$C$5:$AV$527,3,)=0,0,(VLOOKUP($D378,$C$5:$AV$527,15,)/VLOOKUP($D378,$C$5:$AV$527,3,))*$E378)</f>
        <v>0</v>
      </c>
      <c r="S378" s="62">
        <f>IF(VLOOKUP($D378,$C$5:$AV$527,3,)=0,0,(VLOOKUP($D378,$C$5:$AV$527,16,)/VLOOKUP($D378,$C$5:$AV$527,3,))*$E378)</f>
        <v>0</v>
      </c>
      <c r="T378" s="62">
        <f>IF(VLOOKUP($D378,$C$5:$AV$527,3,)=0,0,(VLOOKUP($D378,$C$5:$AV$527,17,)/VLOOKUP($D378,$C$5:$AV$527,3,))*$E378)</f>
        <v>0</v>
      </c>
      <c r="U378" s="62">
        <f>IF(VLOOKUP($D378,$C$5:$AV$527,3,)=0,0,(VLOOKUP($D378,$C$5:$AV$527,18,)/VLOOKUP($D378,$C$5:$AV$527,3,))*$E378)</f>
        <v>0</v>
      </c>
      <c r="V378" s="62">
        <f>IF(VLOOKUP($D378,$C$5:$AV$527,3,)=0,0,(VLOOKUP($D378,$C$5:$AV$527,19,)/VLOOKUP($D378,$C$5:$AV$527,3,))*$E378)</f>
        <v>0</v>
      </c>
      <c r="W378" s="62">
        <f>IF(VLOOKUP($D378,$C$5:$AV$527,3,)=0,0,(VLOOKUP($D378,$C$5:$AV$527,20,)/VLOOKUP($D378,$C$5:$AV$527,3,))*$E378)</f>
        <v>0</v>
      </c>
      <c r="X378" s="62">
        <f>IF(VLOOKUP($D378,$C$5:$AV$527,3,)=0,0,(VLOOKUP($D378,$C$5:$AV$527,21,)/VLOOKUP($D378,$C$5:$AV$527,3,))*$E378)</f>
        <v>0</v>
      </c>
      <c r="Y378" s="62">
        <f>IF(VLOOKUP($D378,$C$5:$AV$527,3,)=0,0,(VLOOKUP($D378,$C$5:$AV$527,22,)/VLOOKUP($D378,$C$5:$AV$527,3,))*$E378)</f>
        <v>0</v>
      </c>
      <c r="Z378" s="62">
        <f>IF(VLOOKUP($D378,$C$5:$AV$527,3,)=0,0,(VLOOKUP($D378,$C$5:$AV$527,23,)/VLOOKUP($D378,$C$5:$AV$527,3,))*$E378)</f>
        <v>0</v>
      </c>
      <c r="AA378" s="62">
        <f>IF(VLOOKUP($D378,$C$5:$AV$527,3,)=0,0,(VLOOKUP($D378,$C$5:$AV$527,24,)/VLOOKUP($D378,$C$5:$AV$527,3,))*$E378)</f>
        <v>0</v>
      </c>
      <c r="AB378" s="62">
        <f>IF(VLOOKUP($D378,$C$5:$AV$527,3,)=0,0,(VLOOKUP($D378,$C$5:$AV$527,25,)/VLOOKUP($D378,$C$5:$AV$527,3,))*$E378)</f>
        <v>0</v>
      </c>
      <c r="AC378" s="62">
        <f>IF(VLOOKUP($D378,$C$5:$AV$527,3,)=0,0,(VLOOKUP($D378,$C$5:$AV$527,26,)/VLOOKUP($D378,$C$5:$AV$527,3,))*$E378)</f>
        <v>0</v>
      </c>
      <c r="AD378" s="62">
        <f>IF(VLOOKUP($D378,$C$5:$AV$527,3,)=0,0,(VLOOKUP($D378,$C$5:$AV$527,27,)/VLOOKUP($D378,$C$5:$AV$527,3,))*$E378)</f>
        <v>0</v>
      </c>
      <c r="AE378" s="62">
        <f>IF(VLOOKUP($D378,$C$5:$AV$527,3,)=0,0,(VLOOKUP($D378,$C$5:$AV$527,28,)/VLOOKUP($D378,$C$5:$AV$527,3,))*$E378)</f>
        <v>0</v>
      </c>
      <c r="AF378" s="62">
        <f>IF(VLOOKUP($D378,$C$5:$AV$527,3,)=0,0,(VLOOKUP($D378,$C$5:$AV$527,29,)/VLOOKUP($D378,$C$5:$AV$527,3,))*$E378)</f>
        <v>0</v>
      </c>
      <c r="AG378" s="62">
        <f>IF(VLOOKUP($D378,$C$5:$AV$527,3,)=0,0,(VLOOKUP($D378,$C$5:$AV$527,30,)/VLOOKUP($D378,$C$5:$AV$527,3,))*$E378)</f>
        <v>0</v>
      </c>
      <c r="AH378" s="87">
        <f t="shared" si="302"/>
        <v>0</v>
      </c>
      <c r="AI378" s="27" t="str">
        <f t="shared" si="270"/>
        <v>ok</v>
      </c>
    </row>
    <row r="379" spans="1:35" hidden="1" x14ac:dyDescent="0.2">
      <c r="A379" s="14">
        <v>15</v>
      </c>
      <c r="B379" s="14" t="s">
        <v>1041</v>
      </c>
      <c r="D379" s="14" t="s">
        <v>261</v>
      </c>
      <c r="E379" s="62">
        <v>0</v>
      </c>
      <c r="F379" s="62">
        <f>IF(VLOOKUP($D379,$C$5:$AV$527,3,)=0,0,(VLOOKUP($D379,$C$5:$AV$527,4,)/VLOOKUP($D379,$C$5:$AV$527,3,))*$E379)</f>
        <v>0</v>
      </c>
      <c r="G379" s="62">
        <f>IF(VLOOKUP($D379,$C$5:$AV$527,3,)=0,0,(VLOOKUP($D379,$C$5:$AV$527,5,)/VLOOKUP($D379,$C$5:$AV$527,3,))*$E379)</f>
        <v>0</v>
      </c>
      <c r="H379" s="62">
        <f>IF(VLOOKUP($D379,$C$5:$AV$527,3,)=0,0,(VLOOKUP($D379,$C$5:$AV$527,6,)/VLOOKUP($D379,$C$5:$AV$527,3,))*$E379)</f>
        <v>0</v>
      </c>
      <c r="I379" s="62">
        <f>IF(VLOOKUP($D379,$C$5:$AV$527,3,)=0,0,(VLOOKUP($D379,$C$5:$AV$527,7,)/VLOOKUP($D379,$C$5:$AV$527,3,))*$E379)</f>
        <v>0</v>
      </c>
      <c r="J379" s="62">
        <f>IF(VLOOKUP($D379,$C$5:$AV$527,3,)=0,0,(VLOOKUP($D379,$C$5:$AV$527,8,)/VLOOKUP($D379,$C$5:$AV$527,3,))*$E379)</f>
        <v>0</v>
      </c>
      <c r="K379" s="62">
        <f>IF(VLOOKUP($D379,$C$5:$AV$527,3,)=0,0,(VLOOKUP($D379,$C$5:$AV$527,9,)/VLOOKUP($D379,$C$5:$AV$527,3,))*$E379)</f>
        <v>0</v>
      </c>
      <c r="L379" s="62">
        <f>IF(VLOOKUP($D379,$C$5:$AV$527,3,)=0,0,(VLOOKUP($D379,$C$5:$AV$527,10,)/VLOOKUP($D379,$C$5:$AV$527,3,))*$E379)</f>
        <v>0</v>
      </c>
      <c r="M379" s="62">
        <f>IF(VLOOKUP($D379,$C$5:$AV$527,3,)=0,0,(VLOOKUP($D379,$C$5:$AV$527,10,)/VLOOKUP($D379,$C$5:$AV$527,3,))*$E379)</f>
        <v>0</v>
      </c>
      <c r="N379" s="62">
        <f>IF(VLOOKUP($D379,$C$5:$AV$527,3,)=0,0,(VLOOKUP($D379,$C$5:$AV$527,11,)/VLOOKUP($D379,$C$5:$AV$527,3,))*$E379)</f>
        <v>0</v>
      </c>
      <c r="O379" s="62">
        <f>IF(VLOOKUP($D379,$C$5:$AV$527,3,)=0,0,(VLOOKUP($D379,$C$5:$AV$527,12,)/VLOOKUP($D379,$C$5:$AV$527,3,))*$E379)</f>
        <v>0</v>
      </c>
      <c r="P379" s="62">
        <f>IF(VLOOKUP($D379,$C$5:$AV$527,3,)=0,0,(VLOOKUP($D379,$C$5:$AV$527,13,)/VLOOKUP($D379,$C$5:$AV$527,3,))*$E379)</f>
        <v>0</v>
      </c>
      <c r="Q379" s="62">
        <f>IF(VLOOKUP($D379,$C$5:$AV$527,3,)=0,0,(VLOOKUP($D379,$C$5:$AV$527,14,)/VLOOKUP($D379,$C$5:$AV$527,3,))*$E379)</f>
        <v>0</v>
      </c>
      <c r="R379" s="62">
        <f>IF(VLOOKUP($D379,$C$5:$AV$527,3,)=0,0,(VLOOKUP($D379,$C$5:$AV$527,15,)/VLOOKUP($D379,$C$5:$AV$527,3,))*$E379)</f>
        <v>0</v>
      </c>
      <c r="S379" s="62">
        <f>IF(VLOOKUP($D379,$C$5:$AV$527,3,)=0,0,(VLOOKUP($D379,$C$5:$AV$527,16,)/VLOOKUP($D379,$C$5:$AV$527,3,))*$E379)</f>
        <v>0</v>
      </c>
      <c r="T379" s="62">
        <f>IF(VLOOKUP($D379,$C$5:$AV$527,3,)=0,0,(VLOOKUP($D379,$C$5:$AV$527,17,)/VLOOKUP($D379,$C$5:$AV$527,3,))*$E379)</f>
        <v>0</v>
      </c>
      <c r="U379" s="62">
        <f>IF(VLOOKUP($D379,$C$5:$AV$527,3,)=0,0,(VLOOKUP($D379,$C$5:$AV$527,18,)/VLOOKUP($D379,$C$5:$AV$527,3,))*$E379)</f>
        <v>0</v>
      </c>
      <c r="V379" s="62">
        <f>IF(VLOOKUP($D379,$C$5:$AV$527,3,)=0,0,(VLOOKUP($D379,$C$5:$AV$527,19,)/VLOOKUP($D379,$C$5:$AV$527,3,))*$E379)</f>
        <v>0</v>
      </c>
      <c r="W379" s="62">
        <f>IF(VLOOKUP($D379,$C$5:$AV$527,3,)=0,0,(VLOOKUP($D379,$C$5:$AV$527,20,)/VLOOKUP($D379,$C$5:$AV$527,3,))*$E379)</f>
        <v>0</v>
      </c>
      <c r="X379" s="62">
        <f>IF(VLOOKUP($D379,$C$5:$AV$527,3,)=0,0,(VLOOKUP($D379,$C$5:$AV$527,21,)/VLOOKUP($D379,$C$5:$AV$527,3,))*$E379)</f>
        <v>0</v>
      </c>
      <c r="Y379" s="62">
        <f>IF(VLOOKUP($D379,$C$5:$AV$527,3,)=0,0,(VLOOKUP($D379,$C$5:$AV$527,22,)/VLOOKUP($D379,$C$5:$AV$527,3,))*$E379)</f>
        <v>0</v>
      </c>
      <c r="Z379" s="62">
        <f>IF(VLOOKUP($D379,$C$5:$AV$527,3,)=0,0,(VLOOKUP($D379,$C$5:$AV$527,23,)/VLOOKUP($D379,$C$5:$AV$527,3,))*$E379)</f>
        <v>0</v>
      </c>
      <c r="AA379" s="62">
        <f>IF(VLOOKUP($D379,$C$5:$AV$527,3,)=0,0,(VLOOKUP($D379,$C$5:$AV$527,24,)/VLOOKUP($D379,$C$5:$AV$527,3,))*$E379)</f>
        <v>0</v>
      </c>
      <c r="AB379" s="62">
        <f>IF(VLOOKUP($D379,$C$5:$AV$527,3,)=0,0,(VLOOKUP($D379,$C$5:$AV$527,25,)/VLOOKUP($D379,$C$5:$AV$527,3,))*$E379)</f>
        <v>0</v>
      </c>
      <c r="AC379" s="62">
        <f>IF(VLOOKUP($D379,$C$5:$AV$527,3,)=0,0,(VLOOKUP($D379,$C$5:$AV$527,26,)/VLOOKUP($D379,$C$5:$AV$527,3,))*$E379)</f>
        <v>0</v>
      </c>
      <c r="AD379" s="62">
        <f>IF(VLOOKUP($D379,$C$5:$AV$527,3,)=0,0,(VLOOKUP($D379,$C$5:$AV$527,27,)/VLOOKUP($D379,$C$5:$AV$527,3,))*$E379)</f>
        <v>0</v>
      </c>
      <c r="AE379" s="62">
        <f>IF(VLOOKUP($D379,$C$5:$AV$527,3,)=0,0,(VLOOKUP($D379,$C$5:$AV$527,28,)/VLOOKUP($D379,$C$5:$AV$527,3,))*$E379)</f>
        <v>0</v>
      </c>
      <c r="AF379" s="62">
        <f>IF(VLOOKUP($D379,$C$5:$AV$527,3,)=0,0,(VLOOKUP($D379,$C$5:$AV$527,29,)/VLOOKUP($D379,$C$5:$AV$527,3,))*$E379)</f>
        <v>0</v>
      </c>
      <c r="AG379" s="62">
        <f>IF(VLOOKUP($D379,$C$5:$AV$527,3,)=0,0,(VLOOKUP($D379,$C$5:$AV$527,30,)/VLOOKUP($D379,$C$5:$AV$527,3,))*$E379)</f>
        <v>0</v>
      </c>
      <c r="AH379" s="87">
        <f t="shared" si="302"/>
        <v>0</v>
      </c>
      <c r="AI379" s="27" t="str">
        <f t="shared" si="270"/>
        <v>ok</v>
      </c>
    </row>
    <row r="380" spans="1:35" hidden="1" x14ac:dyDescent="0.2">
      <c r="A380" s="14">
        <v>16</v>
      </c>
      <c r="B380" s="14" t="s">
        <v>1041</v>
      </c>
      <c r="D380" s="14" t="s">
        <v>261</v>
      </c>
      <c r="E380" s="62">
        <v>0</v>
      </c>
      <c r="F380" s="62">
        <f>IF(VLOOKUP($D380,$C$5:$AV$527,3,)=0,0,(VLOOKUP($D380,$C$5:$AV$527,4,)/VLOOKUP($D380,$C$5:$AV$527,3,))*$E380)</f>
        <v>0</v>
      </c>
      <c r="G380" s="62">
        <f>IF(VLOOKUP($D380,$C$5:$AV$527,3,)=0,0,(VLOOKUP($D380,$C$5:$AV$527,5,)/VLOOKUP($D380,$C$5:$AV$527,3,))*$E380)</f>
        <v>0</v>
      </c>
      <c r="H380" s="62">
        <f>IF(VLOOKUP($D380,$C$5:$AV$527,3,)=0,0,(VLOOKUP($D380,$C$5:$AV$527,6,)/VLOOKUP($D380,$C$5:$AV$527,3,))*$E380)</f>
        <v>0</v>
      </c>
      <c r="I380" s="62">
        <f>IF(VLOOKUP($D380,$C$5:$AV$527,3,)=0,0,(VLOOKUP($D380,$C$5:$AV$527,7,)/VLOOKUP($D380,$C$5:$AV$527,3,))*$E380)</f>
        <v>0</v>
      </c>
      <c r="J380" s="62">
        <f>IF(VLOOKUP($D380,$C$5:$AV$527,3,)=0,0,(VLOOKUP($D380,$C$5:$AV$527,8,)/VLOOKUP($D380,$C$5:$AV$527,3,))*$E380)</f>
        <v>0</v>
      </c>
      <c r="K380" s="62">
        <f>IF(VLOOKUP($D380,$C$5:$AV$527,3,)=0,0,(VLOOKUP($D380,$C$5:$AV$527,9,)/VLOOKUP($D380,$C$5:$AV$527,3,))*$E380)</f>
        <v>0</v>
      </c>
      <c r="L380" s="62">
        <f>IF(VLOOKUP($D380,$C$5:$AV$527,3,)=0,0,(VLOOKUP($D380,$C$5:$AV$527,10,)/VLOOKUP($D380,$C$5:$AV$527,3,))*$E380)</f>
        <v>0</v>
      </c>
      <c r="M380" s="62">
        <f>IF(VLOOKUP($D380,$C$5:$AV$527,3,)=0,0,(VLOOKUP($D380,$C$5:$AV$527,10,)/VLOOKUP($D380,$C$5:$AV$527,3,))*$E380)</f>
        <v>0</v>
      </c>
      <c r="N380" s="62">
        <f>IF(VLOOKUP($D380,$C$5:$AV$527,3,)=0,0,(VLOOKUP($D380,$C$5:$AV$527,11,)/VLOOKUP($D380,$C$5:$AV$527,3,))*$E380)</f>
        <v>0</v>
      </c>
      <c r="O380" s="62">
        <f>IF(VLOOKUP($D380,$C$5:$AV$527,3,)=0,0,(VLOOKUP($D380,$C$5:$AV$527,12,)/VLOOKUP($D380,$C$5:$AV$527,3,))*$E380)</f>
        <v>0</v>
      </c>
      <c r="P380" s="62">
        <f>IF(VLOOKUP($D380,$C$5:$AV$527,3,)=0,0,(VLOOKUP($D380,$C$5:$AV$527,13,)/VLOOKUP($D380,$C$5:$AV$527,3,))*$E380)</f>
        <v>0</v>
      </c>
      <c r="Q380" s="62">
        <f>IF(VLOOKUP($D380,$C$5:$AV$527,3,)=0,0,(VLOOKUP($D380,$C$5:$AV$527,14,)/VLOOKUP($D380,$C$5:$AV$527,3,))*$E380)</f>
        <v>0</v>
      </c>
      <c r="R380" s="62">
        <f>IF(VLOOKUP($D380,$C$5:$AV$527,3,)=0,0,(VLOOKUP($D380,$C$5:$AV$527,15,)/VLOOKUP($D380,$C$5:$AV$527,3,))*$E380)</f>
        <v>0</v>
      </c>
      <c r="S380" s="62">
        <f>IF(VLOOKUP($D380,$C$5:$AV$527,3,)=0,0,(VLOOKUP($D380,$C$5:$AV$527,16,)/VLOOKUP($D380,$C$5:$AV$527,3,))*$E380)</f>
        <v>0</v>
      </c>
      <c r="T380" s="62">
        <f>IF(VLOOKUP($D380,$C$5:$AV$527,3,)=0,0,(VLOOKUP($D380,$C$5:$AV$527,17,)/VLOOKUP($D380,$C$5:$AV$527,3,))*$E380)</f>
        <v>0</v>
      </c>
      <c r="U380" s="62">
        <f>IF(VLOOKUP($D380,$C$5:$AV$527,3,)=0,0,(VLOOKUP($D380,$C$5:$AV$527,18,)/VLOOKUP($D380,$C$5:$AV$527,3,))*$E380)</f>
        <v>0</v>
      </c>
      <c r="V380" s="62">
        <f>IF(VLOOKUP($D380,$C$5:$AV$527,3,)=0,0,(VLOOKUP($D380,$C$5:$AV$527,19,)/VLOOKUP($D380,$C$5:$AV$527,3,))*$E380)</f>
        <v>0</v>
      </c>
      <c r="W380" s="62">
        <f>IF(VLOOKUP($D380,$C$5:$AV$527,3,)=0,0,(VLOOKUP($D380,$C$5:$AV$527,20,)/VLOOKUP($D380,$C$5:$AV$527,3,))*$E380)</f>
        <v>0</v>
      </c>
      <c r="X380" s="62">
        <f>IF(VLOOKUP($D380,$C$5:$AV$527,3,)=0,0,(VLOOKUP($D380,$C$5:$AV$527,21,)/VLOOKUP($D380,$C$5:$AV$527,3,))*$E380)</f>
        <v>0</v>
      </c>
      <c r="Y380" s="62">
        <f>IF(VLOOKUP($D380,$C$5:$AV$527,3,)=0,0,(VLOOKUP($D380,$C$5:$AV$527,22,)/VLOOKUP($D380,$C$5:$AV$527,3,))*$E380)</f>
        <v>0</v>
      </c>
      <c r="Z380" s="62">
        <f>IF(VLOOKUP($D380,$C$5:$AV$527,3,)=0,0,(VLOOKUP($D380,$C$5:$AV$527,23,)/VLOOKUP($D380,$C$5:$AV$527,3,))*$E380)</f>
        <v>0</v>
      </c>
      <c r="AA380" s="62">
        <f>IF(VLOOKUP($D380,$C$5:$AV$527,3,)=0,0,(VLOOKUP($D380,$C$5:$AV$527,24,)/VLOOKUP($D380,$C$5:$AV$527,3,))*$E380)</f>
        <v>0</v>
      </c>
      <c r="AB380" s="62">
        <f>IF(VLOOKUP($D380,$C$5:$AV$527,3,)=0,0,(VLOOKUP($D380,$C$5:$AV$527,25,)/VLOOKUP($D380,$C$5:$AV$527,3,))*$E380)</f>
        <v>0</v>
      </c>
      <c r="AC380" s="62">
        <f>IF(VLOOKUP($D380,$C$5:$AV$527,3,)=0,0,(VLOOKUP($D380,$C$5:$AV$527,26,)/VLOOKUP($D380,$C$5:$AV$527,3,))*$E380)</f>
        <v>0</v>
      </c>
      <c r="AD380" s="62">
        <f>IF(VLOOKUP($D380,$C$5:$AV$527,3,)=0,0,(VLOOKUP($D380,$C$5:$AV$527,27,)/VLOOKUP($D380,$C$5:$AV$527,3,))*$E380)</f>
        <v>0</v>
      </c>
      <c r="AE380" s="62">
        <f>IF(VLOOKUP($D380,$C$5:$AV$527,3,)=0,0,(VLOOKUP($D380,$C$5:$AV$527,28,)/VLOOKUP($D380,$C$5:$AV$527,3,))*$E380)</f>
        <v>0</v>
      </c>
      <c r="AF380" s="62">
        <f>IF(VLOOKUP($D380,$C$5:$AV$527,3,)=0,0,(VLOOKUP($D380,$C$5:$AV$527,29,)/VLOOKUP($D380,$C$5:$AV$527,3,))*$E380)</f>
        <v>0</v>
      </c>
      <c r="AG380" s="62">
        <f>IF(VLOOKUP($D380,$C$5:$AV$527,3,)=0,0,(VLOOKUP($D380,$C$5:$AV$527,30,)/VLOOKUP($D380,$C$5:$AV$527,3,))*$E380)</f>
        <v>0</v>
      </c>
      <c r="AH380" s="87">
        <f t="shared" ref="AH380" si="303">SUM(F380:AG380)</f>
        <v>0</v>
      </c>
      <c r="AI380" s="27" t="str">
        <f t="shared" ref="AI380" si="304">IF(ABS(E380-AH380)&lt;0.01,"ok","err")</f>
        <v>ok</v>
      </c>
    </row>
    <row r="381" spans="1:35" hidden="1" x14ac:dyDescent="0.2">
      <c r="A381" s="26">
        <v>17</v>
      </c>
      <c r="B381" s="14" t="s">
        <v>1041</v>
      </c>
      <c r="D381" s="14" t="s">
        <v>261</v>
      </c>
      <c r="E381" s="62">
        <v>0</v>
      </c>
      <c r="F381" s="62">
        <f>IF(VLOOKUP($D381,$C$5:$AV$527,3,)=0,0,(VLOOKUP($D381,$C$5:$AV$527,4,)/VLOOKUP($D381,$C$5:$AV$527,3,))*$E381)</f>
        <v>0</v>
      </c>
      <c r="G381" s="62">
        <f>IF(VLOOKUP($D381,$C$5:$AV$527,3,)=0,0,(VLOOKUP($D381,$C$5:$AV$527,5,)/VLOOKUP($D381,$C$5:$AV$527,3,))*$E381)</f>
        <v>0</v>
      </c>
      <c r="H381" s="62">
        <f>IF(VLOOKUP($D381,$C$5:$AV$527,3,)=0,0,(VLOOKUP($D381,$C$5:$AV$527,6,)/VLOOKUP($D381,$C$5:$AV$527,3,))*$E381)</f>
        <v>0</v>
      </c>
      <c r="I381" s="62">
        <f>IF(VLOOKUP($D381,$C$5:$AV$527,3,)=0,0,(VLOOKUP($D381,$C$5:$AV$527,7,)/VLOOKUP($D381,$C$5:$AV$527,3,))*$E381)</f>
        <v>0</v>
      </c>
      <c r="J381" s="62">
        <f>IF(VLOOKUP($D381,$C$5:$AV$527,3,)=0,0,(VLOOKUP($D381,$C$5:$AV$527,8,)/VLOOKUP($D381,$C$5:$AV$527,3,))*$E381)</f>
        <v>0</v>
      </c>
      <c r="K381" s="62">
        <f>IF(VLOOKUP($D381,$C$5:$AV$527,3,)=0,0,(VLOOKUP($D381,$C$5:$AV$527,9,)/VLOOKUP($D381,$C$5:$AV$527,3,))*$E381)</f>
        <v>0</v>
      </c>
      <c r="L381" s="62">
        <f>IF(VLOOKUP($D381,$C$5:$AV$527,3,)=0,0,(VLOOKUP($D381,$C$5:$AV$527,10,)/VLOOKUP($D381,$C$5:$AV$527,3,))*$E381)</f>
        <v>0</v>
      </c>
      <c r="M381" s="62">
        <f>IF(VLOOKUP($D381,$C$5:$AV$527,3,)=0,0,(VLOOKUP($D381,$C$5:$AV$527,10,)/VLOOKUP($D381,$C$5:$AV$527,3,))*$E381)</f>
        <v>0</v>
      </c>
      <c r="N381" s="62">
        <f>IF(VLOOKUP($D381,$C$5:$AV$527,3,)=0,0,(VLOOKUP($D381,$C$5:$AV$527,11,)/VLOOKUP($D381,$C$5:$AV$527,3,))*$E381)</f>
        <v>0</v>
      </c>
      <c r="O381" s="62">
        <f>IF(VLOOKUP($D381,$C$5:$AV$527,3,)=0,0,(VLOOKUP($D381,$C$5:$AV$527,12,)/VLOOKUP($D381,$C$5:$AV$527,3,))*$E381)</f>
        <v>0</v>
      </c>
      <c r="P381" s="62">
        <f>IF(VLOOKUP($D381,$C$5:$AV$527,3,)=0,0,(VLOOKUP($D381,$C$5:$AV$527,13,)/VLOOKUP($D381,$C$5:$AV$527,3,))*$E381)</f>
        <v>0</v>
      </c>
      <c r="Q381" s="62">
        <f>IF(VLOOKUP($D381,$C$5:$AV$527,3,)=0,0,(VLOOKUP($D381,$C$5:$AV$527,14,)/VLOOKUP($D381,$C$5:$AV$527,3,))*$E381)</f>
        <v>0</v>
      </c>
      <c r="R381" s="62">
        <f>IF(VLOOKUP($D381,$C$5:$AV$527,3,)=0,0,(VLOOKUP($D381,$C$5:$AV$527,15,)/VLOOKUP($D381,$C$5:$AV$527,3,))*$E381)</f>
        <v>0</v>
      </c>
      <c r="S381" s="62">
        <f>IF(VLOOKUP($D381,$C$5:$AV$527,3,)=0,0,(VLOOKUP($D381,$C$5:$AV$527,16,)/VLOOKUP($D381,$C$5:$AV$527,3,))*$E381)</f>
        <v>0</v>
      </c>
      <c r="T381" s="62">
        <f>IF(VLOOKUP($D381,$C$5:$AV$527,3,)=0,0,(VLOOKUP($D381,$C$5:$AV$527,17,)/VLOOKUP($D381,$C$5:$AV$527,3,))*$E381)</f>
        <v>0</v>
      </c>
      <c r="U381" s="62">
        <f>IF(VLOOKUP($D381,$C$5:$AV$527,3,)=0,0,(VLOOKUP($D381,$C$5:$AV$527,18,)/VLOOKUP($D381,$C$5:$AV$527,3,))*$E381)</f>
        <v>0</v>
      </c>
      <c r="V381" s="62">
        <f>IF(VLOOKUP($D381,$C$5:$AV$527,3,)=0,0,(VLOOKUP($D381,$C$5:$AV$527,19,)/VLOOKUP($D381,$C$5:$AV$527,3,))*$E381)</f>
        <v>0</v>
      </c>
      <c r="W381" s="62">
        <f>IF(VLOOKUP($D381,$C$5:$AV$527,3,)=0,0,(VLOOKUP($D381,$C$5:$AV$527,20,)/VLOOKUP($D381,$C$5:$AV$527,3,))*$E381)</f>
        <v>0</v>
      </c>
      <c r="X381" s="62">
        <f>IF(VLOOKUP($D381,$C$5:$AV$527,3,)=0,0,(VLOOKUP($D381,$C$5:$AV$527,21,)/VLOOKUP($D381,$C$5:$AV$527,3,))*$E381)</f>
        <v>0</v>
      </c>
      <c r="Y381" s="62">
        <f>IF(VLOOKUP($D381,$C$5:$AV$527,3,)=0,0,(VLOOKUP($D381,$C$5:$AV$527,22,)/VLOOKUP($D381,$C$5:$AV$527,3,))*$E381)</f>
        <v>0</v>
      </c>
      <c r="Z381" s="62">
        <f>IF(VLOOKUP($D381,$C$5:$AV$527,3,)=0,0,(VLOOKUP($D381,$C$5:$AV$527,23,)/VLOOKUP($D381,$C$5:$AV$527,3,))*$E381)</f>
        <v>0</v>
      </c>
      <c r="AA381" s="62">
        <f>IF(VLOOKUP($D381,$C$5:$AV$527,3,)=0,0,(VLOOKUP($D381,$C$5:$AV$527,24,)/VLOOKUP($D381,$C$5:$AV$527,3,))*$E381)</f>
        <v>0</v>
      </c>
      <c r="AB381" s="62">
        <f>IF(VLOOKUP($D381,$C$5:$AV$527,3,)=0,0,(VLOOKUP($D381,$C$5:$AV$527,25,)/VLOOKUP($D381,$C$5:$AV$527,3,))*$E381)</f>
        <v>0</v>
      </c>
      <c r="AC381" s="62">
        <f>IF(VLOOKUP($D381,$C$5:$AV$527,3,)=0,0,(VLOOKUP($D381,$C$5:$AV$527,26,)/VLOOKUP($D381,$C$5:$AV$527,3,))*$E381)</f>
        <v>0</v>
      </c>
      <c r="AD381" s="62">
        <f>IF(VLOOKUP($D381,$C$5:$AV$527,3,)=0,0,(VLOOKUP($D381,$C$5:$AV$527,27,)/VLOOKUP($D381,$C$5:$AV$527,3,))*$E381)</f>
        <v>0</v>
      </c>
      <c r="AE381" s="62">
        <f>IF(VLOOKUP($D381,$C$5:$AV$527,3,)=0,0,(VLOOKUP($D381,$C$5:$AV$527,28,)/VLOOKUP($D381,$C$5:$AV$527,3,))*$E381)</f>
        <v>0</v>
      </c>
      <c r="AF381" s="62">
        <f>IF(VLOOKUP($D381,$C$5:$AV$527,3,)=0,0,(VLOOKUP($D381,$C$5:$AV$527,29,)/VLOOKUP($D381,$C$5:$AV$527,3,))*$E381)</f>
        <v>0</v>
      </c>
      <c r="AG381" s="62">
        <f>IF(VLOOKUP($D381,$C$5:$AV$527,3,)=0,0,(VLOOKUP($D381,$C$5:$AV$527,30,)/VLOOKUP($D381,$C$5:$AV$527,3,))*$E381)</f>
        <v>0</v>
      </c>
      <c r="AH381" s="87">
        <f>SUM(F381:AG381)</f>
        <v>0</v>
      </c>
      <c r="AI381" s="27" t="str">
        <f>IF(ABS(E381-AH381)&lt;0.01,"ok","err")</f>
        <v>ok</v>
      </c>
    </row>
    <row r="382" spans="1:35" hidden="1" x14ac:dyDescent="0.2">
      <c r="A382" s="26">
        <v>18</v>
      </c>
      <c r="B382" s="14" t="s">
        <v>1041</v>
      </c>
      <c r="D382" s="14" t="s">
        <v>261</v>
      </c>
      <c r="E382" s="62">
        <v>0</v>
      </c>
      <c r="F382" s="62">
        <f>IF(VLOOKUP($D382,$C$5:$AV$527,3,)=0,0,(VLOOKUP($D382,$C$5:$AV$527,4,)/VLOOKUP($D382,$C$5:$AV$527,3,))*$E382)</f>
        <v>0</v>
      </c>
      <c r="G382" s="62">
        <f>IF(VLOOKUP($D382,$C$5:$AV$527,3,)=0,0,(VLOOKUP($D382,$C$5:$AV$527,5,)/VLOOKUP($D382,$C$5:$AV$527,3,))*$E382)</f>
        <v>0</v>
      </c>
      <c r="H382" s="62">
        <f>IF(VLOOKUP($D382,$C$5:$AV$527,3,)=0,0,(VLOOKUP($D382,$C$5:$AV$527,6,)/VLOOKUP($D382,$C$5:$AV$527,3,))*$E382)</f>
        <v>0</v>
      </c>
      <c r="I382" s="62">
        <f>IF(VLOOKUP($D382,$C$5:$AV$527,3,)=0,0,(VLOOKUP($D382,$C$5:$AV$527,7,)/VLOOKUP($D382,$C$5:$AV$527,3,))*$E382)</f>
        <v>0</v>
      </c>
      <c r="J382" s="62">
        <f>IF(VLOOKUP($D382,$C$5:$AV$527,3,)=0,0,(VLOOKUP($D382,$C$5:$AV$527,8,)/VLOOKUP($D382,$C$5:$AV$527,3,))*$E382)</f>
        <v>0</v>
      </c>
      <c r="K382" s="62">
        <f>IF(VLOOKUP($D382,$C$5:$AV$527,3,)=0,0,(VLOOKUP($D382,$C$5:$AV$527,9,)/VLOOKUP($D382,$C$5:$AV$527,3,))*$E382)</f>
        <v>0</v>
      </c>
      <c r="L382" s="62">
        <f>IF(VLOOKUP($D382,$C$5:$AV$527,3,)=0,0,(VLOOKUP($D382,$C$5:$AV$527,10,)/VLOOKUP($D382,$C$5:$AV$527,3,))*$E382)</f>
        <v>0</v>
      </c>
      <c r="M382" s="62">
        <f>IF(VLOOKUP($D382,$C$5:$AV$527,3,)=0,0,(VLOOKUP($D382,$C$5:$AV$527,10,)/VLOOKUP($D382,$C$5:$AV$527,3,))*$E382)</f>
        <v>0</v>
      </c>
      <c r="N382" s="62">
        <f>IF(VLOOKUP($D382,$C$5:$AV$527,3,)=0,0,(VLOOKUP($D382,$C$5:$AV$527,11,)/VLOOKUP($D382,$C$5:$AV$527,3,))*$E382)</f>
        <v>0</v>
      </c>
      <c r="O382" s="62">
        <f>IF(VLOOKUP($D382,$C$5:$AV$527,3,)=0,0,(VLOOKUP($D382,$C$5:$AV$527,12,)/VLOOKUP($D382,$C$5:$AV$527,3,))*$E382)</f>
        <v>0</v>
      </c>
      <c r="P382" s="62">
        <f>IF(VLOOKUP($D382,$C$5:$AV$527,3,)=0,0,(VLOOKUP($D382,$C$5:$AV$527,13,)/VLOOKUP($D382,$C$5:$AV$527,3,))*$E382)</f>
        <v>0</v>
      </c>
      <c r="Q382" s="62">
        <f>IF(VLOOKUP($D382,$C$5:$AV$527,3,)=0,0,(VLOOKUP($D382,$C$5:$AV$527,14,)/VLOOKUP($D382,$C$5:$AV$527,3,))*$E382)</f>
        <v>0</v>
      </c>
      <c r="R382" s="62">
        <f>IF(VLOOKUP($D382,$C$5:$AV$527,3,)=0,0,(VLOOKUP($D382,$C$5:$AV$527,15,)/VLOOKUP($D382,$C$5:$AV$527,3,))*$E382)</f>
        <v>0</v>
      </c>
      <c r="S382" s="62">
        <f>IF(VLOOKUP($D382,$C$5:$AV$527,3,)=0,0,(VLOOKUP($D382,$C$5:$AV$527,16,)/VLOOKUP($D382,$C$5:$AV$527,3,))*$E382)</f>
        <v>0</v>
      </c>
      <c r="T382" s="62">
        <f>IF(VLOOKUP($D382,$C$5:$AV$527,3,)=0,0,(VLOOKUP($D382,$C$5:$AV$527,17,)/VLOOKUP($D382,$C$5:$AV$527,3,))*$E382)</f>
        <v>0</v>
      </c>
      <c r="U382" s="62">
        <f>IF(VLOOKUP($D382,$C$5:$AV$527,3,)=0,0,(VLOOKUP($D382,$C$5:$AV$527,18,)/VLOOKUP($D382,$C$5:$AV$527,3,))*$E382)</f>
        <v>0</v>
      </c>
      <c r="V382" s="62">
        <f>IF(VLOOKUP($D382,$C$5:$AV$527,3,)=0,0,(VLOOKUP($D382,$C$5:$AV$527,19,)/VLOOKUP($D382,$C$5:$AV$527,3,))*$E382)</f>
        <v>0</v>
      </c>
      <c r="W382" s="62">
        <f>IF(VLOOKUP($D382,$C$5:$AV$527,3,)=0,0,(VLOOKUP($D382,$C$5:$AV$527,20,)/VLOOKUP($D382,$C$5:$AV$527,3,))*$E382)</f>
        <v>0</v>
      </c>
      <c r="X382" s="62">
        <f>IF(VLOOKUP($D382,$C$5:$AV$527,3,)=0,0,(VLOOKUP($D382,$C$5:$AV$527,21,)/VLOOKUP($D382,$C$5:$AV$527,3,))*$E382)</f>
        <v>0</v>
      </c>
      <c r="Y382" s="62">
        <f>IF(VLOOKUP($D382,$C$5:$AV$527,3,)=0,0,(VLOOKUP($D382,$C$5:$AV$527,22,)/VLOOKUP($D382,$C$5:$AV$527,3,))*$E382)</f>
        <v>0</v>
      </c>
      <c r="Z382" s="62">
        <f>IF(VLOOKUP($D382,$C$5:$AV$527,3,)=0,0,(VLOOKUP($D382,$C$5:$AV$527,23,)/VLOOKUP($D382,$C$5:$AV$527,3,))*$E382)</f>
        <v>0</v>
      </c>
      <c r="AA382" s="62">
        <f>IF(VLOOKUP($D382,$C$5:$AV$527,3,)=0,0,(VLOOKUP($D382,$C$5:$AV$527,24,)/VLOOKUP($D382,$C$5:$AV$527,3,))*$E382)</f>
        <v>0</v>
      </c>
      <c r="AB382" s="62">
        <f>IF(VLOOKUP($D382,$C$5:$AV$527,3,)=0,0,(VLOOKUP($D382,$C$5:$AV$527,25,)/VLOOKUP($D382,$C$5:$AV$527,3,))*$E382)</f>
        <v>0</v>
      </c>
      <c r="AC382" s="62">
        <f>IF(VLOOKUP($D382,$C$5:$AV$527,3,)=0,0,(VLOOKUP($D382,$C$5:$AV$527,26,)/VLOOKUP($D382,$C$5:$AV$527,3,))*$E382)</f>
        <v>0</v>
      </c>
      <c r="AD382" s="62">
        <f>IF(VLOOKUP($D382,$C$5:$AV$527,3,)=0,0,(VLOOKUP($D382,$C$5:$AV$527,27,)/VLOOKUP($D382,$C$5:$AV$527,3,))*$E382)</f>
        <v>0</v>
      </c>
      <c r="AE382" s="62">
        <f>IF(VLOOKUP($D382,$C$5:$AV$527,3,)=0,0,(VLOOKUP($D382,$C$5:$AV$527,28,)/VLOOKUP($D382,$C$5:$AV$527,3,))*$E382)</f>
        <v>0</v>
      </c>
      <c r="AF382" s="62">
        <f>IF(VLOOKUP($D382,$C$5:$AV$527,3,)=0,0,(VLOOKUP($D382,$C$5:$AV$527,29,)/VLOOKUP($D382,$C$5:$AV$527,3,))*$E382)</f>
        <v>0</v>
      </c>
      <c r="AG382" s="62">
        <f>IF(VLOOKUP($D382,$C$5:$AV$527,3,)=0,0,(VLOOKUP($D382,$C$5:$AV$527,30,)/VLOOKUP($D382,$C$5:$AV$527,3,))*$E382)</f>
        <v>0</v>
      </c>
      <c r="AH382" s="87">
        <f t="shared" ref="AH382:AH385" si="305">SUM(F382:AG382)</f>
        <v>0</v>
      </c>
      <c r="AI382" s="27" t="str">
        <f t="shared" ref="AI382:AI385" si="306">IF(ABS(E382-AH382)&lt;0.01,"ok","err")</f>
        <v>ok</v>
      </c>
    </row>
    <row r="383" spans="1:35" hidden="1" x14ac:dyDescent="0.2">
      <c r="A383" s="14">
        <v>19</v>
      </c>
      <c r="B383" s="14" t="s">
        <v>1041</v>
      </c>
      <c r="D383" s="14" t="s">
        <v>261</v>
      </c>
      <c r="E383" s="62">
        <v>0</v>
      </c>
      <c r="F383" s="62">
        <f>IF(VLOOKUP($D383,$C$5:$AV$527,3,)=0,0,(VLOOKUP($D383,$C$5:$AV$527,4,)/VLOOKUP($D383,$C$5:$AV$527,3,))*$E383)</f>
        <v>0</v>
      </c>
      <c r="G383" s="62">
        <f>IF(VLOOKUP($D383,$C$5:$AV$527,3,)=0,0,(VLOOKUP($D383,$C$5:$AV$527,5,)/VLOOKUP($D383,$C$5:$AV$527,3,))*$E383)</f>
        <v>0</v>
      </c>
      <c r="H383" s="62">
        <f>IF(VLOOKUP($D383,$C$5:$AV$527,3,)=0,0,(VLOOKUP($D383,$C$5:$AV$527,6,)/VLOOKUP($D383,$C$5:$AV$527,3,))*$E383)</f>
        <v>0</v>
      </c>
      <c r="I383" s="62">
        <f>IF(VLOOKUP($D383,$C$5:$AV$527,3,)=0,0,(VLOOKUP($D383,$C$5:$AV$527,7,)/VLOOKUP($D383,$C$5:$AV$527,3,))*$E383)</f>
        <v>0</v>
      </c>
      <c r="J383" s="62">
        <f>IF(VLOOKUP($D383,$C$5:$AV$527,3,)=0,0,(VLOOKUP($D383,$C$5:$AV$527,8,)/VLOOKUP($D383,$C$5:$AV$527,3,))*$E383)</f>
        <v>0</v>
      </c>
      <c r="K383" s="62">
        <f>IF(VLOOKUP($D383,$C$5:$AV$527,3,)=0,0,(VLOOKUP($D383,$C$5:$AV$527,9,)/VLOOKUP($D383,$C$5:$AV$527,3,))*$E383)</f>
        <v>0</v>
      </c>
      <c r="L383" s="62">
        <f>IF(VLOOKUP($D383,$C$5:$AV$527,3,)=0,0,(VLOOKUP($D383,$C$5:$AV$527,10,)/VLOOKUP($D383,$C$5:$AV$527,3,))*$E383)</f>
        <v>0</v>
      </c>
      <c r="M383" s="62">
        <f>IF(VLOOKUP($D383,$C$5:$AV$527,3,)=0,0,(VLOOKUP($D383,$C$5:$AV$527,10,)/VLOOKUP($D383,$C$5:$AV$527,3,))*$E383)</f>
        <v>0</v>
      </c>
      <c r="N383" s="62">
        <f>IF(VLOOKUP($D383,$C$5:$AV$527,3,)=0,0,(VLOOKUP($D383,$C$5:$AV$527,11,)/VLOOKUP($D383,$C$5:$AV$527,3,))*$E383)</f>
        <v>0</v>
      </c>
      <c r="O383" s="62">
        <f>IF(VLOOKUP($D383,$C$5:$AV$527,3,)=0,0,(VLOOKUP($D383,$C$5:$AV$527,12,)/VLOOKUP($D383,$C$5:$AV$527,3,))*$E383)</f>
        <v>0</v>
      </c>
      <c r="P383" s="62">
        <f>IF(VLOOKUP($D383,$C$5:$AV$527,3,)=0,0,(VLOOKUP($D383,$C$5:$AV$527,13,)/VLOOKUP($D383,$C$5:$AV$527,3,))*$E383)</f>
        <v>0</v>
      </c>
      <c r="Q383" s="62">
        <f>IF(VLOOKUP($D383,$C$5:$AV$527,3,)=0,0,(VLOOKUP($D383,$C$5:$AV$527,14,)/VLOOKUP($D383,$C$5:$AV$527,3,))*$E383)</f>
        <v>0</v>
      </c>
      <c r="R383" s="62">
        <f>IF(VLOOKUP($D383,$C$5:$AV$527,3,)=0,0,(VLOOKUP($D383,$C$5:$AV$527,15,)/VLOOKUP($D383,$C$5:$AV$527,3,))*$E383)</f>
        <v>0</v>
      </c>
      <c r="S383" s="62">
        <f>IF(VLOOKUP($D383,$C$5:$AV$527,3,)=0,0,(VLOOKUP($D383,$C$5:$AV$527,16,)/VLOOKUP($D383,$C$5:$AV$527,3,))*$E383)</f>
        <v>0</v>
      </c>
      <c r="T383" s="62">
        <f>IF(VLOOKUP($D383,$C$5:$AV$527,3,)=0,0,(VLOOKUP($D383,$C$5:$AV$527,17,)/VLOOKUP($D383,$C$5:$AV$527,3,))*$E383)</f>
        <v>0</v>
      </c>
      <c r="U383" s="62">
        <f>IF(VLOOKUP($D383,$C$5:$AV$527,3,)=0,0,(VLOOKUP($D383,$C$5:$AV$527,18,)/VLOOKUP($D383,$C$5:$AV$527,3,))*$E383)</f>
        <v>0</v>
      </c>
      <c r="V383" s="62">
        <f>IF(VLOOKUP($D383,$C$5:$AV$527,3,)=0,0,(VLOOKUP($D383,$C$5:$AV$527,19,)/VLOOKUP($D383,$C$5:$AV$527,3,))*$E383)</f>
        <v>0</v>
      </c>
      <c r="W383" s="62">
        <f>IF(VLOOKUP($D383,$C$5:$AV$527,3,)=0,0,(VLOOKUP($D383,$C$5:$AV$527,20,)/VLOOKUP($D383,$C$5:$AV$527,3,))*$E383)</f>
        <v>0</v>
      </c>
      <c r="X383" s="62">
        <f>IF(VLOOKUP($D383,$C$5:$AV$527,3,)=0,0,(VLOOKUP($D383,$C$5:$AV$527,21,)/VLOOKUP($D383,$C$5:$AV$527,3,))*$E383)</f>
        <v>0</v>
      </c>
      <c r="Y383" s="62">
        <f>IF(VLOOKUP($D383,$C$5:$AV$527,3,)=0,0,(VLOOKUP($D383,$C$5:$AV$527,22,)/VLOOKUP($D383,$C$5:$AV$527,3,))*$E383)</f>
        <v>0</v>
      </c>
      <c r="Z383" s="62">
        <f>IF(VLOOKUP($D383,$C$5:$AV$527,3,)=0,0,(VLOOKUP($D383,$C$5:$AV$527,23,)/VLOOKUP($D383,$C$5:$AV$527,3,))*$E383)</f>
        <v>0</v>
      </c>
      <c r="AA383" s="62">
        <f>IF(VLOOKUP($D383,$C$5:$AV$527,3,)=0,0,(VLOOKUP($D383,$C$5:$AV$527,24,)/VLOOKUP($D383,$C$5:$AV$527,3,))*$E383)</f>
        <v>0</v>
      </c>
      <c r="AB383" s="62">
        <f>IF(VLOOKUP($D383,$C$5:$AV$527,3,)=0,0,(VLOOKUP($D383,$C$5:$AV$527,25,)/VLOOKUP($D383,$C$5:$AV$527,3,))*$E383)</f>
        <v>0</v>
      </c>
      <c r="AC383" s="62">
        <f>IF(VLOOKUP($D383,$C$5:$AV$527,3,)=0,0,(VLOOKUP($D383,$C$5:$AV$527,26,)/VLOOKUP($D383,$C$5:$AV$527,3,))*$E383)</f>
        <v>0</v>
      </c>
      <c r="AD383" s="62">
        <f>IF(VLOOKUP($D383,$C$5:$AV$527,3,)=0,0,(VLOOKUP($D383,$C$5:$AV$527,27,)/VLOOKUP($D383,$C$5:$AV$527,3,))*$E383)</f>
        <v>0</v>
      </c>
      <c r="AE383" s="62">
        <f>IF(VLOOKUP($D383,$C$5:$AV$527,3,)=0,0,(VLOOKUP($D383,$C$5:$AV$527,28,)/VLOOKUP($D383,$C$5:$AV$527,3,))*$E383)</f>
        <v>0</v>
      </c>
      <c r="AF383" s="62">
        <f>IF(VLOOKUP($D383,$C$5:$AV$527,3,)=0,0,(VLOOKUP($D383,$C$5:$AV$527,29,)/VLOOKUP($D383,$C$5:$AV$527,3,))*$E383)</f>
        <v>0</v>
      </c>
      <c r="AG383" s="62">
        <f>IF(VLOOKUP($D383,$C$5:$AV$527,3,)=0,0,(VLOOKUP($D383,$C$5:$AV$527,30,)/VLOOKUP($D383,$C$5:$AV$527,3,))*$E383)</f>
        <v>0</v>
      </c>
      <c r="AH383" s="87">
        <f t="shared" si="305"/>
        <v>0</v>
      </c>
      <c r="AI383" s="27" t="str">
        <f t="shared" si="306"/>
        <v>ok</v>
      </c>
    </row>
    <row r="384" spans="1:35" hidden="1" x14ac:dyDescent="0.2">
      <c r="A384" s="14">
        <v>20</v>
      </c>
      <c r="B384" s="14" t="s">
        <v>1041</v>
      </c>
      <c r="D384" s="14" t="s">
        <v>261</v>
      </c>
      <c r="E384" s="62">
        <v>0</v>
      </c>
      <c r="F384" s="62">
        <f>IF(VLOOKUP($D384,$C$5:$AV$527,3,)=0,0,(VLOOKUP($D384,$C$5:$AV$527,4,)/VLOOKUP($D384,$C$5:$AV$527,3,))*$E384)</f>
        <v>0</v>
      </c>
      <c r="G384" s="62">
        <f>IF(VLOOKUP($D384,$C$5:$AV$527,3,)=0,0,(VLOOKUP($D384,$C$5:$AV$527,5,)/VLOOKUP($D384,$C$5:$AV$527,3,))*$E384)</f>
        <v>0</v>
      </c>
      <c r="H384" s="62">
        <f>IF(VLOOKUP($D384,$C$5:$AV$527,3,)=0,0,(VLOOKUP($D384,$C$5:$AV$527,6,)/VLOOKUP($D384,$C$5:$AV$527,3,))*$E384)</f>
        <v>0</v>
      </c>
      <c r="I384" s="62">
        <f>IF(VLOOKUP($D384,$C$5:$AV$527,3,)=0,0,(VLOOKUP($D384,$C$5:$AV$527,7,)/VLOOKUP($D384,$C$5:$AV$527,3,))*$E384)</f>
        <v>0</v>
      </c>
      <c r="J384" s="62">
        <f>IF(VLOOKUP($D384,$C$5:$AV$527,3,)=0,0,(VLOOKUP($D384,$C$5:$AV$527,8,)/VLOOKUP($D384,$C$5:$AV$527,3,))*$E384)</f>
        <v>0</v>
      </c>
      <c r="K384" s="62">
        <f>IF(VLOOKUP($D384,$C$5:$AV$527,3,)=0,0,(VLOOKUP($D384,$C$5:$AV$527,9,)/VLOOKUP($D384,$C$5:$AV$527,3,))*$E384)</f>
        <v>0</v>
      </c>
      <c r="L384" s="62">
        <f>IF(VLOOKUP($D384,$C$5:$AV$527,3,)=0,0,(VLOOKUP($D384,$C$5:$AV$527,10,)/VLOOKUP($D384,$C$5:$AV$527,3,))*$E384)</f>
        <v>0</v>
      </c>
      <c r="M384" s="62">
        <f>IF(VLOOKUP($D384,$C$5:$AV$527,3,)=0,0,(VLOOKUP($D384,$C$5:$AV$527,10,)/VLOOKUP($D384,$C$5:$AV$527,3,))*$E384)</f>
        <v>0</v>
      </c>
      <c r="N384" s="62">
        <f>IF(VLOOKUP($D384,$C$5:$AV$527,3,)=0,0,(VLOOKUP($D384,$C$5:$AV$527,11,)/VLOOKUP($D384,$C$5:$AV$527,3,))*$E384)</f>
        <v>0</v>
      </c>
      <c r="O384" s="62">
        <f>IF(VLOOKUP($D384,$C$5:$AV$527,3,)=0,0,(VLOOKUP($D384,$C$5:$AV$527,12,)/VLOOKUP($D384,$C$5:$AV$527,3,))*$E384)</f>
        <v>0</v>
      </c>
      <c r="P384" s="62">
        <f>IF(VLOOKUP($D384,$C$5:$AV$527,3,)=0,0,(VLOOKUP($D384,$C$5:$AV$527,13,)/VLOOKUP($D384,$C$5:$AV$527,3,))*$E384)</f>
        <v>0</v>
      </c>
      <c r="Q384" s="62">
        <f>IF(VLOOKUP($D384,$C$5:$AV$527,3,)=0,0,(VLOOKUP($D384,$C$5:$AV$527,14,)/VLOOKUP($D384,$C$5:$AV$527,3,))*$E384)</f>
        <v>0</v>
      </c>
      <c r="R384" s="62">
        <f>IF(VLOOKUP($D384,$C$5:$AV$527,3,)=0,0,(VLOOKUP($D384,$C$5:$AV$527,15,)/VLOOKUP($D384,$C$5:$AV$527,3,))*$E384)</f>
        <v>0</v>
      </c>
      <c r="S384" s="62">
        <f>IF(VLOOKUP($D384,$C$5:$AV$527,3,)=0,0,(VLOOKUP($D384,$C$5:$AV$527,16,)/VLOOKUP($D384,$C$5:$AV$527,3,))*$E384)</f>
        <v>0</v>
      </c>
      <c r="T384" s="62">
        <f>IF(VLOOKUP($D384,$C$5:$AV$527,3,)=0,0,(VLOOKUP($D384,$C$5:$AV$527,17,)/VLOOKUP($D384,$C$5:$AV$527,3,))*$E384)</f>
        <v>0</v>
      </c>
      <c r="U384" s="62">
        <f>IF(VLOOKUP($D384,$C$5:$AV$527,3,)=0,0,(VLOOKUP($D384,$C$5:$AV$527,18,)/VLOOKUP($D384,$C$5:$AV$527,3,))*$E384)</f>
        <v>0</v>
      </c>
      <c r="V384" s="62">
        <f>IF(VLOOKUP($D384,$C$5:$AV$527,3,)=0,0,(VLOOKUP($D384,$C$5:$AV$527,19,)/VLOOKUP($D384,$C$5:$AV$527,3,))*$E384)</f>
        <v>0</v>
      </c>
      <c r="W384" s="62">
        <f>IF(VLOOKUP($D384,$C$5:$AV$527,3,)=0,0,(VLOOKUP($D384,$C$5:$AV$527,20,)/VLOOKUP($D384,$C$5:$AV$527,3,))*$E384)</f>
        <v>0</v>
      </c>
      <c r="X384" s="62">
        <f>IF(VLOOKUP($D384,$C$5:$AV$527,3,)=0,0,(VLOOKUP($D384,$C$5:$AV$527,21,)/VLOOKUP($D384,$C$5:$AV$527,3,))*$E384)</f>
        <v>0</v>
      </c>
      <c r="Y384" s="62">
        <f>IF(VLOOKUP($D384,$C$5:$AV$527,3,)=0,0,(VLOOKUP($D384,$C$5:$AV$527,22,)/VLOOKUP($D384,$C$5:$AV$527,3,))*$E384)</f>
        <v>0</v>
      </c>
      <c r="Z384" s="62">
        <f>IF(VLOOKUP($D384,$C$5:$AV$527,3,)=0,0,(VLOOKUP($D384,$C$5:$AV$527,23,)/VLOOKUP($D384,$C$5:$AV$527,3,))*$E384)</f>
        <v>0</v>
      </c>
      <c r="AA384" s="62">
        <f>IF(VLOOKUP($D384,$C$5:$AV$527,3,)=0,0,(VLOOKUP($D384,$C$5:$AV$527,24,)/VLOOKUP($D384,$C$5:$AV$527,3,))*$E384)</f>
        <v>0</v>
      </c>
      <c r="AB384" s="62">
        <f>IF(VLOOKUP($D384,$C$5:$AV$527,3,)=0,0,(VLOOKUP($D384,$C$5:$AV$527,25,)/VLOOKUP($D384,$C$5:$AV$527,3,))*$E384)</f>
        <v>0</v>
      </c>
      <c r="AC384" s="62">
        <f>IF(VLOOKUP($D384,$C$5:$AV$527,3,)=0,0,(VLOOKUP($D384,$C$5:$AV$527,26,)/VLOOKUP($D384,$C$5:$AV$527,3,))*$E384)</f>
        <v>0</v>
      </c>
      <c r="AD384" s="62">
        <f>IF(VLOOKUP($D384,$C$5:$AV$527,3,)=0,0,(VLOOKUP($D384,$C$5:$AV$527,27,)/VLOOKUP($D384,$C$5:$AV$527,3,))*$E384)</f>
        <v>0</v>
      </c>
      <c r="AE384" s="62">
        <f>IF(VLOOKUP($D384,$C$5:$AV$527,3,)=0,0,(VLOOKUP($D384,$C$5:$AV$527,28,)/VLOOKUP($D384,$C$5:$AV$527,3,))*$E384)</f>
        <v>0</v>
      </c>
      <c r="AF384" s="62">
        <f>IF(VLOOKUP($D384,$C$5:$AV$527,3,)=0,0,(VLOOKUP($D384,$C$5:$AV$527,29,)/VLOOKUP($D384,$C$5:$AV$527,3,))*$E384)</f>
        <v>0</v>
      </c>
      <c r="AG384" s="62">
        <f>IF(VLOOKUP($D384,$C$5:$AV$527,3,)=0,0,(VLOOKUP($D384,$C$5:$AV$527,30,)/VLOOKUP($D384,$C$5:$AV$527,3,))*$E384)</f>
        <v>0</v>
      </c>
      <c r="AH384" s="87">
        <f t="shared" si="305"/>
        <v>0</v>
      </c>
      <c r="AI384" s="27" t="str">
        <f t="shared" si="306"/>
        <v>ok</v>
      </c>
    </row>
    <row r="385" spans="1:35" hidden="1" x14ac:dyDescent="0.2">
      <c r="A385" s="14">
        <v>21</v>
      </c>
      <c r="B385" s="14" t="s">
        <v>1041</v>
      </c>
      <c r="D385" s="14" t="s">
        <v>261</v>
      </c>
      <c r="E385" s="62">
        <v>0</v>
      </c>
      <c r="F385" s="62">
        <f>IF(VLOOKUP($D385,$C$5:$AV$527,3,)=0,0,(VLOOKUP($D385,$C$5:$AV$527,4,)/VLOOKUP($D385,$C$5:$AV$527,3,))*$E385)</f>
        <v>0</v>
      </c>
      <c r="G385" s="62">
        <f>IF(VLOOKUP($D385,$C$5:$AV$527,3,)=0,0,(VLOOKUP($D385,$C$5:$AV$527,5,)/VLOOKUP($D385,$C$5:$AV$527,3,))*$E385)</f>
        <v>0</v>
      </c>
      <c r="H385" s="62">
        <f>IF(VLOOKUP($D385,$C$5:$AV$527,3,)=0,0,(VLOOKUP($D385,$C$5:$AV$527,6,)/VLOOKUP($D385,$C$5:$AV$527,3,))*$E385)</f>
        <v>0</v>
      </c>
      <c r="I385" s="62">
        <f>IF(VLOOKUP($D385,$C$5:$AV$527,3,)=0,0,(VLOOKUP($D385,$C$5:$AV$527,7,)/VLOOKUP($D385,$C$5:$AV$527,3,))*$E385)</f>
        <v>0</v>
      </c>
      <c r="J385" s="62">
        <f>IF(VLOOKUP($D385,$C$5:$AV$527,3,)=0,0,(VLOOKUP($D385,$C$5:$AV$527,8,)/VLOOKUP($D385,$C$5:$AV$527,3,))*$E385)</f>
        <v>0</v>
      </c>
      <c r="K385" s="62">
        <f>IF(VLOOKUP($D385,$C$5:$AV$527,3,)=0,0,(VLOOKUP($D385,$C$5:$AV$527,9,)/VLOOKUP($D385,$C$5:$AV$527,3,))*$E385)</f>
        <v>0</v>
      </c>
      <c r="L385" s="62">
        <f>IF(VLOOKUP($D385,$C$5:$AV$527,3,)=0,0,(VLOOKUP($D385,$C$5:$AV$527,10,)/VLOOKUP($D385,$C$5:$AV$527,3,))*$E385)</f>
        <v>0</v>
      </c>
      <c r="M385" s="62">
        <f>IF(VLOOKUP($D385,$C$5:$AV$527,3,)=0,0,(VLOOKUP($D385,$C$5:$AV$527,10,)/VLOOKUP($D385,$C$5:$AV$527,3,))*$E385)</f>
        <v>0</v>
      </c>
      <c r="N385" s="62">
        <f>IF(VLOOKUP($D385,$C$5:$AV$527,3,)=0,0,(VLOOKUP($D385,$C$5:$AV$527,11,)/VLOOKUP($D385,$C$5:$AV$527,3,))*$E385)</f>
        <v>0</v>
      </c>
      <c r="O385" s="62">
        <f>IF(VLOOKUP($D385,$C$5:$AV$527,3,)=0,0,(VLOOKUP($D385,$C$5:$AV$527,12,)/VLOOKUP($D385,$C$5:$AV$527,3,))*$E385)</f>
        <v>0</v>
      </c>
      <c r="P385" s="62">
        <f>IF(VLOOKUP($D385,$C$5:$AV$527,3,)=0,0,(VLOOKUP($D385,$C$5:$AV$527,13,)/VLOOKUP($D385,$C$5:$AV$527,3,))*$E385)</f>
        <v>0</v>
      </c>
      <c r="Q385" s="62">
        <f>IF(VLOOKUP($D385,$C$5:$AV$527,3,)=0,0,(VLOOKUP($D385,$C$5:$AV$527,14,)/VLOOKUP($D385,$C$5:$AV$527,3,))*$E385)</f>
        <v>0</v>
      </c>
      <c r="R385" s="62">
        <f>IF(VLOOKUP($D385,$C$5:$AV$527,3,)=0,0,(VLOOKUP($D385,$C$5:$AV$527,15,)/VLOOKUP($D385,$C$5:$AV$527,3,))*$E385)</f>
        <v>0</v>
      </c>
      <c r="S385" s="62">
        <f>IF(VLOOKUP($D385,$C$5:$AV$527,3,)=0,0,(VLOOKUP($D385,$C$5:$AV$527,16,)/VLOOKUP($D385,$C$5:$AV$527,3,))*$E385)</f>
        <v>0</v>
      </c>
      <c r="T385" s="62">
        <f>IF(VLOOKUP($D385,$C$5:$AV$527,3,)=0,0,(VLOOKUP($D385,$C$5:$AV$527,17,)/VLOOKUP($D385,$C$5:$AV$527,3,))*$E385)</f>
        <v>0</v>
      </c>
      <c r="U385" s="62">
        <f>IF(VLOOKUP($D385,$C$5:$AV$527,3,)=0,0,(VLOOKUP($D385,$C$5:$AV$527,18,)/VLOOKUP($D385,$C$5:$AV$527,3,))*$E385)</f>
        <v>0</v>
      </c>
      <c r="V385" s="62">
        <f>IF(VLOOKUP($D385,$C$5:$AV$527,3,)=0,0,(VLOOKUP($D385,$C$5:$AV$527,19,)/VLOOKUP($D385,$C$5:$AV$527,3,))*$E385)</f>
        <v>0</v>
      </c>
      <c r="W385" s="62">
        <f>IF(VLOOKUP($D385,$C$5:$AV$527,3,)=0,0,(VLOOKUP($D385,$C$5:$AV$527,20,)/VLOOKUP($D385,$C$5:$AV$527,3,))*$E385)</f>
        <v>0</v>
      </c>
      <c r="X385" s="62">
        <f>IF(VLOOKUP($D385,$C$5:$AV$527,3,)=0,0,(VLOOKUP($D385,$C$5:$AV$527,21,)/VLOOKUP($D385,$C$5:$AV$527,3,))*$E385)</f>
        <v>0</v>
      </c>
      <c r="Y385" s="62">
        <f>IF(VLOOKUP($D385,$C$5:$AV$527,3,)=0,0,(VLOOKUP($D385,$C$5:$AV$527,22,)/VLOOKUP($D385,$C$5:$AV$527,3,))*$E385)</f>
        <v>0</v>
      </c>
      <c r="Z385" s="62">
        <f>IF(VLOOKUP($D385,$C$5:$AV$527,3,)=0,0,(VLOOKUP($D385,$C$5:$AV$527,23,)/VLOOKUP($D385,$C$5:$AV$527,3,))*$E385)</f>
        <v>0</v>
      </c>
      <c r="AA385" s="62">
        <f>IF(VLOOKUP($D385,$C$5:$AV$527,3,)=0,0,(VLOOKUP($D385,$C$5:$AV$527,24,)/VLOOKUP($D385,$C$5:$AV$527,3,))*$E385)</f>
        <v>0</v>
      </c>
      <c r="AB385" s="62">
        <f>IF(VLOOKUP($D385,$C$5:$AV$527,3,)=0,0,(VLOOKUP($D385,$C$5:$AV$527,25,)/VLOOKUP($D385,$C$5:$AV$527,3,))*$E385)</f>
        <v>0</v>
      </c>
      <c r="AC385" s="62">
        <f>IF(VLOOKUP($D385,$C$5:$AV$527,3,)=0,0,(VLOOKUP($D385,$C$5:$AV$527,26,)/VLOOKUP($D385,$C$5:$AV$527,3,))*$E385)</f>
        <v>0</v>
      </c>
      <c r="AD385" s="62">
        <f>IF(VLOOKUP($D385,$C$5:$AV$527,3,)=0,0,(VLOOKUP($D385,$C$5:$AV$527,27,)/VLOOKUP($D385,$C$5:$AV$527,3,))*$E385)</f>
        <v>0</v>
      </c>
      <c r="AE385" s="62">
        <f>IF(VLOOKUP($D385,$C$5:$AV$527,3,)=0,0,(VLOOKUP($D385,$C$5:$AV$527,28,)/VLOOKUP($D385,$C$5:$AV$527,3,))*$E385)</f>
        <v>0</v>
      </c>
      <c r="AF385" s="62">
        <f>IF(VLOOKUP($D385,$C$5:$AV$527,3,)=0,0,(VLOOKUP($D385,$C$5:$AV$527,29,)/VLOOKUP($D385,$C$5:$AV$527,3,))*$E385)</f>
        <v>0</v>
      </c>
      <c r="AG385" s="62">
        <f>IF(VLOOKUP($D385,$C$5:$AV$527,3,)=0,0,(VLOOKUP($D385,$C$5:$AV$527,30,)/VLOOKUP($D385,$C$5:$AV$527,3,))*$E385)</f>
        <v>0</v>
      </c>
      <c r="AH385" s="87">
        <f t="shared" si="305"/>
        <v>0</v>
      </c>
      <c r="AI385" s="27" t="str">
        <f t="shared" si="306"/>
        <v>ok</v>
      </c>
    </row>
    <row r="386" spans="1:35" hidden="1" x14ac:dyDescent="0.2">
      <c r="A386" s="26">
        <v>22</v>
      </c>
      <c r="B386" s="14" t="s">
        <v>1041</v>
      </c>
      <c r="D386" s="14" t="s">
        <v>261</v>
      </c>
      <c r="E386" s="62">
        <v>0</v>
      </c>
      <c r="F386" s="62">
        <f>IF(VLOOKUP($D386,$C$5:$AV$527,3,)=0,0,(VLOOKUP($D386,$C$5:$AV$527,4,)/VLOOKUP($D386,$C$5:$AV$527,3,))*$E386)</f>
        <v>0</v>
      </c>
      <c r="G386" s="62">
        <f>IF(VLOOKUP($D386,$C$5:$AV$527,3,)=0,0,(VLOOKUP($D386,$C$5:$AV$527,5,)/VLOOKUP($D386,$C$5:$AV$527,3,))*$E386)</f>
        <v>0</v>
      </c>
      <c r="H386" s="62">
        <f>IF(VLOOKUP($D386,$C$5:$AV$527,3,)=0,0,(VLOOKUP($D386,$C$5:$AV$527,6,)/VLOOKUP($D386,$C$5:$AV$527,3,))*$E386)</f>
        <v>0</v>
      </c>
      <c r="I386" s="62">
        <f>IF(VLOOKUP($D386,$C$5:$AV$527,3,)=0,0,(VLOOKUP($D386,$C$5:$AV$527,7,)/VLOOKUP($D386,$C$5:$AV$527,3,))*$E386)</f>
        <v>0</v>
      </c>
      <c r="J386" s="62">
        <f>IF(VLOOKUP($D386,$C$5:$AV$527,3,)=0,0,(VLOOKUP($D386,$C$5:$AV$527,8,)/VLOOKUP($D386,$C$5:$AV$527,3,))*$E386)</f>
        <v>0</v>
      </c>
      <c r="K386" s="62">
        <f>IF(VLOOKUP($D386,$C$5:$AV$527,3,)=0,0,(VLOOKUP($D386,$C$5:$AV$527,9,)/VLOOKUP($D386,$C$5:$AV$527,3,))*$E386)</f>
        <v>0</v>
      </c>
      <c r="L386" s="62">
        <f>IF(VLOOKUP($D386,$C$5:$AV$527,3,)=0,0,(VLOOKUP($D386,$C$5:$AV$527,10,)/VLOOKUP($D386,$C$5:$AV$527,3,))*$E386)</f>
        <v>0</v>
      </c>
      <c r="M386" s="62">
        <f>IF(VLOOKUP($D386,$C$5:$AV$527,3,)=0,0,(VLOOKUP($D386,$C$5:$AV$527,10,)/VLOOKUP($D386,$C$5:$AV$527,3,))*$E386)</f>
        <v>0</v>
      </c>
      <c r="N386" s="62">
        <f>IF(VLOOKUP($D386,$C$5:$AV$527,3,)=0,0,(VLOOKUP($D386,$C$5:$AV$527,11,)/VLOOKUP($D386,$C$5:$AV$527,3,))*$E386)</f>
        <v>0</v>
      </c>
      <c r="O386" s="62">
        <f>IF(VLOOKUP($D386,$C$5:$AV$527,3,)=0,0,(VLOOKUP($D386,$C$5:$AV$527,12,)/VLOOKUP($D386,$C$5:$AV$527,3,))*$E386)</f>
        <v>0</v>
      </c>
      <c r="P386" s="62">
        <f>IF(VLOOKUP($D386,$C$5:$AV$527,3,)=0,0,(VLOOKUP($D386,$C$5:$AV$527,13,)/VLOOKUP($D386,$C$5:$AV$527,3,))*$E386)</f>
        <v>0</v>
      </c>
      <c r="Q386" s="62">
        <f>IF(VLOOKUP($D386,$C$5:$AV$527,3,)=0,0,(VLOOKUP($D386,$C$5:$AV$527,14,)/VLOOKUP($D386,$C$5:$AV$527,3,))*$E386)</f>
        <v>0</v>
      </c>
      <c r="R386" s="62">
        <f>IF(VLOOKUP($D386,$C$5:$AV$527,3,)=0,0,(VLOOKUP($D386,$C$5:$AV$527,15,)/VLOOKUP($D386,$C$5:$AV$527,3,))*$E386)</f>
        <v>0</v>
      </c>
      <c r="S386" s="62">
        <f>IF(VLOOKUP($D386,$C$5:$AV$527,3,)=0,0,(VLOOKUP($D386,$C$5:$AV$527,16,)/VLOOKUP($D386,$C$5:$AV$527,3,))*$E386)</f>
        <v>0</v>
      </c>
      <c r="T386" s="62">
        <f>IF(VLOOKUP($D386,$C$5:$AV$527,3,)=0,0,(VLOOKUP($D386,$C$5:$AV$527,17,)/VLOOKUP($D386,$C$5:$AV$527,3,))*$E386)</f>
        <v>0</v>
      </c>
      <c r="U386" s="62">
        <f>IF(VLOOKUP($D386,$C$5:$AV$527,3,)=0,0,(VLOOKUP($D386,$C$5:$AV$527,18,)/VLOOKUP($D386,$C$5:$AV$527,3,))*$E386)</f>
        <v>0</v>
      </c>
      <c r="V386" s="62">
        <f>IF(VLOOKUP($D386,$C$5:$AV$527,3,)=0,0,(VLOOKUP($D386,$C$5:$AV$527,19,)/VLOOKUP($D386,$C$5:$AV$527,3,))*$E386)</f>
        <v>0</v>
      </c>
      <c r="W386" s="62">
        <f>IF(VLOOKUP($D386,$C$5:$AV$527,3,)=0,0,(VLOOKUP($D386,$C$5:$AV$527,20,)/VLOOKUP($D386,$C$5:$AV$527,3,))*$E386)</f>
        <v>0</v>
      </c>
      <c r="X386" s="62">
        <f>IF(VLOOKUP($D386,$C$5:$AV$527,3,)=0,0,(VLOOKUP($D386,$C$5:$AV$527,21,)/VLOOKUP($D386,$C$5:$AV$527,3,))*$E386)</f>
        <v>0</v>
      </c>
      <c r="Y386" s="62">
        <f>IF(VLOOKUP($D386,$C$5:$AV$527,3,)=0,0,(VLOOKUP($D386,$C$5:$AV$527,22,)/VLOOKUP($D386,$C$5:$AV$527,3,))*$E386)</f>
        <v>0</v>
      </c>
      <c r="Z386" s="62">
        <f>IF(VLOOKUP($D386,$C$5:$AV$527,3,)=0,0,(VLOOKUP($D386,$C$5:$AV$527,23,)/VLOOKUP($D386,$C$5:$AV$527,3,))*$E386)</f>
        <v>0</v>
      </c>
      <c r="AA386" s="62">
        <f>IF(VLOOKUP($D386,$C$5:$AV$527,3,)=0,0,(VLOOKUP($D386,$C$5:$AV$527,24,)/VLOOKUP($D386,$C$5:$AV$527,3,))*$E386)</f>
        <v>0</v>
      </c>
      <c r="AB386" s="62">
        <f>IF(VLOOKUP($D386,$C$5:$AV$527,3,)=0,0,(VLOOKUP($D386,$C$5:$AV$527,25,)/VLOOKUP($D386,$C$5:$AV$527,3,))*$E386)</f>
        <v>0</v>
      </c>
      <c r="AC386" s="62">
        <f>IF(VLOOKUP($D386,$C$5:$AV$527,3,)=0,0,(VLOOKUP($D386,$C$5:$AV$527,26,)/VLOOKUP($D386,$C$5:$AV$527,3,))*$E386)</f>
        <v>0</v>
      </c>
      <c r="AD386" s="62">
        <f>IF(VLOOKUP($D386,$C$5:$AV$527,3,)=0,0,(VLOOKUP($D386,$C$5:$AV$527,27,)/VLOOKUP($D386,$C$5:$AV$527,3,))*$E386)</f>
        <v>0</v>
      </c>
      <c r="AE386" s="62">
        <f>IF(VLOOKUP($D386,$C$5:$AV$527,3,)=0,0,(VLOOKUP($D386,$C$5:$AV$527,28,)/VLOOKUP($D386,$C$5:$AV$527,3,))*$E386)</f>
        <v>0</v>
      </c>
      <c r="AF386" s="62">
        <f>IF(VLOOKUP($D386,$C$5:$AV$527,3,)=0,0,(VLOOKUP($D386,$C$5:$AV$527,29,)/VLOOKUP($D386,$C$5:$AV$527,3,))*$E386)</f>
        <v>0</v>
      </c>
      <c r="AG386" s="62">
        <f>IF(VLOOKUP($D386,$C$5:$AV$527,3,)=0,0,(VLOOKUP($D386,$C$5:$AV$527,30,)/VLOOKUP($D386,$C$5:$AV$527,3,))*$E386)</f>
        <v>0</v>
      </c>
      <c r="AH386" s="87">
        <f t="shared" ref="AH386:AH387" si="307">SUM(F386:AG386)</f>
        <v>0</v>
      </c>
      <c r="AI386" s="27" t="str">
        <f t="shared" ref="AI386:AI387" si="308">IF(ABS(E386-AH386)&lt;0.01,"ok","err")</f>
        <v>ok</v>
      </c>
    </row>
    <row r="387" spans="1:35" hidden="1" x14ac:dyDescent="0.2">
      <c r="A387" s="26">
        <v>23</v>
      </c>
      <c r="B387" s="14" t="s">
        <v>1041</v>
      </c>
      <c r="D387" s="14" t="s">
        <v>261</v>
      </c>
      <c r="E387" s="62">
        <v>0</v>
      </c>
      <c r="F387" s="62">
        <f>IF(VLOOKUP($D387,$C$5:$AV$527,3,)=0,0,(VLOOKUP($D387,$C$5:$AV$527,4,)/VLOOKUP($D387,$C$5:$AV$527,3,))*$E387)</f>
        <v>0</v>
      </c>
      <c r="G387" s="62">
        <f>IF(VLOOKUP($D387,$C$5:$AV$527,3,)=0,0,(VLOOKUP($D387,$C$5:$AV$527,5,)/VLOOKUP($D387,$C$5:$AV$527,3,))*$E387)</f>
        <v>0</v>
      </c>
      <c r="H387" s="62">
        <f>IF(VLOOKUP($D387,$C$5:$AV$527,3,)=0,0,(VLOOKUP($D387,$C$5:$AV$527,6,)/VLOOKUP($D387,$C$5:$AV$527,3,))*$E387)</f>
        <v>0</v>
      </c>
      <c r="I387" s="62">
        <f>IF(VLOOKUP($D387,$C$5:$AV$527,3,)=0,0,(VLOOKUP($D387,$C$5:$AV$527,7,)/VLOOKUP($D387,$C$5:$AV$527,3,))*$E387)</f>
        <v>0</v>
      </c>
      <c r="J387" s="62">
        <f>IF(VLOOKUP($D387,$C$5:$AV$527,3,)=0,0,(VLOOKUP($D387,$C$5:$AV$527,8,)/VLOOKUP($D387,$C$5:$AV$527,3,))*$E387)</f>
        <v>0</v>
      </c>
      <c r="K387" s="62">
        <f>IF(VLOOKUP($D387,$C$5:$AV$527,3,)=0,0,(VLOOKUP($D387,$C$5:$AV$527,9,)/VLOOKUP($D387,$C$5:$AV$527,3,))*$E387)</f>
        <v>0</v>
      </c>
      <c r="L387" s="62">
        <f>IF(VLOOKUP($D387,$C$5:$AV$527,3,)=0,0,(VLOOKUP($D387,$C$5:$AV$527,10,)/VLOOKUP($D387,$C$5:$AV$527,3,))*$E387)</f>
        <v>0</v>
      </c>
      <c r="M387" s="62">
        <f>IF(VLOOKUP($D387,$C$5:$AV$527,3,)=0,0,(VLOOKUP($D387,$C$5:$AV$527,10,)/VLOOKUP($D387,$C$5:$AV$527,3,))*$E387)</f>
        <v>0</v>
      </c>
      <c r="N387" s="62">
        <f>IF(VLOOKUP($D387,$C$5:$AV$527,3,)=0,0,(VLOOKUP($D387,$C$5:$AV$527,11,)/VLOOKUP($D387,$C$5:$AV$527,3,))*$E387)</f>
        <v>0</v>
      </c>
      <c r="O387" s="62">
        <f>IF(VLOOKUP($D387,$C$5:$AV$527,3,)=0,0,(VLOOKUP($D387,$C$5:$AV$527,12,)/VLOOKUP($D387,$C$5:$AV$527,3,))*$E387)</f>
        <v>0</v>
      </c>
      <c r="P387" s="62">
        <f>IF(VLOOKUP($D387,$C$5:$AV$527,3,)=0,0,(VLOOKUP($D387,$C$5:$AV$527,13,)/VLOOKUP($D387,$C$5:$AV$527,3,))*$E387)</f>
        <v>0</v>
      </c>
      <c r="Q387" s="62">
        <f>IF(VLOOKUP($D387,$C$5:$AV$527,3,)=0,0,(VLOOKUP($D387,$C$5:$AV$527,14,)/VLOOKUP($D387,$C$5:$AV$527,3,))*$E387)</f>
        <v>0</v>
      </c>
      <c r="R387" s="62">
        <f>IF(VLOOKUP($D387,$C$5:$AV$527,3,)=0,0,(VLOOKUP($D387,$C$5:$AV$527,15,)/VLOOKUP($D387,$C$5:$AV$527,3,))*$E387)</f>
        <v>0</v>
      </c>
      <c r="S387" s="62">
        <f>IF(VLOOKUP($D387,$C$5:$AV$527,3,)=0,0,(VLOOKUP($D387,$C$5:$AV$527,16,)/VLOOKUP($D387,$C$5:$AV$527,3,))*$E387)</f>
        <v>0</v>
      </c>
      <c r="T387" s="62">
        <f>IF(VLOOKUP($D387,$C$5:$AV$527,3,)=0,0,(VLOOKUP($D387,$C$5:$AV$527,17,)/VLOOKUP($D387,$C$5:$AV$527,3,))*$E387)</f>
        <v>0</v>
      </c>
      <c r="U387" s="62">
        <f>IF(VLOOKUP($D387,$C$5:$AV$527,3,)=0,0,(VLOOKUP($D387,$C$5:$AV$527,18,)/VLOOKUP($D387,$C$5:$AV$527,3,))*$E387)</f>
        <v>0</v>
      </c>
      <c r="V387" s="62">
        <f>IF(VLOOKUP($D387,$C$5:$AV$527,3,)=0,0,(VLOOKUP($D387,$C$5:$AV$527,19,)/VLOOKUP($D387,$C$5:$AV$527,3,))*$E387)</f>
        <v>0</v>
      </c>
      <c r="W387" s="62">
        <f>IF(VLOOKUP($D387,$C$5:$AV$527,3,)=0,0,(VLOOKUP($D387,$C$5:$AV$527,20,)/VLOOKUP($D387,$C$5:$AV$527,3,))*$E387)</f>
        <v>0</v>
      </c>
      <c r="X387" s="62">
        <f>IF(VLOOKUP($D387,$C$5:$AV$527,3,)=0,0,(VLOOKUP($D387,$C$5:$AV$527,21,)/VLOOKUP($D387,$C$5:$AV$527,3,))*$E387)</f>
        <v>0</v>
      </c>
      <c r="Y387" s="62">
        <f>IF(VLOOKUP($D387,$C$5:$AV$527,3,)=0,0,(VLOOKUP($D387,$C$5:$AV$527,22,)/VLOOKUP($D387,$C$5:$AV$527,3,))*$E387)</f>
        <v>0</v>
      </c>
      <c r="Z387" s="62">
        <f>IF(VLOOKUP($D387,$C$5:$AV$527,3,)=0,0,(VLOOKUP($D387,$C$5:$AV$527,23,)/VLOOKUP($D387,$C$5:$AV$527,3,))*$E387)</f>
        <v>0</v>
      </c>
      <c r="AA387" s="62">
        <f>IF(VLOOKUP($D387,$C$5:$AV$527,3,)=0,0,(VLOOKUP($D387,$C$5:$AV$527,24,)/VLOOKUP($D387,$C$5:$AV$527,3,))*$E387)</f>
        <v>0</v>
      </c>
      <c r="AB387" s="62">
        <f>IF(VLOOKUP($D387,$C$5:$AV$527,3,)=0,0,(VLOOKUP($D387,$C$5:$AV$527,25,)/VLOOKUP($D387,$C$5:$AV$527,3,))*$E387)</f>
        <v>0</v>
      </c>
      <c r="AC387" s="62">
        <f>IF(VLOOKUP($D387,$C$5:$AV$527,3,)=0,0,(VLOOKUP($D387,$C$5:$AV$527,26,)/VLOOKUP($D387,$C$5:$AV$527,3,))*$E387)</f>
        <v>0</v>
      </c>
      <c r="AD387" s="62">
        <f>IF(VLOOKUP($D387,$C$5:$AV$527,3,)=0,0,(VLOOKUP($D387,$C$5:$AV$527,27,)/VLOOKUP($D387,$C$5:$AV$527,3,))*$E387)</f>
        <v>0</v>
      </c>
      <c r="AE387" s="62">
        <f>IF(VLOOKUP($D387,$C$5:$AV$527,3,)=0,0,(VLOOKUP($D387,$C$5:$AV$527,28,)/VLOOKUP($D387,$C$5:$AV$527,3,))*$E387)</f>
        <v>0</v>
      </c>
      <c r="AF387" s="62">
        <f>IF(VLOOKUP($D387,$C$5:$AV$527,3,)=0,0,(VLOOKUP($D387,$C$5:$AV$527,29,)/VLOOKUP($D387,$C$5:$AV$527,3,))*$E387)</f>
        <v>0</v>
      </c>
      <c r="AG387" s="62">
        <f>IF(VLOOKUP($D387,$C$5:$AV$527,3,)=0,0,(VLOOKUP($D387,$C$5:$AV$527,30,)/VLOOKUP($D387,$C$5:$AV$527,3,))*$E387)</f>
        <v>0</v>
      </c>
      <c r="AH387" s="87">
        <f t="shared" si="307"/>
        <v>0</v>
      </c>
      <c r="AI387" s="27" t="str">
        <f t="shared" si="308"/>
        <v>ok</v>
      </c>
    </row>
    <row r="388" spans="1:35" hidden="1" x14ac:dyDescent="0.2">
      <c r="A388" s="14">
        <v>24</v>
      </c>
      <c r="B388" s="14" t="s">
        <v>1041</v>
      </c>
      <c r="D388" s="14" t="s">
        <v>261</v>
      </c>
      <c r="E388" s="62">
        <v>0</v>
      </c>
      <c r="F388" s="62">
        <f>IF(VLOOKUP($D388,$C$5:$AV$527,3,)=0,0,(VLOOKUP($D388,$C$5:$AV$527,4,)/VLOOKUP($D388,$C$5:$AV$527,3,))*$E388)</f>
        <v>0</v>
      </c>
      <c r="G388" s="62">
        <f>IF(VLOOKUP($D388,$C$5:$AV$527,3,)=0,0,(VLOOKUP($D388,$C$5:$AV$527,5,)/VLOOKUP($D388,$C$5:$AV$527,3,))*$E388)</f>
        <v>0</v>
      </c>
      <c r="H388" s="62">
        <f>IF(VLOOKUP($D388,$C$5:$AV$527,3,)=0,0,(VLOOKUP($D388,$C$5:$AV$527,6,)/VLOOKUP($D388,$C$5:$AV$527,3,))*$E388)</f>
        <v>0</v>
      </c>
      <c r="I388" s="62">
        <f>IF(VLOOKUP($D388,$C$5:$AV$527,3,)=0,0,(VLOOKUP($D388,$C$5:$AV$527,7,)/VLOOKUP($D388,$C$5:$AV$527,3,))*$E388)</f>
        <v>0</v>
      </c>
      <c r="J388" s="62">
        <f>IF(VLOOKUP($D388,$C$5:$AV$527,3,)=0,0,(VLOOKUP($D388,$C$5:$AV$527,8,)/VLOOKUP($D388,$C$5:$AV$527,3,))*$E388)</f>
        <v>0</v>
      </c>
      <c r="K388" s="62">
        <f>IF(VLOOKUP($D388,$C$5:$AV$527,3,)=0,0,(VLOOKUP($D388,$C$5:$AV$527,9,)/VLOOKUP($D388,$C$5:$AV$527,3,))*$E388)</f>
        <v>0</v>
      </c>
      <c r="L388" s="62">
        <f>IF(VLOOKUP($D388,$C$5:$AV$527,3,)=0,0,(VLOOKUP($D388,$C$5:$AV$527,10,)/VLOOKUP($D388,$C$5:$AV$527,3,))*$E388)</f>
        <v>0</v>
      </c>
      <c r="M388" s="62">
        <f>IF(VLOOKUP($D388,$C$5:$AV$527,3,)=0,0,(VLOOKUP($D388,$C$5:$AV$527,10,)/VLOOKUP($D388,$C$5:$AV$527,3,))*$E388)</f>
        <v>0</v>
      </c>
      <c r="N388" s="62">
        <f>IF(VLOOKUP($D388,$C$5:$AV$527,3,)=0,0,(VLOOKUP($D388,$C$5:$AV$527,11,)/VLOOKUP($D388,$C$5:$AV$527,3,))*$E388)</f>
        <v>0</v>
      </c>
      <c r="O388" s="62">
        <f>IF(VLOOKUP($D388,$C$5:$AV$527,3,)=0,0,(VLOOKUP($D388,$C$5:$AV$527,12,)/VLOOKUP($D388,$C$5:$AV$527,3,))*$E388)</f>
        <v>0</v>
      </c>
      <c r="P388" s="62">
        <f>IF(VLOOKUP($D388,$C$5:$AV$527,3,)=0,0,(VLOOKUP($D388,$C$5:$AV$527,13,)/VLOOKUP($D388,$C$5:$AV$527,3,))*$E388)</f>
        <v>0</v>
      </c>
      <c r="Q388" s="62">
        <f>IF(VLOOKUP($D388,$C$5:$AV$527,3,)=0,0,(VLOOKUP($D388,$C$5:$AV$527,14,)/VLOOKUP($D388,$C$5:$AV$527,3,))*$E388)</f>
        <v>0</v>
      </c>
      <c r="R388" s="62">
        <f>IF(VLOOKUP($D388,$C$5:$AV$527,3,)=0,0,(VLOOKUP($D388,$C$5:$AV$527,15,)/VLOOKUP($D388,$C$5:$AV$527,3,))*$E388)</f>
        <v>0</v>
      </c>
      <c r="S388" s="62">
        <f>IF(VLOOKUP($D388,$C$5:$AV$527,3,)=0,0,(VLOOKUP($D388,$C$5:$AV$527,16,)/VLOOKUP($D388,$C$5:$AV$527,3,))*$E388)</f>
        <v>0</v>
      </c>
      <c r="T388" s="62">
        <f>IF(VLOOKUP($D388,$C$5:$AV$527,3,)=0,0,(VLOOKUP($D388,$C$5:$AV$527,17,)/VLOOKUP($D388,$C$5:$AV$527,3,))*$E388)</f>
        <v>0</v>
      </c>
      <c r="U388" s="62">
        <f>IF(VLOOKUP($D388,$C$5:$AV$527,3,)=0,0,(VLOOKUP($D388,$C$5:$AV$527,18,)/VLOOKUP($D388,$C$5:$AV$527,3,))*$E388)</f>
        <v>0</v>
      </c>
      <c r="V388" s="62">
        <f>IF(VLOOKUP($D388,$C$5:$AV$527,3,)=0,0,(VLOOKUP($D388,$C$5:$AV$527,19,)/VLOOKUP($D388,$C$5:$AV$527,3,))*$E388)</f>
        <v>0</v>
      </c>
      <c r="W388" s="62">
        <f>IF(VLOOKUP($D388,$C$5:$AV$527,3,)=0,0,(VLOOKUP($D388,$C$5:$AV$527,20,)/VLOOKUP($D388,$C$5:$AV$527,3,))*$E388)</f>
        <v>0</v>
      </c>
      <c r="X388" s="62">
        <f>IF(VLOOKUP($D388,$C$5:$AV$527,3,)=0,0,(VLOOKUP($D388,$C$5:$AV$527,21,)/VLOOKUP($D388,$C$5:$AV$527,3,))*$E388)</f>
        <v>0</v>
      </c>
      <c r="Y388" s="62">
        <f>IF(VLOOKUP($D388,$C$5:$AV$527,3,)=0,0,(VLOOKUP($D388,$C$5:$AV$527,22,)/VLOOKUP($D388,$C$5:$AV$527,3,))*$E388)</f>
        <v>0</v>
      </c>
      <c r="Z388" s="62">
        <f>IF(VLOOKUP($D388,$C$5:$AV$527,3,)=0,0,(VLOOKUP($D388,$C$5:$AV$527,23,)/VLOOKUP($D388,$C$5:$AV$527,3,))*$E388)</f>
        <v>0</v>
      </c>
      <c r="AA388" s="62">
        <f>IF(VLOOKUP($D388,$C$5:$AV$527,3,)=0,0,(VLOOKUP($D388,$C$5:$AV$527,24,)/VLOOKUP($D388,$C$5:$AV$527,3,))*$E388)</f>
        <v>0</v>
      </c>
      <c r="AB388" s="62">
        <f>IF(VLOOKUP($D388,$C$5:$AV$527,3,)=0,0,(VLOOKUP($D388,$C$5:$AV$527,25,)/VLOOKUP($D388,$C$5:$AV$527,3,))*$E388)</f>
        <v>0</v>
      </c>
      <c r="AC388" s="62">
        <f>IF(VLOOKUP($D388,$C$5:$AV$527,3,)=0,0,(VLOOKUP($D388,$C$5:$AV$527,26,)/VLOOKUP($D388,$C$5:$AV$527,3,))*$E388)</f>
        <v>0</v>
      </c>
      <c r="AD388" s="62">
        <f>IF(VLOOKUP($D388,$C$5:$AV$527,3,)=0,0,(VLOOKUP($D388,$C$5:$AV$527,27,)/VLOOKUP($D388,$C$5:$AV$527,3,))*$E388)</f>
        <v>0</v>
      </c>
      <c r="AE388" s="62">
        <f>IF(VLOOKUP($D388,$C$5:$AV$527,3,)=0,0,(VLOOKUP($D388,$C$5:$AV$527,28,)/VLOOKUP($D388,$C$5:$AV$527,3,))*$E388)</f>
        <v>0</v>
      </c>
      <c r="AF388" s="62">
        <f>IF(VLOOKUP($D388,$C$5:$AV$527,3,)=0,0,(VLOOKUP($D388,$C$5:$AV$527,29,)/VLOOKUP($D388,$C$5:$AV$527,3,))*$E388)</f>
        <v>0</v>
      </c>
      <c r="AG388" s="62">
        <f>IF(VLOOKUP($D388,$C$5:$AV$527,3,)=0,0,(VLOOKUP($D388,$C$5:$AV$527,30,)/VLOOKUP($D388,$C$5:$AV$527,3,))*$E388)</f>
        <v>0</v>
      </c>
      <c r="AH388" s="87">
        <f t="shared" ref="AH388" si="309">SUM(F388:AG388)</f>
        <v>0</v>
      </c>
      <c r="AI388" s="27" t="str">
        <f t="shared" ref="AI388" si="310">IF(ABS(E388-AH388)&lt;0.01,"ok","err")</f>
        <v>ok</v>
      </c>
    </row>
    <row r="389" spans="1:35" hidden="1" x14ac:dyDescent="0.2">
      <c r="A389" s="14">
        <v>25</v>
      </c>
      <c r="B389" s="14" t="s">
        <v>1041</v>
      </c>
      <c r="D389" s="14" t="s">
        <v>261</v>
      </c>
      <c r="E389" s="62">
        <v>0</v>
      </c>
      <c r="F389" s="62">
        <f>IF(VLOOKUP($D389,$C$5:$AV$527,3,)=0,0,(VLOOKUP($D389,$C$5:$AV$527,4,)/VLOOKUP($D389,$C$5:$AV$527,3,))*$E389)</f>
        <v>0</v>
      </c>
      <c r="G389" s="62">
        <f>IF(VLOOKUP($D389,$C$5:$AV$527,3,)=0,0,(VLOOKUP($D389,$C$5:$AV$527,5,)/VLOOKUP($D389,$C$5:$AV$527,3,))*$E389)</f>
        <v>0</v>
      </c>
      <c r="H389" s="62">
        <f>IF(VLOOKUP($D389,$C$5:$AV$527,3,)=0,0,(VLOOKUP($D389,$C$5:$AV$527,6,)/VLOOKUP($D389,$C$5:$AV$527,3,))*$E389)</f>
        <v>0</v>
      </c>
      <c r="I389" s="62">
        <f>IF(VLOOKUP($D389,$C$5:$AV$527,3,)=0,0,(VLOOKUP($D389,$C$5:$AV$527,7,)/VLOOKUP($D389,$C$5:$AV$527,3,))*$E389)</f>
        <v>0</v>
      </c>
      <c r="J389" s="62">
        <f>IF(VLOOKUP($D389,$C$5:$AV$527,3,)=0,0,(VLOOKUP($D389,$C$5:$AV$527,8,)/VLOOKUP($D389,$C$5:$AV$527,3,))*$E389)</f>
        <v>0</v>
      </c>
      <c r="K389" s="62">
        <f>IF(VLOOKUP($D389,$C$5:$AV$527,3,)=0,0,(VLOOKUP($D389,$C$5:$AV$527,9,)/VLOOKUP($D389,$C$5:$AV$527,3,))*$E389)</f>
        <v>0</v>
      </c>
      <c r="L389" s="62">
        <f>IF(VLOOKUP($D389,$C$5:$AV$527,3,)=0,0,(VLOOKUP($D389,$C$5:$AV$527,10,)/VLOOKUP($D389,$C$5:$AV$527,3,))*$E389)</f>
        <v>0</v>
      </c>
      <c r="M389" s="62">
        <f>IF(VLOOKUP($D389,$C$5:$AV$527,3,)=0,0,(VLOOKUP($D389,$C$5:$AV$527,10,)/VLOOKUP($D389,$C$5:$AV$527,3,))*$E389)</f>
        <v>0</v>
      </c>
      <c r="N389" s="62">
        <f>IF(VLOOKUP($D389,$C$5:$AV$527,3,)=0,0,(VLOOKUP($D389,$C$5:$AV$527,11,)/VLOOKUP($D389,$C$5:$AV$527,3,))*$E389)</f>
        <v>0</v>
      </c>
      <c r="O389" s="62">
        <f>IF(VLOOKUP($D389,$C$5:$AV$527,3,)=0,0,(VLOOKUP($D389,$C$5:$AV$527,12,)/VLOOKUP($D389,$C$5:$AV$527,3,))*$E389)</f>
        <v>0</v>
      </c>
      <c r="P389" s="62">
        <f>IF(VLOOKUP($D389,$C$5:$AV$527,3,)=0,0,(VLOOKUP($D389,$C$5:$AV$527,13,)/VLOOKUP($D389,$C$5:$AV$527,3,))*$E389)</f>
        <v>0</v>
      </c>
      <c r="Q389" s="62">
        <f>IF(VLOOKUP($D389,$C$5:$AV$527,3,)=0,0,(VLOOKUP($D389,$C$5:$AV$527,14,)/VLOOKUP($D389,$C$5:$AV$527,3,))*$E389)</f>
        <v>0</v>
      </c>
      <c r="R389" s="62">
        <f>IF(VLOOKUP($D389,$C$5:$AV$527,3,)=0,0,(VLOOKUP($D389,$C$5:$AV$527,15,)/VLOOKUP($D389,$C$5:$AV$527,3,))*$E389)</f>
        <v>0</v>
      </c>
      <c r="S389" s="62">
        <f>IF(VLOOKUP($D389,$C$5:$AV$527,3,)=0,0,(VLOOKUP($D389,$C$5:$AV$527,16,)/VLOOKUP($D389,$C$5:$AV$527,3,))*$E389)</f>
        <v>0</v>
      </c>
      <c r="T389" s="62">
        <f>IF(VLOOKUP($D389,$C$5:$AV$527,3,)=0,0,(VLOOKUP($D389,$C$5:$AV$527,17,)/VLOOKUP($D389,$C$5:$AV$527,3,))*$E389)</f>
        <v>0</v>
      </c>
      <c r="U389" s="62">
        <f>IF(VLOOKUP($D389,$C$5:$AV$527,3,)=0,0,(VLOOKUP($D389,$C$5:$AV$527,18,)/VLOOKUP($D389,$C$5:$AV$527,3,))*$E389)</f>
        <v>0</v>
      </c>
      <c r="V389" s="62">
        <f>IF(VLOOKUP($D389,$C$5:$AV$527,3,)=0,0,(VLOOKUP($D389,$C$5:$AV$527,19,)/VLOOKUP($D389,$C$5:$AV$527,3,))*$E389)</f>
        <v>0</v>
      </c>
      <c r="W389" s="62">
        <f>IF(VLOOKUP($D389,$C$5:$AV$527,3,)=0,0,(VLOOKUP($D389,$C$5:$AV$527,20,)/VLOOKUP($D389,$C$5:$AV$527,3,))*$E389)</f>
        <v>0</v>
      </c>
      <c r="X389" s="62">
        <f>IF(VLOOKUP($D389,$C$5:$AV$527,3,)=0,0,(VLOOKUP($D389,$C$5:$AV$527,21,)/VLOOKUP($D389,$C$5:$AV$527,3,))*$E389)</f>
        <v>0</v>
      </c>
      <c r="Y389" s="62">
        <f>IF(VLOOKUP($D389,$C$5:$AV$527,3,)=0,0,(VLOOKUP($D389,$C$5:$AV$527,22,)/VLOOKUP($D389,$C$5:$AV$527,3,))*$E389)</f>
        <v>0</v>
      </c>
      <c r="Z389" s="62">
        <f>IF(VLOOKUP($D389,$C$5:$AV$527,3,)=0,0,(VLOOKUP($D389,$C$5:$AV$527,23,)/VLOOKUP($D389,$C$5:$AV$527,3,))*$E389)</f>
        <v>0</v>
      </c>
      <c r="AA389" s="62">
        <f>IF(VLOOKUP($D389,$C$5:$AV$527,3,)=0,0,(VLOOKUP($D389,$C$5:$AV$527,24,)/VLOOKUP($D389,$C$5:$AV$527,3,))*$E389)</f>
        <v>0</v>
      </c>
      <c r="AB389" s="62">
        <f>IF(VLOOKUP($D389,$C$5:$AV$527,3,)=0,0,(VLOOKUP($D389,$C$5:$AV$527,25,)/VLOOKUP($D389,$C$5:$AV$527,3,))*$E389)</f>
        <v>0</v>
      </c>
      <c r="AC389" s="62">
        <f>IF(VLOOKUP($D389,$C$5:$AV$527,3,)=0,0,(VLOOKUP($D389,$C$5:$AV$527,26,)/VLOOKUP($D389,$C$5:$AV$527,3,))*$E389)</f>
        <v>0</v>
      </c>
      <c r="AD389" s="62">
        <f>IF(VLOOKUP($D389,$C$5:$AV$527,3,)=0,0,(VLOOKUP($D389,$C$5:$AV$527,27,)/VLOOKUP($D389,$C$5:$AV$527,3,))*$E389)</f>
        <v>0</v>
      </c>
      <c r="AE389" s="62">
        <f>IF(VLOOKUP($D389,$C$5:$AV$527,3,)=0,0,(VLOOKUP($D389,$C$5:$AV$527,28,)/VLOOKUP($D389,$C$5:$AV$527,3,))*$E389)</f>
        <v>0</v>
      </c>
      <c r="AF389" s="62">
        <f>IF(VLOOKUP($D389,$C$5:$AV$527,3,)=0,0,(VLOOKUP($D389,$C$5:$AV$527,29,)/VLOOKUP($D389,$C$5:$AV$527,3,))*$E389)</f>
        <v>0</v>
      </c>
      <c r="AG389" s="62">
        <f>IF(VLOOKUP($D389,$C$5:$AV$527,3,)=0,0,(VLOOKUP($D389,$C$5:$AV$527,30,)/VLOOKUP($D389,$C$5:$AV$527,3,))*$E389)</f>
        <v>0</v>
      </c>
      <c r="AH389" s="87">
        <f t="shared" si="302"/>
        <v>0</v>
      </c>
      <c r="AI389" s="27" t="str">
        <f t="shared" si="270"/>
        <v>ok</v>
      </c>
    </row>
    <row r="390" spans="1:35" x14ac:dyDescent="0.2">
      <c r="B390" s="24" t="s">
        <v>903</v>
      </c>
      <c r="E390" s="98">
        <f>SUM(E365:E389)</f>
        <v>-8321297.9785499992</v>
      </c>
      <c r="F390" s="98">
        <f t="shared" ref="F390:S390" si="311">SUM(F365:F389)</f>
        <v>-6253114.5818894701</v>
      </c>
      <c r="G390" s="98">
        <f t="shared" si="311"/>
        <v>-5418.6730383560034</v>
      </c>
      <c r="H390" s="98">
        <f t="shared" si="311"/>
        <v>-630647.55845221458</v>
      </c>
      <c r="I390" s="98">
        <f t="shared" si="311"/>
        <v>-71686.195043305212</v>
      </c>
      <c r="J390" s="98">
        <f t="shared" si="311"/>
        <v>-736042.36049892218</v>
      </c>
      <c r="K390" s="98">
        <f t="shared" si="311"/>
        <v>0</v>
      </c>
      <c r="L390" s="98">
        <f t="shared" si="311"/>
        <v>-425072.46413364518</v>
      </c>
      <c r="M390" s="98">
        <f t="shared" ref="M390" si="312">SUM(M365:M389)</f>
        <v>-142700.7457579459</v>
      </c>
      <c r="N390" s="98">
        <f t="shared" si="311"/>
        <v>-56615.397377545691</v>
      </c>
      <c r="O390" s="98">
        <f t="shared" si="311"/>
        <v>0</v>
      </c>
      <c r="P390" s="98">
        <f t="shared" si="311"/>
        <v>0</v>
      </c>
      <c r="Q390" s="98">
        <f t="shared" si="311"/>
        <v>0</v>
      </c>
      <c r="R390" s="98">
        <f t="shared" si="311"/>
        <v>0</v>
      </c>
      <c r="S390" s="98">
        <f t="shared" si="311"/>
        <v>0</v>
      </c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98">
        <f t="shared" si="302"/>
        <v>-8321297.9761914043</v>
      </c>
      <c r="AI390" s="27" t="str">
        <f t="shared" si="270"/>
        <v>ok</v>
      </c>
    </row>
    <row r="391" spans="1:35" x14ac:dyDescent="0.2">
      <c r="E391" s="87"/>
    </row>
    <row r="392" spans="1:35" x14ac:dyDescent="0.2">
      <c r="A392" s="14" t="s">
        <v>572</v>
      </c>
      <c r="E392" s="87">
        <f>E362+E390</f>
        <v>48193761.421450004</v>
      </c>
      <c r="F392" s="87">
        <f t="shared" ref="F392:S392" si="313">F362+F390</f>
        <v>38082954.663585782</v>
      </c>
      <c r="G392" s="87">
        <f t="shared" si="313"/>
        <v>26482.05839813354</v>
      </c>
      <c r="H392" s="87">
        <f t="shared" si="313"/>
        <v>3597385.0052412446</v>
      </c>
      <c r="I392" s="87">
        <f t="shared" si="313"/>
        <v>432858.64251350297</v>
      </c>
      <c r="J392" s="87">
        <f t="shared" si="313"/>
        <v>3208442.5893981457</v>
      </c>
      <c r="K392" s="87">
        <f t="shared" si="313"/>
        <v>0</v>
      </c>
      <c r="L392" s="87">
        <f t="shared" si="313"/>
        <v>1628313.6656872642</v>
      </c>
      <c r="M392" s="87">
        <f t="shared" ref="M392" si="314">M362+M390</f>
        <v>587580.32448547101</v>
      </c>
      <c r="N392" s="87">
        <f t="shared" si="313"/>
        <v>629744.47449904552</v>
      </c>
      <c r="O392" s="87">
        <f t="shared" si="313"/>
        <v>0</v>
      </c>
      <c r="P392" s="87">
        <f t="shared" si="313"/>
        <v>0</v>
      </c>
      <c r="Q392" s="87">
        <f t="shared" si="313"/>
        <v>0</v>
      </c>
      <c r="R392" s="87">
        <f t="shared" si="313"/>
        <v>0</v>
      </c>
      <c r="S392" s="87">
        <f t="shared" si="313"/>
        <v>0</v>
      </c>
      <c r="T392" s="87">
        <f t="shared" ref="T392:AG392" si="315">SUM(T362:T391)</f>
        <v>0</v>
      </c>
      <c r="U392" s="87">
        <f t="shared" si="315"/>
        <v>0</v>
      </c>
      <c r="V392" s="87">
        <f t="shared" si="315"/>
        <v>0</v>
      </c>
      <c r="W392" s="87">
        <f t="shared" si="315"/>
        <v>0</v>
      </c>
      <c r="X392" s="87">
        <f t="shared" si="315"/>
        <v>0</v>
      </c>
      <c r="Y392" s="87">
        <f t="shared" si="315"/>
        <v>0</v>
      </c>
      <c r="Z392" s="87">
        <f t="shared" si="315"/>
        <v>0</v>
      </c>
      <c r="AA392" s="87">
        <f t="shared" si="315"/>
        <v>0</v>
      </c>
      <c r="AB392" s="87">
        <f t="shared" si="315"/>
        <v>0</v>
      </c>
      <c r="AC392" s="87">
        <f t="shared" si="315"/>
        <v>0</v>
      </c>
      <c r="AD392" s="87">
        <f t="shared" si="315"/>
        <v>0</v>
      </c>
      <c r="AE392" s="87">
        <f t="shared" si="315"/>
        <v>0</v>
      </c>
      <c r="AF392" s="87">
        <f t="shared" si="315"/>
        <v>0</v>
      </c>
      <c r="AG392" s="87">
        <f t="shared" si="315"/>
        <v>0</v>
      </c>
      <c r="AH392" s="87">
        <f>SUM(F392:AG392)</f>
        <v>48193761.423808597</v>
      </c>
      <c r="AI392" s="27" t="str">
        <f>IF(ABS(E392-AH392)&lt;0.01,"ok","err")</f>
        <v>ok</v>
      </c>
    </row>
    <row r="394" spans="1:35" x14ac:dyDescent="0.2">
      <c r="A394" s="13" t="s">
        <v>573</v>
      </c>
      <c r="E394" s="87">
        <f t="shared" ref="E394:AG394" si="316">E358-E392</f>
        <v>1508891.2693660036</v>
      </c>
      <c r="F394" s="87">
        <f t="shared" si="316"/>
        <v>-1032621.7737365961</v>
      </c>
      <c r="G394" s="87">
        <f t="shared" si="316"/>
        <v>39949.36712227657</v>
      </c>
      <c r="H394" s="87">
        <f t="shared" si="316"/>
        <v>542336.88832492242</v>
      </c>
      <c r="I394" s="87">
        <f t="shared" si="316"/>
        <v>16112.018538803619</v>
      </c>
      <c r="J394" s="87">
        <f t="shared" si="316"/>
        <v>1175081.3699226528</v>
      </c>
      <c r="K394" s="87">
        <f t="shared" si="316"/>
        <v>0</v>
      </c>
      <c r="L394" s="87">
        <f t="shared" si="316"/>
        <v>250141.35957126622</v>
      </c>
      <c r="M394" s="87">
        <f t="shared" ref="M394" si="317">M358-M392</f>
        <v>140203.68706693803</v>
      </c>
      <c r="N394" s="87">
        <f t="shared" si="316"/>
        <v>377688.3488286275</v>
      </c>
      <c r="O394" s="87">
        <f t="shared" si="316"/>
        <v>0</v>
      </c>
      <c r="P394" s="87">
        <f t="shared" si="316"/>
        <v>0</v>
      </c>
      <c r="Q394" s="87">
        <f t="shared" si="316"/>
        <v>0</v>
      </c>
      <c r="R394" s="87">
        <f t="shared" si="316"/>
        <v>0</v>
      </c>
      <c r="S394" s="87">
        <f t="shared" si="316"/>
        <v>0</v>
      </c>
      <c r="T394" s="87">
        <f t="shared" si="316"/>
        <v>0</v>
      </c>
      <c r="U394" s="87">
        <f t="shared" si="316"/>
        <v>0</v>
      </c>
      <c r="V394" s="87">
        <f t="shared" si="316"/>
        <v>0</v>
      </c>
      <c r="W394" s="87">
        <f t="shared" si="316"/>
        <v>0</v>
      </c>
      <c r="X394" s="87">
        <f t="shared" si="316"/>
        <v>0</v>
      </c>
      <c r="Y394" s="87">
        <f t="shared" si="316"/>
        <v>0</v>
      </c>
      <c r="Z394" s="87">
        <f t="shared" si="316"/>
        <v>0</v>
      </c>
      <c r="AA394" s="87">
        <f t="shared" si="316"/>
        <v>0</v>
      </c>
      <c r="AB394" s="87">
        <f t="shared" si="316"/>
        <v>0</v>
      </c>
      <c r="AC394" s="87">
        <f t="shared" si="316"/>
        <v>0</v>
      </c>
      <c r="AD394" s="87">
        <f t="shared" si="316"/>
        <v>0</v>
      </c>
      <c r="AE394" s="87">
        <f t="shared" si="316"/>
        <v>0</v>
      </c>
      <c r="AF394" s="87">
        <f t="shared" si="316"/>
        <v>0</v>
      </c>
      <c r="AG394" s="87">
        <f t="shared" si="316"/>
        <v>0</v>
      </c>
      <c r="AH394" s="87">
        <f>SUM(F394:AG394)</f>
        <v>1508891.2656388911</v>
      </c>
      <c r="AI394" s="27" t="str">
        <f>IF(ABS(E394-AH394)&lt;0.01,"ok","err")</f>
        <v>ok</v>
      </c>
    </row>
    <row r="396" spans="1:35" x14ac:dyDescent="0.2">
      <c r="A396" s="13" t="s">
        <v>249</v>
      </c>
      <c r="E396" s="87">
        <f t="shared" ref="E396:AG396" si="318">E328</f>
        <v>110819625.55153848</v>
      </c>
      <c r="F396" s="87">
        <f t="shared" si="318"/>
        <v>94136212.983319223</v>
      </c>
      <c r="G396" s="87">
        <f t="shared" si="318"/>
        <v>29167.126963194252</v>
      </c>
      <c r="H396" s="87">
        <f t="shared" si="318"/>
        <v>8191620.071561249</v>
      </c>
      <c r="I396" s="87">
        <f t="shared" si="318"/>
        <v>1091320.717431678</v>
      </c>
      <c r="J396" s="87">
        <f t="shared" si="318"/>
        <v>2101293.4624647214</v>
      </c>
      <c r="K396" s="87">
        <f t="shared" si="318"/>
        <v>0</v>
      </c>
      <c r="L396" s="87">
        <f t="shared" si="318"/>
        <v>784906.06854340143</v>
      </c>
      <c r="M396" s="87">
        <f t="shared" ref="M396" si="319">M328</f>
        <v>221031.63491170568</v>
      </c>
      <c r="N396" s="87">
        <f t="shared" si="318"/>
        <v>4264073.4863433111</v>
      </c>
      <c r="O396" s="87">
        <f t="shared" si="318"/>
        <v>0</v>
      </c>
      <c r="P396" s="87">
        <f t="shared" si="318"/>
        <v>0</v>
      </c>
      <c r="Q396" s="87">
        <f t="shared" si="318"/>
        <v>0</v>
      </c>
      <c r="R396" s="87">
        <f t="shared" si="318"/>
        <v>0</v>
      </c>
      <c r="S396" s="87">
        <f t="shared" si="318"/>
        <v>0</v>
      </c>
      <c r="T396" s="87">
        <f t="shared" si="318"/>
        <v>0</v>
      </c>
      <c r="U396" s="87">
        <f t="shared" si="318"/>
        <v>0</v>
      </c>
      <c r="V396" s="87">
        <f t="shared" si="318"/>
        <v>0</v>
      </c>
      <c r="W396" s="87">
        <f t="shared" si="318"/>
        <v>0</v>
      </c>
      <c r="X396" s="87">
        <f t="shared" si="318"/>
        <v>0</v>
      </c>
      <c r="Y396" s="87">
        <f t="shared" si="318"/>
        <v>0</v>
      </c>
      <c r="Z396" s="87">
        <f t="shared" si="318"/>
        <v>0</v>
      </c>
      <c r="AA396" s="87">
        <f t="shared" si="318"/>
        <v>0</v>
      </c>
      <c r="AB396" s="87">
        <f t="shared" si="318"/>
        <v>0</v>
      </c>
      <c r="AC396" s="87">
        <f t="shared" si="318"/>
        <v>0</v>
      </c>
      <c r="AD396" s="87">
        <f t="shared" si="318"/>
        <v>0</v>
      </c>
      <c r="AE396" s="87">
        <f t="shared" si="318"/>
        <v>0</v>
      </c>
      <c r="AF396" s="87">
        <f t="shared" si="318"/>
        <v>0</v>
      </c>
      <c r="AG396" s="87">
        <f t="shared" si="318"/>
        <v>0</v>
      </c>
      <c r="AH396" s="87">
        <f>SUM(F396:AG396)</f>
        <v>110819625.55153848</v>
      </c>
      <c r="AI396" s="27" t="str">
        <f>IF(ABS(E396-AH396)&lt;0.01,"ok","err")</f>
        <v>ok</v>
      </c>
    </row>
    <row r="397" spans="1:35" x14ac:dyDescent="0.2">
      <c r="A397" s="14" t="s">
        <v>750</v>
      </c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27"/>
    </row>
    <row r="398" spans="1:35" x14ac:dyDescent="0.2">
      <c r="A398" s="13"/>
      <c r="B398" s="14" t="s">
        <v>1041</v>
      </c>
      <c r="D398" s="14" t="s">
        <v>261</v>
      </c>
      <c r="E398" s="87">
        <v>0</v>
      </c>
      <c r="F398" s="47">
        <f>IF(VLOOKUP($D398,$C$5:$AV$509,3,)=0,0,(VLOOKUP($D398,$C$5:$AV$509,4,)/VLOOKUP($D398,$C$5:$AV$509,3,))*$E398)</f>
        <v>0</v>
      </c>
      <c r="G398" s="47">
        <f>IF(VLOOKUP($D398,$C$5:$AV$509,3,)=0,0,(VLOOKUP($D398,$C$5:$AV$509,5,)/VLOOKUP($D398,$C$5:$AV$509,3,))*$E398)</f>
        <v>0</v>
      </c>
      <c r="H398" s="47">
        <f>IF(VLOOKUP($D398,$C$5:$AV$509,3,)=0,0,(VLOOKUP($D398,$C$5:$AV$509,6,)/VLOOKUP($D398,$C$5:$AV$509,3,))*$E398)</f>
        <v>0</v>
      </c>
      <c r="I398" s="47">
        <f>IF(VLOOKUP($D398,$C$5:$AV$509,3,)=0,0,(VLOOKUP($D398,$C$5:$AV$509,7,)/VLOOKUP($D398,$C$5:$AV$509,3,))*$E398)</f>
        <v>0</v>
      </c>
      <c r="J398" s="47">
        <f>IF(VLOOKUP($D398,$C$5:$AV$509,3,)=0,0,(VLOOKUP($D398,$C$5:$AV$509,8,)/VLOOKUP($D398,$C$5:$AV$509,3,))*$E398)</f>
        <v>0</v>
      </c>
      <c r="K398" s="47">
        <f>IF(VLOOKUP($D398,$C$5:$AV$509,3,)=0,0,(VLOOKUP($D398,$C$5:$AV$509,9,)/VLOOKUP($D398,$C$5:$AV$509,3,))*$E398)</f>
        <v>0</v>
      </c>
      <c r="L398" s="47">
        <f>IF(VLOOKUP($D398,$C$5:$AV$509,3,)=0,0,(VLOOKUP($D398,$C$5:$AV$509,10,)/VLOOKUP($D398,$C$5:$AV$509,3,))*$E398)</f>
        <v>0</v>
      </c>
      <c r="M398" s="47">
        <f>IF(VLOOKUP($D398,$C$5:$AV$509,3,)=0,0,(VLOOKUP($D398,$C$5:$AV$509,11,)/VLOOKUP($D398,$C$5:$AV$509,3,))*$E398)</f>
        <v>0</v>
      </c>
      <c r="N398" s="47">
        <f>IF(VLOOKUP($D398,$C$5:$AV$509,3,)=0,0,(VLOOKUP($D398,$C$5:$AV$509,12,)/VLOOKUP($D398,$C$5:$AV$509,3,))*$E398)</f>
        <v>0</v>
      </c>
      <c r="O398" s="47">
        <f>IF(VLOOKUP($D398,$C$5:$AV$509,3,)=0,0,(VLOOKUP($D398,$C$5:$AV$509,14,)/VLOOKUP($D398,$C$5:$AV$509,3,))*$E398)</f>
        <v>0</v>
      </c>
      <c r="P398" s="47">
        <f>IF(VLOOKUP($D398,$C$5:$AV$509,3,)=0,0,(VLOOKUP($D398,$C$5:$AV$509,14,)/VLOOKUP($D398,$C$5:$AV$509,3,))*$E398)</f>
        <v>0</v>
      </c>
      <c r="Q398" s="47">
        <f>IF(VLOOKUP($D398,$C$5:$AV$509,3,)=0,0,(VLOOKUP($D398,$C$5:$AV$509,14,)/VLOOKUP($D398,$C$5:$AV$509,3,))*$E398)</f>
        <v>0</v>
      </c>
      <c r="R398" s="47">
        <f>IF(VLOOKUP($D398,$C$5:$AV$509,3,)=0,0,(VLOOKUP($D398,$C$5:$AV$509,15,)/VLOOKUP($D398,$C$5:$AV$509,3,))*$E398)</f>
        <v>0</v>
      </c>
      <c r="S398" s="47">
        <f>IF(VLOOKUP($D398,$C$5:$AV$509,3,)=0,0,(VLOOKUP($D398,$C$5:$AV$509,16,)/VLOOKUP($D398,$C$5:$AV$509,3,))*$E398)</f>
        <v>0</v>
      </c>
      <c r="T398" s="47">
        <f>IF(VLOOKUP($D398,$C$5:$AV$509,3,)=0,0,(VLOOKUP($D398,$C$5:$AV$509,17,)/VLOOKUP($D398,$C$5:$AV$509,3,))*$E398)</f>
        <v>0</v>
      </c>
      <c r="U398" s="47">
        <f>IF(VLOOKUP($D398,$C$5:$AV$509,3,)=0,0,(VLOOKUP($D398,$C$5:$AV$509,18,)/VLOOKUP($D398,$C$5:$AV$509,3,))*$E398)</f>
        <v>0</v>
      </c>
      <c r="V398" s="47">
        <f>IF(VLOOKUP($D398,$C$5:$AV$509,3,)=0,0,(VLOOKUP($D398,$C$5:$AV$509,19,)/VLOOKUP($D398,$C$5:$AV$509,3,))*$E398)</f>
        <v>0</v>
      </c>
      <c r="W398" s="47">
        <f>IF(VLOOKUP($D398,$C$5:$AV$509,3,)=0,0,(VLOOKUP($D398,$C$5:$AV$509,20,)/VLOOKUP($D398,$C$5:$AV$509,3,))*$E398)</f>
        <v>0</v>
      </c>
      <c r="X398" s="47">
        <f>IF(VLOOKUP($D398,$C$5:$AV$509,3,)=0,0,(VLOOKUP($D398,$C$5:$AV$509,21,)/VLOOKUP($D398,$C$5:$AV$509,3,))*$E398)</f>
        <v>0</v>
      </c>
      <c r="Y398" s="47">
        <f>IF(VLOOKUP($D398,$C$5:$AV$509,3,)=0,0,(VLOOKUP($D398,$C$5:$AV$509,22,)/VLOOKUP($D398,$C$5:$AV$509,3,))*$E398)</f>
        <v>0</v>
      </c>
      <c r="Z398" s="47">
        <f>IF(VLOOKUP($D398,$C$5:$AV$509,3,)=0,0,(VLOOKUP($D398,$C$5:$AV$509,23,)/VLOOKUP($D398,$C$5:$AV$509,3,))*$E398)</f>
        <v>0</v>
      </c>
      <c r="AA398" s="47">
        <f>IF(VLOOKUP($D398,$C$5:$AV$509,3,)=0,0,(VLOOKUP($D398,$C$5:$AV$509,24,)/VLOOKUP($D398,$C$5:$AV$509,3,))*$E398)</f>
        <v>0</v>
      </c>
      <c r="AB398" s="47">
        <f>IF(VLOOKUP($D398,$C$5:$AV$509,3,)=0,0,(VLOOKUP($D398,$C$5:$AV$509,25,)/VLOOKUP($D398,$C$5:$AV$509,3,))*$E398)</f>
        <v>0</v>
      </c>
      <c r="AC398" s="47">
        <f>IF(VLOOKUP($D398,$C$5:$AV$509,3,)=0,0,(VLOOKUP($D398,$C$5:$AV$509,26,)/VLOOKUP($D398,$C$5:$AV$509,3,))*$E398)</f>
        <v>0</v>
      </c>
      <c r="AD398" s="47">
        <f>IF(VLOOKUP($D398,$C$5:$AV$509,3,)=0,0,(VLOOKUP($D398,$C$5:$AV$509,27,)/VLOOKUP($D398,$C$5:$AV$509,3,))*$E398)</f>
        <v>0</v>
      </c>
      <c r="AE398" s="47">
        <f>IF(VLOOKUP($D398,$C$5:$AV$509,3,)=0,0,(VLOOKUP($D398,$C$5:$AV$509,28,)/VLOOKUP($D398,$C$5:$AV$509,3,))*$E398)</f>
        <v>0</v>
      </c>
      <c r="AF398" s="47">
        <f>IF(VLOOKUP($D398,$C$5:$AV$509,3,)=0,0,(VLOOKUP($D398,$C$5:$AV$509,29,)/VLOOKUP($D398,$C$5:$AV$509,3,))*$E398)</f>
        <v>0</v>
      </c>
      <c r="AG398" s="47">
        <f>IF(VLOOKUP($D398,$C$5:$AV$509,3,)=0,0,(VLOOKUP($D398,$C$5:$AV$509,30,)/VLOOKUP($D398,$C$5:$AV$509,3,))*$E398)</f>
        <v>0</v>
      </c>
      <c r="AH398" s="47">
        <f t="shared" ref="AH398" si="320">SUM(F398:AG398)</f>
        <v>0</v>
      </c>
      <c r="AI398" s="27" t="str">
        <f>IF(ABS(E398-AH398)&lt;0.01,"ok","err")</f>
        <v>ok</v>
      </c>
    </row>
    <row r="399" spans="1:35" x14ac:dyDescent="0.2">
      <c r="A399" s="13"/>
      <c r="E399" s="87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87"/>
      <c r="AI399" s="27"/>
    </row>
    <row r="400" spans="1:35" x14ac:dyDescent="0.2">
      <c r="A400" s="14" t="s">
        <v>749</v>
      </c>
      <c r="E400" s="87">
        <f>E396+E398</f>
        <v>110819625.55153848</v>
      </c>
      <c r="F400" s="87">
        <f t="shared" ref="F400:V400" si="321">F396+F398</f>
        <v>94136212.983319223</v>
      </c>
      <c r="G400" s="87">
        <f t="shared" si="321"/>
        <v>29167.126963194252</v>
      </c>
      <c r="H400" s="87">
        <f t="shared" si="321"/>
        <v>8191620.071561249</v>
      </c>
      <c r="I400" s="87">
        <f t="shared" si="321"/>
        <v>1091320.717431678</v>
      </c>
      <c r="J400" s="87">
        <f t="shared" si="321"/>
        <v>2101293.4624647214</v>
      </c>
      <c r="K400" s="87">
        <f t="shared" si="321"/>
        <v>0</v>
      </c>
      <c r="L400" s="87">
        <f t="shared" si="321"/>
        <v>784906.06854340143</v>
      </c>
      <c r="M400" s="87">
        <f t="shared" ref="M400" si="322">M396+M398</f>
        <v>221031.63491170568</v>
      </c>
      <c r="N400" s="87">
        <f t="shared" si="321"/>
        <v>4264073.4863433111</v>
      </c>
      <c r="O400" s="87">
        <f t="shared" si="321"/>
        <v>0</v>
      </c>
      <c r="P400" s="87">
        <f t="shared" si="321"/>
        <v>0</v>
      </c>
      <c r="Q400" s="87">
        <f>Q396+Q398</f>
        <v>0</v>
      </c>
      <c r="R400" s="87">
        <f t="shared" si="321"/>
        <v>0</v>
      </c>
      <c r="S400" s="87">
        <f t="shared" si="321"/>
        <v>0</v>
      </c>
      <c r="T400" s="62">
        <f t="shared" si="321"/>
        <v>0</v>
      </c>
      <c r="U400" s="62">
        <f t="shared" si="321"/>
        <v>0</v>
      </c>
      <c r="V400" s="62">
        <f t="shared" si="321"/>
        <v>0</v>
      </c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87">
        <f>SUM(F400:AG400)</f>
        <v>110819625.55153848</v>
      </c>
      <c r="AI400" s="27" t="str">
        <f>IF(ABS(E400-AH400)&lt;0.01,"ok","err")</f>
        <v>ok</v>
      </c>
    </row>
    <row r="401" spans="1:35" ht="13.5" thickBot="1" x14ac:dyDescent="0.25"/>
    <row r="402" spans="1:35" ht="13.5" thickBot="1" x14ac:dyDescent="0.25">
      <c r="A402" s="172" t="s">
        <v>334</v>
      </c>
      <c r="B402" s="173"/>
      <c r="C402" s="173"/>
      <c r="D402" s="173"/>
      <c r="E402" s="97">
        <f t="shared" ref="E402:S402" si="323">E394/E400</f>
        <v>1.3615740550073136E-2</v>
      </c>
      <c r="F402" s="97">
        <f t="shared" si="323"/>
        <v>-1.0969442481392096E-2</v>
      </c>
      <c r="G402" s="97">
        <f t="shared" si="323"/>
        <v>1.3696709714566104</v>
      </c>
      <c r="H402" s="97">
        <f t="shared" si="323"/>
        <v>6.6206303952956388E-2</v>
      </c>
      <c r="I402" s="97">
        <f t="shared" si="323"/>
        <v>1.4763779594253245E-2</v>
      </c>
      <c r="J402" s="97">
        <f t="shared" si="323"/>
        <v>0.55921811537182242</v>
      </c>
      <c r="K402" s="97" t="e">
        <f t="shared" si="323"/>
        <v>#DIV/0!</v>
      </c>
      <c r="L402" s="97">
        <f t="shared" si="323"/>
        <v>0.31868954719061982</v>
      </c>
      <c r="M402" s="97">
        <f t="shared" ref="M402" si="324">M394/M400</f>
        <v>0.63431502519059968</v>
      </c>
      <c r="N402" s="97">
        <f t="shared" si="323"/>
        <v>8.857454029304665E-2</v>
      </c>
      <c r="O402" s="97" t="e">
        <f t="shared" si="323"/>
        <v>#DIV/0!</v>
      </c>
      <c r="P402" s="97" t="e">
        <f t="shared" si="323"/>
        <v>#DIV/0!</v>
      </c>
      <c r="Q402" s="97" t="e">
        <f t="shared" si="323"/>
        <v>#DIV/0!</v>
      </c>
      <c r="R402" s="97" t="e">
        <f t="shared" si="323"/>
        <v>#DIV/0!</v>
      </c>
      <c r="S402" s="97" t="e">
        <f t="shared" si="323"/>
        <v>#DIV/0!</v>
      </c>
      <c r="T402" s="97" t="e">
        <f t="shared" ref="T402:AG402" si="325">T394/T396</f>
        <v>#DIV/0!</v>
      </c>
      <c r="U402" s="97" t="e">
        <f t="shared" si="325"/>
        <v>#DIV/0!</v>
      </c>
      <c r="V402" s="97" t="e">
        <f t="shared" si="325"/>
        <v>#DIV/0!</v>
      </c>
      <c r="W402" s="97" t="e">
        <f t="shared" si="325"/>
        <v>#DIV/0!</v>
      </c>
      <c r="X402" s="97" t="e">
        <f t="shared" si="325"/>
        <v>#DIV/0!</v>
      </c>
      <c r="Y402" s="97" t="e">
        <f t="shared" si="325"/>
        <v>#DIV/0!</v>
      </c>
      <c r="Z402" s="97" t="e">
        <f t="shared" si="325"/>
        <v>#DIV/0!</v>
      </c>
      <c r="AA402" s="97" t="e">
        <f t="shared" si="325"/>
        <v>#DIV/0!</v>
      </c>
      <c r="AB402" s="97" t="e">
        <f t="shared" si="325"/>
        <v>#DIV/0!</v>
      </c>
      <c r="AC402" s="97" t="e">
        <f t="shared" si="325"/>
        <v>#DIV/0!</v>
      </c>
      <c r="AD402" s="97" t="e">
        <f t="shared" si="325"/>
        <v>#DIV/0!</v>
      </c>
      <c r="AE402" s="97" t="e">
        <f t="shared" si="325"/>
        <v>#DIV/0!</v>
      </c>
      <c r="AF402" s="97" t="e">
        <f t="shared" si="325"/>
        <v>#DIV/0!</v>
      </c>
      <c r="AG402" s="97" t="e">
        <f t="shared" si="325"/>
        <v>#DIV/0!</v>
      </c>
      <c r="AH402" s="87"/>
      <c r="AI402" s="27"/>
    </row>
    <row r="403" spans="1:35" x14ac:dyDescent="0.2">
      <c r="A403" s="13" t="s">
        <v>952</v>
      </c>
      <c r="B403" s="13"/>
      <c r="C403" s="13"/>
      <c r="D403" s="13"/>
      <c r="E403" s="175">
        <f>E402/$E$402</f>
        <v>1</v>
      </c>
      <c r="F403" s="175">
        <f t="shared" ref="F403:AG403" si="326">F402/$E$402</f>
        <v>-0.80564420576691842</v>
      </c>
      <c r="G403" s="175">
        <f t="shared" si="326"/>
        <v>100.59467323275732</v>
      </c>
      <c r="H403" s="175">
        <f t="shared" si="326"/>
        <v>4.8624827793594205</v>
      </c>
      <c r="I403" s="175">
        <f t="shared" si="326"/>
        <v>1.0843170476081041</v>
      </c>
      <c r="J403" s="175">
        <f t="shared" si="326"/>
        <v>41.071443254610095</v>
      </c>
      <c r="K403" s="175" t="e">
        <f t="shared" si="326"/>
        <v>#DIV/0!</v>
      </c>
      <c r="L403" s="175">
        <f t="shared" si="326"/>
        <v>23.405965031326041</v>
      </c>
      <c r="M403" s="175">
        <f t="shared" ref="M403" si="327">M402/$E$402</f>
        <v>46.586891315815542</v>
      </c>
      <c r="N403" s="175">
        <f t="shared" si="326"/>
        <v>6.5053046484916219</v>
      </c>
      <c r="O403" s="175" t="e">
        <f t="shared" si="326"/>
        <v>#DIV/0!</v>
      </c>
      <c r="P403" s="175" t="e">
        <f t="shared" si="326"/>
        <v>#DIV/0!</v>
      </c>
      <c r="Q403" s="175" t="e">
        <f t="shared" si="326"/>
        <v>#DIV/0!</v>
      </c>
      <c r="R403" s="175" t="e">
        <f t="shared" si="326"/>
        <v>#DIV/0!</v>
      </c>
      <c r="S403" s="175" t="e">
        <f t="shared" si="326"/>
        <v>#DIV/0!</v>
      </c>
      <c r="T403" s="175" t="e">
        <f t="shared" si="326"/>
        <v>#DIV/0!</v>
      </c>
      <c r="U403" s="175" t="e">
        <f t="shared" si="326"/>
        <v>#DIV/0!</v>
      </c>
      <c r="V403" s="175" t="e">
        <f t="shared" si="326"/>
        <v>#DIV/0!</v>
      </c>
      <c r="W403" s="175" t="e">
        <f t="shared" si="326"/>
        <v>#DIV/0!</v>
      </c>
      <c r="X403" s="175" t="e">
        <f t="shared" si="326"/>
        <v>#DIV/0!</v>
      </c>
      <c r="Y403" s="175" t="e">
        <f t="shared" si="326"/>
        <v>#DIV/0!</v>
      </c>
      <c r="Z403" s="175" t="e">
        <f t="shared" si="326"/>
        <v>#DIV/0!</v>
      </c>
      <c r="AA403" s="175" t="e">
        <f t="shared" si="326"/>
        <v>#DIV/0!</v>
      </c>
      <c r="AB403" s="175" t="e">
        <f t="shared" si="326"/>
        <v>#DIV/0!</v>
      </c>
      <c r="AC403" s="175" t="e">
        <f t="shared" si="326"/>
        <v>#DIV/0!</v>
      </c>
      <c r="AD403" s="175" t="e">
        <f t="shared" si="326"/>
        <v>#DIV/0!</v>
      </c>
      <c r="AE403" s="175" t="e">
        <f t="shared" si="326"/>
        <v>#DIV/0!</v>
      </c>
      <c r="AF403" s="175" t="e">
        <f t="shared" si="326"/>
        <v>#DIV/0!</v>
      </c>
      <c r="AG403" s="175" t="e">
        <f t="shared" si="326"/>
        <v>#DIV/0!</v>
      </c>
      <c r="AH403" s="87"/>
      <c r="AI403" s="27"/>
    </row>
    <row r="406" spans="1:35" x14ac:dyDescent="0.2">
      <c r="A406" s="25" t="s">
        <v>567</v>
      </c>
    </row>
    <row r="408" spans="1:35" x14ac:dyDescent="0.2">
      <c r="A408" s="13" t="s">
        <v>335</v>
      </c>
    </row>
    <row r="409" spans="1:35" x14ac:dyDescent="0.2">
      <c r="A409" s="14" t="s">
        <v>336</v>
      </c>
      <c r="C409" s="14" t="s">
        <v>214</v>
      </c>
      <c r="D409" s="14" t="s">
        <v>11</v>
      </c>
      <c r="E409" s="46">
        <v>1</v>
      </c>
      <c r="F409" s="46">
        <f>IF(VLOOKUP($D409,$C$5:$AV$509,3,)=0,0,(VLOOKUP($D409,$C$5:$AV$509,4,)/VLOOKUP($D409,$C$5:$AV$509,3,))*$E409)</f>
        <v>0.7444307887438345</v>
      </c>
      <c r="G409" s="46">
        <f>IF(VLOOKUP($D409,$C$5:$AV$509,3,)=0,0,(VLOOKUP($D409,$C$5:$AV$509,5,)/VLOOKUP($D409,$C$5:$AV$509,3,))*$E409)</f>
        <v>7.5788903071996995E-4</v>
      </c>
      <c r="H409" s="46">
        <f>IF(VLOOKUP($D409,$C$5:$AV$509,3,)=0,0,(VLOOKUP($D409,$C$5:$AV$509,6,)/VLOOKUP($D409,$C$5:$AV$509,3,))*$E409)</f>
        <v>7.2385764718022452E-2</v>
      </c>
      <c r="I409" s="46">
        <f>IF(VLOOKUP($D409,$C$5:$AV$509,3,)=0,0,(VLOOKUP($D409,$C$5:$AV$509,7,)/VLOOKUP($D409,$C$5:$AV$509,3,))*$E409)</f>
        <v>8.2371618933567651E-3</v>
      </c>
      <c r="J409" s="46">
        <f>IF(VLOOKUP($D409,$C$5:$AV$509,3,)=0,0,(VLOOKUP($D409,$C$5:$AV$509,8,)/VLOOKUP($D409,$C$5:$AV$509,3,))*$E409)</f>
        <v>9.5914264608067679E-2</v>
      </c>
      <c r="K409" s="46">
        <f>IF(VLOOKUP($D409,$C$5:$AV$509,3,)=0,0,(VLOOKUP($D409,$C$5:$AV$509,9,)/VLOOKUP($D409,$C$5:$AV$509,3,))*$E409)</f>
        <v>0</v>
      </c>
      <c r="L409" s="46">
        <f>IF(VLOOKUP($D409,$C$5:$AV$509,3,)=0,0,(VLOOKUP($D409,$C$5:$AV$509,10,)/VLOOKUP($D409,$C$5:$AV$509,3,))*$E409)</f>
        <v>4.7932797199942832E-2</v>
      </c>
      <c r="M409" s="46">
        <f>IF(VLOOKUP($D409,$C$5:$AV$509,3,)=0,0,(VLOOKUP($D409,$C$5:$AV$509,11,)/VLOOKUP($D409,$C$5:$AV$509,3,))*$E409)</f>
        <v>2.1125144403497574E-2</v>
      </c>
      <c r="N409" s="46">
        <f>IF(VLOOKUP($D409,$C$5:$AV$509,3,)=0,0,(VLOOKUP($D409,$C$5:$AV$509,12,)/VLOOKUP($D409,$C$5:$AV$509,3,))*$E409)</f>
        <v>9.2161894025582728E-3</v>
      </c>
      <c r="O409" s="210">
        <f>IF(VLOOKUP($D409,$C$5:$AV$509,3,)=0,0,(VLOOKUP($D409,$C$5:$AV$509,14,)/VLOOKUP($D409,$C$5:$AV$509,3,))*$E409)</f>
        <v>0</v>
      </c>
      <c r="P409" s="210">
        <f>IF(VLOOKUP($D409,$C$5:$AV$509,3,)=0,0,(VLOOKUP($D409,$C$5:$AV$509,14,)/VLOOKUP($D409,$C$5:$AV$509,3,))*$E409)</f>
        <v>0</v>
      </c>
      <c r="Q409" s="210">
        <f>IF(VLOOKUP($D409,$C$5:$AV$509,3,)=0,0,(VLOOKUP($D409,$C$5:$AV$509,14,)/VLOOKUP($D409,$C$5:$AV$509,3,))*$E409)</f>
        <v>0</v>
      </c>
      <c r="R409" s="210">
        <f>IF(VLOOKUP($D409,$C$5:$AV$509,3,)=0,0,(VLOOKUP($D409,$C$5:$AV$509,15,)/VLOOKUP($D409,$C$5:$AV$509,3,))*$E409)</f>
        <v>0</v>
      </c>
      <c r="S409" s="210">
        <f>IF(VLOOKUP($D409,$C$5:$AV$509,3,)=0,0,(VLOOKUP($D409,$C$5:$AV$509,16,)/VLOOKUP($D409,$C$5:$AV$509,3,))*$E409)</f>
        <v>0</v>
      </c>
      <c r="T409" s="210">
        <f>IF(VLOOKUP($D409,$C$5:$AV$509,3,)=0,0,(VLOOKUP($D409,$C$5:$AV$509,17,)/VLOOKUP($D409,$C$5:$AV$509,3,))*$E409)</f>
        <v>0</v>
      </c>
      <c r="U409" s="210">
        <f>IF(VLOOKUP($D409,$C$5:$AV$509,3,)=0,0,(VLOOKUP($D409,$C$5:$AV$509,18,)/VLOOKUP($D409,$C$5:$AV$509,3,))*$E409)</f>
        <v>0</v>
      </c>
      <c r="V409" s="210">
        <f>IF(VLOOKUP($D409,$C$5:$AV$509,3,)=0,0,(VLOOKUP($D409,$C$5:$AV$509,19,)/VLOOKUP($D409,$C$5:$AV$509,3,))*$E409)</f>
        <v>0</v>
      </c>
      <c r="W409" s="210">
        <f>IF(VLOOKUP($D409,$C$5:$AV$509,3,)=0,0,(VLOOKUP($D409,$C$5:$AV$509,20,)/VLOOKUP($D409,$C$5:$AV$509,3,))*$E409)</f>
        <v>0</v>
      </c>
      <c r="X409" s="210">
        <f>IF(VLOOKUP($D409,$C$5:$AV$509,3,)=0,0,(VLOOKUP($D409,$C$5:$AV$509,21,)/VLOOKUP($D409,$C$5:$AV$509,3,))*$E409)</f>
        <v>0</v>
      </c>
      <c r="Y409" s="210">
        <f>IF(VLOOKUP($D409,$C$5:$AV$509,3,)=0,0,(VLOOKUP($D409,$C$5:$AV$509,22,)/VLOOKUP($D409,$C$5:$AV$509,3,))*$E409)</f>
        <v>0</v>
      </c>
      <c r="Z409" s="210">
        <f>IF(VLOOKUP($D409,$C$5:$AV$509,3,)=0,0,(VLOOKUP($D409,$C$5:$AV$509,23,)/VLOOKUP($D409,$C$5:$AV$509,3,))*$E409)</f>
        <v>0</v>
      </c>
      <c r="AA409" s="210">
        <f>IF(VLOOKUP($D409,$C$5:$AV$509,3,)=0,0,(VLOOKUP($D409,$C$5:$AV$509,24,)/VLOOKUP($D409,$C$5:$AV$509,3,))*$E409)</f>
        <v>0</v>
      </c>
      <c r="AB409" s="210">
        <f>IF(VLOOKUP($D409,$C$5:$AV$509,3,)=0,0,(VLOOKUP($D409,$C$5:$AV$509,25,)/VLOOKUP($D409,$C$5:$AV$509,3,))*$E409)</f>
        <v>0</v>
      </c>
      <c r="AC409" s="210">
        <f>IF(VLOOKUP($D409,$C$5:$AV$509,3,)=0,0,(VLOOKUP($D409,$C$5:$AV$509,26,)/VLOOKUP($D409,$C$5:$AV$509,3,))*$E409)</f>
        <v>0</v>
      </c>
      <c r="AD409" s="210">
        <f>IF(VLOOKUP($D409,$C$5:$AV$509,3,)=0,0,(VLOOKUP($D409,$C$5:$AV$509,27,)/VLOOKUP($D409,$C$5:$AV$509,3,))*$E409)</f>
        <v>0</v>
      </c>
      <c r="AE409" s="210">
        <f>IF(VLOOKUP($D409,$C$5:$AV$509,3,)=0,0,(VLOOKUP($D409,$C$5:$AV$509,28,)/VLOOKUP($D409,$C$5:$AV$509,3,))*$E409)</f>
        <v>0</v>
      </c>
      <c r="AF409" s="210">
        <f>IF(VLOOKUP($D409,$C$5:$AV$509,3,)=0,0,(VLOOKUP($D409,$C$5:$AV$509,29,)/VLOOKUP($D409,$C$5:$AV$509,3,))*$E409)</f>
        <v>0</v>
      </c>
      <c r="AG409" s="210">
        <f>IF(VLOOKUP($D409,$C$5:$AV$509,3,)=0,0,(VLOOKUP($D409,$C$5:$AV$509,30,)/VLOOKUP($D409,$C$5:$AV$509,3,))*$E409)</f>
        <v>0</v>
      </c>
      <c r="AH409" s="210">
        <f t="shared" ref="AH409" si="328">SUM(F409:AG409)</f>
        <v>1</v>
      </c>
      <c r="AI409" s="27" t="str">
        <f>IF(ABS(E409-AH409)&lt;0.01,"ok","err")</f>
        <v>ok</v>
      </c>
    </row>
    <row r="411" spans="1:35" x14ac:dyDescent="0.2">
      <c r="A411" s="13" t="s">
        <v>337</v>
      </c>
    </row>
    <row r="412" spans="1:35" x14ac:dyDescent="0.2">
      <c r="A412" s="14" t="s">
        <v>338</v>
      </c>
      <c r="C412" s="14" t="s">
        <v>211</v>
      </c>
      <c r="D412" s="14" t="s">
        <v>956</v>
      </c>
      <c r="E412" s="91">
        <v>1</v>
      </c>
      <c r="F412" s="46">
        <f>IF(VLOOKUP($D412,$C$5:$AV$509,3,)=0,0,(VLOOKUP($D412,$C$5:$AV$509,4,)/VLOOKUP($D412,$C$5:$AV$509,3,))*$E412)</f>
        <v>0.76134291258487141</v>
      </c>
      <c r="G412" s="46">
        <f>IF(VLOOKUP($D412,$C$5:$AV$509,3,)=0,0,(VLOOKUP($D412,$C$5:$AV$509,5,)/VLOOKUP($D412,$C$5:$AV$509,3,))*$E412)</f>
        <v>5.7446582843169198E-4</v>
      </c>
      <c r="H412" s="46">
        <f>IF(VLOOKUP($D412,$C$5:$AV$509,3,)=0,0,(VLOOKUP($D412,$C$5:$AV$509,6,)/VLOOKUP($D412,$C$5:$AV$509,3,))*$E412)</f>
        <v>7.9889787996956022E-2</v>
      </c>
      <c r="I412" s="46">
        <f>IF(VLOOKUP($D412,$C$5:$AV$509,3,)=0,0,(VLOOKUP($D412,$C$5:$AV$509,7,)/VLOOKUP($D412,$C$5:$AV$509,3,))*$E412)</f>
        <v>8.5337466442795083E-3</v>
      </c>
      <c r="J412" s="46">
        <f>IF(VLOOKUP($D412,$C$5:$AV$509,3,)=0,0,(VLOOKUP($D412,$C$5:$AV$509,8,)/VLOOKUP($D412,$C$5:$AV$509,3,))*$E412)</f>
        <v>7.982683761418663E-2</v>
      </c>
      <c r="K412" s="46">
        <f>IF(VLOOKUP($D412,$C$5:$AV$509,3,)=0,0,(VLOOKUP($D412,$C$5:$AV$509,9,)/VLOOKUP($D412,$C$5:$AV$509,3,))*$E412)</f>
        <v>0</v>
      </c>
      <c r="L412" s="46">
        <f>IF(VLOOKUP($D412,$C$5:$AV$509,3,)=0,0,(VLOOKUP($D412,$C$5:$AV$509,10,)/VLOOKUP($D412,$C$5:$AV$509,3,))*$E412)</f>
        <v>5.0455342347032361E-2</v>
      </c>
      <c r="M412" s="46">
        <f>IF(VLOOKUP($D412,$C$5:$AV$509,3,)=0,0,(VLOOKUP($D412,$C$5:$AV$509,11,)/VLOOKUP($D412,$C$5:$AV$509,3,))*$E412)</f>
        <v>1.4479579020534676E-2</v>
      </c>
      <c r="N412" s="46">
        <f>IF(VLOOKUP($D412,$C$5:$AV$509,3,)=0,0,(VLOOKUP($D412,$C$5:$AV$509,12,)/VLOOKUP($D412,$C$5:$AV$509,3,))*$E412)</f>
        <v>4.8973279637075625E-3</v>
      </c>
      <c r="O412" s="210">
        <f>IF(VLOOKUP($D412,$C$5:$AV$509,3,)=0,0,(VLOOKUP($D412,$C$5:$AV$509,14,)/VLOOKUP($D412,$C$5:$AV$509,3,))*$E412)</f>
        <v>0</v>
      </c>
      <c r="P412" s="210">
        <f>IF(VLOOKUP($D412,$C$5:$AV$509,3,)=0,0,(VLOOKUP($D412,$C$5:$AV$509,14,)/VLOOKUP($D412,$C$5:$AV$509,3,))*$E412)</f>
        <v>0</v>
      </c>
      <c r="Q412" s="210">
        <f>IF(VLOOKUP($D412,$C$5:$AV$509,3,)=0,0,(VLOOKUP($D412,$C$5:$AV$509,14,)/VLOOKUP($D412,$C$5:$AV$509,3,))*$E412)</f>
        <v>0</v>
      </c>
      <c r="R412" s="210">
        <f>IF(VLOOKUP($D412,$C$5:$AV$509,3,)=0,0,(VLOOKUP($D412,$C$5:$AV$509,15,)/VLOOKUP($D412,$C$5:$AV$509,3,))*$E412)</f>
        <v>0</v>
      </c>
      <c r="S412" s="210">
        <f>IF(VLOOKUP($D412,$C$5:$AV$509,3,)=0,0,(VLOOKUP($D412,$C$5:$AV$509,16,)/VLOOKUP($D412,$C$5:$AV$509,3,))*$E412)</f>
        <v>0</v>
      </c>
      <c r="T412" s="210">
        <f>IF(VLOOKUP($D412,$C$5:$AV$509,3,)=0,0,(VLOOKUP($D412,$C$5:$AV$509,17,)/VLOOKUP($D412,$C$5:$AV$509,3,))*$E412)</f>
        <v>0</v>
      </c>
      <c r="U412" s="210">
        <f>IF(VLOOKUP($D412,$C$5:$AV$509,3,)=0,0,(VLOOKUP($D412,$C$5:$AV$509,18,)/VLOOKUP($D412,$C$5:$AV$509,3,))*$E412)</f>
        <v>0</v>
      </c>
      <c r="V412" s="210">
        <f>IF(VLOOKUP($D412,$C$5:$AV$509,3,)=0,0,(VLOOKUP($D412,$C$5:$AV$509,19,)/VLOOKUP($D412,$C$5:$AV$509,3,))*$E412)</f>
        <v>0</v>
      </c>
      <c r="W412" s="210">
        <f>IF(VLOOKUP($D412,$C$5:$AV$509,3,)=0,0,(VLOOKUP($D412,$C$5:$AV$509,20,)/VLOOKUP($D412,$C$5:$AV$509,3,))*$E412)</f>
        <v>0</v>
      </c>
      <c r="X412" s="210">
        <f>IF(VLOOKUP($D412,$C$5:$AV$509,3,)=0,0,(VLOOKUP($D412,$C$5:$AV$509,21,)/VLOOKUP($D412,$C$5:$AV$509,3,))*$E412)</f>
        <v>0</v>
      </c>
      <c r="Y412" s="210">
        <f>IF(VLOOKUP($D412,$C$5:$AV$509,3,)=0,0,(VLOOKUP($D412,$C$5:$AV$509,22,)/VLOOKUP($D412,$C$5:$AV$509,3,))*$E412)</f>
        <v>0</v>
      </c>
      <c r="Z412" s="210">
        <f>IF(VLOOKUP($D412,$C$5:$AV$509,3,)=0,0,(VLOOKUP($D412,$C$5:$AV$509,23,)/VLOOKUP($D412,$C$5:$AV$509,3,))*$E412)</f>
        <v>0</v>
      </c>
      <c r="AA412" s="210">
        <f>IF(VLOOKUP($D412,$C$5:$AV$509,3,)=0,0,(VLOOKUP($D412,$C$5:$AV$509,24,)/VLOOKUP($D412,$C$5:$AV$509,3,))*$E412)</f>
        <v>0</v>
      </c>
      <c r="AB412" s="210">
        <f>IF(VLOOKUP($D412,$C$5:$AV$509,3,)=0,0,(VLOOKUP($D412,$C$5:$AV$509,25,)/VLOOKUP($D412,$C$5:$AV$509,3,))*$E412)</f>
        <v>0</v>
      </c>
      <c r="AC412" s="210">
        <f>IF(VLOOKUP($D412,$C$5:$AV$509,3,)=0,0,(VLOOKUP($D412,$C$5:$AV$509,26,)/VLOOKUP($D412,$C$5:$AV$509,3,))*$E412)</f>
        <v>0</v>
      </c>
      <c r="AD412" s="210">
        <f>IF(VLOOKUP($D412,$C$5:$AV$509,3,)=0,0,(VLOOKUP($D412,$C$5:$AV$509,27,)/VLOOKUP($D412,$C$5:$AV$509,3,))*$E412)</f>
        <v>0</v>
      </c>
      <c r="AE412" s="210">
        <f>IF(VLOOKUP($D412,$C$5:$AV$509,3,)=0,0,(VLOOKUP($D412,$C$5:$AV$509,28,)/VLOOKUP($D412,$C$5:$AV$509,3,))*$E412)</f>
        <v>0</v>
      </c>
      <c r="AF412" s="210">
        <f>IF(VLOOKUP($D412,$C$5:$AV$509,3,)=0,0,(VLOOKUP($D412,$C$5:$AV$509,29,)/VLOOKUP($D412,$C$5:$AV$509,3,))*$E412)</f>
        <v>0</v>
      </c>
      <c r="AG412" s="210">
        <f>IF(VLOOKUP($D412,$C$5:$AV$509,3,)=0,0,(VLOOKUP($D412,$C$5:$AV$509,30,)/VLOOKUP($D412,$C$5:$AV$509,3,))*$E412)</f>
        <v>0</v>
      </c>
      <c r="AH412" s="210">
        <f t="shared" ref="AH412:AH414" si="329">SUM(F412:AG412)</f>
        <v>0.99999999999999978</v>
      </c>
      <c r="AI412" s="27" t="str">
        <f t="shared" ref="AI412:AI417" si="330">IF(ABS(E412-AH412)&lt;0.01,"ok","err")</f>
        <v>ok</v>
      </c>
    </row>
    <row r="413" spans="1:35" x14ac:dyDescent="0.2">
      <c r="A413" s="14" t="s">
        <v>339</v>
      </c>
      <c r="C413" s="14" t="s">
        <v>218</v>
      </c>
      <c r="D413" s="14" t="s">
        <v>566</v>
      </c>
      <c r="E413" s="91">
        <v>1</v>
      </c>
      <c r="F413" s="46">
        <f>IF(VLOOKUP($D413,$C$5:$AV$509,3,)=0,0,(VLOOKUP($D413,$C$5:$AV$509,4,)/VLOOKUP($D413,$C$5:$AV$509,3,))*$E413)</f>
        <v>0.81647116345906035</v>
      </c>
      <c r="G413" s="46">
        <f>IF(VLOOKUP($D413,$C$5:$AV$509,3,)=0,0,(VLOOKUP($D413,$C$5:$AV$509,5,)/VLOOKUP($D413,$C$5:$AV$509,3,))*$E413)</f>
        <v>1.5977968603118234E-3</v>
      </c>
      <c r="H413" s="46">
        <f>IF(VLOOKUP($D413,$C$5:$AV$509,3,)=0,0,(VLOOKUP($D413,$C$5:$AV$509,6,)/VLOOKUP($D413,$C$5:$AV$509,3,))*$E413)</f>
        <v>6.481377723535646E-2</v>
      </c>
      <c r="I413" s="46">
        <f>IF(VLOOKUP($D413,$C$5:$AV$509,3,)=0,0,(VLOOKUP($D413,$C$5:$AV$509,7,)/VLOOKUP($D413,$C$5:$AV$509,3,))*$E413)</f>
        <v>9.114808087781848E-3</v>
      </c>
      <c r="J413" s="46">
        <f>IF(VLOOKUP($D413,$C$5:$AV$509,3,)=0,0,(VLOOKUP($D413,$C$5:$AV$509,8,)/VLOOKUP($D413,$C$5:$AV$509,3,))*$E413)</f>
        <v>5.6530520935896708E-2</v>
      </c>
      <c r="K413" s="46">
        <f>IF(VLOOKUP($D413,$C$5:$AV$509,3,)=0,0,(VLOOKUP($D413,$C$5:$AV$509,9,)/VLOOKUP($D413,$C$5:$AV$509,3,))*$E413)</f>
        <v>0</v>
      </c>
      <c r="L413" s="46">
        <f>IF(VLOOKUP($D413,$C$5:$AV$509,3,)=0,0,(VLOOKUP($D413,$C$5:$AV$509,10,)/VLOOKUP($D413,$C$5:$AV$509,3,))*$E413)</f>
        <v>3.6226961842308794E-2</v>
      </c>
      <c r="M413" s="46">
        <f>IF(VLOOKUP($D413,$C$5:$AV$509,3,)=0,0,(VLOOKUP($D413,$C$5:$AV$509,11,)/VLOOKUP($D413,$C$5:$AV$509,3,))*$E413)</f>
        <v>9.6325506597800172E-3</v>
      </c>
      <c r="N413" s="46">
        <f>IF(VLOOKUP($D413,$C$5:$AV$509,3,)=0,0,(VLOOKUP($D413,$C$5:$AV$509,12,)/VLOOKUP($D413,$C$5:$AV$509,3,))*$E413)</f>
        <v>5.6124209195039356E-3</v>
      </c>
      <c r="O413" s="210">
        <f>IF(VLOOKUP($D413,$C$5:$AV$509,3,)=0,0,(VLOOKUP($D413,$C$5:$AV$509,14,)/VLOOKUP($D413,$C$5:$AV$509,3,))*$E413)</f>
        <v>0</v>
      </c>
      <c r="P413" s="210">
        <f>IF(VLOOKUP($D413,$C$5:$AV$509,3,)=0,0,(VLOOKUP($D413,$C$5:$AV$509,14,)/VLOOKUP($D413,$C$5:$AV$509,3,))*$E413)</f>
        <v>0</v>
      </c>
      <c r="Q413" s="210">
        <f>IF(VLOOKUP($D413,$C$5:$AV$509,3,)=0,0,(VLOOKUP($D413,$C$5:$AV$509,14,)/VLOOKUP($D413,$C$5:$AV$509,3,))*$E413)</f>
        <v>0</v>
      </c>
      <c r="R413" s="210">
        <f>IF(VLOOKUP($D413,$C$5:$AV$509,3,)=0,0,(VLOOKUP($D413,$C$5:$AV$509,15,)/VLOOKUP($D413,$C$5:$AV$509,3,))*$E413)</f>
        <v>0</v>
      </c>
      <c r="S413" s="210">
        <f>IF(VLOOKUP($D413,$C$5:$AV$509,3,)=0,0,(VLOOKUP($D413,$C$5:$AV$509,16,)/VLOOKUP($D413,$C$5:$AV$509,3,))*$E413)</f>
        <v>0</v>
      </c>
      <c r="T413" s="210">
        <f>IF(VLOOKUP($D413,$C$5:$AV$509,3,)=0,0,(VLOOKUP($D413,$C$5:$AV$509,17,)/VLOOKUP($D413,$C$5:$AV$509,3,))*$E413)</f>
        <v>0</v>
      </c>
      <c r="U413" s="210">
        <f>IF(VLOOKUP($D413,$C$5:$AV$509,3,)=0,0,(VLOOKUP($D413,$C$5:$AV$509,18,)/VLOOKUP($D413,$C$5:$AV$509,3,))*$E413)</f>
        <v>0</v>
      </c>
      <c r="V413" s="210">
        <f>IF(VLOOKUP($D413,$C$5:$AV$509,3,)=0,0,(VLOOKUP($D413,$C$5:$AV$509,19,)/VLOOKUP($D413,$C$5:$AV$509,3,))*$E413)</f>
        <v>0</v>
      </c>
      <c r="W413" s="210">
        <f>IF(VLOOKUP($D413,$C$5:$AV$509,3,)=0,0,(VLOOKUP($D413,$C$5:$AV$509,20,)/VLOOKUP($D413,$C$5:$AV$509,3,))*$E413)</f>
        <v>0</v>
      </c>
      <c r="X413" s="210">
        <f>IF(VLOOKUP($D413,$C$5:$AV$509,3,)=0,0,(VLOOKUP($D413,$C$5:$AV$509,21,)/VLOOKUP($D413,$C$5:$AV$509,3,))*$E413)</f>
        <v>0</v>
      </c>
      <c r="Y413" s="210">
        <f>IF(VLOOKUP($D413,$C$5:$AV$509,3,)=0,0,(VLOOKUP($D413,$C$5:$AV$509,22,)/VLOOKUP($D413,$C$5:$AV$509,3,))*$E413)</f>
        <v>0</v>
      </c>
      <c r="Z413" s="210">
        <f>IF(VLOOKUP($D413,$C$5:$AV$509,3,)=0,0,(VLOOKUP($D413,$C$5:$AV$509,23,)/VLOOKUP($D413,$C$5:$AV$509,3,))*$E413)</f>
        <v>0</v>
      </c>
      <c r="AA413" s="210">
        <f>IF(VLOOKUP($D413,$C$5:$AV$509,3,)=0,0,(VLOOKUP($D413,$C$5:$AV$509,24,)/VLOOKUP($D413,$C$5:$AV$509,3,))*$E413)</f>
        <v>0</v>
      </c>
      <c r="AB413" s="210">
        <f>IF(VLOOKUP($D413,$C$5:$AV$509,3,)=0,0,(VLOOKUP($D413,$C$5:$AV$509,25,)/VLOOKUP($D413,$C$5:$AV$509,3,))*$E413)</f>
        <v>0</v>
      </c>
      <c r="AC413" s="210">
        <f>IF(VLOOKUP($D413,$C$5:$AV$509,3,)=0,0,(VLOOKUP($D413,$C$5:$AV$509,26,)/VLOOKUP($D413,$C$5:$AV$509,3,))*$E413)</f>
        <v>0</v>
      </c>
      <c r="AD413" s="210">
        <f>IF(VLOOKUP($D413,$C$5:$AV$509,3,)=0,0,(VLOOKUP($D413,$C$5:$AV$509,27,)/VLOOKUP($D413,$C$5:$AV$509,3,))*$E413)</f>
        <v>0</v>
      </c>
      <c r="AE413" s="210">
        <f>IF(VLOOKUP($D413,$C$5:$AV$509,3,)=0,0,(VLOOKUP($D413,$C$5:$AV$509,28,)/VLOOKUP($D413,$C$5:$AV$509,3,))*$E413)</f>
        <v>0</v>
      </c>
      <c r="AF413" s="210">
        <f>IF(VLOOKUP($D413,$C$5:$AV$509,3,)=0,0,(VLOOKUP($D413,$C$5:$AV$509,29,)/VLOOKUP($D413,$C$5:$AV$509,3,))*$E413)</f>
        <v>0</v>
      </c>
      <c r="AG413" s="210">
        <f>IF(VLOOKUP($D413,$C$5:$AV$509,3,)=0,0,(VLOOKUP($D413,$C$5:$AV$509,30,)/VLOOKUP($D413,$C$5:$AV$509,3,))*$E413)</f>
        <v>0</v>
      </c>
      <c r="AH413" s="210">
        <f t="shared" si="329"/>
        <v>0.99999999999999989</v>
      </c>
      <c r="AI413" s="27" t="str">
        <f t="shared" si="330"/>
        <v>ok</v>
      </c>
    </row>
    <row r="414" spans="1:35" x14ac:dyDescent="0.2">
      <c r="A414" s="14" t="s">
        <v>340</v>
      </c>
      <c r="C414" s="14" t="s">
        <v>220</v>
      </c>
      <c r="D414" s="14" t="s">
        <v>566</v>
      </c>
      <c r="E414" s="91">
        <v>1</v>
      </c>
      <c r="F414" s="46">
        <f>IF(VLOOKUP($D414,$C$5:$AV$509,3,)=0,0,(VLOOKUP($D414,$C$5:$AV$509,4,)/VLOOKUP($D414,$C$5:$AV$509,3,))*$E414)</f>
        <v>0.81647116345906035</v>
      </c>
      <c r="G414" s="46">
        <f>IF(VLOOKUP($D414,$C$5:$AV$509,3,)=0,0,(VLOOKUP($D414,$C$5:$AV$509,5,)/VLOOKUP($D414,$C$5:$AV$509,3,))*$E414)</f>
        <v>1.5977968603118234E-3</v>
      </c>
      <c r="H414" s="46">
        <f>IF(VLOOKUP($D414,$C$5:$AV$509,3,)=0,0,(VLOOKUP($D414,$C$5:$AV$509,6,)/VLOOKUP($D414,$C$5:$AV$509,3,))*$E414)</f>
        <v>6.481377723535646E-2</v>
      </c>
      <c r="I414" s="46">
        <f>IF(VLOOKUP($D414,$C$5:$AV$509,3,)=0,0,(VLOOKUP($D414,$C$5:$AV$509,7,)/VLOOKUP($D414,$C$5:$AV$509,3,))*$E414)</f>
        <v>9.114808087781848E-3</v>
      </c>
      <c r="J414" s="46">
        <f>IF(VLOOKUP($D414,$C$5:$AV$509,3,)=0,0,(VLOOKUP($D414,$C$5:$AV$509,8,)/VLOOKUP($D414,$C$5:$AV$509,3,))*$E414)</f>
        <v>5.6530520935896708E-2</v>
      </c>
      <c r="K414" s="46">
        <f>IF(VLOOKUP($D414,$C$5:$AV$509,3,)=0,0,(VLOOKUP($D414,$C$5:$AV$509,9,)/VLOOKUP($D414,$C$5:$AV$509,3,))*$E414)</f>
        <v>0</v>
      </c>
      <c r="L414" s="46">
        <f>IF(VLOOKUP($D414,$C$5:$AV$509,3,)=0,0,(VLOOKUP($D414,$C$5:$AV$509,10,)/VLOOKUP($D414,$C$5:$AV$509,3,))*$E414)</f>
        <v>3.6226961842308794E-2</v>
      </c>
      <c r="M414" s="46">
        <f>IF(VLOOKUP($D414,$C$5:$AV$509,3,)=0,0,(VLOOKUP($D414,$C$5:$AV$509,11,)/VLOOKUP($D414,$C$5:$AV$509,3,))*$E414)</f>
        <v>9.6325506597800172E-3</v>
      </c>
      <c r="N414" s="46">
        <f>IF(VLOOKUP($D414,$C$5:$AV$509,3,)=0,0,(VLOOKUP($D414,$C$5:$AV$509,12,)/VLOOKUP($D414,$C$5:$AV$509,3,))*$E414)</f>
        <v>5.6124209195039356E-3</v>
      </c>
      <c r="O414" s="210">
        <f>IF(VLOOKUP($D414,$C$5:$AV$509,3,)=0,0,(VLOOKUP($D414,$C$5:$AV$509,14,)/VLOOKUP($D414,$C$5:$AV$509,3,))*$E414)</f>
        <v>0</v>
      </c>
      <c r="P414" s="210">
        <f>IF(VLOOKUP($D414,$C$5:$AV$509,3,)=0,0,(VLOOKUP($D414,$C$5:$AV$509,14,)/VLOOKUP($D414,$C$5:$AV$509,3,))*$E414)</f>
        <v>0</v>
      </c>
      <c r="Q414" s="210">
        <f>IF(VLOOKUP($D414,$C$5:$AV$509,3,)=0,0,(VLOOKUP($D414,$C$5:$AV$509,14,)/VLOOKUP($D414,$C$5:$AV$509,3,))*$E414)</f>
        <v>0</v>
      </c>
      <c r="R414" s="210">
        <f>IF(VLOOKUP($D414,$C$5:$AV$509,3,)=0,0,(VLOOKUP($D414,$C$5:$AV$509,15,)/VLOOKUP($D414,$C$5:$AV$509,3,))*$E414)</f>
        <v>0</v>
      </c>
      <c r="S414" s="210">
        <f>IF(VLOOKUP($D414,$C$5:$AV$509,3,)=0,0,(VLOOKUP($D414,$C$5:$AV$509,16,)/VLOOKUP($D414,$C$5:$AV$509,3,))*$E414)</f>
        <v>0</v>
      </c>
      <c r="T414" s="210">
        <f>IF(VLOOKUP($D414,$C$5:$AV$509,3,)=0,0,(VLOOKUP($D414,$C$5:$AV$509,17,)/VLOOKUP($D414,$C$5:$AV$509,3,))*$E414)</f>
        <v>0</v>
      </c>
      <c r="U414" s="210">
        <f>IF(VLOOKUP($D414,$C$5:$AV$509,3,)=0,0,(VLOOKUP($D414,$C$5:$AV$509,18,)/VLOOKUP($D414,$C$5:$AV$509,3,))*$E414)</f>
        <v>0</v>
      </c>
      <c r="V414" s="210">
        <f>IF(VLOOKUP($D414,$C$5:$AV$509,3,)=0,0,(VLOOKUP($D414,$C$5:$AV$509,19,)/VLOOKUP($D414,$C$5:$AV$509,3,))*$E414)</f>
        <v>0</v>
      </c>
      <c r="W414" s="210">
        <f>IF(VLOOKUP($D414,$C$5:$AV$509,3,)=0,0,(VLOOKUP($D414,$C$5:$AV$509,20,)/VLOOKUP($D414,$C$5:$AV$509,3,))*$E414)</f>
        <v>0</v>
      </c>
      <c r="X414" s="210">
        <f>IF(VLOOKUP($D414,$C$5:$AV$509,3,)=0,0,(VLOOKUP($D414,$C$5:$AV$509,21,)/VLOOKUP($D414,$C$5:$AV$509,3,))*$E414)</f>
        <v>0</v>
      </c>
      <c r="Y414" s="210">
        <f>IF(VLOOKUP($D414,$C$5:$AV$509,3,)=0,0,(VLOOKUP($D414,$C$5:$AV$509,22,)/VLOOKUP($D414,$C$5:$AV$509,3,))*$E414)</f>
        <v>0</v>
      </c>
      <c r="Z414" s="210">
        <f>IF(VLOOKUP($D414,$C$5:$AV$509,3,)=0,0,(VLOOKUP($D414,$C$5:$AV$509,23,)/VLOOKUP($D414,$C$5:$AV$509,3,))*$E414)</f>
        <v>0</v>
      </c>
      <c r="AA414" s="210">
        <f>IF(VLOOKUP($D414,$C$5:$AV$509,3,)=0,0,(VLOOKUP($D414,$C$5:$AV$509,24,)/VLOOKUP($D414,$C$5:$AV$509,3,))*$E414)</f>
        <v>0</v>
      </c>
      <c r="AB414" s="210">
        <f>IF(VLOOKUP($D414,$C$5:$AV$509,3,)=0,0,(VLOOKUP($D414,$C$5:$AV$509,25,)/VLOOKUP($D414,$C$5:$AV$509,3,))*$E414)</f>
        <v>0</v>
      </c>
      <c r="AC414" s="210">
        <f>IF(VLOOKUP($D414,$C$5:$AV$509,3,)=0,0,(VLOOKUP($D414,$C$5:$AV$509,26,)/VLOOKUP($D414,$C$5:$AV$509,3,))*$E414)</f>
        <v>0</v>
      </c>
      <c r="AD414" s="210">
        <f>IF(VLOOKUP($D414,$C$5:$AV$509,3,)=0,0,(VLOOKUP($D414,$C$5:$AV$509,27,)/VLOOKUP($D414,$C$5:$AV$509,3,))*$E414)</f>
        <v>0</v>
      </c>
      <c r="AE414" s="210">
        <f>IF(VLOOKUP($D414,$C$5:$AV$509,3,)=0,0,(VLOOKUP($D414,$C$5:$AV$509,28,)/VLOOKUP($D414,$C$5:$AV$509,3,))*$E414)</f>
        <v>0</v>
      </c>
      <c r="AF414" s="210">
        <f>IF(VLOOKUP($D414,$C$5:$AV$509,3,)=0,0,(VLOOKUP($D414,$C$5:$AV$509,29,)/VLOOKUP($D414,$C$5:$AV$509,3,))*$E414)</f>
        <v>0</v>
      </c>
      <c r="AG414" s="210">
        <f>IF(VLOOKUP($D414,$C$5:$AV$509,3,)=0,0,(VLOOKUP($D414,$C$5:$AV$509,30,)/VLOOKUP($D414,$C$5:$AV$509,3,))*$E414)</f>
        <v>0</v>
      </c>
      <c r="AH414" s="210">
        <f t="shared" si="329"/>
        <v>0.99999999999999989</v>
      </c>
      <c r="AI414" s="27" t="str">
        <f t="shared" si="330"/>
        <v>ok</v>
      </c>
    </row>
    <row r="415" spans="1:35" x14ac:dyDescent="0.2">
      <c r="A415" s="14" t="s">
        <v>700</v>
      </c>
      <c r="C415" s="14" t="s">
        <v>701</v>
      </c>
      <c r="E415" s="91">
        <f>Services!G33</f>
        <v>0.99999999999999989</v>
      </c>
      <c r="F415" s="46">
        <f>Services!G6</f>
        <v>0.85300946939451627</v>
      </c>
      <c r="G415" s="46">
        <f>Services!G7</f>
        <v>3.3197488592898081E-5</v>
      </c>
      <c r="H415" s="46">
        <f>Services!G8</f>
        <v>0.12347223230397492</v>
      </c>
      <c r="I415" s="46">
        <f>Services!G9</f>
        <v>1.2712554659372818E-2</v>
      </c>
      <c r="J415" s="46">
        <f>Services!G10</f>
        <v>1.0165311005136122E-2</v>
      </c>
      <c r="K415" s="46">
        <f>Services!G11</f>
        <v>0</v>
      </c>
      <c r="L415" s="46">
        <f>Services!G12</f>
        <v>5.2181236685124911E-4</v>
      </c>
      <c r="M415" s="46">
        <f>Services!G13</f>
        <v>8.542278155576574E-5</v>
      </c>
      <c r="N415" s="46">
        <f>Services!G14</f>
        <v>0</v>
      </c>
      <c r="O415" s="46">
        <f>Services!E26</f>
        <v>0</v>
      </c>
      <c r="P415" s="46">
        <f>Services!F26</f>
        <v>0</v>
      </c>
      <c r="Q415" s="46">
        <f>Services!G26</f>
        <v>0</v>
      </c>
      <c r="R415" s="46">
        <f>Services!G28</f>
        <v>0</v>
      </c>
      <c r="S415" s="46">
        <f>Services!G30</f>
        <v>0</v>
      </c>
      <c r="T415" s="46">
        <v>0</v>
      </c>
      <c r="U415" s="46">
        <v>0</v>
      </c>
      <c r="V415" s="46">
        <v>0</v>
      </c>
      <c r="W415" s="46">
        <f>Services!W6</f>
        <v>0</v>
      </c>
      <c r="X415" s="46">
        <f>Services!X6</f>
        <v>0</v>
      </c>
      <c r="Y415" s="46">
        <f>Services!Y6</f>
        <v>0</v>
      </c>
      <c r="Z415" s="46">
        <f>Services!Z6</f>
        <v>0</v>
      </c>
      <c r="AA415" s="46">
        <f>Services!AA6</f>
        <v>0</v>
      </c>
      <c r="AB415" s="46">
        <f>Services!AB6</f>
        <v>0</v>
      </c>
      <c r="AC415" s="46">
        <f>Services!AC6</f>
        <v>0</v>
      </c>
      <c r="AD415" s="46">
        <f>Services!AD6</f>
        <v>0</v>
      </c>
      <c r="AE415" s="46">
        <f>Services!AE6</f>
        <v>0</v>
      </c>
      <c r="AF415" s="46">
        <f>Services!AF6</f>
        <v>0</v>
      </c>
      <c r="AG415" s="46">
        <f>Services!AG6</f>
        <v>0</v>
      </c>
      <c r="AH415" s="46">
        <f>SUM(F415:AG415)</f>
        <v>0.99999999999999989</v>
      </c>
      <c r="AI415" s="27" t="str">
        <f t="shared" si="330"/>
        <v>ok</v>
      </c>
    </row>
    <row r="416" spans="1:35" x14ac:dyDescent="0.2">
      <c r="A416" s="14" t="s">
        <v>747</v>
      </c>
      <c r="C416" s="14" t="s">
        <v>748</v>
      </c>
      <c r="E416" s="91">
        <v>1</v>
      </c>
      <c r="F416" s="46">
        <f t="shared" ref="F416:AG416" si="331">F415</f>
        <v>0.85300946939451627</v>
      </c>
      <c r="G416" s="46">
        <f t="shared" si="331"/>
        <v>3.3197488592898081E-5</v>
      </c>
      <c r="H416" s="46">
        <f t="shared" si="331"/>
        <v>0.12347223230397492</v>
      </c>
      <c r="I416" s="46">
        <f t="shared" si="331"/>
        <v>1.2712554659372818E-2</v>
      </c>
      <c r="J416" s="46">
        <f t="shared" si="331"/>
        <v>1.0165311005136122E-2</v>
      </c>
      <c r="K416" s="46">
        <f t="shared" si="331"/>
        <v>0</v>
      </c>
      <c r="L416" s="46">
        <f t="shared" si="331"/>
        <v>5.2181236685124911E-4</v>
      </c>
      <c r="M416" s="46">
        <f t="shared" ref="M416" si="332">M415</f>
        <v>8.542278155576574E-5</v>
      </c>
      <c r="N416" s="46">
        <f t="shared" si="331"/>
        <v>0</v>
      </c>
      <c r="O416" s="46">
        <f t="shared" ref="O416:P416" si="333">O415</f>
        <v>0</v>
      </c>
      <c r="P416" s="46">
        <f t="shared" si="333"/>
        <v>0</v>
      </c>
      <c r="Q416" s="46">
        <f t="shared" si="331"/>
        <v>0</v>
      </c>
      <c r="R416" s="46">
        <f t="shared" si="331"/>
        <v>0</v>
      </c>
      <c r="S416" s="46">
        <f t="shared" si="331"/>
        <v>0</v>
      </c>
      <c r="T416" s="46">
        <f t="shared" si="331"/>
        <v>0</v>
      </c>
      <c r="U416" s="46">
        <f t="shared" si="331"/>
        <v>0</v>
      </c>
      <c r="V416" s="46">
        <f t="shared" si="331"/>
        <v>0</v>
      </c>
      <c r="W416" s="46">
        <f t="shared" si="331"/>
        <v>0</v>
      </c>
      <c r="X416" s="46">
        <f t="shared" si="331"/>
        <v>0</v>
      </c>
      <c r="Y416" s="46">
        <f t="shared" si="331"/>
        <v>0</v>
      </c>
      <c r="Z416" s="46">
        <f t="shared" si="331"/>
        <v>0</v>
      </c>
      <c r="AA416" s="46">
        <f t="shared" si="331"/>
        <v>0</v>
      </c>
      <c r="AB416" s="46">
        <f t="shared" si="331"/>
        <v>0</v>
      </c>
      <c r="AC416" s="46">
        <f t="shared" si="331"/>
        <v>0</v>
      </c>
      <c r="AD416" s="46">
        <f t="shared" si="331"/>
        <v>0</v>
      </c>
      <c r="AE416" s="46">
        <f t="shared" si="331"/>
        <v>0</v>
      </c>
      <c r="AF416" s="46">
        <f t="shared" si="331"/>
        <v>0</v>
      </c>
      <c r="AG416" s="46">
        <f t="shared" si="331"/>
        <v>0</v>
      </c>
      <c r="AH416" s="46">
        <f>SUM(F416:S416)</f>
        <v>0.99999999999999989</v>
      </c>
      <c r="AI416" s="27" t="str">
        <f t="shared" si="330"/>
        <v>ok</v>
      </c>
    </row>
    <row r="417" spans="1:35" x14ac:dyDescent="0.2">
      <c r="A417" s="14" t="s">
        <v>954</v>
      </c>
      <c r="C417" s="14" t="s">
        <v>955</v>
      </c>
      <c r="E417" s="47">
        <v>47221799.824860007</v>
      </c>
      <c r="F417" s="47">
        <f>F313</f>
        <v>42005561.815520003</v>
      </c>
      <c r="G417" s="47">
        <f t="shared" ref="G417:K417" si="334">G313</f>
        <v>24044</v>
      </c>
      <c r="H417" s="47">
        <f t="shared" si="334"/>
        <v>4669689.5269399993</v>
      </c>
      <c r="I417" s="47">
        <f t="shared" si="334"/>
        <v>522504.48239999998</v>
      </c>
      <c r="J417" s="47">
        <v>0</v>
      </c>
      <c r="K417" s="47">
        <f t="shared" si="334"/>
        <v>0</v>
      </c>
      <c r="L417" s="47">
        <v>0</v>
      </c>
      <c r="M417" s="47">
        <v>0</v>
      </c>
      <c r="N417" s="47">
        <v>0</v>
      </c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7">
        <f>SUM(F417:S417)</f>
        <v>47221799.824860007</v>
      </c>
      <c r="AI417" s="27" t="str">
        <f t="shared" si="330"/>
        <v>ok</v>
      </c>
    </row>
    <row r="418" spans="1:35" x14ac:dyDescent="0.2">
      <c r="F418" s="99"/>
    </row>
    <row r="419" spans="1:35" x14ac:dyDescent="0.2">
      <c r="A419" s="13" t="s">
        <v>341</v>
      </c>
    </row>
    <row r="420" spans="1:35" x14ac:dyDescent="0.2">
      <c r="A420" s="14" t="s">
        <v>342</v>
      </c>
      <c r="C420" s="14" t="s">
        <v>223</v>
      </c>
      <c r="D420" s="14" t="s">
        <v>564</v>
      </c>
      <c r="E420" s="91">
        <v>1</v>
      </c>
      <c r="F420" s="46">
        <f>IF(VLOOKUP($D420,$C$5:$AV$509,3,)=0,0,(VLOOKUP($D420,$C$5:$AV$509,4,)/VLOOKUP($D420,$C$5:$AV$509,3,))*$E420)</f>
        <v>0.90500986977531972</v>
      </c>
      <c r="G420" s="46">
        <f>IF(VLOOKUP($D420,$C$5:$AV$509,3,)=0,0,(VLOOKUP($D420,$C$5:$AV$509,5,)/VLOOKUP($D420,$C$5:$AV$509,3,))*$E420)</f>
        <v>3.5221244202191855E-5</v>
      </c>
      <c r="H420" s="46">
        <f>IF(VLOOKUP($D420,$C$5:$AV$509,3,)=0,0,(VLOOKUP($D420,$C$5:$AV$509,6,)/VLOOKUP($D420,$C$5:$AV$509,3,))*$E420)</f>
        <v>7.1569568218853852E-2</v>
      </c>
      <c r="I420" s="46">
        <f>IF(VLOOKUP($D420,$C$5:$AV$509,3,)=0,0,(VLOOKUP($D420,$C$5:$AV$509,7,)/VLOOKUP($D420,$C$5:$AV$509,3,))*$E420)</f>
        <v>1.1059470679488244E-2</v>
      </c>
      <c r="J420" s="46">
        <f>IF(VLOOKUP($D420,$C$5:$AV$509,3,)=0,0,(VLOOKUP($D420,$C$5:$AV$509,8,)/VLOOKUP($D420,$C$5:$AV$509,3,))*$E420)</f>
        <v>4.1913280600608307E-3</v>
      </c>
      <c r="K420" s="46">
        <f>IF(VLOOKUP($D420,$C$5:$AV$509,3,)=0,0,(VLOOKUP($D420,$C$5:$AV$509,9,)/VLOOKUP($D420,$C$5:$AV$509,3,))*$E420)</f>
        <v>0</v>
      </c>
      <c r="L420" s="46">
        <f>IF(VLOOKUP($D420,$C$5:$AV$509,3,)=0,0,(VLOOKUP($D420,$C$5:$AV$509,10,)/VLOOKUP($D420,$C$5:$AV$509,3,))*$E420)</f>
        <v>2.8176995361753484E-4</v>
      </c>
      <c r="M420" s="46">
        <f>IF(VLOOKUP($D420,$C$5:$AV$509,3,)=0,0,(VLOOKUP($D420,$C$5:$AV$509,11,)/VLOOKUP($D420,$C$5:$AV$509,3,))*$E420)</f>
        <v>3.5221244202191855E-5</v>
      </c>
      <c r="N420" s="46">
        <f>IF(VLOOKUP($D420,$C$5:$AV$509,3,)=0,0,(VLOOKUP($D420,$C$5:$AV$509,12,)/VLOOKUP($D420,$C$5:$AV$509,3,))*$E420)</f>
        <v>7.8175508242553839E-3</v>
      </c>
      <c r="O420" s="210">
        <f>IF(VLOOKUP($D420,$C$5:$AV$509,3,)=0,0,(VLOOKUP($D420,$C$5:$AV$509,14,)/VLOOKUP($D420,$C$5:$AV$509,3,))*$E420)</f>
        <v>0</v>
      </c>
      <c r="P420" s="210">
        <f>IF(VLOOKUP($D420,$C$5:$AV$509,3,)=0,0,(VLOOKUP($D420,$C$5:$AV$509,14,)/VLOOKUP($D420,$C$5:$AV$509,3,))*$E420)</f>
        <v>0</v>
      </c>
      <c r="Q420" s="210">
        <f>IF(VLOOKUP($D420,$C$5:$AV$509,3,)=0,0,(VLOOKUP($D420,$C$5:$AV$509,14,)/VLOOKUP($D420,$C$5:$AV$509,3,))*$E420)</f>
        <v>0</v>
      </c>
      <c r="R420" s="210">
        <f>IF(VLOOKUP($D420,$C$5:$AV$509,3,)=0,0,(VLOOKUP($D420,$C$5:$AV$509,15,)/VLOOKUP($D420,$C$5:$AV$509,3,))*$E420)</f>
        <v>0</v>
      </c>
      <c r="S420" s="210">
        <f>IF(VLOOKUP($D420,$C$5:$AV$509,3,)=0,0,(VLOOKUP($D420,$C$5:$AV$509,16,)/VLOOKUP($D420,$C$5:$AV$509,3,))*$E420)</f>
        <v>0</v>
      </c>
      <c r="T420" s="210">
        <f>IF(VLOOKUP($D420,$C$5:$AV$509,3,)=0,0,(VLOOKUP($D420,$C$5:$AV$509,17,)/VLOOKUP($D420,$C$5:$AV$509,3,))*$E420)</f>
        <v>0</v>
      </c>
      <c r="U420" s="210">
        <f>IF(VLOOKUP($D420,$C$5:$AV$509,3,)=0,0,(VLOOKUP($D420,$C$5:$AV$509,18,)/VLOOKUP($D420,$C$5:$AV$509,3,))*$E420)</f>
        <v>0</v>
      </c>
      <c r="V420" s="210">
        <f>IF(VLOOKUP($D420,$C$5:$AV$509,3,)=0,0,(VLOOKUP($D420,$C$5:$AV$509,19,)/VLOOKUP($D420,$C$5:$AV$509,3,))*$E420)</f>
        <v>0</v>
      </c>
      <c r="W420" s="210">
        <f>IF(VLOOKUP($D420,$C$5:$AV$509,3,)=0,0,(VLOOKUP($D420,$C$5:$AV$509,20,)/VLOOKUP($D420,$C$5:$AV$509,3,))*$E420)</f>
        <v>0</v>
      </c>
      <c r="X420" s="210">
        <f>IF(VLOOKUP($D420,$C$5:$AV$509,3,)=0,0,(VLOOKUP($D420,$C$5:$AV$509,21,)/VLOOKUP($D420,$C$5:$AV$509,3,))*$E420)</f>
        <v>0</v>
      </c>
      <c r="Y420" s="210">
        <f>IF(VLOOKUP($D420,$C$5:$AV$509,3,)=0,0,(VLOOKUP($D420,$C$5:$AV$509,22,)/VLOOKUP($D420,$C$5:$AV$509,3,))*$E420)</f>
        <v>0</v>
      </c>
      <c r="Z420" s="210">
        <f>IF(VLOOKUP($D420,$C$5:$AV$509,3,)=0,0,(VLOOKUP($D420,$C$5:$AV$509,23,)/VLOOKUP($D420,$C$5:$AV$509,3,))*$E420)</f>
        <v>0</v>
      </c>
      <c r="AA420" s="210">
        <f>IF(VLOOKUP($D420,$C$5:$AV$509,3,)=0,0,(VLOOKUP($D420,$C$5:$AV$509,24,)/VLOOKUP($D420,$C$5:$AV$509,3,))*$E420)</f>
        <v>0</v>
      </c>
      <c r="AB420" s="210">
        <f>IF(VLOOKUP($D420,$C$5:$AV$509,3,)=0,0,(VLOOKUP($D420,$C$5:$AV$509,25,)/VLOOKUP($D420,$C$5:$AV$509,3,))*$E420)</f>
        <v>0</v>
      </c>
      <c r="AC420" s="210">
        <f>IF(VLOOKUP($D420,$C$5:$AV$509,3,)=0,0,(VLOOKUP($D420,$C$5:$AV$509,26,)/VLOOKUP($D420,$C$5:$AV$509,3,))*$E420)</f>
        <v>0</v>
      </c>
      <c r="AD420" s="210">
        <f>IF(VLOOKUP($D420,$C$5:$AV$509,3,)=0,0,(VLOOKUP($D420,$C$5:$AV$509,27,)/VLOOKUP($D420,$C$5:$AV$509,3,))*$E420)</f>
        <v>0</v>
      </c>
      <c r="AE420" s="210">
        <f>IF(VLOOKUP($D420,$C$5:$AV$509,3,)=0,0,(VLOOKUP($D420,$C$5:$AV$509,28,)/VLOOKUP($D420,$C$5:$AV$509,3,))*$E420)</f>
        <v>0</v>
      </c>
      <c r="AF420" s="210">
        <f>IF(VLOOKUP($D420,$C$5:$AV$509,3,)=0,0,(VLOOKUP($D420,$C$5:$AV$509,29,)/VLOOKUP($D420,$C$5:$AV$509,3,))*$E420)</f>
        <v>0</v>
      </c>
      <c r="AG420" s="210">
        <f>IF(VLOOKUP($D420,$C$5:$AV$509,3,)=0,0,(VLOOKUP($D420,$C$5:$AV$509,30,)/VLOOKUP($D420,$C$5:$AV$509,3,))*$E420)</f>
        <v>0</v>
      </c>
      <c r="AH420" s="210">
        <f t="shared" ref="AH420:AH421" si="335">SUM(F420:AG420)</f>
        <v>0.99999999999999989</v>
      </c>
      <c r="AI420" s="27" t="str">
        <f t="shared" ref="AI420:AI425" si="336">IF(ABS(E420-AH420)&lt;0.01,"ok","err")</f>
        <v>ok</v>
      </c>
    </row>
    <row r="421" spans="1:35" x14ac:dyDescent="0.2">
      <c r="A421" s="14" t="s">
        <v>343</v>
      </c>
      <c r="C421" s="14" t="s">
        <v>227</v>
      </c>
      <c r="D421" s="14" t="s">
        <v>563</v>
      </c>
      <c r="E421" s="91">
        <v>1</v>
      </c>
      <c r="F421" s="46">
        <f>IF(VLOOKUP($D421,$C$5:$AV$509,3,)=0,0,(VLOOKUP($D421,$C$5:$AV$509,4,)/VLOOKUP($D421,$C$5:$AV$509,3,))*$E421)</f>
        <v>0.67338434928455371</v>
      </c>
      <c r="G421" s="46">
        <f>IF(VLOOKUP($D421,$C$5:$AV$509,3,)=0,0,(VLOOKUP($D421,$C$5:$AV$509,5,)/VLOOKUP($D421,$C$5:$AV$509,3,))*$E421)</f>
        <v>2.6206824257036532E-5</v>
      </c>
      <c r="H421" s="46">
        <f>IF(VLOOKUP($D421,$C$5:$AV$509,3,)=0,0,(VLOOKUP($D421,$C$5:$AV$509,6,)/VLOOKUP($D421,$C$5:$AV$509,3,))*$E421)</f>
        <v>5.325226689029823E-2</v>
      </c>
      <c r="I421" s="46">
        <f>IF(VLOOKUP($D421,$C$5:$AV$509,3,)=0,0,(VLOOKUP($D421,$C$5:$AV$509,7,)/VLOOKUP($D421,$C$5:$AV$509,3,))*$E421)</f>
        <v>8.2289428167094704E-3</v>
      </c>
      <c r="J421" s="46">
        <f>IF(VLOOKUP($D421,$C$5:$AV$509,3,)=0,0,(VLOOKUP($D421,$C$5:$AV$509,8,)/VLOOKUP($D421,$C$5:$AV$509,3,))*$E421)</f>
        <v>3.1186120865873473E-3</v>
      </c>
      <c r="K421" s="46">
        <f>IF(VLOOKUP($D421,$C$5:$AV$509,3,)=0,0,(VLOOKUP($D421,$C$5:$AV$509,9,)/VLOOKUP($D421,$C$5:$AV$509,3,))*$E421)</f>
        <v>0</v>
      </c>
      <c r="L421" s="46">
        <f>IF(VLOOKUP($D421,$C$5:$AV$509,3,)=0,0,(VLOOKUP($D421,$C$5:$AV$509,10,)/VLOOKUP($D421,$C$5:$AV$509,3,))*$E421)</f>
        <v>2.0965459405629226E-4</v>
      </c>
      <c r="M421" s="46">
        <f>IF(VLOOKUP($D421,$C$5:$AV$509,3,)=0,0,(VLOOKUP($D421,$C$5:$AV$509,11,)/VLOOKUP($D421,$C$5:$AV$509,3,))*$E421)</f>
        <v>2.6206824257036532E-5</v>
      </c>
      <c r="N421" s="46">
        <f>IF(VLOOKUP($D421,$C$5:$AV$509,3,)=0,0,(VLOOKUP($D421,$C$5:$AV$509,12,)/VLOOKUP($D421,$C$5:$AV$509,3,))*$E421)</f>
        <v>0.26175376067928091</v>
      </c>
      <c r="O421" s="210">
        <f>IF(VLOOKUP($D421,$C$5:$AV$509,3,)=0,0,(VLOOKUP($D421,$C$5:$AV$509,14,)/VLOOKUP($D421,$C$5:$AV$509,3,))*$E421)</f>
        <v>0</v>
      </c>
      <c r="P421" s="210">
        <f>IF(VLOOKUP($D421,$C$5:$AV$509,3,)=0,0,(VLOOKUP($D421,$C$5:$AV$509,14,)/VLOOKUP($D421,$C$5:$AV$509,3,))*$E421)</f>
        <v>0</v>
      </c>
      <c r="Q421" s="210">
        <f>IF(VLOOKUP($D421,$C$5:$AV$509,3,)=0,0,(VLOOKUP($D421,$C$5:$AV$509,14,)/VLOOKUP($D421,$C$5:$AV$509,3,))*$E421)</f>
        <v>0</v>
      </c>
      <c r="R421" s="210">
        <f>IF(VLOOKUP($D421,$C$5:$AV$509,3,)=0,0,(VLOOKUP($D421,$C$5:$AV$509,15,)/VLOOKUP($D421,$C$5:$AV$509,3,))*$E421)</f>
        <v>0</v>
      </c>
      <c r="S421" s="210">
        <f>IF(VLOOKUP($D421,$C$5:$AV$509,3,)=0,0,(VLOOKUP($D421,$C$5:$AV$509,16,)/VLOOKUP($D421,$C$5:$AV$509,3,))*$E421)</f>
        <v>0</v>
      </c>
      <c r="T421" s="210">
        <f>IF(VLOOKUP($D421,$C$5:$AV$509,3,)=0,0,(VLOOKUP($D421,$C$5:$AV$509,17,)/VLOOKUP($D421,$C$5:$AV$509,3,))*$E421)</f>
        <v>0</v>
      </c>
      <c r="U421" s="210">
        <f>IF(VLOOKUP($D421,$C$5:$AV$509,3,)=0,0,(VLOOKUP($D421,$C$5:$AV$509,18,)/VLOOKUP($D421,$C$5:$AV$509,3,))*$E421)</f>
        <v>0</v>
      </c>
      <c r="V421" s="210">
        <f>IF(VLOOKUP($D421,$C$5:$AV$509,3,)=0,0,(VLOOKUP($D421,$C$5:$AV$509,19,)/VLOOKUP($D421,$C$5:$AV$509,3,))*$E421)</f>
        <v>0</v>
      </c>
      <c r="W421" s="210">
        <f>IF(VLOOKUP($D421,$C$5:$AV$509,3,)=0,0,(VLOOKUP($D421,$C$5:$AV$509,20,)/VLOOKUP($D421,$C$5:$AV$509,3,))*$E421)</f>
        <v>0</v>
      </c>
      <c r="X421" s="210">
        <f>IF(VLOOKUP($D421,$C$5:$AV$509,3,)=0,0,(VLOOKUP($D421,$C$5:$AV$509,21,)/VLOOKUP($D421,$C$5:$AV$509,3,))*$E421)</f>
        <v>0</v>
      </c>
      <c r="Y421" s="210">
        <f>IF(VLOOKUP($D421,$C$5:$AV$509,3,)=0,0,(VLOOKUP($D421,$C$5:$AV$509,22,)/VLOOKUP($D421,$C$5:$AV$509,3,))*$E421)</f>
        <v>0</v>
      </c>
      <c r="Z421" s="210">
        <f>IF(VLOOKUP($D421,$C$5:$AV$509,3,)=0,0,(VLOOKUP($D421,$C$5:$AV$509,23,)/VLOOKUP($D421,$C$5:$AV$509,3,))*$E421)</f>
        <v>0</v>
      </c>
      <c r="AA421" s="210">
        <f>IF(VLOOKUP($D421,$C$5:$AV$509,3,)=0,0,(VLOOKUP($D421,$C$5:$AV$509,24,)/VLOOKUP($D421,$C$5:$AV$509,3,))*$E421)</f>
        <v>0</v>
      </c>
      <c r="AB421" s="210">
        <f>IF(VLOOKUP($D421,$C$5:$AV$509,3,)=0,0,(VLOOKUP($D421,$C$5:$AV$509,25,)/VLOOKUP($D421,$C$5:$AV$509,3,))*$E421)</f>
        <v>0</v>
      </c>
      <c r="AC421" s="210">
        <f>IF(VLOOKUP($D421,$C$5:$AV$509,3,)=0,0,(VLOOKUP($D421,$C$5:$AV$509,26,)/VLOOKUP($D421,$C$5:$AV$509,3,))*$E421)</f>
        <v>0</v>
      </c>
      <c r="AD421" s="210">
        <f>IF(VLOOKUP($D421,$C$5:$AV$509,3,)=0,0,(VLOOKUP($D421,$C$5:$AV$509,27,)/VLOOKUP($D421,$C$5:$AV$509,3,))*$E421)</f>
        <v>0</v>
      </c>
      <c r="AE421" s="210">
        <f>IF(VLOOKUP($D421,$C$5:$AV$509,3,)=0,0,(VLOOKUP($D421,$C$5:$AV$509,28,)/VLOOKUP($D421,$C$5:$AV$509,3,))*$E421)</f>
        <v>0</v>
      </c>
      <c r="AF421" s="210">
        <f>IF(VLOOKUP($D421,$C$5:$AV$509,3,)=0,0,(VLOOKUP($D421,$C$5:$AV$509,29,)/VLOOKUP($D421,$C$5:$AV$509,3,))*$E421)</f>
        <v>0</v>
      </c>
      <c r="AG421" s="210">
        <f>IF(VLOOKUP($D421,$C$5:$AV$509,3,)=0,0,(VLOOKUP($D421,$C$5:$AV$509,30,)/VLOOKUP($D421,$C$5:$AV$509,3,))*$E421)</f>
        <v>0</v>
      </c>
      <c r="AH421" s="210">
        <f t="shared" si="335"/>
        <v>1</v>
      </c>
      <c r="AI421" s="27" t="str">
        <f t="shared" si="336"/>
        <v>ok</v>
      </c>
    </row>
    <row r="422" spans="1:35" x14ac:dyDescent="0.2">
      <c r="A422" s="14" t="s">
        <v>344</v>
      </c>
      <c r="C422" s="14" t="s">
        <v>230</v>
      </c>
      <c r="E422" s="91">
        <f>Meters!$G32</f>
        <v>1</v>
      </c>
      <c r="F422" s="46">
        <f>Meters!$G6</f>
        <v>0.8891574841685328</v>
      </c>
      <c r="G422" s="46">
        <f>Meters!$G7</f>
        <v>3.4604299831427626E-5</v>
      </c>
      <c r="H422" s="46">
        <f>Meters!$G8</f>
        <v>8.7615890074772745E-2</v>
      </c>
      <c r="I422" s="46">
        <f>Meters!$G9</f>
        <v>1.0865750147068275E-2</v>
      </c>
      <c r="J422" s="46">
        <f>Meters!$G10</f>
        <v>1.130791620046985E-2</v>
      </c>
      <c r="K422" s="46">
        <f>Meters!$G11</f>
        <v>0</v>
      </c>
      <c r="L422" s="46">
        <f>Meters!$G12</f>
        <v>9.0520454162210681E-4</v>
      </c>
      <c r="M422" s="46">
        <f>Meters!$G13</f>
        <v>1.1315056770276335E-4</v>
      </c>
      <c r="N422" s="46">
        <f>Meters!$G14</f>
        <v>0</v>
      </c>
      <c r="O422" s="46">
        <f>Meters!$G26</f>
        <v>0</v>
      </c>
      <c r="P422" s="46">
        <f>Meters!$G26</f>
        <v>0</v>
      </c>
      <c r="Q422" s="46">
        <f>Meters!$G26</f>
        <v>0</v>
      </c>
      <c r="R422" s="46">
        <f>Meters!$G28</f>
        <v>0</v>
      </c>
      <c r="S422" s="46">
        <f>Meters!$G30</f>
        <v>0</v>
      </c>
      <c r="T422" s="46">
        <v>0</v>
      </c>
      <c r="U422" s="46">
        <v>0</v>
      </c>
      <c r="V422" s="46">
        <v>0</v>
      </c>
      <c r="W422" s="46">
        <f>Meters!X6</f>
        <v>0</v>
      </c>
      <c r="X422" s="46">
        <f>Meters!Y6</f>
        <v>0</v>
      </c>
      <c r="Y422" s="46">
        <f>Meters!Z6</f>
        <v>0</v>
      </c>
      <c r="Z422" s="46">
        <f>Meters!AA6</f>
        <v>0</v>
      </c>
      <c r="AA422" s="46">
        <f>Meters!AB6</f>
        <v>0</v>
      </c>
      <c r="AB422" s="46">
        <f>Meters!AC6</f>
        <v>0</v>
      </c>
      <c r="AC422" s="46">
        <f>Meters!AD6</f>
        <v>0</v>
      </c>
      <c r="AD422" s="46">
        <f>Meters!AE6</f>
        <v>0</v>
      </c>
      <c r="AE422" s="46">
        <f>Meters!AF6</f>
        <v>0</v>
      </c>
      <c r="AF422" s="46">
        <f>Meters!AG6</f>
        <v>0</v>
      </c>
      <c r="AG422" s="46">
        <f>Meters!AH6</f>
        <v>0</v>
      </c>
      <c r="AH422" s="95">
        <f t="shared" ref="AH422:AH425" si="337">SUM(F422:AG422)</f>
        <v>1</v>
      </c>
      <c r="AI422" s="27" t="str">
        <f t="shared" si="336"/>
        <v>ok</v>
      </c>
    </row>
    <row r="423" spans="1:35" x14ac:dyDescent="0.2">
      <c r="A423" s="14" t="s">
        <v>345</v>
      </c>
      <c r="C423" s="14" t="s">
        <v>232</v>
      </c>
      <c r="D423" s="14" t="s">
        <v>565</v>
      </c>
      <c r="E423" s="91">
        <v>1</v>
      </c>
      <c r="F423" s="46">
        <f>IF(VLOOKUP($D423,$C$5:$AV$509,3,)=0,0,(VLOOKUP($D423,$C$5:$AV$509,4,)/VLOOKUP($D423,$C$5:$AV$509,3,))*$E423)</f>
        <v>0</v>
      </c>
      <c r="G423" s="46">
        <f>IF(VLOOKUP($D423,$C$5:$AV$509,3,)=0,0,(VLOOKUP($D423,$C$5:$AV$509,5,)/VLOOKUP($D423,$C$5:$AV$509,3,))*$E423)</f>
        <v>0</v>
      </c>
      <c r="H423" s="46">
        <f>IF(VLOOKUP($D423,$C$5:$AV$509,3,)=0,0,(VLOOKUP($D423,$C$5:$AV$509,6,)/VLOOKUP($D423,$C$5:$AV$509,3,))*$E423)</f>
        <v>0</v>
      </c>
      <c r="I423" s="46">
        <f>IF(VLOOKUP($D423,$C$5:$AV$509,3,)=0,0,(VLOOKUP($D423,$C$5:$AV$509,7,)/VLOOKUP($D423,$C$5:$AV$509,3,))*$E423)</f>
        <v>0</v>
      </c>
      <c r="J423" s="46">
        <f>IF(VLOOKUP($D423,$C$5:$AV$509,3,)=0,0,(VLOOKUP($D423,$C$5:$AV$509,8,)/VLOOKUP($D423,$C$5:$AV$509,3,))*$E423)</f>
        <v>0</v>
      </c>
      <c r="K423" s="46">
        <f>IF(VLOOKUP($D423,$C$5:$AV$509,3,)=0,0,(VLOOKUP($D423,$C$5:$AV$509,9,)/VLOOKUP($D423,$C$5:$AV$509,3,))*$E423)</f>
        <v>0</v>
      </c>
      <c r="L423" s="46">
        <f>IF(VLOOKUP($D423,$C$5:$AV$509,3,)=0,0,(VLOOKUP($D423,$C$5:$AV$509,10,)/VLOOKUP($D423,$C$5:$AV$509,3,))*$E423)</f>
        <v>0</v>
      </c>
      <c r="M423" s="46">
        <f>IF(VLOOKUP($D423,$C$5:$AV$509,3,)=0,0,(VLOOKUP($D423,$C$5:$AV$509,11,)/VLOOKUP($D423,$C$5:$AV$509,3,))*$E423)</f>
        <v>0</v>
      </c>
      <c r="N423" s="46">
        <f>IF(VLOOKUP($D423,$C$5:$AV$509,3,)=0,0,(VLOOKUP($D423,$C$5:$AV$509,12,)/VLOOKUP($D423,$C$5:$AV$509,3,))*$E423)</f>
        <v>1</v>
      </c>
      <c r="O423" s="210">
        <f>IF(VLOOKUP($D423,$C$5:$AV$509,3,)=0,0,(VLOOKUP($D423,$C$5:$AV$509,14,)/VLOOKUP($D423,$C$5:$AV$509,3,))*$E423)</f>
        <v>0</v>
      </c>
      <c r="P423" s="210">
        <f>IF(VLOOKUP($D423,$C$5:$AV$509,3,)=0,0,(VLOOKUP($D423,$C$5:$AV$509,14,)/VLOOKUP($D423,$C$5:$AV$509,3,))*$E423)</f>
        <v>0</v>
      </c>
      <c r="Q423" s="210">
        <f>IF(VLOOKUP($D423,$C$5:$AV$509,3,)=0,0,(VLOOKUP($D423,$C$5:$AV$509,14,)/VLOOKUP($D423,$C$5:$AV$509,3,))*$E423)</f>
        <v>0</v>
      </c>
      <c r="R423" s="210">
        <f>IF(VLOOKUP($D423,$C$5:$AV$509,3,)=0,0,(VLOOKUP($D423,$C$5:$AV$509,15,)/VLOOKUP($D423,$C$5:$AV$509,3,))*$E423)</f>
        <v>0</v>
      </c>
      <c r="S423" s="210">
        <f>IF(VLOOKUP($D423,$C$5:$AV$509,3,)=0,0,(VLOOKUP($D423,$C$5:$AV$509,16,)/VLOOKUP($D423,$C$5:$AV$509,3,))*$E423)</f>
        <v>0</v>
      </c>
      <c r="T423" s="210">
        <f>IF(VLOOKUP($D423,$C$5:$AV$509,3,)=0,0,(VLOOKUP($D423,$C$5:$AV$509,17,)/VLOOKUP($D423,$C$5:$AV$509,3,))*$E423)</f>
        <v>0</v>
      </c>
      <c r="U423" s="210">
        <f>IF(VLOOKUP($D423,$C$5:$AV$509,3,)=0,0,(VLOOKUP($D423,$C$5:$AV$509,18,)/VLOOKUP($D423,$C$5:$AV$509,3,))*$E423)</f>
        <v>0</v>
      </c>
      <c r="V423" s="210">
        <f>IF(VLOOKUP($D423,$C$5:$AV$509,3,)=0,0,(VLOOKUP($D423,$C$5:$AV$509,19,)/VLOOKUP($D423,$C$5:$AV$509,3,))*$E423)</f>
        <v>0</v>
      </c>
      <c r="W423" s="210">
        <f>IF(VLOOKUP($D423,$C$5:$AV$509,3,)=0,0,(VLOOKUP($D423,$C$5:$AV$509,20,)/VLOOKUP($D423,$C$5:$AV$509,3,))*$E423)</f>
        <v>0</v>
      </c>
      <c r="X423" s="210">
        <f>IF(VLOOKUP($D423,$C$5:$AV$509,3,)=0,0,(VLOOKUP($D423,$C$5:$AV$509,21,)/VLOOKUP($D423,$C$5:$AV$509,3,))*$E423)</f>
        <v>0</v>
      </c>
      <c r="Y423" s="210">
        <f>IF(VLOOKUP($D423,$C$5:$AV$509,3,)=0,0,(VLOOKUP($D423,$C$5:$AV$509,22,)/VLOOKUP($D423,$C$5:$AV$509,3,))*$E423)</f>
        <v>0</v>
      </c>
      <c r="Z423" s="210">
        <f>IF(VLOOKUP($D423,$C$5:$AV$509,3,)=0,0,(VLOOKUP($D423,$C$5:$AV$509,23,)/VLOOKUP($D423,$C$5:$AV$509,3,))*$E423)</f>
        <v>0</v>
      </c>
      <c r="AA423" s="210">
        <f>IF(VLOOKUP($D423,$C$5:$AV$509,3,)=0,0,(VLOOKUP($D423,$C$5:$AV$509,24,)/VLOOKUP($D423,$C$5:$AV$509,3,))*$E423)</f>
        <v>0</v>
      </c>
      <c r="AB423" s="210">
        <f>IF(VLOOKUP($D423,$C$5:$AV$509,3,)=0,0,(VLOOKUP($D423,$C$5:$AV$509,25,)/VLOOKUP($D423,$C$5:$AV$509,3,))*$E423)</f>
        <v>0</v>
      </c>
      <c r="AC423" s="210">
        <f>IF(VLOOKUP($D423,$C$5:$AV$509,3,)=0,0,(VLOOKUP($D423,$C$5:$AV$509,26,)/VLOOKUP($D423,$C$5:$AV$509,3,))*$E423)</f>
        <v>0</v>
      </c>
      <c r="AD423" s="210">
        <f>IF(VLOOKUP($D423,$C$5:$AV$509,3,)=0,0,(VLOOKUP($D423,$C$5:$AV$509,27,)/VLOOKUP($D423,$C$5:$AV$509,3,))*$E423)</f>
        <v>0</v>
      </c>
      <c r="AE423" s="210">
        <f>IF(VLOOKUP($D423,$C$5:$AV$509,3,)=0,0,(VLOOKUP($D423,$C$5:$AV$509,28,)/VLOOKUP($D423,$C$5:$AV$509,3,))*$E423)</f>
        <v>0</v>
      </c>
      <c r="AF423" s="210">
        <f>IF(VLOOKUP($D423,$C$5:$AV$509,3,)=0,0,(VLOOKUP($D423,$C$5:$AV$509,29,)/VLOOKUP($D423,$C$5:$AV$509,3,))*$E423)</f>
        <v>0</v>
      </c>
      <c r="AG423" s="210">
        <f>IF(VLOOKUP($D423,$C$5:$AV$509,3,)=0,0,(VLOOKUP($D423,$C$5:$AV$509,30,)/VLOOKUP($D423,$C$5:$AV$509,3,))*$E423)</f>
        <v>0</v>
      </c>
      <c r="AH423" s="210">
        <f t="shared" si="337"/>
        <v>1</v>
      </c>
      <c r="AI423" s="27" t="str">
        <f t="shared" si="336"/>
        <v>ok</v>
      </c>
    </row>
    <row r="424" spans="1:35" x14ac:dyDescent="0.2">
      <c r="A424" s="14" t="s">
        <v>346</v>
      </c>
      <c r="C424" s="14" t="s">
        <v>234</v>
      </c>
      <c r="D424" s="14" t="s">
        <v>617</v>
      </c>
      <c r="E424" s="91">
        <v>1</v>
      </c>
      <c r="F424" s="46">
        <f>IF(VLOOKUP($D424,$C$5:$AV$509,3,)=0,0,(VLOOKUP($D424,$C$5:$AV$509,4,)/VLOOKUP($D424,$C$5:$AV$509,3,))*$E424)</f>
        <v>0.90500986977531972</v>
      </c>
      <c r="G424" s="46">
        <f>IF(VLOOKUP($D424,$C$5:$AV$509,3,)=0,0,(VLOOKUP($D424,$C$5:$AV$509,5,)/VLOOKUP($D424,$C$5:$AV$509,3,))*$E424)</f>
        <v>3.5221244202191855E-5</v>
      </c>
      <c r="H424" s="46">
        <f>IF(VLOOKUP($D424,$C$5:$AV$509,3,)=0,0,(VLOOKUP($D424,$C$5:$AV$509,6,)/VLOOKUP($D424,$C$5:$AV$509,3,))*$E424)</f>
        <v>7.1569568218853852E-2</v>
      </c>
      <c r="I424" s="46">
        <f>IF(VLOOKUP($D424,$C$5:$AV$509,3,)=0,0,(VLOOKUP($D424,$C$5:$AV$509,7,)/VLOOKUP($D424,$C$5:$AV$509,3,))*$E424)</f>
        <v>1.1059470679488244E-2</v>
      </c>
      <c r="J424" s="46">
        <f>IF(VLOOKUP($D424,$C$5:$AV$509,3,)=0,0,(VLOOKUP($D424,$C$5:$AV$509,8,)/VLOOKUP($D424,$C$5:$AV$509,3,))*$E424)</f>
        <v>4.1913280600608307E-3</v>
      </c>
      <c r="K424" s="46">
        <f>IF(VLOOKUP($D424,$C$5:$AV$509,3,)=0,0,(VLOOKUP($D424,$C$5:$AV$509,9,)/VLOOKUP($D424,$C$5:$AV$509,3,))*$E424)</f>
        <v>0</v>
      </c>
      <c r="L424" s="46">
        <f>IF(VLOOKUP($D424,$C$5:$AV$509,3,)=0,0,(VLOOKUP($D424,$C$5:$AV$509,10,)/VLOOKUP($D424,$C$5:$AV$509,3,))*$E424)</f>
        <v>2.8176995361753484E-4</v>
      </c>
      <c r="M424" s="46">
        <f>IF(VLOOKUP($D424,$C$5:$AV$509,3,)=0,0,(VLOOKUP($D424,$C$5:$AV$509,11,)/VLOOKUP($D424,$C$5:$AV$509,3,))*$E424)</f>
        <v>3.5221244202191855E-5</v>
      </c>
      <c r="N424" s="46">
        <f>IF(VLOOKUP($D424,$C$5:$AV$509,3,)=0,0,(VLOOKUP($D424,$C$5:$AV$509,12,)/VLOOKUP($D424,$C$5:$AV$509,3,))*$E424)</f>
        <v>7.8175508242553839E-3</v>
      </c>
      <c r="O424" s="210">
        <f>IF(VLOOKUP($D424,$C$5:$AV$509,3,)=0,0,(VLOOKUP($D424,$C$5:$AV$509,14,)/VLOOKUP($D424,$C$5:$AV$509,3,))*$E424)</f>
        <v>0</v>
      </c>
      <c r="P424" s="210">
        <f>IF(VLOOKUP($D424,$C$5:$AV$509,3,)=0,0,(VLOOKUP($D424,$C$5:$AV$509,14,)/VLOOKUP($D424,$C$5:$AV$509,3,))*$E424)</f>
        <v>0</v>
      </c>
      <c r="Q424" s="210">
        <f>IF(VLOOKUP($D424,$C$5:$AV$509,3,)=0,0,(VLOOKUP($D424,$C$5:$AV$509,14,)/VLOOKUP($D424,$C$5:$AV$509,3,))*$E424)</f>
        <v>0</v>
      </c>
      <c r="R424" s="210">
        <f>IF(VLOOKUP($D424,$C$5:$AV$509,3,)=0,0,(VLOOKUP($D424,$C$5:$AV$509,15,)/VLOOKUP($D424,$C$5:$AV$509,3,))*$E424)</f>
        <v>0</v>
      </c>
      <c r="S424" s="210">
        <f>IF(VLOOKUP($D424,$C$5:$AV$509,3,)=0,0,(VLOOKUP($D424,$C$5:$AV$509,16,)/VLOOKUP($D424,$C$5:$AV$509,3,))*$E424)</f>
        <v>0</v>
      </c>
      <c r="T424" s="210">
        <f>IF(VLOOKUP($D424,$C$5:$AV$509,3,)=0,0,(VLOOKUP($D424,$C$5:$AV$509,17,)/VLOOKUP($D424,$C$5:$AV$509,3,))*$E424)</f>
        <v>0</v>
      </c>
      <c r="U424" s="210">
        <f>IF(VLOOKUP($D424,$C$5:$AV$509,3,)=0,0,(VLOOKUP($D424,$C$5:$AV$509,18,)/VLOOKUP($D424,$C$5:$AV$509,3,))*$E424)</f>
        <v>0</v>
      </c>
      <c r="V424" s="210">
        <f>IF(VLOOKUP($D424,$C$5:$AV$509,3,)=0,0,(VLOOKUP($D424,$C$5:$AV$509,19,)/VLOOKUP($D424,$C$5:$AV$509,3,))*$E424)</f>
        <v>0</v>
      </c>
      <c r="W424" s="210">
        <f>IF(VLOOKUP($D424,$C$5:$AV$509,3,)=0,0,(VLOOKUP($D424,$C$5:$AV$509,20,)/VLOOKUP($D424,$C$5:$AV$509,3,))*$E424)</f>
        <v>0</v>
      </c>
      <c r="X424" s="210">
        <f>IF(VLOOKUP($D424,$C$5:$AV$509,3,)=0,0,(VLOOKUP($D424,$C$5:$AV$509,21,)/VLOOKUP($D424,$C$5:$AV$509,3,))*$E424)</f>
        <v>0</v>
      </c>
      <c r="Y424" s="210">
        <f>IF(VLOOKUP($D424,$C$5:$AV$509,3,)=0,0,(VLOOKUP($D424,$C$5:$AV$509,22,)/VLOOKUP($D424,$C$5:$AV$509,3,))*$E424)</f>
        <v>0</v>
      </c>
      <c r="Z424" s="210">
        <f>IF(VLOOKUP($D424,$C$5:$AV$509,3,)=0,0,(VLOOKUP($D424,$C$5:$AV$509,23,)/VLOOKUP($D424,$C$5:$AV$509,3,))*$E424)</f>
        <v>0</v>
      </c>
      <c r="AA424" s="210">
        <f>IF(VLOOKUP($D424,$C$5:$AV$509,3,)=0,0,(VLOOKUP($D424,$C$5:$AV$509,24,)/VLOOKUP($D424,$C$5:$AV$509,3,))*$E424)</f>
        <v>0</v>
      </c>
      <c r="AB424" s="210">
        <f>IF(VLOOKUP($D424,$C$5:$AV$509,3,)=0,0,(VLOOKUP($D424,$C$5:$AV$509,25,)/VLOOKUP($D424,$C$5:$AV$509,3,))*$E424)</f>
        <v>0</v>
      </c>
      <c r="AC424" s="210">
        <f>IF(VLOOKUP($D424,$C$5:$AV$509,3,)=0,0,(VLOOKUP($D424,$C$5:$AV$509,26,)/VLOOKUP($D424,$C$5:$AV$509,3,))*$E424)</f>
        <v>0</v>
      </c>
      <c r="AD424" s="210">
        <f>IF(VLOOKUP($D424,$C$5:$AV$509,3,)=0,0,(VLOOKUP($D424,$C$5:$AV$509,27,)/VLOOKUP($D424,$C$5:$AV$509,3,))*$E424)</f>
        <v>0</v>
      </c>
      <c r="AE424" s="210">
        <f>IF(VLOOKUP($D424,$C$5:$AV$509,3,)=0,0,(VLOOKUP($D424,$C$5:$AV$509,28,)/VLOOKUP($D424,$C$5:$AV$509,3,))*$E424)</f>
        <v>0</v>
      </c>
      <c r="AF424" s="210">
        <f>IF(VLOOKUP($D424,$C$5:$AV$509,3,)=0,0,(VLOOKUP($D424,$C$5:$AV$509,29,)/VLOOKUP($D424,$C$5:$AV$509,3,))*$E424)</f>
        <v>0</v>
      </c>
      <c r="AG424" s="210">
        <f>IF(VLOOKUP($D424,$C$5:$AV$509,3,)=0,0,(VLOOKUP($D424,$C$5:$AV$509,30,)/VLOOKUP($D424,$C$5:$AV$509,3,))*$E424)</f>
        <v>0</v>
      </c>
      <c r="AH424" s="210">
        <f t="shared" si="337"/>
        <v>0.99999999999999989</v>
      </c>
      <c r="AI424" s="27" t="str">
        <f t="shared" si="336"/>
        <v>ok</v>
      </c>
    </row>
    <row r="425" spans="1:35" x14ac:dyDescent="0.2">
      <c r="A425" s="14" t="s">
        <v>470</v>
      </c>
      <c r="C425" s="14" t="s">
        <v>235</v>
      </c>
      <c r="D425" s="14" t="s">
        <v>618</v>
      </c>
      <c r="E425" s="91">
        <v>1</v>
      </c>
      <c r="F425" s="46">
        <f>IF(VLOOKUP($D425,$C$5:$AV$509,3,)=0,0,(VLOOKUP($D425,$C$5:$AV$509,4,)/VLOOKUP($D425,$C$5:$AV$509,3,))*$E425)</f>
        <v>0.67338434928455371</v>
      </c>
      <c r="G425" s="46">
        <f>IF(VLOOKUP($D425,$C$5:$AV$509,3,)=0,0,(VLOOKUP($D425,$C$5:$AV$509,5,)/VLOOKUP($D425,$C$5:$AV$509,3,))*$E425)</f>
        <v>2.6206824257036532E-5</v>
      </c>
      <c r="H425" s="46">
        <f>IF(VLOOKUP($D425,$C$5:$AV$509,3,)=0,0,(VLOOKUP($D425,$C$5:$AV$509,6,)/VLOOKUP($D425,$C$5:$AV$509,3,))*$E425)</f>
        <v>5.325226689029823E-2</v>
      </c>
      <c r="I425" s="46">
        <f>IF(VLOOKUP($D425,$C$5:$AV$509,3,)=0,0,(VLOOKUP($D425,$C$5:$AV$509,7,)/VLOOKUP($D425,$C$5:$AV$509,3,))*$E425)</f>
        <v>8.2289428167094704E-3</v>
      </c>
      <c r="J425" s="46">
        <f>IF(VLOOKUP($D425,$C$5:$AV$509,3,)=0,0,(VLOOKUP($D425,$C$5:$AV$509,8,)/VLOOKUP($D425,$C$5:$AV$509,3,))*$E425)</f>
        <v>3.1186120865873473E-3</v>
      </c>
      <c r="K425" s="46">
        <f>IF(VLOOKUP($D425,$C$5:$AV$509,3,)=0,0,(VLOOKUP($D425,$C$5:$AV$509,9,)/VLOOKUP($D425,$C$5:$AV$509,3,))*$E425)</f>
        <v>0</v>
      </c>
      <c r="L425" s="46">
        <f>IF(VLOOKUP($D425,$C$5:$AV$509,3,)=0,0,(VLOOKUP($D425,$C$5:$AV$509,10,)/VLOOKUP($D425,$C$5:$AV$509,3,))*$E425)</f>
        <v>2.0965459405629226E-4</v>
      </c>
      <c r="M425" s="46">
        <f>IF(VLOOKUP($D425,$C$5:$AV$509,3,)=0,0,(VLOOKUP($D425,$C$5:$AV$509,11,)/VLOOKUP($D425,$C$5:$AV$509,3,))*$E425)</f>
        <v>2.6206824257036532E-5</v>
      </c>
      <c r="N425" s="46">
        <f>IF(VLOOKUP($D425,$C$5:$AV$509,3,)=0,0,(VLOOKUP($D425,$C$5:$AV$509,12,)/VLOOKUP($D425,$C$5:$AV$509,3,))*$E425)</f>
        <v>0.26175376067928091</v>
      </c>
      <c r="O425" s="210">
        <f>IF(VLOOKUP($D425,$C$5:$AV$509,3,)=0,0,(VLOOKUP($D425,$C$5:$AV$509,14,)/VLOOKUP($D425,$C$5:$AV$509,3,))*$E425)</f>
        <v>0</v>
      </c>
      <c r="P425" s="210">
        <f>IF(VLOOKUP($D425,$C$5:$AV$509,3,)=0,0,(VLOOKUP($D425,$C$5:$AV$509,14,)/VLOOKUP($D425,$C$5:$AV$509,3,))*$E425)</f>
        <v>0</v>
      </c>
      <c r="Q425" s="210">
        <f>IF(VLOOKUP($D425,$C$5:$AV$509,3,)=0,0,(VLOOKUP($D425,$C$5:$AV$509,14,)/VLOOKUP($D425,$C$5:$AV$509,3,))*$E425)</f>
        <v>0</v>
      </c>
      <c r="R425" s="210">
        <f>IF(VLOOKUP($D425,$C$5:$AV$509,3,)=0,0,(VLOOKUP($D425,$C$5:$AV$509,15,)/VLOOKUP($D425,$C$5:$AV$509,3,))*$E425)</f>
        <v>0</v>
      </c>
      <c r="S425" s="210">
        <f>IF(VLOOKUP($D425,$C$5:$AV$509,3,)=0,0,(VLOOKUP($D425,$C$5:$AV$509,16,)/VLOOKUP($D425,$C$5:$AV$509,3,))*$E425)</f>
        <v>0</v>
      </c>
      <c r="T425" s="210">
        <f>IF(VLOOKUP($D425,$C$5:$AV$509,3,)=0,0,(VLOOKUP($D425,$C$5:$AV$509,17,)/VLOOKUP($D425,$C$5:$AV$509,3,))*$E425)</f>
        <v>0</v>
      </c>
      <c r="U425" s="210">
        <f>IF(VLOOKUP($D425,$C$5:$AV$509,3,)=0,0,(VLOOKUP($D425,$C$5:$AV$509,18,)/VLOOKUP($D425,$C$5:$AV$509,3,))*$E425)</f>
        <v>0</v>
      </c>
      <c r="V425" s="210">
        <f>IF(VLOOKUP($D425,$C$5:$AV$509,3,)=0,0,(VLOOKUP($D425,$C$5:$AV$509,19,)/VLOOKUP($D425,$C$5:$AV$509,3,))*$E425)</f>
        <v>0</v>
      </c>
      <c r="W425" s="210">
        <f>IF(VLOOKUP($D425,$C$5:$AV$509,3,)=0,0,(VLOOKUP($D425,$C$5:$AV$509,20,)/VLOOKUP($D425,$C$5:$AV$509,3,))*$E425)</f>
        <v>0</v>
      </c>
      <c r="X425" s="210">
        <f>IF(VLOOKUP($D425,$C$5:$AV$509,3,)=0,0,(VLOOKUP($D425,$C$5:$AV$509,21,)/VLOOKUP($D425,$C$5:$AV$509,3,))*$E425)</f>
        <v>0</v>
      </c>
      <c r="Y425" s="210">
        <f>IF(VLOOKUP($D425,$C$5:$AV$509,3,)=0,0,(VLOOKUP($D425,$C$5:$AV$509,22,)/VLOOKUP($D425,$C$5:$AV$509,3,))*$E425)</f>
        <v>0</v>
      </c>
      <c r="Z425" s="210">
        <f>IF(VLOOKUP($D425,$C$5:$AV$509,3,)=0,0,(VLOOKUP($D425,$C$5:$AV$509,23,)/VLOOKUP($D425,$C$5:$AV$509,3,))*$E425)</f>
        <v>0</v>
      </c>
      <c r="AA425" s="210">
        <f>IF(VLOOKUP($D425,$C$5:$AV$509,3,)=0,0,(VLOOKUP($D425,$C$5:$AV$509,24,)/VLOOKUP($D425,$C$5:$AV$509,3,))*$E425)</f>
        <v>0</v>
      </c>
      <c r="AB425" s="210">
        <f>IF(VLOOKUP($D425,$C$5:$AV$509,3,)=0,0,(VLOOKUP($D425,$C$5:$AV$509,25,)/VLOOKUP($D425,$C$5:$AV$509,3,))*$E425)</f>
        <v>0</v>
      </c>
      <c r="AC425" s="210">
        <f>IF(VLOOKUP($D425,$C$5:$AV$509,3,)=0,0,(VLOOKUP($D425,$C$5:$AV$509,26,)/VLOOKUP($D425,$C$5:$AV$509,3,))*$E425)</f>
        <v>0</v>
      </c>
      <c r="AD425" s="210">
        <f>IF(VLOOKUP($D425,$C$5:$AV$509,3,)=0,0,(VLOOKUP($D425,$C$5:$AV$509,27,)/VLOOKUP($D425,$C$5:$AV$509,3,))*$E425)</f>
        <v>0</v>
      </c>
      <c r="AE425" s="210">
        <f>IF(VLOOKUP($D425,$C$5:$AV$509,3,)=0,0,(VLOOKUP($D425,$C$5:$AV$509,28,)/VLOOKUP($D425,$C$5:$AV$509,3,))*$E425)</f>
        <v>0</v>
      </c>
      <c r="AF425" s="210">
        <f>IF(VLOOKUP($D425,$C$5:$AV$509,3,)=0,0,(VLOOKUP($D425,$C$5:$AV$509,29,)/VLOOKUP($D425,$C$5:$AV$509,3,))*$E425)</f>
        <v>0</v>
      </c>
      <c r="AG425" s="210">
        <f>IF(VLOOKUP($D425,$C$5:$AV$509,3,)=0,0,(VLOOKUP($D425,$C$5:$AV$509,30,)/VLOOKUP($D425,$C$5:$AV$509,3,))*$E425)</f>
        <v>0</v>
      </c>
      <c r="AH425" s="210">
        <f t="shared" si="337"/>
        <v>1</v>
      </c>
      <c r="AI425" s="27" t="str">
        <f t="shared" si="336"/>
        <v>ok</v>
      </c>
    </row>
    <row r="427" spans="1:35" x14ac:dyDescent="0.2">
      <c r="A427" s="13" t="s">
        <v>869</v>
      </c>
      <c r="D427" s="44"/>
    </row>
    <row r="428" spans="1:35" x14ac:dyDescent="0.2">
      <c r="A428" s="14" t="s">
        <v>349</v>
      </c>
      <c r="C428" s="14" t="s">
        <v>561</v>
      </c>
      <c r="E428" s="47">
        <f>'Billing Det'!E25</f>
        <v>56631024.510816008</v>
      </c>
      <c r="F428" s="47">
        <f>'Billing Det'!$E8</f>
        <v>42005561.815520003</v>
      </c>
      <c r="G428" s="47">
        <f>'Billing Det'!$E9</f>
        <v>24044</v>
      </c>
      <c r="H428" s="47">
        <f>'Billing Det'!$E10</f>
        <v>4669689.5269399993</v>
      </c>
      <c r="I428" s="47">
        <f>'Billing Det'!$E11</f>
        <v>522504.48239999998</v>
      </c>
      <c r="J428" s="47">
        <f>'Billing Det'!$E12</f>
        <v>5150171.1242999993</v>
      </c>
      <c r="K428" s="47">
        <f>'Billing Det'!$E13</f>
        <v>0</v>
      </c>
      <c r="L428" s="47">
        <f>'Billing Det'!$E14</f>
        <v>2213581.8679999998</v>
      </c>
      <c r="M428" s="47">
        <f>'Billing Det'!$E15</f>
        <v>857825.64365600003</v>
      </c>
      <c r="N428" s="47">
        <f>'Billing Det'!$E16</f>
        <v>1187646.0499999998</v>
      </c>
      <c r="O428" s="47">
        <f>'Billing Det'!$E18</f>
        <v>0</v>
      </c>
      <c r="P428" s="47">
        <f>'Billing Det'!$E18</f>
        <v>0</v>
      </c>
      <c r="Q428" s="47">
        <f>'Billing Det'!$E18</f>
        <v>0</v>
      </c>
      <c r="R428" s="47">
        <f>'Billing Det'!$E19</f>
        <v>0</v>
      </c>
      <c r="S428" s="47">
        <f>'Billing Det'!$E20</f>
        <v>0</v>
      </c>
      <c r="T428" s="47">
        <f>'Billing Det'!$E21</f>
        <v>0</v>
      </c>
      <c r="U428" s="47">
        <f>'Billing Det'!$E22</f>
        <v>0</v>
      </c>
      <c r="V428" s="47">
        <f>'Billing Det'!$E23</f>
        <v>0</v>
      </c>
      <c r="W428" s="47">
        <v>0</v>
      </c>
      <c r="X428" s="47">
        <v>0</v>
      </c>
      <c r="Y428" s="47">
        <v>0</v>
      </c>
      <c r="Z428" s="47">
        <v>0</v>
      </c>
      <c r="AA428" s="47">
        <v>0</v>
      </c>
      <c r="AB428" s="47">
        <v>0</v>
      </c>
      <c r="AC428" s="47">
        <v>0</v>
      </c>
      <c r="AD428" s="47">
        <v>0</v>
      </c>
      <c r="AE428" s="47">
        <v>0</v>
      </c>
      <c r="AF428" s="47"/>
      <c r="AG428" s="47"/>
      <c r="AH428" s="47">
        <f t="shared" ref="AH428:AH438" si="338">SUM(F428:AG428)</f>
        <v>56631024.510816008</v>
      </c>
      <c r="AI428" s="27" t="str">
        <f t="shared" ref="AI428:AI438" si="339">IF(ABS(E428-AH428)&lt;0.01,"ok","err")</f>
        <v>ok</v>
      </c>
    </row>
    <row r="429" spans="1:35" x14ac:dyDescent="0.2">
      <c r="A429" s="14" t="s">
        <v>11</v>
      </c>
      <c r="C429" s="14" t="s">
        <v>214</v>
      </c>
      <c r="E429" s="47">
        <f>'Billing Det'!D25</f>
        <v>434733146</v>
      </c>
      <c r="F429" s="47">
        <f>'Billing Det'!D8</f>
        <v>321373036</v>
      </c>
      <c r="G429" s="47">
        <f>'Billing Det'!D9</f>
        <v>327183</v>
      </c>
      <c r="H429" s="47">
        <f>'Billing Det'!D10</f>
        <v>32071501</v>
      </c>
      <c r="I429" s="47">
        <f>'Billing Det'!D11</f>
        <v>3649587</v>
      </c>
      <c r="J429" s="47">
        <f>'Billing Det'!D12</f>
        <v>42496124</v>
      </c>
      <c r="K429" s="47">
        <f>'Billing Det'!D13</f>
        <v>0</v>
      </c>
      <c r="L429" s="47">
        <f>'Billing Det'!D14</f>
        <v>21237280</v>
      </c>
      <c r="M429" s="47">
        <f>'Billing Det'!D15</f>
        <v>9599778</v>
      </c>
      <c r="N429" s="47">
        <f>'Billing Det'!D16</f>
        <v>3978657</v>
      </c>
      <c r="O429" s="47">
        <f>'Billing Det'!B18</f>
        <v>0</v>
      </c>
      <c r="P429" s="47">
        <f>'Billing Det'!C18</f>
        <v>0</v>
      </c>
      <c r="Q429" s="47">
        <f>'Billing Det'!D18</f>
        <v>0</v>
      </c>
      <c r="R429" s="47">
        <f>'Billing Det'!D19</f>
        <v>0</v>
      </c>
      <c r="S429" s="47">
        <f>'Billing Det'!D20</f>
        <v>0</v>
      </c>
      <c r="T429" s="47">
        <f>'Billing Det'!$D21</f>
        <v>0</v>
      </c>
      <c r="U429" s="47">
        <f>'Billing Det'!$D22</f>
        <v>0</v>
      </c>
      <c r="V429" s="47">
        <f>'Billing Det'!$D23</f>
        <v>0</v>
      </c>
      <c r="W429" s="47">
        <v>0</v>
      </c>
      <c r="X429" s="47">
        <v>0</v>
      </c>
      <c r="Y429" s="47">
        <v>0</v>
      </c>
      <c r="Z429" s="47">
        <v>0</v>
      </c>
      <c r="AA429" s="47">
        <v>0</v>
      </c>
      <c r="AB429" s="47">
        <v>0</v>
      </c>
      <c r="AC429" s="47">
        <v>0</v>
      </c>
      <c r="AD429" s="47">
        <v>0</v>
      </c>
      <c r="AE429" s="47">
        <v>0</v>
      </c>
      <c r="AF429" s="47"/>
      <c r="AG429" s="47"/>
      <c r="AH429" s="47">
        <f>SUM(F429:AG429)</f>
        <v>434733146</v>
      </c>
      <c r="AI429" s="27" t="str">
        <f t="shared" si="339"/>
        <v>ok</v>
      </c>
    </row>
    <row r="430" spans="1:35" x14ac:dyDescent="0.2">
      <c r="A430" s="14" t="s">
        <v>744</v>
      </c>
      <c r="E430" s="100">
        <v>0.05</v>
      </c>
      <c r="F430" s="100">
        <v>0.05</v>
      </c>
      <c r="G430" s="100">
        <v>0.05</v>
      </c>
      <c r="H430" s="100">
        <v>2.5000000000000001E-2</v>
      </c>
      <c r="I430" s="100">
        <v>2.5000000000000001E-2</v>
      </c>
      <c r="J430" s="186">
        <v>2.5000000000000001E-2</v>
      </c>
      <c r="K430" s="186">
        <v>0</v>
      </c>
      <c r="L430" s="47">
        <v>2.5000000000000001E-2</v>
      </c>
      <c r="M430" s="47">
        <v>0</v>
      </c>
      <c r="N430" s="100">
        <v>0.05</v>
      </c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100"/>
      <c r="AG430" s="100"/>
      <c r="AH430" s="158"/>
      <c r="AI430" s="27"/>
    </row>
    <row r="431" spans="1:35" x14ac:dyDescent="0.2">
      <c r="A431" s="14" t="s">
        <v>745</v>
      </c>
      <c r="C431" s="14" t="s">
        <v>11</v>
      </c>
      <c r="E431" s="47">
        <v>454424254.65317136</v>
      </c>
      <c r="F431" s="47">
        <f t="shared" ref="F431:AG431" si="340">F429/(1-F430)</f>
        <v>338287406.31578946</v>
      </c>
      <c r="G431" s="47">
        <f t="shared" si="340"/>
        <v>344403.15789473685</v>
      </c>
      <c r="H431" s="47">
        <f t="shared" si="340"/>
        <v>32893847.17948718</v>
      </c>
      <c r="I431" s="47">
        <f t="shared" si="340"/>
        <v>3743166.153846154</v>
      </c>
      <c r="J431" s="47">
        <f t="shared" si="340"/>
        <v>43585768.205128208</v>
      </c>
      <c r="K431" s="47">
        <f t="shared" si="340"/>
        <v>0</v>
      </c>
      <c r="L431" s="47">
        <f t="shared" si="340"/>
        <v>21781825.64102564</v>
      </c>
      <c r="M431" s="47">
        <f t="shared" ref="M431" si="341">M429/(1-M430)</f>
        <v>9599778</v>
      </c>
      <c r="N431" s="47">
        <f t="shared" si="340"/>
        <v>4188060</v>
      </c>
      <c r="O431" s="47">
        <f t="shared" ref="O431:P431" si="342">O429/(1-O430)</f>
        <v>0</v>
      </c>
      <c r="P431" s="47">
        <f t="shared" si="342"/>
        <v>0</v>
      </c>
      <c r="Q431" s="47">
        <f t="shared" si="340"/>
        <v>0</v>
      </c>
      <c r="R431" s="47">
        <f t="shared" si="340"/>
        <v>0</v>
      </c>
      <c r="S431" s="47">
        <f t="shared" si="340"/>
        <v>0</v>
      </c>
      <c r="T431" s="47">
        <f t="shared" si="340"/>
        <v>0</v>
      </c>
      <c r="U431" s="47">
        <f t="shared" si="340"/>
        <v>0</v>
      </c>
      <c r="V431" s="47">
        <f t="shared" si="340"/>
        <v>0</v>
      </c>
      <c r="W431" s="47">
        <f t="shared" si="340"/>
        <v>0</v>
      </c>
      <c r="X431" s="47">
        <f t="shared" si="340"/>
        <v>0</v>
      </c>
      <c r="Y431" s="47">
        <f t="shared" si="340"/>
        <v>0</v>
      </c>
      <c r="Z431" s="47">
        <f t="shared" si="340"/>
        <v>0</v>
      </c>
      <c r="AA431" s="47">
        <f t="shared" si="340"/>
        <v>0</v>
      </c>
      <c r="AB431" s="47">
        <f t="shared" si="340"/>
        <v>0</v>
      </c>
      <c r="AC431" s="47">
        <f t="shared" si="340"/>
        <v>0</v>
      </c>
      <c r="AD431" s="47">
        <f t="shared" si="340"/>
        <v>0</v>
      </c>
      <c r="AE431" s="47">
        <f t="shared" si="340"/>
        <v>0</v>
      </c>
      <c r="AF431" s="47">
        <f t="shared" si="340"/>
        <v>0</v>
      </c>
      <c r="AG431" s="47">
        <f t="shared" si="340"/>
        <v>0</v>
      </c>
      <c r="AH431" s="47">
        <f t="shared" si="338"/>
        <v>454424254.65317136</v>
      </c>
      <c r="AI431" s="27" t="str">
        <f t="shared" si="339"/>
        <v>ok</v>
      </c>
    </row>
    <row r="432" spans="1:35" x14ac:dyDescent="0.2">
      <c r="A432" s="14" t="s">
        <v>558</v>
      </c>
      <c r="E432" s="47">
        <f>'Billing Det'!C25*12</f>
        <v>457896</v>
      </c>
      <c r="F432" s="47">
        <f>'Billing Det'!$C8*12</f>
        <v>308340</v>
      </c>
      <c r="G432" s="47">
        <f>'Billing Det'!$C9*12</f>
        <v>12</v>
      </c>
      <c r="H432" s="47">
        <f>'Billing Det'!$C10*12</f>
        <v>24384</v>
      </c>
      <c r="I432" s="47">
        <f>'Billing Det'!$C11*12</f>
        <v>3768</v>
      </c>
      <c r="J432" s="47">
        <f>'Billing Det'!$C12*12</f>
        <v>1428</v>
      </c>
      <c r="K432" s="47">
        <f>'Billing Det'!$C13*12</f>
        <v>0</v>
      </c>
      <c r="L432" s="47">
        <f>'Billing Det'!$C14*12</f>
        <v>96</v>
      </c>
      <c r="M432" s="47">
        <f>'Billing Det'!$C15*12</f>
        <v>12</v>
      </c>
      <c r="N432" s="47">
        <f>'Billing Det'!$C16*12</f>
        <v>119856</v>
      </c>
      <c r="O432" s="47">
        <f>'Billing Det'!$C18*12</f>
        <v>0</v>
      </c>
      <c r="P432" s="47">
        <f>'Billing Det'!$C18*12</f>
        <v>0</v>
      </c>
      <c r="Q432" s="47">
        <f>'Billing Det'!$C18*12</f>
        <v>0</v>
      </c>
      <c r="R432" s="47">
        <f>'Billing Det'!$C19*12</f>
        <v>0</v>
      </c>
      <c r="S432" s="47">
        <f>'Billing Det'!$C20*12</f>
        <v>0</v>
      </c>
      <c r="T432" s="47">
        <f>'Billing Det'!$C21*12</f>
        <v>0</v>
      </c>
      <c r="U432" s="47">
        <f>'Billing Det'!$C22*12</f>
        <v>0</v>
      </c>
      <c r="V432" s="47">
        <f>'Billing Det'!$C23*12</f>
        <v>0</v>
      </c>
      <c r="W432" s="47">
        <v>0</v>
      </c>
      <c r="X432" s="47">
        <v>0</v>
      </c>
      <c r="Y432" s="47">
        <v>0</v>
      </c>
      <c r="Z432" s="47">
        <v>0</v>
      </c>
      <c r="AA432" s="47">
        <v>0</v>
      </c>
      <c r="AB432" s="47">
        <v>0</v>
      </c>
      <c r="AC432" s="47">
        <v>0</v>
      </c>
      <c r="AD432" s="47">
        <v>0</v>
      </c>
      <c r="AE432" s="47">
        <v>0</v>
      </c>
      <c r="AF432" s="47"/>
      <c r="AG432" s="47"/>
      <c r="AH432" s="47">
        <f t="shared" si="338"/>
        <v>457896</v>
      </c>
      <c r="AI432" s="27" t="str">
        <f t="shared" si="339"/>
        <v>ok</v>
      </c>
    </row>
    <row r="433" spans="1:35" x14ac:dyDescent="0.2">
      <c r="A433" s="14" t="s">
        <v>559</v>
      </c>
      <c r="C433" s="14" t="s">
        <v>562</v>
      </c>
      <c r="E433" s="47">
        <f>'Billing Det'!C25</f>
        <v>38158</v>
      </c>
      <c r="F433" s="47">
        <f>F432/12</f>
        <v>25695</v>
      </c>
      <c r="G433" s="47">
        <f t="shared" ref="G433:AG433" si="343">G432/12</f>
        <v>1</v>
      </c>
      <c r="H433" s="47">
        <f>H432/12</f>
        <v>2032</v>
      </c>
      <c r="I433" s="47">
        <f t="shared" si="343"/>
        <v>314</v>
      </c>
      <c r="J433" s="47">
        <f t="shared" si="343"/>
        <v>119</v>
      </c>
      <c r="K433" s="47">
        <f t="shared" si="343"/>
        <v>0</v>
      </c>
      <c r="L433" s="47">
        <f t="shared" si="343"/>
        <v>8</v>
      </c>
      <c r="M433" s="47">
        <f t="shared" ref="M433" si="344">M432/12</f>
        <v>1</v>
      </c>
      <c r="N433" s="47">
        <f t="shared" si="343"/>
        <v>9988</v>
      </c>
      <c r="O433" s="47">
        <f t="shared" ref="O433:P433" si="345">O432/12</f>
        <v>0</v>
      </c>
      <c r="P433" s="47">
        <f t="shared" si="345"/>
        <v>0</v>
      </c>
      <c r="Q433" s="47">
        <f t="shared" si="343"/>
        <v>0</v>
      </c>
      <c r="R433" s="47">
        <f t="shared" si="343"/>
        <v>0</v>
      </c>
      <c r="S433" s="47">
        <f t="shared" si="343"/>
        <v>0</v>
      </c>
      <c r="T433" s="47">
        <f t="shared" si="343"/>
        <v>0</v>
      </c>
      <c r="U433" s="47">
        <f t="shared" si="343"/>
        <v>0</v>
      </c>
      <c r="V433" s="47">
        <f t="shared" si="343"/>
        <v>0</v>
      </c>
      <c r="W433" s="47">
        <v>0</v>
      </c>
      <c r="X433" s="47">
        <v>0</v>
      </c>
      <c r="Y433" s="47">
        <v>0</v>
      </c>
      <c r="Z433" s="47">
        <v>0</v>
      </c>
      <c r="AA433" s="47">
        <f t="shared" si="343"/>
        <v>0</v>
      </c>
      <c r="AB433" s="47">
        <f t="shared" si="343"/>
        <v>0</v>
      </c>
      <c r="AC433" s="47">
        <f t="shared" si="343"/>
        <v>0</v>
      </c>
      <c r="AD433" s="47">
        <f t="shared" si="343"/>
        <v>0</v>
      </c>
      <c r="AE433" s="47">
        <f t="shared" si="343"/>
        <v>0</v>
      </c>
      <c r="AF433" s="47">
        <f t="shared" si="343"/>
        <v>0</v>
      </c>
      <c r="AG433" s="47">
        <f t="shared" si="343"/>
        <v>0</v>
      </c>
      <c r="AH433" s="47">
        <f t="shared" si="338"/>
        <v>38158</v>
      </c>
      <c r="AI433" s="27" t="str">
        <f t="shared" si="339"/>
        <v>ok</v>
      </c>
    </row>
    <row r="434" spans="1:35" x14ac:dyDescent="0.2">
      <c r="A434" s="14" t="s">
        <v>560</v>
      </c>
      <c r="C434" s="14" t="s">
        <v>563</v>
      </c>
      <c r="E434" s="47">
        <f>E433</f>
        <v>38158</v>
      </c>
      <c r="F434" s="47">
        <f t="shared" ref="F434:P434" si="346">F433</f>
        <v>25695</v>
      </c>
      <c r="G434" s="47">
        <f t="shared" si="346"/>
        <v>1</v>
      </c>
      <c r="H434" s="47">
        <f t="shared" si="346"/>
        <v>2032</v>
      </c>
      <c r="I434" s="47">
        <f t="shared" si="346"/>
        <v>314</v>
      </c>
      <c r="J434" s="47">
        <f t="shared" si="346"/>
        <v>119</v>
      </c>
      <c r="K434" s="47">
        <f t="shared" si="346"/>
        <v>0</v>
      </c>
      <c r="L434" s="47">
        <f t="shared" si="346"/>
        <v>8</v>
      </c>
      <c r="M434" s="47">
        <f t="shared" ref="M434" si="347">M433</f>
        <v>1</v>
      </c>
      <c r="N434" s="47">
        <f t="shared" si="346"/>
        <v>9988</v>
      </c>
      <c r="O434" s="47">
        <f t="shared" si="346"/>
        <v>0</v>
      </c>
      <c r="P434" s="47">
        <f t="shared" si="346"/>
        <v>0</v>
      </c>
      <c r="Q434" s="47">
        <f t="shared" ref="Q434:V434" si="348">Q433</f>
        <v>0</v>
      </c>
      <c r="R434" s="47">
        <f t="shared" si="348"/>
        <v>0</v>
      </c>
      <c r="S434" s="47">
        <f t="shared" si="348"/>
        <v>0</v>
      </c>
      <c r="T434" s="47">
        <f t="shared" si="348"/>
        <v>0</v>
      </c>
      <c r="U434" s="47">
        <f t="shared" si="348"/>
        <v>0</v>
      </c>
      <c r="V434" s="47">
        <f t="shared" si="348"/>
        <v>0</v>
      </c>
      <c r="W434" s="47">
        <v>0</v>
      </c>
      <c r="X434" s="47">
        <v>0</v>
      </c>
      <c r="Y434" s="47">
        <v>0</v>
      </c>
      <c r="Z434" s="47">
        <v>0</v>
      </c>
      <c r="AA434" s="33">
        <f t="shared" ref="AA434:AG434" si="349">AA433</f>
        <v>0</v>
      </c>
      <c r="AB434" s="33">
        <f t="shared" si="349"/>
        <v>0</v>
      </c>
      <c r="AC434" s="33">
        <f t="shared" si="349"/>
        <v>0</v>
      </c>
      <c r="AD434" s="33">
        <f t="shared" si="349"/>
        <v>0</v>
      </c>
      <c r="AE434" s="33">
        <f t="shared" si="349"/>
        <v>0</v>
      </c>
      <c r="AF434" s="33">
        <f t="shared" si="349"/>
        <v>0</v>
      </c>
      <c r="AG434" s="33">
        <f t="shared" si="349"/>
        <v>0</v>
      </c>
      <c r="AH434" s="47">
        <f t="shared" si="338"/>
        <v>38158</v>
      </c>
      <c r="AI434" s="27" t="str">
        <f t="shared" si="339"/>
        <v>ok</v>
      </c>
    </row>
    <row r="435" spans="1:35" x14ac:dyDescent="0.2">
      <c r="A435" s="14" t="s">
        <v>904</v>
      </c>
      <c r="C435" s="14" t="s">
        <v>564</v>
      </c>
      <c r="E435" s="47">
        <v>28391.955555555556</v>
      </c>
      <c r="F435" s="33">
        <f>F433</f>
        <v>25695</v>
      </c>
      <c r="G435" s="33">
        <f t="shared" ref="G435:L435" si="350">G433</f>
        <v>1</v>
      </c>
      <c r="H435" s="33">
        <f t="shared" si="350"/>
        <v>2032</v>
      </c>
      <c r="I435" s="33">
        <f t="shared" si="350"/>
        <v>314</v>
      </c>
      <c r="J435" s="33">
        <f t="shared" si="350"/>
        <v>119</v>
      </c>
      <c r="K435" s="33">
        <f t="shared" si="350"/>
        <v>0</v>
      </c>
      <c r="L435" s="33">
        <f t="shared" si="350"/>
        <v>8</v>
      </c>
      <c r="M435" s="33">
        <f t="shared" ref="M435" si="351">M433</f>
        <v>1</v>
      </c>
      <c r="N435" s="33">
        <f>N433/45</f>
        <v>221.95555555555555</v>
      </c>
      <c r="O435" s="33">
        <f>O433/45</f>
        <v>0</v>
      </c>
      <c r="P435" s="33">
        <f>P433/45</f>
        <v>0</v>
      </c>
      <c r="Q435" s="33">
        <f>Q433/45</f>
        <v>0</v>
      </c>
      <c r="R435" s="33">
        <f t="shared" ref="R435:S435" si="352">R433</f>
        <v>0</v>
      </c>
      <c r="S435" s="33">
        <f t="shared" si="352"/>
        <v>0</v>
      </c>
      <c r="T435" s="47">
        <f>T433</f>
        <v>0</v>
      </c>
      <c r="U435" s="47">
        <f>U433</f>
        <v>0</v>
      </c>
      <c r="V435" s="47">
        <f>V433</f>
        <v>0</v>
      </c>
      <c r="W435" s="47">
        <v>0</v>
      </c>
      <c r="X435" s="47">
        <v>0</v>
      </c>
      <c r="Y435" s="47">
        <v>0</v>
      </c>
      <c r="Z435" s="47">
        <v>0</v>
      </c>
      <c r="AA435" s="33">
        <f t="shared" ref="AA435:AG435" si="353">AA433</f>
        <v>0</v>
      </c>
      <c r="AB435" s="33">
        <f t="shared" si="353"/>
        <v>0</v>
      </c>
      <c r="AC435" s="33">
        <f t="shared" si="353"/>
        <v>0</v>
      </c>
      <c r="AD435" s="33">
        <f t="shared" si="353"/>
        <v>0</v>
      </c>
      <c r="AE435" s="33">
        <f t="shared" si="353"/>
        <v>0</v>
      </c>
      <c r="AF435" s="33">
        <f t="shared" si="353"/>
        <v>0</v>
      </c>
      <c r="AG435" s="33">
        <f t="shared" si="353"/>
        <v>0</v>
      </c>
      <c r="AH435" s="47">
        <f>SUM(F435:AG435)</f>
        <v>28391.955555555556</v>
      </c>
      <c r="AI435" s="27" t="str">
        <f t="shared" si="339"/>
        <v>ok</v>
      </c>
    </row>
    <row r="436" spans="1:35" x14ac:dyDescent="0.2">
      <c r="A436" s="14" t="s">
        <v>755</v>
      </c>
      <c r="C436" s="14" t="s">
        <v>565</v>
      </c>
      <c r="E436" s="47">
        <v>3978657</v>
      </c>
      <c r="F436" s="47">
        <v>0</v>
      </c>
      <c r="G436" s="47">
        <v>0</v>
      </c>
      <c r="H436" s="47">
        <v>0</v>
      </c>
      <c r="I436" s="47">
        <v>0</v>
      </c>
      <c r="J436" s="47">
        <v>0</v>
      </c>
      <c r="K436" s="47">
        <v>0</v>
      </c>
      <c r="L436" s="47">
        <v>0</v>
      </c>
      <c r="M436" s="47">
        <v>0</v>
      </c>
      <c r="N436" s="47">
        <f>N429</f>
        <v>3978657</v>
      </c>
      <c r="O436" s="47">
        <f>'Billing Det'!A18</f>
        <v>0</v>
      </c>
      <c r="P436" s="47">
        <f>'Billing Det'!B18</f>
        <v>0</v>
      </c>
      <c r="Q436" s="47">
        <f>'Billing Det'!C18</f>
        <v>0</v>
      </c>
      <c r="R436" s="47">
        <v>0</v>
      </c>
      <c r="S436" s="47">
        <v>0</v>
      </c>
      <c r="T436" s="47">
        <v>0</v>
      </c>
      <c r="U436" s="47">
        <v>0</v>
      </c>
      <c r="V436" s="47">
        <v>0</v>
      </c>
      <c r="W436" s="47">
        <v>0</v>
      </c>
      <c r="X436" s="47">
        <v>0</v>
      </c>
      <c r="Y436" s="47">
        <v>0</v>
      </c>
      <c r="Z436" s="47">
        <v>0</v>
      </c>
      <c r="AA436" s="33"/>
      <c r="AB436" s="33"/>
      <c r="AC436" s="33"/>
      <c r="AD436" s="33"/>
      <c r="AE436" s="33"/>
      <c r="AF436" s="33"/>
      <c r="AG436" s="33"/>
      <c r="AH436" s="47">
        <f t="shared" si="338"/>
        <v>3978657</v>
      </c>
      <c r="AI436" s="27" t="str">
        <f t="shared" si="339"/>
        <v>ok</v>
      </c>
    </row>
    <row r="437" spans="1:35" x14ac:dyDescent="0.2">
      <c r="A437" s="14" t="s">
        <v>616</v>
      </c>
      <c r="C437" s="14" t="s">
        <v>617</v>
      </c>
      <c r="E437" s="33">
        <f>E435</f>
        <v>28391.955555555556</v>
      </c>
      <c r="F437" s="33">
        <f>F435</f>
        <v>25695</v>
      </c>
      <c r="G437" s="33">
        <f t="shared" ref="G437:N437" si="354">G435</f>
        <v>1</v>
      </c>
      <c r="H437" s="33">
        <f t="shared" si="354"/>
        <v>2032</v>
      </c>
      <c r="I437" s="33">
        <f t="shared" si="354"/>
        <v>314</v>
      </c>
      <c r="J437" s="33">
        <f t="shared" si="354"/>
        <v>119</v>
      </c>
      <c r="K437" s="33">
        <f t="shared" si="354"/>
        <v>0</v>
      </c>
      <c r="L437" s="33">
        <f t="shared" si="354"/>
        <v>8</v>
      </c>
      <c r="M437" s="33">
        <f t="shared" ref="M437" si="355">M435</f>
        <v>1</v>
      </c>
      <c r="N437" s="33">
        <f t="shared" si="354"/>
        <v>221.95555555555555</v>
      </c>
      <c r="O437" s="33">
        <f>O435</f>
        <v>0</v>
      </c>
      <c r="P437" s="33">
        <f>P435</f>
        <v>0</v>
      </c>
      <c r="Q437" s="33">
        <f>Q435</f>
        <v>0</v>
      </c>
      <c r="R437" s="47">
        <f>R432/12*2.11</f>
        <v>0</v>
      </c>
      <c r="S437" s="47">
        <f>S432/12*2.11</f>
        <v>0</v>
      </c>
      <c r="T437" s="47">
        <f>T435</f>
        <v>0</v>
      </c>
      <c r="U437" s="47">
        <f>U435</f>
        <v>0</v>
      </c>
      <c r="V437" s="47">
        <f>V435</f>
        <v>0</v>
      </c>
      <c r="W437" s="47">
        <v>0</v>
      </c>
      <c r="X437" s="47">
        <v>0</v>
      </c>
      <c r="Y437" s="47">
        <v>0</v>
      </c>
      <c r="Z437" s="47">
        <v>0</v>
      </c>
      <c r="AA437" s="33">
        <v>0</v>
      </c>
      <c r="AB437" s="33">
        <v>0</v>
      </c>
      <c r="AC437" s="33">
        <v>0</v>
      </c>
      <c r="AD437" s="33">
        <v>0</v>
      </c>
      <c r="AE437" s="33">
        <v>0</v>
      </c>
      <c r="AF437" s="33">
        <v>0</v>
      </c>
      <c r="AG437" s="33">
        <v>0</v>
      </c>
      <c r="AH437" s="47">
        <f t="shared" si="338"/>
        <v>28391.955555555556</v>
      </c>
      <c r="AI437" s="27" t="str">
        <f t="shared" si="339"/>
        <v>ok</v>
      </c>
    </row>
    <row r="438" spans="1:35" x14ac:dyDescent="0.2">
      <c r="A438" s="14" t="s">
        <v>470</v>
      </c>
      <c r="C438" s="14" t="s">
        <v>618</v>
      </c>
      <c r="E438" s="33">
        <f>E434</f>
        <v>38158</v>
      </c>
      <c r="F438" s="33">
        <f>F434</f>
        <v>25695</v>
      </c>
      <c r="G438" s="33">
        <f t="shared" ref="G438:P438" si="356">G434</f>
        <v>1</v>
      </c>
      <c r="H438" s="33">
        <f t="shared" si="356"/>
        <v>2032</v>
      </c>
      <c r="I438" s="33">
        <f t="shared" si="356"/>
        <v>314</v>
      </c>
      <c r="J438" s="33">
        <f t="shared" si="356"/>
        <v>119</v>
      </c>
      <c r="K438" s="33">
        <f t="shared" si="356"/>
        <v>0</v>
      </c>
      <c r="L438" s="33">
        <f t="shared" si="356"/>
        <v>8</v>
      </c>
      <c r="M438" s="33">
        <f t="shared" ref="M438" si="357">M434</f>
        <v>1</v>
      </c>
      <c r="N438" s="33">
        <f t="shared" si="356"/>
        <v>9988</v>
      </c>
      <c r="O438" s="33">
        <f t="shared" si="356"/>
        <v>0</v>
      </c>
      <c r="P438" s="33">
        <f t="shared" si="356"/>
        <v>0</v>
      </c>
      <c r="Q438" s="33">
        <f t="shared" ref="Q438:R438" si="358">Q434</f>
        <v>0</v>
      </c>
      <c r="R438" s="33">
        <f t="shared" si="358"/>
        <v>0</v>
      </c>
      <c r="S438" s="33">
        <f>S434</f>
        <v>0</v>
      </c>
      <c r="T438" s="47">
        <f>T434</f>
        <v>0</v>
      </c>
      <c r="U438" s="47">
        <v>0</v>
      </c>
      <c r="V438" s="47">
        <v>0</v>
      </c>
      <c r="W438" s="47">
        <v>0</v>
      </c>
      <c r="X438" s="47">
        <v>0</v>
      </c>
      <c r="Y438" s="47">
        <v>0</v>
      </c>
      <c r="Z438" s="47">
        <v>0</v>
      </c>
      <c r="AA438" s="33"/>
      <c r="AB438" s="33"/>
      <c r="AC438" s="33"/>
      <c r="AD438" s="33"/>
      <c r="AE438" s="33"/>
      <c r="AF438" s="33"/>
      <c r="AG438" s="33"/>
      <c r="AH438" s="47">
        <f t="shared" si="338"/>
        <v>38158</v>
      </c>
      <c r="AI438" s="27" t="str">
        <f t="shared" si="339"/>
        <v>ok</v>
      </c>
    </row>
    <row r="440" spans="1:35" x14ac:dyDescent="0.2">
      <c r="A440" s="14" t="s">
        <v>691</v>
      </c>
      <c r="C440" s="14" t="s">
        <v>957</v>
      </c>
      <c r="E440" s="47">
        <f>'Billing Det'!$K$25</f>
        <v>840799.00016638974</v>
      </c>
      <c r="F440" s="47">
        <f>'Billing Det'!$K$8</f>
        <v>646385.54294576356</v>
      </c>
      <c r="G440" s="47">
        <f>'Billing Det'!$K$9</f>
        <v>623.14572971186578</v>
      </c>
      <c r="H440" s="47">
        <f>'Billing Det'!$K$10</f>
        <v>63683.484587813626</v>
      </c>
      <c r="I440" s="47">
        <f>'Billing Det'!$K$11</f>
        <v>6660.6223958333321</v>
      </c>
      <c r="J440" s="47">
        <f>'Billing Det'!$K$12</f>
        <v>64895.806819095378</v>
      </c>
      <c r="K440" s="47">
        <f>'Billing Det'!$K$13</f>
        <v>0</v>
      </c>
      <c r="L440" s="47">
        <f>'Billing Det'!$K$14</f>
        <v>41165.936000000002</v>
      </c>
      <c r="M440" s="47">
        <f>'Billing Det'!$K$15</f>
        <v>11989.384000000002</v>
      </c>
      <c r="N440" s="47">
        <f>'Billing Det'!$K$16</f>
        <v>5395.0776881720431</v>
      </c>
      <c r="O440" s="47">
        <f>'Billing Det'!$K$18</f>
        <v>0</v>
      </c>
      <c r="P440" s="47">
        <f>'Billing Det'!$K$18</f>
        <v>0</v>
      </c>
      <c r="Q440" s="47">
        <f>'Billing Det'!$K$18</f>
        <v>0</v>
      </c>
      <c r="R440" s="47">
        <f>'Billing Det'!$K$19</f>
        <v>0</v>
      </c>
      <c r="S440" s="47">
        <f>'Billing Det'!$K$20</f>
        <v>0</v>
      </c>
      <c r="T440" s="47">
        <f>'Billing Det'!$K$21</f>
        <v>0</v>
      </c>
      <c r="U440" s="47">
        <f>'Billing Det'!$K$22</f>
        <v>0</v>
      </c>
      <c r="V440" s="47">
        <f>'Billing Det'!$K$23</f>
        <v>0</v>
      </c>
      <c r="W440" s="47">
        <v>0</v>
      </c>
      <c r="X440" s="47">
        <v>0</v>
      </c>
      <c r="Y440" s="47">
        <v>0</v>
      </c>
      <c r="Z440" s="47">
        <v>0</v>
      </c>
      <c r="AA440" s="47">
        <v>0</v>
      </c>
      <c r="AB440" s="47">
        <v>0</v>
      </c>
      <c r="AC440" s="47">
        <v>0</v>
      </c>
      <c r="AD440" s="47">
        <v>0</v>
      </c>
      <c r="AE440" s="47">
        <v>0</v>
      </c>
      <c r="AF440" s="47"/>
      <c r="AG440" s="47"/>
      <c r="AH440" s="87">
        <f>SUM(F440:AG440)</f>
        <v>840799.00016638974</v>
      </c>
      <c r="AI440" s="27" t="str">
        <f>IF(ABS(E440-AH440)&lt;0.01,"ok","err")</f>
        <v>ok</v>
      </c>
    </row>
    <row r="441" spans="1:35" x14ac:dyDescent="0.2">
      <c r="A441" s="14" t="s">
        <v>692</v>
      </c>
      <c r="C441" s="14" t="s">
        <v>958</v>
      </c>
      <c r="E441" s="47">
        <f>'Billing Det'!$J$25</f>
        <v>260838.00028633341</v>
      </c>
      <c r="F441" s="47">
        <f>'Billing Det'!$J$8</f>
        <v>192337.97959017416</v>
      </c>
      <c r="G441" s="47">
        <f>'Billing Det'!$J$9</f>
        <v>9.7070823842121907</v>
      </c>
      <c r="H441" s="47">
        <f>'Billing Det'!$J$10</f>
        <v>24326.06182795699</v>
      </c>
      <c r="I441" s="47">
        <f>'Billing Det'!$J$11</f>
        <v>2740.4686599942393</v>
      </c>
      <c r="J441" s="47">
        <f>'Billing Det'!$J$12</f>
        <v>23044.391125823808</v>
      </c>
      <c r="K441" s="47">
        <f>'Billing Det'!$J$13</f>
        <v>0</v>
      </c>
      <c r="L441" s="47">
        <f>'Billing Det'!$J$14</f>
        <v>14417.536</v>
      </c>
      <c r="M441" s="47">
        <f>'Billing Det'!$J$15</f>
        <v>3961.8560000000007</v>
      </c>
      <c r="N441" s="47">
        <f>'Billing Det'!$J$16</f>
        <v>0</v>
      </c>
      <c r="O441" s="47">
        <f>'Billing Det'!$J$18</f>
        <v>0</v>
      </c>
      <c r="P441" s="47">
        <f>'Billing Det'!$J$18</f>
        <v>0</v>
      </c>
      <c r="Q441" s="47">
        <f>'Billing Det'!$J$18</f>
        <v>0</v>
      </c>
      <c r="R441" s="47">
        <f>'Billing Det'!$J$19</f>
        <v>0</v>
      </c>
      <c r="S441" s="47">
        <f>'Billing Det'!$J$20</f>
        <v>0</v>
      </c>
      <c r="T441" s="47">
        <f>'Billing Det'!$J$21</f>
        <v>0</v>
      </c>
      <c r="U441" s="47">
        <f>'Billing Det'!$J$22</f>
        <v>0</v>
      </c>
      <c r="V441" s="47">
        <f>'Billing Det'!$J$23</f>
        <v>0</v>
      </c>
      <c r="W441" s="47">
        <v>0</v>
      </c>
      <c r="X441" s="47">
        <v>0</v>
      </c>
      <c r="Y441" s="47">
        <v>0</v>
      </c>
      <c r="Z441" s="47">
        <v>0</v>
      </c>
      <c r="AA441" s="47">
        <v>0</v>
      </c>
      <c r="AB441" s="47">
        <v>0</v>
      </c>
      <c r="AC441" s="47">
        <v>0</v>
      </c>
      <c r="AD441" s="47">
        <v>0</v>
      </c>
      <c r="AE441" s="47">
        <v>0</v>
      </c>
      <c r="AF441" s="47"/>
      <c r="AG441" s="47"/>
      <c r="AH441" s="87">
        <f>SUM(F441:AG441)</f>
        <v>260838.00028633341</v>
      </c>
      <c r="AI441" s="27" t="str">
        <f>IF(ABS(E441-AH441)&lt;0.01,"ok","err")</f>
        <v>ok</v>
      </c>
    </row>
    <row r="442" spans="1:35" x14ac:dyDescent="0.2">
      <c r="A442" s="14" t="s">
        <v>893</v>
      </c>
      <c r="C442" s="14" t="s">
        <v>956</v>
      </c>
      <c r="E442" s="47">
        <f>'Billing Det'!$I$25</f>
        <v>1101637.0004527234</v>
      </c>
      <c r="F442" s="47">
        <f>'Billing Det'!$I$8</f>
        <v>838723.52253593772</v>
      </c>
      <c r="G442" s="47">
        <f>'Billing Det'!$I$9</f>
        <v>632.85281209607797</v>
      </c>
      <c r="H442" s="47">
        <f>'Billing Det'!$I$10</f>
        <v>88009.546415770616</v>
      </c>
      <c r="I442" s="47">
        <f>'Billing Det'!$I$11</f>
        <v>9401.0910558275718</v>
      </c>
      <c r="J442" s="47">
        <f>'Billing Det'!$I$12</f>
        <v>87940.197944919186</v>
      </c>
      <c r="K442" s="47">
        <f>'Billing Det'!$I$13</f>
        <v>0</v>
      </c>
      <c r="L442" s="47">
        <f>'Billing Det'!$I$14</f>
        <v>55583.472000000002</v>
      </c>
      <c r="M442" s="47">
        <f>'Billing Det'!$I$15</f>
        <v>15951.240000000002</v>
      </c>
      <c r="N442" s="47">
        <f>'Billing Det'!$I$16</f>
        <v>5395.0776881720431</v>
      </c>
      <c r="O442" s="47">
        <f>'Billing Det'!$I$18</f>
        <v>0</v>
      </c>
      <c r="P442" s="47">
        <f>'Billing Det'!$I$18</f>
        <v>0</v>
      </c>
      <c r="Q442" s="47">
        <f>'Billing Det'!$I$18</f>
        <v>0</v>
      </c>
      <c r="R442" s="47">
        <f>'Billing Det'!$I$19</f>
        <v>0</v>
      </c>
      <c r="S442" s="47">
        <f>'Billing Det'!$I$20</f>
        <v>0</v>
      </c>
      <c r="T442" s="47">
        <f>'Billing Det'!$I$21</f>
        <v>0</v>
      </c>
      <c r="U442" s="47">
        <f>'Billing Det'!$I$22</f>
        <v>0</v>
      </c>
      <c r="V442" s="47">
        <f>'Billing Det'!$I$23</f>
        <v>0</v>
      </c>
      <c r="W442" s="47">
        <v>0</v>
      </c>
      <c r="X442" s="47">
        <v>0</v>
      </c>
      <c r="Y442" s="47">
        <v>0</v>
      </c>
      <c r="Z442" s="47">
        <v>0</v>
      </c>
      <c r="AA442" s="47">
        <v>0</v>
      </c>
      <c r="AB442" s="47">
        <v>0</v>
      </c>
      <c r="AC442" s="47">
        <v>0</v>
      </c>
      <c r="AD442" s="47">
        <v>0</v>
      </c>
      <c r="AE442" s="47">
        <v>0</v>
      </c>
      <c r="AF442" s="47"/>
      <c r="AG442" s="47"/>
      <c r="AH442" s="87">
        <f>SUM(F442:AG442)</f>
        <v>1101637.0004527234</v>
      </c>
      <c r="AI442" s="27" t="str">
        <f>IF(ABS(E442-AH442)&lt;0.01,"ok","err")</f>
        <v>ok</v>
      </c>
    </row>
    <row r="443" spans="1:35" x14ac:dyDescent="0.2">
      <c r="A443" s="14" t="s">
        <v>693</v>
      </c>
      <c r="C443" s="14" t="s">
        <v>566</v>
      </c>
      <c r="E443" s="47">
        <f>'Billing Det'!$H$25</f>
        <v>175934.70928485133</v>
      </c>
      <c r="F443" s="47">
        <f>'Billing Det'!$H$8</f>
        <v>143645.61678263411</v>
      </c>
      <c r="G443" s="47">
        <f>'Billing Det'!$H$9</f>
        <v>281.10792611520884</v>
      </c>
      <c r="H443" s="47">
        <f>'Billing Det'!$H$10</f>
        <v>11402.993055555555</v>
      </c>
      <c r="I443" s="47">
        <f>'Billing Det'!$H$11</f>
        <v>1603.6111111111111</v>
      </c>
      <c r="J443" s="47">
        <f>'Billing Det'!$H$12</f>
        <v>9945.6807665781889</v>
      </c>
      <c r="K443" s="47">
        <f>'Billing Det'!$H$13</f>
        <v>0</v>
      </c>
      <c r="L443" s="47">
        <f>'Billing Det'!$H$14</f>
        <v>6373.58</v>
      </c>
      <c r="M443" s="47">
        <f>'Billing Det'!$H$15</f>
        <v>1694.7</v>
      </c>
      <c r="N443" s="47">
        <f>'Billing Det'!$H$16</f>
        <v>987.41964285714289</v>
      </c>
      <c r="O443" s="47">
        <f>'Billing Det'!$H$18</f>
        <v>0</v>
      </c>
      <c r="P443" s="47">
        <f>'Billing Det'!$H$18</f>
        <v>0</v>
      </c>
      <c r="Q443" s="47">
        <f>'Billing Det'!$H$18</f>
        <v>0</v>
      </c>
      <c r="R443" s="47">
        <f>'Billing Det'!$H$19</f>
        <v>0</v>
      </c>
      <c r="S443" s="47">
        <f>'Billing Det'!$H$20</f>
        <v>0</v>
      </c>
      <c r="T443" s="47">
        <f>'Billing Det'!$H$21</f>
        <v>0</v>
      </c>
      <c r="U443" s="47">
        <f>'Billing Det'!$H$22</f>
        <v>0</v>
      </c>
      <c r="V443" s="47">
        <f>'Billing Det'!$H$23</f>
        <v>0</v>
      </c>
      <c r="W443" s="47">
        <v>0</v>
      </c>
      <c r="X443" s="47">
        <v>0</v>
      </c>
      <c r="Y443" s="47">
        <v>0</v>
      </c>
      <c r="Z443" s="47">
        <v>0</v>
      </c>
      <c r="AA443" s="47">
        <v>0</v>
      </c>
      <c r="AB443" s="47">
        <v>0</v>
      </c>
      <c r="AC443" s="47">
        <v>0</v>
      </c>
      <c r="AD443" s="47">
        <v>0</v>
      </c>
      <c r="AE443" s="47">
        <v>0</v>
      </c>
      <c r="AF443" s="47"/>
      <c r="AG443" s="47"/>
      <c r="AH443" s="87">
        <f>SUM(F443:AG443)</f>
        <v>175934.70928485133</v>
      </c>
      <c r="AI443" s="27" t="str">
        <f>IF(ABS(E443-AH443)&lt;0.01,"ok","err")</f>
        <v>ok</v>
      </c>
    </row>
    <row r="444" spans="1:35" x14ac:dyDescent="0.2">
      <c r="A444" s="14" t="s">
        <v>746</v>
      </c>
      <c r="C444" s="14" t="s">
        <v>894</v>
      </c>
      <c r="E444" s="47">
        <f>'Billing Det'!$F$25</f>
        <v>2919792.9762314339</v>
      </c>
      <c r="F444" s="47">
        <f>'Billing Det'!$F$8</f>
        <v>2449046.9990434945</v>
      </c>
      <c r="G444" s="47">
        <f>'Billing Det'!$F$9</f>
        <v>2479.4821357455767</v>
      </c>
      <c r="H444" s="47">
        <f>'Billing Det'!$F$10</f>
        <v>191325.10090384915</v>
      </c>
      <c r="I444" s="47">
        <f>'Billing Det'!$F$11</f>
        <v>21799.631433803064</v>
      </c>
      <c r="J444" s="47">
        <f>'Billing Det'!$F$12</f>
        <v>154813.58300000001</v>
      </c>
      <c r="K444" s="47">
        <f>'Billing Det'!$F$13</f>
        <v>0</v>
      </c>
      <c r="L444" s="47">
        <f>'Billing Det'!$F$14</f>
        <v>69479.34</v>
      </c>
      <c r="M444" s="47">
        <f>'Billing Det'!$F$15</f>
        <v>19939.05</v>
      </c>
      <c r="N444" s="47">
        <f>'Billing Det'!$F$16</f>
        <v>10909.789714541732</v>
      </c>
      <c r="O444" s="47">
        <f>'Billing Det'!$F$18</f>
        <v>0</v>
      </c>
      <c r="P444" s="47">
        <f>'Billing Det'!$F$18</f>
        <v>0</v>
      </c>
      <c r="Q444" s="47">
        <f>'Billing Det'!$F$18</f>
        <v>0</v>
      </c>
      <c r="R444" s="47">
        <f>'Billing Det'!$F$19</f>
        <v>0</v>
      </c>
      <c r="S444" s="47">
        <f>'Billing Det'!$F$20</f>
        <v>0</v>
      </c>
      <c r="T444" s="47">
        <f>'Billing Det'!$F$21</f>
        <v>0</v>
      </c>
      <c r="U444" s="47">
        <f>'Billing Det'!$F$22</f>
        <v>0</v>
      </c>
      <c r="V444" s="47">
        <f>'Billing Det'!$F$23</f>
        <v>0</v>
      </c>
      <c r="W444" s="47">
        <v>0</v>
      </c>
      <c r="X444" s="47">
        <v>0</v>
      </c>
      <c r="Y444" s="47">
        <v>0</v>
      </c>
      <c r="Z444" s="47">
        <v>0</v>
      </c>
      <c r="AA444" s="47">
        <v>0</v>
      </c>
      <c r="AB444" s="47">
        <v>0</v>
      </c>
      <c r="AC444" s="47">
        <v>0</v>
      </c>
      <c r="AD444" s="47">
        <v>0</v>
      </c>
      <c r="AE444" s="47">
        <v>0</v>
      </c>
      <c r="AF444" s="47"/>
      <c r="AG444" s="47"/>
      <c r="AH444" s="87">
        <f>SUM(F444:AG444)</f>
        <v>2919792.9762314339</v>
      </c>
      <c r="AI444" s="27" t="str">
        <f>IF(ABS(E444-AH444)&lt;0.01,"ok","err")</f>
        <v>ok</v>
      </c>
    </row>
    <row r="446" spans="1:35" x14ac:dyDescent="0.2">
      <c r="A446" s="25" t="s">
        <v>905</v>
      </c>
    </row>
    <row r="447" spans="1:35" x14ac:dyDescent="0.2"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7"/>
      <c r="AI447" s="27"/>
    </row>
    <row r="448" spans="1:35" x14ac:dyDescent="0.2">
      <c r="A448" s="14" t="s">
        <v>597</v>
      </c>
      <c r="C448" s="14" t="s">
        <v>598</v>
      </c>
      <c r="E448" s="47">
        <v>1101637.0004527234</v>
      </c>
      <c r="F448" s="47">
        <f t="shared" ref="F448:T448" si="359">F442</f>
        <v>838723.52253593772</v>
      </c>
      <c r="G448" s="47">
        <f t="shared" si="359"/>
        <v>632.85281209607797</v>
      </c>
      <c r="H448" s="47">
        <f t="shared" si="359"/>
        <v>88009.546415770616</v>
      </c>
      <c r="I448" s="47">
        <f t="shared" si="359"/>
        <v>9401.0910558275718</v>
      </c>
      <c r="J448" s="47">
        <f t="shared" si="359"/>
        <v>87940.197944919186</v>
      </c>
      <c r="K448" s="47">
        <f t="shared" si="359"/>
        <v>0</v>
      </c>
      <c r="L448" s="47">
        <f t="shared" si="359"/>
        <v>55583.472000000002</v>
      </c>
      <c r="M448" s="47">
        <f t="shared" ref="M448" si="360">M442</f>
        <v>15951.240000000002</v>
      </c>
      <c r="N448" s="47">
        <f t="shared" si="359"/>
        <v>5395.0776881720431</v>
      </c>
      <c r="O448" s="47">
        <f t="shared" si="359"/>
        <v>0</v>
      </c>
      <c r="P448" s="47">
        <f t="shared" si="359"/>
        <v>0</v>
      </c>
      <c r="Q448" s="47">
        <f t="shared" si="359"/>
        <v>0</v>
      </c>
      <c r="R448" s="47">
        <f t="shared" si="359"/>
        <v>0</v>
      </c>
      <c r="S448" s="47">
        <f t="shared" si="359"/>
        <v>0</v>
      </c>
      <c r="T448" s="47">
        <f t="shared" si="359"/>
        <v>0</v>
      </c>
      <c r="U448" s="47">
        <f t="shared" ref="U448:AG448" si="361">U443</f>
        <v>0</v>
      </c>
      <c r="V448" s="47">
        <f t="shared" si="361"/>
        <v>0</v>
      </c>
      <c r="W448" s="47">
        <f t="shared" si="361"/>
        <v>0</v>
      </c>
      <c r="X448" s="47">
        <f t="shared" si="361"/>
        <v>0</v>
      </c>
      <c r="Y448" s="47">
        <f t="shared" si="361"/>
        <v>0</v>
      </c>
      <c r="Z448" s="47">
        <f t="shared" si="361"/>
        <v>0</v>
      </c>
      <c r="AA448" s="47">
        <f t="shared" si="361"/>
        <v>0</v>
      </c>
      <c r="AB448" s="47">
        <f t="shared" si="361"/>
        <v>0</v>
      </c>
      <c r="AC448" s="47">
        <f t="shared" si="361"/>
        <v>0</v>
      </c>
      <c r="AD448" s="47">
        <f t="shared" si="361"/>
        <v>0</v>
      </c>
      <c r="AE448" s="47">
        <f t="shared" si="361"/>
        <v>0</v>
      </c>
      <c r="AF448" s="47">
        <f t="shared" si="361"/>
        <v>0</v>
      </c>
      <c r="AG448" s="47">
        <f t="shared" si="361"/>
        <v>0</v>
      </c>
      <c r="AH448" s="47">
        <f>SUM(F448:AG448)</f>
        <v>1101637.0004527234</v>
      </c>
      <c r="AI448" s="27" t="str">
        <f t="shared" ref="AI448:AI453" si="362">IF(ABS(E448-AH448)&lt;0.01,"ok","err")</f>
        <v>ok</v>
      </c>
    </row>
    <row r="449" spans="1:35" x14ac:dyDescent="0.2">
      <c r="A449" s="14" t="s">
        <v>596</v>
      </c>
      <c r="E449" s="87">
        <f>'Func &amp; Classif'!K35</f>
        <v>0</v>
      </c>
      <c r="AH449" s="87">
        <f>E449</f>
        <v>0</v>
      </c>
      <c r="AI449" s="27" t="str">
        <f t="shared" si="362"/>
        <v>ok</v>
      </c>
    </row>
    <row r="450" spans="1:35" x14ac:dyDescent="0.2">
      <c r="A450" s="14" t="s">
        <v>594</v>
      </c>
      <c r="E450" s="62"/>
      <c r="N450" s="47">
        <v>0</v>
      </c>
      <c r="O450" s="47">
        <v>0</v>
      </c>
      <c r="P450" s="47"/>
      <c r="Q450" s="47"/>
      <c r="AH450" s="87">
        <f>SUM(F450:AG450)</f>
        <v>0</v>
      </c>
      <c r="AI450" s="27" t="str">
        <f t="shared" si="362"/>
        <v>ok</v>
      </c>
    </row>
    <row r="451" spans="1:35" x14ac:dyDescent="0.2">
      <c r="A451" s="14" t="s">
        <v>595</v>
      </c>
      <c r="D451" s="14" t="s">
        <v>598</v>
      </c>
      <c r="E451" s="87">
        <f>E449-E450</f>
        <v>0</v>
      </c>
      <c r="F451" s="46">
        <f>IF(VLOOKUP($D451,$C$5:$AV$509,3,)=0,0,(VLOOKUP($D451,$C$5:$AV$509,4,)/VLOOKUP($D451,$C$5:$AV$509,3,))*$E451)</f>
        <v>0</v>
      </c>
      <c r="G451" s="46">
        <f>IF(VLOOKUP($D451,$C$5:$AV$509,3,)=0,0,(VLOOKUP($D451,$C$5:$AV$509,5,)/VLOOKUP($D451,$C$5:$AV$509,3,))*$E451)</f>
        <v>0</v>
      </c>
      <c r="H451" s="46">
        <f>IF(VLOOKUP($D451,$C$5:$AV$509,3,)=0,0,(VLOOKUP($D451,$C$5:$AV$509,6,)/VLOOKUP($D451,$C$5:$AV$509,3,))*$E451)</f>
        <v>0</v>
      </c>
      <c r="I451" s="46">
        <f>IF(VLOOKUP($D451,$C$5:$AV$509,3,)=0,0,(VLOOKUP($D451,$C$5:$AV$509,7,)/VLOOKUP($D451,$C$5:$AV$509,3,))*$E451)</f>
        <v>0</v>
      </c>
      <c r="J451" s="46">
        <f>IF(VLOOKUP($D451,$C$5:$AV$509,3,)=0,0,(VLOOKUP($D451,$C$5:$AV$509,8,)/VLOOKUP($D451,$C$5:$AV$509,3,))*$E451)</f>
        <v>0</v>
      </c>
      <c r="K451" s="46">
        <f>IF(VLOOKUP($D451,$C$5:$AV$509,3,)=0,0,(VLOOKUP($D451,$C$5:$AV$509,9,)/VLOOKUP($D451,$C$5:$AV$509,3,))*$E451)</f>
        <v>0</v>
      </c>
      <c r="L451" s="46">
        <f>IF(VLOOKUP($D451,$C$5:$AV$509,3,)=0,0,(VLOOKUP($D451,$C$5:$AV$509,10,)/VLOOKUP($D451,$C$5:$AV$509,3,))*$E451)</f>
        <v>0</v>
      </c>
      <c r="M451" s="46">
        <f>IF(VLOOKUP($D451,$C$5:$AV$509,3,)=0,0,(VLOOKUP($D451,$C$5:$AV$509,11,)/VLOOKUP($D451,$C$5:$AV$509,3,))*$E451)</f>
        <v>0</v>
      </c>
      <c r="N451" s="46">
        <f>IF(VLOOKUP($D451,$C$5:$AV$509,3,)=0,0,(VLOOKUP($D451,$C$5:$AV$509,12,)/VLOOKUP($D451,$C$5:$AV$509,3,))*$E451)</f>
        <v>0</v>
      </c>
      <c r="O451" s="210">
        <f>IF(VLOOKUP($D451,$C$5:$AV$509,3,)=0,0,(VLOOKUP($D451,$C$5:$AV$509,14,)/VLOOKUP($D451,$C$5:$AV$509,3,))*$E451)</f>
        <v>0</v>
      </c>
      <c r="P451" s="210">
        <f>IF(VLOOKUP($D451,$C$5:$AV$509,3,)=0,0,(VLOOKUP($D451,$C$5:$AV$509,14,)/VLOOKUP($D451,$C$5:$AV$509,3,))*$E451)</f>
        <v>0</v>
      </c>
      <c r="Q451" s="210">
        <f>IF(VLOOKUP($D451,$C$5:$AV$509,3,)=0,0,(VLOOKUP($D451,$C$5:$AV$509,14,)/VLOOKUP($D451,$C$5:$AV$509,3,))*$E451)</f>
        <v>0</v>
      </c>
      <c r="R451" s="210">
        <f>IF(VLOOKUP($D451,$C$5:$AV$509,3,)=0,0,(VLOOKUP($D451,$C$5:$AV$509,15,)/VLOOKUP($D451,$C$5:$AV$509,3,))*$E451)</f>
        <v>0</v>
      </c>
      <c r="S451" s="210">
        <f>IF(VLOOKUP($D451,$C$5:$AV$509,3,)=0,0,(VLOOKUP($D451,$C$5:$AV$509,16,)/VLOOKUP($D451,$C$5:$AV$509,3,))*$E451)</f>
        <v>0</v>
      </c>
      <c r="T451" s="210">
        <f>IF(VLOOKUP($D451,$C$5:$AV$509,3,)=0,0,(VLOOKUP($D451,$C$5:$AV$509,17,)/VLOOKUP($D451,$C$5:$AV$509,3,))*$E451)</f>
        <v>0</v>
      </c>
      <c r="U451" s="210">
        <f>IF(VLOOKUP($D451,$C$5:$AV$509,3,)=0,0,(VLOOKUP($D451,$C$5:$AV$509,18,)/VLOOKUP($D451,$C$5:$AV$509,3,))*$E451)</f>
        <v>0</v>
      </c>
      <c r="V451" s="210">
        <f>IF(VLOOKUP($D451,$C$5:$AV$509,3,)=0,0,(VLOOKUP($D451,$C$5:$AV$509,19,)/VLOOKUP($D451,$C$5:$AV$509,3,))*$E451)</f>
        <v>0</v>
      </c>
      <c r="W451" s="210">
        <f>IF(VLOOKUP($D451,$C$5:$AV$509,3,)=0,0,(VLOOKUP($D451,$C$5:$AV$509,20,)/VLOOKUP($D451,$C$5:$AV$509,3,))*$E451)</f>
        <v>0</v>
      </c>
      <c r="X451" s="210">
        <f>IF(VLOOKUP($D451,$C$5:$AV$509,3,)=0,0,(VLOOKUP($D451,$C$5:$AV$509,21,)/VLOOKUP($D451,$C$5:$AV$509,3,))*$E451)</f>
        <v>0</v>
      </c>
      <c r="Y451" s="210">
        <f>IF(VLOOKUP($D451,$C$5:$AV$509,3,)=0,0,(VLOOKUP($D451,$C$5:$AV$509,22,)/VLOOKUP($D451,$C$5:$AV$509,3,))*$E451)</f>
        <v>0</v>
      </c>
      <c r="Z451" s="210">
        <f>IF(VLOOKUP($D451,$C$5:$AV$509,3,)=0,0,(VLOOKUP($D451,$C$5:$AV$509,23,)/VLOOKUP($D451,$C$5:$AV$509,3,))*$E451)</f>
        <v>0</v>
      </c>
      <c r="AA451" s="210">
        <f>IF(VLOOKUP($D451,$C$5:$AV$509,3,)=0,0,(VLOOKUP($D451,$C$5:$AV$509,24,)/VLOOKUP($D451,$C$5:$AV$509,3,))*$E451)</f>
        <v>0</v>
      </c>
      <c r="AB451" s="210">
        <f>IF(VLOOKUP($D451,$C$5:$AV$509,3,)=0,0,(VLOOKUP($D451,$C$5:$AV$509,25,)/VLOOKUP($D451,$C$5:$AV$509,3,))*$E451)</f>
        <v>0</v>
      </c>
      <c r="AC451" s="210">
        <f>IF(VLOOKUP($D451,$C$5:$AV$509,3,)=0,0,(VLOOKUP($D451,$C$5:$AV$509,26,)/VLOOKUP($D451,$C$5:$AV$509,3,))*$E451)</f>
        <v>0</v>
      </c>
      <c r="AD451" s="210">
        <f>IF(VLOOKUP($D451,$C$5:$AV$509,3,)=0,0,(VLOOKUP($D451,$C$5:$AV$509,27,)/VLOOKUP($D451,$C$5:$AV$509,3,))*$E451)</f>
        <v>0</v>
      </c>
      <c r="AE451" s="210">
        <f>IF(VLOOKUP($D451,$C$5:$AV$509,3,)=0,0,(VLOOKUP($D451,$C$5:$AV$509,28,)/VLOOKUP($D451,$C$5:$AV$509,3,))*$E451)</f>
        <v>0</v>
      </c>
      <c r="AF451" s="210">
        <f>IF(VLOOKUP($D451,$C$5:$AV$509,3,)=0,0,(VLOOKUP($D451,$C$5:$AV$509,29,)/VLOOKUP($D451,$C$5:$AV$509,3,))*$E451)</f>
        <v>0</v>
      </c>
      <c r="AG451" s="210">
        <f>IF(VLOOKUP($D451,$C$5:$AV$509,3,)=0,0,(VLOOKUP($D451,$C$5:$AV$509,30,)/VLOOKUP($D451,$C$5:$AV$509,3,))*$E451)</f>
        <v>0</v>
      </c>
      <c r="AH451" s="210">
        <f t="shared" ref="AH451" si="363">SUM(F451:AG451)</f>
        <v>0</v>
      </c>
      <c r="AI451" s="27" t="str">
        <f t="shared" si="362"/>
        <v>ok</v>
      </c>
    </row>
    <row r="452" spans="1:35" x14ac:dyDescent="0.2">
      <c r="A452" s="14" t="s">
        <v>600</v>
      </c>
      <c r="C452" s="14" t="s">
        <v>599</v>
      </c>
      <c r="E452" s="87">
        <f>E450+E451</f>
        <v>0</v>
      </c>
      <c r="F452" s="87">
        <f t="shared" ref="F452:V452" si="364">F450+F451</f>
        <v>0</v>
      </c>
      <c r="G452" s="87">
        <f t="shared" si="364"/>
        <v>0</v>
      </c>
      <c r="H452" s="87">
        <f t="shared" si="364"/>
        <v>0</v>
      </c>
      <c r="I452" s="87">
        <f t="shared" si="364"/>
        <v>0</v>
      </c>
      <c r="J452" s="87">
        <f t="shared" si="364"/>
        <v>0</v>
      </c>
      <c r="K452" s="87">
        <f t="shared" si="364"/>
        <v>0</v>
      </c>
      <c r="L452" s="87">
        <f t="shared" si="364"/>
        <v>0</v>
      </c>
      <c r="M452" s="87">
        <f t="shared" ref="M452" si="365">M450+M451</f>
        <v>0</v>
      </c>
      <c r="N452" s="87">
        <f t="shared" si="364"/>
        <v>0</v>
      </c>
      <c r="O452" s="87">
        <f t="shared" si="364"/>
        <v>0</v>
      </c>
      <c r="P452" s="87">
        <f t="shared" si="364"/>
        <v>0</v>
      </c>
      <c r="Q452" s="87">
        <f t="shared" si="364"/>
        <v>0</v>
      </c>
      <c r="R452" s="87">
        <f t="shared" si="364"/>
        <v>0</v>
      </c>
      <c r="S452" s="87">
        <f t="shared" si="364"/>
        <v>0</v>
      </c>
      <c r="T452" s="87">
        <f t="shared" si="364"/>
        <v>0</v>
      </c>
      <c r="U452" s="87">
        <f t="shared" si="364"/>
        <v>0</v>
      </c>
      <c r="V452" s="87">
        <f t="shared" si="364"/>
        <v>0</v>
      </c>
      <c r="W452" s="87"/>
      <c r="X452" s="87"/>
      <c r="Y452" s="87"/>
      <c r="Z452" s="87"/>
      <c r="AA452" s="87"/>
      <c r="AB452" s="87"/>
      <c r="AC452" s="87"/>
      <c r="AD452" s="87"/>
      <c r="AE452" s="87"/>
      <c r="AF452" s="87"/>
      <c r="AG452" s="87"/>
      <c r="AH452" s="87">
        <f>SUM(F452:AG452)</f>
        <v>0</v>
      </c>
      <c r="AI452" s="27" t="str">
        <f t="shared" si="362"/>
        <v>ok</v>
      </c>
    </row>
    <row r="453" spans="1:35" x14ac:dyDescent="0.2">
      <c r="A453" s="14" t="s">
        <v>623</v>
      </c>
      <c r="C453" s="14" t="s">
        <v>601</v>
      </c>
      <c r="D453" s="14" t="s">
        <v>599</v>
      </c>
      <c r="E453" s="46">
        <v>0</v>
      </c>
      <c r="F453" s="46">
        <f>IF(VLOOKUP($D453,$C$5:$AV$509,3,)=0,0,(VLOOKUP($D453,$C$5:$AV$509,4,)/VLOOKUP($D453,$C$5:$AV$509,3,))*$E453)</f>
        <v>0</v>
      </c>
      <c r="G453" s="46">
        <f>IF(VLOOKUP($D453,$C$5:$AV$509,3,)=0,0,(VLOOKUP($D453,$C$5:$AV$509,5,)/VLOOKUP($D453,$C$5:$AV$509,3,))*$E453)</f>
        <v>0</v>
      </c>
      <c r="H453" s="46">
        <f>IF(VLOOKUP($D453,$C$5:$AV$509,3,)=0,0,(VLOOKUP($D453,$C$5:$AV$509,6,)/VLOOKUP($D453,$C$5:$AV$509,3,))*$E453)</f>
        <v>0</v>
      </c>
      <c r="I453" s="46">
        <f>IF(VLOOKUP($D453,$C$5:$AV$509,3,)=0,0,(VLOOKUP($D453,$C$5:$AV$509,7,)/VLOOKUP($D453,$C$5:$AV$509,3,))*$E453)</f>
        <v>0</v>
      </c>
      <c r="J453" s="46">
        <f>IF(VLOOKUP($D453,$C$5:$AV$509,3,)=0,0,(VLOOKUP($D453,$C$5:$AV$509,8,)/VLOOKUP($D453,$C$5:$AV$509,3,))*$E453)</f>
        <v>0</v>
      </c>
      <c r="K453" s="46">
        <f>IF(VLOOKUP($D453,$C$5:$AV$509,3,)=0,0,(VLOOKUP($D453,$C$5:$AV$509,9,)/VLOOKUP($D453,$C$5:$AV$509,3,))*$E453)</f>
        <v>0</v>
      </c>
      <c r="L453" s="46">
        <f>IF(VLOOKUP($D453,$C$5:$AV$509,3,)=0,0,(VLOOKUP($D453,$C$5:$AV$509,10,)/VLOOKUP($D453,$C$5:$AV$509,3,))*$E453)</f>
        <v>0</v>
      </c>
      <c r="M453" s="46">
        <f>IF(VLOOKUP($D453,$C$5:$AV$509,3,)=0,0,(VLOOKUP($D453,$C$5:$AV$509,11,)/VLOOKUP($D453,$C$5:$AV$509,3,))*$E453)</f>
        <v>0</v>
      </c>
      <c r="N453" s="46">
        <f>IF(VLOOKUP($D453,$C$5:$AV$509,3,)=0,0,(VLOOKUP($D453,$C$5:$AV$509,12,)/VLOOKUP($D453,$C$5:$AV$509,3,))*$E453)</f>
        <v>0</v>
      </c>
      <c r="O453" s="210">
        <f>IF(VLOOKUP($D453,$C$5:$AV$509,3,)=0,0,(VLOOKUP($D453,$C$5:$AV$509,14,)/VLOOKUP($D453,$C$5:$AV$509,3,))*$E453)</f>
        <v>0</v>
      </c>
      <c r="P453" s="210">
        <f>IF(VLOOKUP($D453,$C$5:$AV$509,3,)=0,0,(VLOOKUP($D453,$C$5:$AV$509,14,)/VLOOKUP($D453,$C$5:$AV$509,3,))*$E453)</f>
        <v>0</v>
      </c>
      <c r="Q453" s="210">
        <f>IF(VLOOKUP($D453,$C$5:$AV$509,3,)=0,0,(VLOOKUP($D453,$C$5:$AV$509,14,)/VLOOKUP($D453,$C$5:$AV$509,3,))*$E453)</f>
        <v>0</v>
      </c>
      <c r="R453" s="210">
        <f>IF(VLOOKUP($D453,$C$5:$AV$509,3,)=0,0,(VLOOKUP($D453,$C$5:$AV$509,15,)/VLOOKUP($D453,$C$5:$AV$509,3,))*$E453)</f>
        <v>0</v>
      </c>
      <c r="S453" s="210">
        <f>IF(VLOOKUP($D453,$C$5:$AV$509,3,)=0,0,(VLOOKUP($D453,$C$5:$AV$509,16,)/VLOOKUP($D453,$C$5:$AV$509,3,))*$E453)</f>
        <v>0</v>
      </c>
      <c r="T453" s="210">
        <f>IF(VLOOKUP($D453,$C$5:$AV$509,3,)=0,0,(VLOOKUP($D453,$C$5:$AV$509,17,)/VLOOKUP($D453,$C$5:$AV$509,3,))*$E453)</f>
        <v>0</v>
      </c>
      <c r="U453" s="210">
        <f>IF(VLOOKUP($D453,$C$5:$AV$509,3,)=0,0,(VLOOKUP($D453,$C$5:$AV$509,18,)/VLOOKUP($D453,$C$5:$AV$509,3,))*$E453)</f>
        <v>0</v>
      </c>
      <c r="V453" s="210">
        <f>IF(VLOOKUP($D453,$C$5:$AV$509,3,)=0,0,(VLOOKUP($D453,$C$5:$AV$509,19,)/VLOOKUP($D453,$C$5:$AV$509,3,))*$E453)</f>
        <v>0</v>
      </c>
      <c r="W453" s="210">
        <f>IF(VLOOKUP($D453,$C$5:$AV$509,3,)=0,0,(VLOOKUP($D453,$C$5:$AV$509,20,)/VLOOKUP($D453,$C$5:$AV$509,3,))*$E453)</f>
        <v>0</v>
      </c>
      <c r="X453" s="210">
        <f>IF(VLOOKUP($D453,$C$5:$AV$509,3,)=0,0,(VLOOKUP($D453,$C$5:$AV$509,21,)/VLOOKUP($D453,$C$5:$AV$509,3,))*$E453)</f>
        <v>0</v>
      </c>
      <c r="Y453" s="210">
        <f>IF(VLOOKUP($D453,$C$5:$AV$509,3,)=0,0,(VLOOKUP($D453,$C$5:$AV$509,22,)/VLOOKUP($D453,$C$5:$AV$509,3,))*$E453)</f>
        <v>0</v>
      </c>
      <c r="Z453" s="210">
        <f>IF(VLOOKUP($D453,$C$5:$AV$509,3,)=0,0,(VLOOKUP($D453,$C$5:$AV$509,23,)/VLOOKUP($D453,$C$5:$AV$509,3,))*$E453)</f>
        <v>0</v>
      </c>
      <c r="AA453" s="210">
        <f>IF(VLOOKUP($D453,$C$5:$AV$509,3,)=0,0,(VLOOKUP($D453,$C$5:$AV$509,24,)/VLOOKUP($D453,$C$5:$AV$509,3,))*$E453)</f>
        <v>0</v>
      </c>
      <c r="AB453" s="210">
        <f>IF(VLOOKUP($D453,$C$5:$AV$509,3,)=0,0,(VLOOKUP($D453,$C$5:$AV$509,25,)/VLOOKUP($D453,$C$5:$AV$509,3,))*$E453)</f>
        <v>0</v>
      </c>
      <c r="AC453" s="210">
        <f>IF(VLOOKUP($D453,$C$5:$AV$509,3,)=0,0,(VLOOKUP($D453,$C$5:$AV$509,26,)/VLOOKUP($D453,$C$5:$AV$509,3,))*$E453)</f>
        <v>0</v>
      </c>
      <c r="AD453" s="210">
        <f>IF(VLOOKUP($D453,$C$5:$AV$509,3,)=0,0,(VLOOKUP($D453,$C$5:$AV$509,27,)/VLOOKUP($D453,$C$5:$AV$509,3,))*$E453)</f>
        <v>0</v>
      </c>
      <c r="AE453" s="210">
        <f>IF(VLOOKUP($D453,$C$5:$AV$509,3,)=0,0,(VLOOKUP($D453,$C$5:$AV$509,28,)/VLOOKUP($D453,$C$5:$AV$509,3,))*$E453)</f>
        <v>0</v>
      </c>
      <c r="AF453" s="210">
        <f>IF(VLOOKUP($D453,$C$5:$AV$509,3,)=0,0,(VLOOKUP($D453,$C$5:$AV$509,29,)/VLOOKUP($D453,$C$5:$AV$509,3,))*$E453)</f>
        <v>0</v>
      </c>
      <c r="AG453" s="210">
        <f>IF(VLOOKUP($D453,$C$5:$AV$509,3,)=0,0,(VLOOKUP($D453,$C$5:$AV$509,30,)/VLOOKUP($D453,$C$5:$AV$509,3,))*$E453)</f>
        <v>0</v>
      </c>
      <c r="AH453" s="210">
        <f t="shared" ref="AH453" si="366">SUM(F453:AG453)</f>
        <v>0</v>
      </c>
      <c r="AI453" s="27" t="str">
        <f t="shared" si="362"/>
        <v>ok</v>
      </c>
    </row>
    <row r="454" spans="1:35" x14ac:dyDescent="0.2"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27"/>
    </row>
    <row r="455" spans="1:35" x14ac:dyDescent="0.2">
      <c r="A455" s="14" t="s">
        <v>597</v>
      </c>
      <c r="C455" s="14" t="s">
        <v>624</v>
      </c>
      <c r="E455" s="47">
        <f t="shared" ref="E455:AG455" si="367">E448</f>
        <v>1101637.0004527234</v>
      </c>
      <c r="F455" s="47">
        <f t="shared" si="367"/>
        <v>838723.52253593772</v>
      </c>
      <c r="G455" s="47">
        <f t="shared" si="367"/>
        <v>632.85281209607797</v>
      </c>
      <c r="H455" s="47">
        <f t="shared" si="367"/>
        <v>88009.546415770616</v>
      </c>
      <c r="I455" s="47">
        <f t="shared" si="367"/>
        <v>9401.0910558275718</v>
      </c>
      <c r="J455" s="47">
        <f t="shared" si="367"/>
        <v>87940.197944919186</v>
      </c>
      <c r="K455" s="47">
        <f t="shared" si="367"/>
        <v>0</v>
      </c>
      <c r="L455" s="47">
        <f t="shared" si="367"/>
        <v>55583.472000000002</v>
      </c>
      <c r="M455" s="47">
        <f t="shared" ref="M455" si="368">M448</f>
        <v>15951.240000000002</v>
      </c>
      <c r="N455" s="47">
        <f t="shared" si="367"/>
        <v>5395.0776881720431</v>
      </c>
      <c r="O455" s="47">
        <f t="shared" si="367"/>
        <v>0</v>
      </c>
      <c r="P455" s="47">
        <f t="shared" si="367"/>
        <v>0</v>
      </c>
      <c r="Q455" s="47">
        <f t="shared" si="367"/>
        <v>0</v>
      </c>
      <c r="R455" s="47">
        <f t="shared" si="367"/>
        <v>0</v>
      </c>
      <c r="S455" s="47">
        <f t="shared" si="367"/>
        <v>0</v>
      </c>
      <c r="T455" s="47">
        <f t="shared" si="367"/>
        <v>0</v>
      </c>
      <c r="U455" s="47">
        <f t="shared" si="367"/>
        <v>0</v>
      </c>
      <c r="V455" s="47">
        <f t="shared" si="367"/>
        <v>0</v>
      </c>
      <c r="W455" s="47">
        <f t="shared" si="367"/>
        <v>0</v>
      </c>
      <c r="X455" s="47">
        <f t="shared" si="367"/>
        <v>0</v>
      </c>
      <c r="Y455" s="47">
        <f t="shared" si="367"/>
        <v>0</v>
      </c>
      <c r="Z455" s="47">
        <f t="shared" si="367"/>
        <v>0</v>
      </c>
      <c r="AA455" s="47">
        <f t="shared" si="367"/>
        <v>0</v>
      </c>
      <c r="AB455" s="47">
        <f t="shared" si="367"/>
        <v>0</v>
      </c>
      <c r="AC455" s="47">
        <f t="shared" si="367"/>
        <v>0</v>
      </c>
      <c r="AD455" s="47">
        <f t="shared" si="367"/>
        <v>0</v>
      </c>
      <c r="AE455" s="47">
        <f t="shared" si="367"/>
        <v>0</v>
      </c>
      <c r="AF455" s="47">
        <f t="shared" si="367"/>
        <v>0</v>
      </c>
      <c r="AG455" s="47">
        <f t="shared" si="367"/>
        <v>0</v>
      </c>
      <c r="AH455" s="47">
        <f>SUM(F455:AG455)</f>
        <v>1101637.0004527234</v>
      </c>
      <c r="AI455" s="27" t="str">
        <f t="shared" ref="AI455:AI460" si="369">IF(ABS(E455-AH455)&lt;0.01,"ok","err")</f>
        <v>ok</v>
      </c>
    </row>
    <row r="456" spans="1:35" x14ac:dyDescent="0.2">
      <c r="A456" s="14" t="s">
        <v>596</v>
      </c>
      <c r="E456" s="87">
        <f>E449</f>
        <v>0</v>
      </c>
      <c r="AH456" s="87">
        <f>E456</f>
        <v>0</v>
      </c>
      <c r="AI456" s="27" t="str">
        <f t="shared" si="369"/>
        <v>ok</v>
      </c>
    </row>
    <row r="457" spans="1:35" x14ac:dyDescent="0.2">
      <c r="A457" s="14" t="s">
        <v>594</v>
      </c>
      <c r="E457" s="62">
        <f>E450</f>
        <v>0</v>
      </c>
      <c r="F457" s="45">
        <f>F450</f>
        <v>0</v>
      </c>
      <c r="G457" s="45">
        <f t="shared" ref="G457:T457" si="370">G450</f>
        <v>0</v>
      </c>
      <c r="H457" s="45">
        <f t="shared" si="370"/>
        <v>0</v>
      </c>
      <c r="I457" s="45">
        <f t="shared" si="370"/>
        <v>0</v>
      </c>
      <c r="J457" s="45">
        <f t="shared" si="370"/>
        <v>0</v>
      </c>
      <c r="K457" s="45">
        <f t="shared" si="370"/>
        <v>0</v>
      </c>
      <c r="L457" s="45">
        <f t="shared" si="370"/>
        <v>0</v>
      </c>
      <c r="M457" s="45">
        <f t="shared" ref="M457" si="371">M450</f>
        <v>0</v>
      </c>
      <c r="N457" s="45">
        <f t="shared" si="370"/>
        <v>0</v>
      </c>
      <c r="O457" s="45">
        <f t="shared" si="370"/>
        <v>0</v>
      </c>
      <c r="P457" s="47">
        <f t="shared" si="370"/>
        <v>0</v>
      </c>
      <c r="Q457" s="47">
        <f t="shared" si="370"/>
        <v>0</v>
      </c>
      <c r="R457" s="14">
        <f t="shared" si="370"/>
        <v>0</v>
      </c>
      <c r="S457" s="14">
        <f t="shared" si="370"/>
        <v>0</v>
      </c>
      <c r="T457" s="14">
        <f t="shared" si="370"/>
        <v>0</v>
      </c>
      <c r="AH457" s="87">
        <f>SUM(F457:AG457)</f>
        <v>0</v>
      </c>
      <c r="AI457" s="27" t="str">
        <f t="shared" si="369"/>
        <v>ok</v>
      </c>
    </row>
    <row r="458" spans="1:35" x14ac:dyDescent="0.2">
      <c r="A458" s="14" t="s">
        <v>595</v>
      </c>
      <c r="D458" s="14" t="s">
        <v>624</v>
      </c>
      <c r="E458" s="87">
        <f>E456-E457</f>
        <v>0</v>
      </c>
      <c r="F458" s="46">
        <f>IF(VLOOKUP($D458,$C$5:$AV$509,3,)=0,0,(VLOOKUP($D458,$C$5:$AV$509,4,)/VLOOKUP($D458,$C$5:$AV$509,3,))*$E458)</f>
        <v>0</v>
      </c>
      <c r="G458" s="46">
        <f>IF(VLOOKUP($D458,$C$5:$AV$509,3,)=0,0,(VLOOKUP($D458,$C$5:$AV$509,5,)/VLOOKUP($D458,$C$5:$AV$509,3,))*$E458)</f>
        <v>0</v>
      </c>
      <c r="H458" s="46">
        <f>IF(VLOOKUP($D458,$C$5:$AV$509,3,)=0,0,(VLOOKUP($D458,$C$5:$AV$509,6,)/VLOOKUP($D458,$C$5:$AV$509,3,))*$E458)</f>
        <v>0</v>
      </c>
      <c r="I458" s="46">
        <f>IF(VLOOKUP($D458,$C$5:$AV$509,3,)=0,0,(VLOOKUP($D458,$C$5:$AV$509,7,)/VLOOKUP($D458,$C$5:$AV$509,3,))*$E458)</f>
        <v>0</v>
      </c>
      <c r="J458" s="46">
        <f>IF(VLOOKUP($D458,$C$5:$AV$509,3,)=0,0,(VLOOKUP($D458,$C$5:$AV$509,8,)/VLOOKUP($D458,$C$5:$AV$509,3,))*$E458)</f>
        <v>0</v>
      </c>
      <c r="K458" s="46">
        <f>IF(VLOOKUP($D458,$C$5:$AV$509,3,)=0,0,(VLOOKUP($D458,$C$5:$AV$509,9,)/VLOOKUP($D458,$C$5:$AV$509,3,))*$E458)</f>
        <v>0</v>
      </c>
      <c r="L458" s="46">
        <f>IF(VLOOKUP($D458,$C$5:$AV$509,3,)=0,0,(VLOOKUP($D458,$C$5:$AV$509,10,)/VLOOKUP($D458,$C$5:$AV$509,3,))*$E458)</f>
        <v>0</v>
      </c>
      <c r="M458" s="46">
        <f>IF(VLOOKUP($D458,$C$5:$AV$509,3,)=0,0,(VLOOKUP($D458,$C$5:$AV$509,11,)/VLOOKUP($D458,$C$5:$AV$509,3,))*$E458)</f>
        <v>0</v>
      </c>
      <c r="N458" s="46">
        <f>IF(VLOOKUP($D458,$C$5:$AV$509,3,)=0,0,(VLOOKUP($D458,$C$5:$AV$509,12,)/VLOOKUP($D458,$C$5:$AV$509,3,))*$E458)</f>
        <v>0</v>
      </c>
      <c r="O458" s="210">
        <f>IF(VLOOKUP($D458,$C$5:$AV$509,3,)=0,0,(VLOOKUP($D458,$C$5:$AV$509,14,)/VLOOKUP($D458,$C$5:$AV$509,3,))*$E458)</f>
        <v>0</v>
      </c>
      <c r="P458" s="210">
        <f>IF(VLOOKUP($D458,$C$5:$AV$509,3,)=0,0,(VLOOKUP($D458,$C$5:$AV$509,14,)/VLOOKUP($D458,$C$5:$AV$509,3,))*$E458)</f>
        <v>0</v>
      </c>
      <c r="Q458" s="210">
        <f>IF(VLOOKUP($D458,$C$5:$AV$509,3,)=0,0,(VLOOKUP($D458,$C$5:$AV$509,14,)/VLOOKUP($D458,$C$5:$AV$509,3,))*$E458)</f>
        <v>0</v>
      </c>
      <c r="R458" s="210">
        <f>IF(VLOOKUP($D458,$C$5:$AV$509,3,)=0,0,(VLOOKUP($D458,$C$5:$AV$509,15,)/VLOOKUP($D458,$C$5:$AV$509,3,))*$E458)</f>
        <v>0</v>
      </c>
      <c r="S458" s="210">
        <f>IF(VLOOKUP($D458,$C$5:$AV$509,3,)=0,0,(VLOOKUP($D458,$C$5:$AV$509,16,)/VLOOKUP($D458,$C$5:$AV$509,3,))*$E458)</f>
        <v>0</v>
      </c>
      <c r="T458" s="210">
        <f>IF(VLOOKUP($D458,$C$5:$AV$509,3,)=0,0,(VLOOKUP($D458,$C$5:$AV$509,17,)/VLOOKUP($D458,$C$5:$AV$509,3,))*$E458)</f>
        <v>0</v>
      </c>
      <c r="U458" s="210">
        <f>IF(VLOOKUP($D458,$C$5:$AV$509,3,)=0,0,(VLOOKUP($D458,$C$5:$AV$509,18,)/VLOOKUP($D458,$C$5:$AV$509,3,))*$E458)</f>
        <v>0</v>
      </c>
      <c r="V458" s="210">
        <f>IF(VLOOKUP($D458,$C$5:$AV$509,3,)=0,0,(VLOOKUP($D458,$C$5:$AV$509,19,)/VLOOKUP($D458,$C$5:$AV$509,3,))*$E458)</f>
        <v>0</v>
      </c>
      <c r="W458" s="210">
        <f>IF(VLOOKUP($D458,$C$5:$AV$509,3,)=0,0,(VLOOKUP($D458,$C$5:$AV$509,20,)/VLOOKUP($D458,$C$5:$AV$509,3,))*$E458)</f>
        <v>0</v>
      </c>
      <c r="X458" s="210">
        <f>IF(VLOOKUP($D458,$C$5:$AV$509,3,)=0,0,(VLOOKUP($D458,$C$5:$AV$509,21,)/VLOOKUP($D458,$C$5:$AV$509,3,))*$E458)</f>
        <v>0</v>
      </c>
      <c r="Y458" s="210">
        <f>IF(VLOOKUP($D458,$C$5:$AV$509,3,)=0,0,(VLOOKUP($D458,$C$5:$AV$509,22,)/VLOOKUP($D458,$C$5:$AV$509,3,))*$E458)</f>
        <v>0</v>
      </c>
      <c r="Z458" s="210">
        <f>IF(VLOOKUP($D458,$C$5:$AV$509,3,)=0,0,(VLOOKUP($D458,$C$5:$AV$509,23,)/VLOOKUP($D458,$C$5:$AV$509,3,))*$E458)</f>
        <v>0</v>
      </c>
      <c r="AA458" s="210">
        <f>IF(VLOOKUP($D458,$C$5:$AV$509,3,)=0,0,(VLOOKUP($D458,$C$5:$AV$509,24,)/VLOOKUP($D458,$C$5:$AV$509,3,))*$E458)</f>
        <v>0</v>
      </c>
      <c r="AB458" s="210">
        <f>IF(VLOOKUP($D458,$C$5:$AV$509,3,)=0,0,(VLOOKUP($D458,$C$5:$AV$509,25,)/VLOOKUP($D458,$C$5:$AV$509,3,))*$E458)</f>
        <v>0</v>
      </c>
      <c r="AC458" s="210">
        <f>IF(VLOOKUP($D458,$C$5:$AV$509,3,)=0,0,(VLOOKUP($D458,$C$5:$AV$509,26,)/VLOOKUP($D458,$C$5:$AV$509,3,))*$E458)</f>
        <v>0</v>
      </c>
      <c r="AD458" s="210">
        <f>IF(VLOOKUP($D458,$C$5:$AV$509,3,)=0,0,(VLOOKUP($D458,$C$5:$AV$509,27,)/VLOOKUP($D458,$C$5:$AV$509,3,))*$E458)</f>
        <v>0</v>
      </c>
      <c r="AE458" s="210">
        <f>IF(VLOOKUP($D458,$C$5:$AV$509,3,)=0,0,(VLOOKUP($D458,$C$5:$AV$509,28,)/VLOOKUP($D458,$C$5:$AV$509,3,))*$E458)</f>
        <v>0</v>
      </c>
      <c r="AF458" s="210">
        <f>IF(VLOOKUP($D458,$C$5:$AV$509,3,)=0,0,(VLOOKUP($D458,$C$5:$AV$509,29,)/VLOOKUP($D458,$C$5:$AV$509,3,))*$E458)</f>
        <v>0</v>
      </c>
      <c r="AG458" s="210">
        <f>IF(VLOOKUP($D458,$C$5:$AV$509,3,)=0,0,(VLOOKUP($D458,$C$5:$AV$509,30,)/VLOOKUP($D458,$C$5:$AV$509,3,))*$E458)</f>
        <v>0</v>
      </c>
      <c r="AH458" s="210">
        <f t="shared" ref="AH458" si="372">SUM(F458:AG458)</f>
        <v>0</v>
      </c>
      <c r="AI458" s="27" t="str">
        <f t="shared" si="369"/>
        <v>ok</v>
      </c>
    </row>
    <row r="459" spans="1:35" x14ac:dyDescent="0.2">
      <c r="A459" s="14" t="s">
        <v>600</v>
      </c>
      <c r="C459" s="14" t="s">
        <v>625</v>
      </c>
      <c r="E459" s="87">
        <f t="shared" ref="E459:V459" si="373">E457+E458</f>
        <v>0</v>
      </c>
      <c r="F459" s="87">
        <f t="shared" si="373"/>
        <v>0</v>
      </c>
      <c r="G459" s="87">
        <f t="shared" si="373"/>
        <v>0</v>
      </c>
      <c r="H459" s="87">
        <f t="shared" si="373"/>
        <v>0</v>
      </c>
      <c r="I459" s="87">
        <f t="shared" si="373"/>
        <v>0</v>
      </c>
      <c r="J459" s="87">
        <f t="shared" si="373"/>
        <v>0</v>
      </c>
      <c r="K459" s="87">
        <f t="shared" si="373"/>
        <v>0</v>
      </c>
      <c r="L459" s="87">
        <f t="shared" si="373"/>
        <v>0</v>
      </c>
      <c r="M459" s="87">
        <f t="shared" ref="M459" si="374">M457+M458</f>
        <v>0</v>
      </c>
      <c r="N459" s="87">
        <f t="shared" si="373"/>
        <v>0</v>
      </c>
      <c r="O459" s="87">
        <f t="shared" si="373"/>
        <v>0</v>
      </c>
      <c r="P459" s="87">
        <f t="shared" si="373"/>
        <v>0</v>
      </c>
      <c r="Q459" s="87">
        <f t="shared" si="373"/>
        <v>0</v>
      </c>
      <c r="R459" s="87">
        <f t="shared" si="373"/>
        <v>0</v>
      </c>
      <c r="S459" s="87">
        <f t="shared" si="373"/>
        <v>0</v>
      </c>
      <c r="T459" s="87">
        <f t="shared" si="373"/>
        <v>0</v>
      </c>
      <c r="U459" s="87">
        <f t="shared" si="373"/>
        <v>0</v>
      </c>
      <c r="V459" s="87">
        <f t="shared" si="373"/>
        <v>0</v>
      </c>
      <c r="W459" s="87"/>
      <c r="X459" s="87"/>
      <c r="Y459" s="87"/>
      <c r="Z459" s="87"/>
      <c r="AA459" s="87"/>
      <c r="AB459" s="87"/>
      <c r="AC459" s="87"/>
      <c r="AD459" s="87"/>
      <c r="AE459" s="87"/>
      <c r="AF459" s="87"/>
      <c r="AG459" s="87"/>
      <c r="AH459" s="87">
        <f>SUM(F459:AG459)</f>
        <v>0</v>
      </c>
      <c r="AI459" s="27" t="str">
        <f t="shared" si="369"/>
        <v>ok</v>
      </c>
    </row>
    <row r="460" spans="1:35" x14ac:dyDescent="0.2">
      <c r="A460" s="14" t="s">
        <v>633</v>
      </c>
      <c r="C460" s="14" t="s">
        <v>626</v>
      </c>
      <c r="D460" s="14" t="s">
        <v>625</v>
      </c>
      <c r="E460" s="46">
        <v>0</v>
      </c>
      <c r="F460" s="46">
        <f>IF(VLOOKUP($D460,$C$5:$AV$509,3,)=0,0,(VLOOKUP($D460,$C$5:$AV$509,4,)/VLOOKUP($D460,$C$5:$AV$509,3,))*$E460)</f>
        <v>0</v>
      </c>
      <c r="G460" s="46">
        <f>IF(VLOOKUP($D460,$C$5:$AV$509,3,)=0,0,(VLOOKUP($D460,$C$5:$AV$509,5,)/VLOOKUP($D460,$C$5:$AV$509,3,))*$E460)</f>
        <v>0</v>
      </c>
      <c r="H460" s="46">
        <f>IF(VLOOKUP($D460,$C$5:$AV$509,3,)=0,0,(VLOOKUP($D460,$C$5:$AV$509,6,)/VLOOKUP($D460,$C$5:$AV$509,3,))*$E460)</f>
        <v>0</v>
      </c>
      <c r="I460" s="46">
        <f>IF(VLOOKUP($D460,$C$5:$AV$509,3,)=0,0,(VLOOKUP($D460,$C$5:$AV$509,7,)/VLOOKUP($D460,$C$5:$AV$509,3,))*$E460)</f>
        <v>0</v>
      </c>
      <c r="J460" s="46">
        <f>IF(VLOOKUP($D460,$C$5:$AV$509,3,)=0,0,(VLOOKUP($D460,$C$5:$AV$509,8,)/VLOOKUP($D460,$C$5:$AV$509,3,))*$E460)</f>
        <v>0</v>
      </c>
      <c r="K460" s="46">
        <f>IF(VLOOKUP($D460,$C$5:$AV$509,3,)=0,0,(VLOOKUP($D460,$C$5:$AV$509,9,)/VLOOKUP($D460,$C$5:$AV$509,3,))*$E460)</f>
        <v>0</v>
      </c>
      <c r="L460" s="46">
        <f>IF(VLOOKUP($D460,$C$5:$AV$509,3,)=0,0,(VLOOKUP($D460,$C$5:$AV$509,10,)/VLOOKUP($D460,$C$5:$AV$509,3,))*$E460)</f>
        <v>0</v>
      </c>
      <c r="M460" s="46">
        <f>IF(VLOOKUP($D460,$C$5:$AV$509,3,)=0,0,(VLOOKUP($D460,$C$5:$AV$509,11,)/VLOOKUP($D460,$C$5:$AV$509,3,))*$E460)</f>
        <v>0</v>
      </c>
      <c r="N460" s="46">
        <f>IF(VLOOKUP($D460,$C$5:$AV$509,3,)=0,0,(VLOOKUP($D460,$C$5:$AV$509,12,)/VLOOKUP($D460,$C$5:$AV$509,3,))*$E460)</f>
        <v>0</v>
      </c>
      <c r="O460" s="210">
        <f>IF(VLOOKUP($D460,$C$5:$AV$509,3,)=0,0,(VLOOKUP($D460,$C$5:$AV$509,14,)/VLOOKUP($D460,$C$5:$AV$509,3,))*$E460)</f>
        <v>0</v>
      </c>
      <c r="P460" s="210">
        <f>IF(VLOOKUP($D460,$C$5:$AV$509,3,)=0,0,(VLOOKUP($D460,$C$5:$AV$509,14,)/VLOOKUP($D460,$C$5:$AV$509,3,))*$E460)</f>
        <v>0</v>
      </c>
      <c r="Q460" s="210">
        <f>IF(VLOOKUP($D460,$C$5:$AV$509,3,)=0,0,(VLOOKUP($D460,$C$5:$AV$509,14,)/VLOOKUP($D460,$C$5:$AV$509,3,))*$E460)</f>
        <v>0</v>
      </c>
      <c r="R460" s="210">
        <f>IF(VLOOKUP($D460,$C$5:$AV$509,3,)=0,0,(VLOOKUP($D460,$C$5:$AV$509,15,)/VLOOKUP($D460,$C$5:$AV$509,3,))*$E460)</f>
        <v>0</v>
      </c>
      <c r="S460" s="210">
        <f>IF(VLOOKUP($D460,$C$5:$AV$509,3,)=0,0,(VLOOKUP($D460,$C$5:$AV$509,16,)/VLOOKUP($D460,$C$5:$AV$509,3,))*$E460)</f>
        <v>0</v>
      </c>
      <c r="T460" s="210">
        <f>IF(VLOOKUP($D460,$C$5:$AV$509,3,)=0,0,(VLOOKUP($D460,$C$5:$AV$509,17,)/VLOOKUP($D460,$C$5:$AV$509,3,))*$E460)</f>
        <v>0</v>
      </c>
      <c r="U460" s="210">
        <f>IF(VLOOKUP($D460,$C$5:$AV$509,3,)=0,0,(VLOOKUP($D460,$C$5:$AV$509,18,)/VLOOKUP($D460,$C$5:$AV$509,3,))*$E460)</f>
        <v>0</v>
      </c>
      <c r="V460" s="210">
        <f>IF(VLOOKUP($D460,$C$5:$AV$509,3,)=0,0,(VLOOKUP($D460,$C$5:$AV$509,19,)/VLOOKUP($D460,$C$5:$AV$509,3,))*$E460)</f>
        <v>0</v>
      </c>
      <c r="W460" s="210">
        <f>IF(VLOOKUP($D460,$C$5:$AV$509,3,)=0,0,(VLOOKUP($D460,$C$5:$AV$509,20,)/VLOOKUP($D460,$C$5:$AV$509,3,))*$E460)</f>
        <v>0</v>
      </c>
      <c r="X460" s="210">
        <f>IF(VLOOKUP($D460,$C$5:$AV$509,3,)=0,0,(VLOOKUP($D460,$C$5:$AV$509,21,)/VLOOKUP($D460,$C$5:$AV$509,3,))*$E460)</f>
        <v>0</v>
      </c>
      <c r="Y460" s="210">
        <f>IF(VLOOKUP($D460,$C$5:$AV$509,3,)=0,0,(VLOOKUP($D460,$C$5:$AV$509,22,)/VLOOKUP($D460,$C$5:$AV$509,3,))*$E460)</f>
        <v>0</v>
      </c>
      <c r="Z460" s="210">
        <f>IF(VLOOKUP($D460,$C$5:$AV$509,3,)=0,0,(VLOOKUP($D460,$C$5:$AV$509,23,)/VLOOKUP($D460,$C$5:$AV$509,3,))*$E460)</f>
        <v>0</v>
      </c>
      <c r="AA460" s="210">
        <f>IF(VLOOKUP($D460,$C$5:$AV$509,3,)=0,0,(VLOOKUP($D460,$C$5:$AV$509,24,)/VLOOKUP($D460,$C$5:$AV$509,3,))*$E460)</f>
        <v>0</v>
      </c>
      <c r="AB460" s="210">
        <f>IF(VLOOKUP($D460,$C$5:$AV$509,3,)=0,0,(VLOOKUP($D460,$C$5:$AV$509,25,)/VLOOKUP($D460,$C$5:$AV$509,3,))*$E460)</f>
        <v>0</v>
      </c>
      <c r="AC460" s="210">
        <f>IF(VLOOKUP($D460,$C$5:$AV$509,3,)=0,0,(VLOOKUP($D460,$C$5:$AV$509,26,)/VLOOKUP($D460,$C$5:$AV$509,3,))*$E460)</f>
        <v>0</v>
      </c>
      <c r="AD460" s="210">
        <f>IF(VLOOKUP($D460,$C$5:$AV$509,3,)=0,0,(VLOOKUP($D460,$C$5:$AV$509,27,)/VLOOKUP($D460,$C$5:$AV$509,3,))*$E460)</f>
        <v>0</v>
      </c>
      <c r="AE460" s="210">
        <f>IF(VLOOKUP($D460,$C$5:$AV$509,3,)=0,0,(VLOOKUP($D460,$C$5:$AV$509,28,)/VLOOKUP($D460,$C$5:$AV$509,3,))*$E460)</f>
        <v>0</v>
      </c>
      <c r="AF460" s="210">
        <f>IF(VLOOKUP($D460,$C$5:$AV$509,3,)=0,0,(VLOOKUP($D460,$C$5:$AV$509,29,)/VLOOKUP($D460,$C$5:$AV$509,3,))*$E460)</f>
        <v>0</v>
      </c>
      <c r="AG460" s="210">
        <f>IF(VLOOKUP($D460,$C$5:$AV$509,3,)=0,0,(VLOOKUP($D460,$C$5:$AV$509,30,)/VLOOKUP($D460,$C$5:$AV$509,3,))*$E460)</f>
        <v>0</v>
      </c>
      <c r="AH460" s="210">
        <f t="shared" ref="AH460" si="375">SUM(F460:AG460)</f>
        <v>0</v>
      </c>
      <c r="AI460" s="27" t="str">
        <f t="shared" si="369"/>
        <v>ok</v>
      </c>
    </row>
    <row r="461" spans="1:35" x14ac:dyDescent="0.2"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27"/>
    </row>
    <row r="462" spans="1:35" x14ac:dyDescent="0.2">
      <c r="A462" s="14" t="s">
        <v>602</v>
      </c>
      <c r="B462" s="47"/>
      <c r="C462" s="14" t="s">
        <v>606</v>
      </c>
      <c r="E462" s="47">
        <v>2919792.9762314339</v>
      </c>
      <c r="F462" s="47">
        <f>F444</f>
        <v>2449046.9990434945</v>
      </c>
      <c r="G462" s="47">
        <f t="shared" ref="G462:N462" si="376">G444</f>
        <v>2479.4821357455767</v>
      </c>
      <c r="H462" s="47">
        <f t="shared" si="376"/>
        <v>191325.10090384915</v>
      </c>
      <c r="I462" s="47">
        <f t="shared" si="376"/>
        <v>21799.631433803064</v>
      </c>
      <c r="J462" s="47">
        <f t="shared" si="376"/>
        <v>154813.58300000001</v>
      </c>
      <c r="K462" s="47">
        <f t="shared" si="376"/>
        <v>0</v>
      </c>
      <c r="L462" s="47">
        <f t="shared" si="376"/>
        <v>69479.34</v>
      </c>
      <c r="M462" s="47">
        <f t="shared" ref="M462" si="377">M444</f>
        <v>19939.05</v>
      </c>
      <c r="N462" s="47">
        <f t="shared" si="376"/>
        <v>10909.789714541732</v>
      </c>
      <c r="O462" s="47">
        <f t="shared" ref="O462:P462" si="378">O444</f>
        <v>0</v>
      </c>
      <c r="P462" s="47">
        <f t="shared" si="378"/>
        <v>0</v>
      </c>
      <c r="Q462" s="47">
        <f>Q444</f>
        <v>0</v>
      </c>
      <c r="R462" s="47">
        <f>R444*2.11</f>
        <v>0</v>
      </c>
      <c r="S462" s="47">
        <f>S444*2.11</f>
        <v>0</v>
      </c>
      <c r="T462" s="47">
        <f>T444</f>
        <v>0</v>
      </c>
      <c r="U462" s="47">
        <f>U444*0.9</f>
        <v>0</v>
      </c>
      <c r="V462" s="47">
        <f t="shared" ref="V462:AA462" si="379">V444</f>
        <v>0</v>
      </c>
      <c r="W462" s="47">
        <f t="shared" si="379"/>
        <v>0</v>
      </c>
      <c r="X462" s="47">
        <f t="shared" si="379"/>
        <v>0</v>
      </c>
      <c r="Y462" s="47">
        <f t="shared" si="379"/>
        <v>0</v>
      </c>
      <c r="Z462" s="47">
        <f t="shared" si="379"/>
        <v>0</v>
      </c>
      <c r="AA462" s="47">
        <f t="shared" si="379"/>
        <v>0</v>
      </c>
      <c r="AB462" s="47">
        <f>AB444*0.5</f>
        <v>0</v>
      </c>
      <c r="AC462" s="47">
        <f>AC444*0.1</f>
        <v>0</v>
      </c>
      <c r="AD462" s="47">
        <f>AD444*0.5</f>
        <v>0</v>
      </c>
      <c r="AE462" s="47">
        <f>AE444*0.07</f>
        <v>0</v>
      </c>
      <c r="AF462" s="47">
        <f>AF444*0.07</f>
        <v>0</v>
      </c>
      <c r="AG462" s="47">
        <f>AG444</f>
        <v>0</v>
      </c>
      <c r="AH462" s="47">
        <f>SUM(F462:AG462)</f>
        <v>2919792.9762314339</v>
      </c>
      <c r="AI462" s="27" t="str">
        <f t="shared" ref="AI462:AI467" si="380">IF(ABS(E462-AH462)&lt;0.01,"ok","err")</f>
        <v>ok</v>
      </c>
    </row>
    <row r="463" spans="1:35" x14ac:dyDescent="0.2">
      <c r="A463" s="14" t="s">
        <v>603</v>
      </c>
      <c r="E463" s="87">
        <f>'Func &amp; Classif'!O54</f>
        <v>41817728.062510923</v>
      </c>
      <c r="AH463" s="87">
        <f>E463</f>
        <v>41817728.062510923</v>
      </c>
      <c r="AI463" s="27" t="str">
        <f t="shared" si="380"/>
        <v>ok</v>
      </c>
    </row>
    <row r="464" spans="1:35" x14ac:dyDescent="0.2">
      <c r="A464" s="14" t="s">
        <v>594</v>
      </c>
      <c r="E464" s="62"/>
      <c r="N464" s="47">
        <v>0</v>
      </c>
      <c r="O464" s="47">
        <v>0</v>
      </c>
      <c r="Q464" s="47"/>
      <c r="R464" s="47">
        <f>(1/70)*'Func &amp; Classif'!F53</f>
        <v>0</v>
      </c>
      <c r="AB464" s="62">
        <v>0</v>
      </c>
      <c r="AC464" s="62">
        <v>0</v>
      </c>
      <c r="AD464" s="62">
        <v>0</v>
      </c>
      <c r="AE464" s="62">
        <v>0</v>
      </c>
      <c r="AF464" s="62">
        <v>0</v>
      </c>
      <c r="AH464" s="87">
        <f>SUM(F464:AG464)</f>
        <v>0</v>
      </c>
      <c r="AI464" s="27" t="str">
        <f t="shared" si="380"/>
        <v>ok</v>
      </c>
    </row>
    <row r="465" spans="1:35" x14ac:dyDescent="0.2">
      <c r="A465" s="14" t="s">
        <v>604</v>
      </c>
      <c r="D465" s="14" t="s">
        <v>627</v>
      </c>
      <c r="E465" s="87">
        <f>E463-E464</f>
        <v>41817728.062510923</v>
      </c>
      <c r="F465" s="47">
        <f>IF(VLOOKUP($D465,$C$5:$AV$509,3,)=0,0,(VLOOKUP($D465,$C$5:$AV$509,4,)/VLOOKUP($D465,$C$5:$AV$509,3,))*$E465)</f>
        <v>35075631.132757276</v>
      </c>
      <c r="G465" s="47">
        <f>IF(VLOOKUP($D465,$C$5:$AV$509,3,)=0,0,(VLOOKUP($D465,$C$5:$AV$509,5,)/VLOOKUP($D465,$C$5:$AV$509,3,))*$E465)</f>
        <v>35511.527883148025</v>
      </c>
      <c r="H465" s="47">
        <f>IF(VLOOKUP($D465,$C$5:$AV$509,3,)=0,0,(VLOOKUP($D465,$C$5:$AV$509,6,)/VLOOKUP($D465,$C$5:$AV$509,3,))*$E465)</f>
        <v>2740187.7825790942</v>
      </c>
      <c r="I465" s="47">
        <f>IF(VLOOKUP($D465,$C$5:$AV$509,3,)=0,0,(VLOOKUP($D465,$C$5:$AV$509,7,)/VLOOKUP($D465,$C$5:$AV$509,3,))*$E465)</f>
        <v>312217.70398884738</v>
      </c>
      <c r="J465" s="47">
        <f>IF(VLOOKUP($D465,$C$5:$AV$509,3,)=0,0,(VLOOKUP($D465,$C$5:$AV$509,8,)/VLOOKUP($D465,$C$5:$AV$509,3,))*$E465)</f>
        <v>2217264.1577598667</v>
      </c>
      <c r="K465" s="47">
        <f>IF(VLOOKUP($D465,$C$5:$AV$509,3,)=0,0,(VLOOKUP($D465,$C$5:$AV$509,9,)/VLOOKUP($D465,$C$5:$AV$509,3,))*$E465)</f>
        <v>0</v>
      </c>
      <c r="L465" s="47">
        <f>IF(VLOOKUP($D465,$C$5:$AV$509,3,)=0,0,(VLOOKUP($D465,$C$5:$AV$509,10,)/VLOOKUP($D465,$C$5:$AV$509,3,))*$E465)</f>
        <v>995093.88841424452</v>
      </c>
      <c r="M465" s="47">
        <f>IF(VLOOKUP($D465,$C$5:$AV$509,3,)=0,0,(VLOOKUP($D465,$C$5:$AV$509,11,)/VLOOKUP($D465,$C$5:$AV$509,3,))*$E465)</f>
        <v>285570.16799218359</v>
      </c>
      <c r="N465" s="47">
        <f>IF(VLOOKUP($D465,$C$5:$AV$509,3,)=0,0,(VLOOKUP($D465,$C$5:$AV$509,12,)/VLOOKUP($D465,$C$5:$AV$509,3,))*$E465)</f>
        <v>156251.70113626675</v>
      </c>
      <c r="O465" s="47">
        <f>IF(VLOOKUP($D465,$C$5:$AV$509,3,)=0,0,(VLOOKUP($D465,$C$5:$AV$509,14,)/VLOOKUP($D465,$C$5:$AV$509,3,))*$E465)</f>
        <v>0</v>
      </c>
      <c r="P465" s="47">
        <f>IF(VLOOKUP($D465,$C$5:$AV$509,3,)=0,0,(VLOOKUP($D465,$C$5:$AV$509,14,)/VLOOKUP($D465,$C$5:$AV$509,3,))*$E465)</f>
        <v>0</v>
      </c>
      <c r="Q465" s="47">
        <f>IF(VLOOKUP($D465,$C$5:$AV$509,3,)=0,0,(VLOOKUP($D465,$C$5:$AV$509,14,)/VLOOKUP($D465,$C$5:$AV$509,3,))*$E465)</f>
        <v>0</v>
      </c>
      <c r="R465" s="47">
        <f>IF(VLOOKUP($D465,$C$5:$AV$509,3,)=0,0,(VLOOKUP($D465,$C$5:$AV$509,15,)/VLOOKUP($D465,$C$5:$AV$509,3,))*$E465)</f>
        <v>0</v>
      </c>
      <c r="S465" s="47">
        <f>IF(VLOOKUP($D465,$C$5:$AV$509,3,)=0,0,(VLOOKUP($D465,$C$5:$AV$509,16,)/VLOOKUP($D465,$C$5:$AV$509,3,))*$E465)</f>
        <v>0</v>
      </c>
      <c r="T465" s="47">
        <f>IF(VLOOKUP($D465,$C$5:$AV$509,3,)=0,0,(VLOOKUP($D465,$C$5:$AV$509,17,)/VLOOKUP($D465,$C$5:$AV$509,3,))*$E465)</f>
        <v>0</v>
      </c>
      <c r="U465" s="47">
        <f>IF(VLOOKUP($D465,$C$5:$AV$509,3,)=0,0,(VLOOKUP($D465,$C$5:$AV$509,18,)/VLOOKUP($D465,$C$5:$AV$509,3,))*$E465)</f>
        <v>0</v>
      </c>
      <c r="V465" s="47">
        <f>IF(VLOOKUP($D465,$C$5:$AV$509,3,)=0,0,(VLOOKUP($D465,$C$5:$AV$509,19,)/VLOOKUP($D465,$C$5:$AV$509,3,))*$E465)</f>
        <v>0</v>
      </c>
      <c r="W465" s="47">
        <f>IF(VLOOKUP($D465,$C$5:$AV$509,3,)=0,0,(VLOOKUP($D465,$C$5:$AV$509,20,)/VLOOKUP($D465,$C$5:$AV$509,3,))*$E465)</f>
        <v>0</v>
      </c>
      <c r="X465" s="47">
        <f>IF(VLOOKUP($D465,$C$5:$AV$509,3,)=0,0,(VLOOKUP($D465,$C$5:$AV$509,21,)/VLOOKUP($D465,$C$5:$AV$509,3,))*$E465)</f>
        <v>0</v>
      </c>
      <c r="Y465" s="47">
        <f>IF(VLOOKUP($D465,$C$5:$AV$509,3,)=0,0,(VLOOKUP($D465,$C$5:$AV$509,22,)/VLOOKUP($D465,$C$5:$AV$509,3,))*$E465)</f>
        <v>0</v>
      </c>
      <c r="Z465" s="47">
        <f>IF(VLOOKUP($D465,$C$5:$AV$509,3,)=0,0,(VLOOKUP($D465,$C$5:$AV$509,23,)/VLOOKUP($D465,$C$5:$AV$509,3,))*$E465)</f>
        <v>0</v>
      </c>
      <c r="AA465" s="47">
        <f>IF(VLOOKUP($D465,$C$5:$AV$509,3,)=0,0,(VLOOKUP($D465,$C$5:$AV$509,24,)/VLOOKUP($D465,$C$5:$AV$509,3,))*$E465)</f>
        <v>0</v>
      </c>
      <c r="AB465" s="47">
        <f>IF(VLOOKUP($D465,$C$5:$AV$509,3,)=0,0,(VLOOKUP($D465,$C$5:$AV$509,25,)/VLOOKUP($D465,$C$5:$AV$509,3,))*$E465)</f>
        <v>0</v>
      </c>
      <c r="AC465" s="47">
        <f>IF(VLOOKUP($D465,$C$5:$AV$509,3,)=0,0,(VLOOKUP($D465,$C$5:$AV$509,26,)/VLOOKUP($D465,$C$5:$AV$509,3,))*$E465)</f>
        <v>0</v>
      </c>
      <c r="AD465" s="47">
        <f>IF(VLOOKUP($D465,$C$5:$AV$509,3,)=0,0,(VLOOKUP($D465,$C$5:$AV$509,27,)/VLOOKUP($D465,$C$5:$AV$509,3,))*$E465)</f>
        <v>0</v>
      </c>
      <c r="AE465" s="47">
        <f>IF(VLOOKUP($D465,$C$5:$AV$509,3,)=0,0,(VLOOKUP($D465,$C$5:$AV$509,28,)/VLOOKUP($D465,$C$5:$AV$509,3,))*$E465)</f>
        <v>0</v>
      </c>
      <c r="AF465" s="47">
        <f>IF(VLOOKUP($D465,$C$5:$AV$509,3,)=0,0,(VLOOKUP($D465,$C$5:$AV$509,29,)/VLOOKUP($D465,$C$5:$AV$509,3,))*$E465)</f>
        <v>0</v>
      </c>
      <c r="AG465" s="47">
        <f>IF(VLOOKUP($D465,$C$5:$AV$509,3,)=0,0,(VLOOKUP($D465,$C$5:$AV$509,30,)/VLOOKUP($D465,$C$5:$AV$509,3,))*$E465)</f>
        <v>0</v>
      </c>
      <c r="AH465" s="47">
        <f t="shared" ref="AH465" si="381">SUM(F465:AG465)</f>
        <v>41817728.06251093</v>
      </c>
      <c r="AI465" s="27" t="str">
        <f t="shared" si="380"/>
        <v>ok</v>
      </c>
    </row>
    <row r="466" spans="1:35" x14ac:dyDescent="0.2">
      <c r="A466" s="14" t="s">
        <v>605</v>
      </c>
      <c r="C466" s="14" t="s">
        <v>608</v>
      </c>
      <c r="E466" s="87">
        <f t="shared" ref="E466:AG466" si="382">E464+E465</f>
        <v>41817728.062510923</v>
      </c>
      <c r="F466" s="101">
        <f t="shared" si="382"/>
        <v>35075631.132757276</v>
      </c>
      <c r="G466" s="87">
        <f t="shared" si="382"/>
        <v>35511.527883148025</v>
      </c>
      <c r="H466" s="87">
        <f t="shared" si="382"/>
        <v>2740187.7825790942</v>
      </c>
      <c r="I466" s="87">
        <f t="shared" si="382"/>
        <v>312217.70398884738</v>
      </c>
      <c r="J466" s="87">
        <f t="shared" si="382"/>
        <v>2217264.1577598667</v>
      </c>
      <c r="K466" s="87">
        <f t="shared" si="382"/>
        <v>0</v>
      </c>
      <c r="L466" s="87">
        <f t="shared" si="382"/>
        <v>995093.88841424452</v>
      </c>
      <c r="M466" s="87">
        <f t="shared" ref="M466" si="383">M464+M465</f>
        <v>285570.16799218359</v>
      </c>
      <c r="N466" s="87">
        <f t="shared" si="382"/>
        <v>156251.70113626675</v>
      </c>
      <c r="O466" s="87">
        <f>O464+O465</f>
        <v>0</v>
      </c>
      <c r="P466" s="87">
        <f>P464+P465</f>
        <v>0</v>
      </c>
      <c r="Q466" s="87">
        <f>Q464+Q465</f>
        <v>0</v>
      </c>
      <c r="R466" s="87">
        <f t="shared" si="382"/>
        <v>0</v>
      </c>
      <c r="S466" s="87">
        <f t="shared" si="382"/>
        <v>0</v>
      </c>
      <c r="T466" s="87">
        <f t="shared" si="382"/>
        <v>0</v>
      </c>
      <c r="U466" s="87">
        <f t="shared" si="382"/>
        <v>0</v>
      </c>
      <c r="V466" s="87">
        <f t="shared" si="382"/>
        <v>0</v>
      </c>
      <c r="W466" s="87">
        <f t="shared" si="382"/>
        <v>0</v>
      </c>
      <c r="X466" s="87">
        <f t="shared" si="382"/>
        <v>0</v>
      </c>
      <c r="Y466" s="87">
        <f t="shared" si="382"/>
        <v>0</v>
      </c>
      <c r="Z466" s="87">
        <f t="shared" si="382"/>
        <v>0</v>
      </c>
      <c r="AA466" s="87">
        <f t="shared" si="382"/>
        <v>0</v>
      </c>
      <c r="AB466" s="87">
        <f t="shared" si="382"/>
        <v>0</v>
      </c>
      <c r="AC466" s="87">
        <f t="shared" si="382"/>
        <v>0</v>
      </c>
      <c r="AD466" s="87">
        <f t="shared" si="382"/>
        <v>0</v>
      </c>
      <c r="AE466" s="87">
        <f t="shared" si="382"/>
        <v>0</v>
      </c>
      <c r="AF466" s="87">
        <f t="shared" si="382"/>
        <v>0</v>
      </c>
      <c r="AG466" s="87">
        <f t="shared" si="382"/>
        <v>0</v>
      </c>
      <c r="AH466" s="87">
        <f>SUM(F466:AG466)</f>
        <v>41817728.06251093</v>
      </c>
      <c r="AI466" s="27" t="str">
        <f t="shared" si="380"/>
        <v>ok</v>
      </c>
    </row>
    <row r="467" spans="1:35" x14ac:dyDescent="0.2">
      <c r="A467" s="14" t="s">
        <v>635</v>
      </c>
      <c r="C467" s="14" t="s">
        <v>607</v>
      </c>
      <c r="D467" s="14" t="s">
        <v>608</v>
      </c>
      <c r="E467" s="46">
        <v>1</v>
      </c>
      <c r="F467" s="47">
        <f>IF(VLOOKUP($D467,$C$5:$AV$509,3,)=0,0,(VLOOKUP($D467,$C$5:$AV$509,4,)/VLOOKUP($D467,$C$5:$AV$509,3,))*$E467)</f>
        <v>0.83877419357466598</v>
      </c>
      <c r="G467" s="47">
        <f>IF(VLOOKUP($D467,$C$5:$AV$509,3,)=0,0,(VLOOKUP($D467,$C$5:$AV$509,5,)/VLOOKUP($D467,$C$5:$AV$509,3,))*$E467)</f>
        <v>8.4919792462335303E-4</v>
      </c>
      <c r="H467" s="47">
        <f>IF(VLOOKUP($D467,$C$5:$AV$509,3,)=0,0,(VLOOKUP($D467,$C$5:$AV$509,6,)/VLOOKUP($D467,$C$5:$AV$509,3,))*$E467)</f>
        <v>6.5526940595217048E-2</v>
      </c>
      <c r="I467" s="47">
        <f>IF(VLOOKUP($D467,$C$5:$AV$509,3,)=0,0,(VLOOKUP($D467,$C$5:$AV$509,7,)/VLOOKUP($D467,$C$5:$AV$509,3,))*$E467)</f>
        <v>7.4661565430367482E-3</v>
      </c>
      <c r="J467" s="47">
        <f>IF(VLOOKUP($D467,$C$5:$AV$509,3,)=0,0,(VLOOKUP($D467,$C$5:$AV$509,8,)/VLOOKUP($D467,$C$5:$AV$509,3,))*$E467)</f>
        <v>5.30221095331962E-2</v>
      </c>
      <c r="K467" s="47">
        <f>IF(VLOOKUP($D467,$C$5:$AV$509,3,)=0,0,(VLOOKUP($D467,$C$5:$AV$509,9,)/VLOOKUP($D467,$C$5:$AV$509,3,))*$E467)</f>
        <v>0</v>
      </c>
      <c r="L467" s="47">
        <f>IF(VLOOKUP($D467,$C$5:$AV$509,3,)=0,0,(VLOOKUP($D467,$C$5:$AV$509,10,)/VLOOKUP($D467,$C$5:$AV$509,3,))*$E467)</f>
        <v>2.3795981621161623E-2</v>
      </c>
      <c r="M467" s="47">
        <f>IF(VLOOKUP($D467,$C$5:$AV$509,3,)=0,0,(VLOOKUP($D467,$C$5:$AV$509,11,)/VLOOKUP($D467,$C$5:$AV$509,3,))*$E467)</f>
        <v>6.8289259417752476E-3</v>
      </c>
      <c r="N467" s="47">
        <f>IF(VLOOKUP($D467,$C$5:$AV$509,3,)=0,0,(VLOOKUP($D467,$C$5:$AV$509,12,)/VLOOKUP($D467,$C$5:$AV$509,3,))*$E467)</f>
        <v>3.7364942663239632E-3</v>
      </c>
      <c r="O467" s="47">
        <f>IF(VLOOKUP($D467,$C$5:$AV$509,3,)=0,0,(VLOOKUP($D467,$C$5:$AV$509,14,)/VLOOKUP($D467,$C$5:$AV$509,3,))*$E467)</f>
        <v>0</v>
      </c>
      <c r="P467" s="47">
        <f>IF(VLOOKUP($D467,$C$5:$AV$509,3,)=0,0,(VLOOKUP($D467,$C$5:$AV$509,14,)/VLOOKUP($D467,$C$5:$AV$509,3,))*$E467)</f>
        <v>0</v>
      </c>
      <c r="Q467" s="47">
        <f>IF(VLOOKUP($D467,$C$5:$AV$509,3,)=0,0,(VLOOKUP($D467,$C$5:$AV$509,14,)/VLOOKUP($D467,$C$5:$AV$509,3,))*$E467)</f>
        <v>0</v>
      </c>
      <c r="R467" s="47">
        <f>IF(VLOOKUP($D467,$C$5:$AV$509,3,)=0,0,(VLOOKUP($D467,$C$5:$AV$509,15,)/VLOOKUP($D467,$C$5:$AV$509,3,))*$E467)</f>
        <v>0</v>
      </c>
      <c r="S467" s="47">
        <f>IF(VLOOKUP($D467,$C$5:$AV$509,3,)=0,0,(VLOOKUP($D467,$C$5:$AV$509,16,)/VLOOKUP($D467,$C$5:$AV$509,3,))*$E467)</f>
        <v>0</v>
      </c>
      <c r="T467" s="47">
        <f>IF(VLOOKUP($D467,$C$5:$AV$509,3,)=0,0,(VLOOKUP($D467,$C$5:$AV$509,17,)/VLOOKUP($D467,$C$5:$AV$509,3,))*$E467)</f>
        <v>0</v>
      </c>
      <c r="U467" s="47">
        <f>IF(VLOOKUP($D467,$C$5:$AV$509,3,)=0,0,(VLOOKUP($D467,$C$5:$AV$509,18,)/VLOOKUP($D467,$C$5:$AV$509,3,))*$E467)</f>
        <v>0</v>
      </c>
      <c r="V467" s="47">
        <f>IF(VLOOKUP($D467,$C$5:$AV$509,3,)=0,0,(VLOOKUP($D467,$C$5:$AV$509,19,)/VLOOKUP($D467,$C$5:$AV$509,3,))*$E467)</f>
        <v>0</v>
      </c>
      <c r="W467" s="47">
        <f>IF(VLOOKUP($D467,$C$5:$AV$509,3,)=0,0,(VLOOKUP($D467,$C$5:$AV$509,20,)/VLOOKUP($D467,$C$5:$AV$509,3,))*$E467)</f>
        <v>0</v>
      </c>
      <c r="X467" s="47">
        <f>IF(VLOOKUP($D467,$C$5:$AV$509,3,)=0,0,(VLOOKUP($D467,$C$5:$AV$509,21,)/VLOOKUP($D467,$C$5:$AV$509,3,))*$E467)</f>
        <v>0</v>
      </c>
      <c r="Y467" s="47">
        <f>IF(VLOOKUP($D467,$C$5:$AV$509,3,)=0,0,(VLOOKUP($D467,$C$5:$AV$509,22,)/VLOOKUP($D467,$C$5:$AV$509,3,))*$E467)</f>
        <v>0</v>
      </c>
      <c r="Z467" s="47">
        <f>IF(VLOOKUP($D467,$C$5:$AV$509,3,)=0,0,(VLOOKUP($D467,$C$5:$AV$509,23,)/VLOOKUP($D467,$C$5:$AV$509,3,))*$E467)</f>
        <v>0</v>
      </c>
      <c r="AA467" s="47">
        <f>IF(VLOOKUP($D467,$C$5:$AV$509,3,)=0,0,(VLOOKUP($D467,$C$5:$AV$509,24,)/VLOOKUP($D467,$C$5:$AV$509,3,))*$E467)</f>
        <v>0</v>
      </c>
      <c r="AB467" s="47">
        <f>IF(VLOOKUP($D467,$C$5:$AV$509,3,)=0,0,(VLOOKUP($D467,$C$5:$AV$509,25,)/VLOOKUP($D467,$C$5:$AV$509,3,))*$E467)</f>
        <v>0</v>
      </c>
      <c r="AC467" s="47">
        <f>IF(VLOOKUP($D467,$C$5:$AV$509,3,)=0,0,(VLOOKUP($D467,$C$5:$AV$509,26,)/VLOOKUP($D467,$C$5:$AV$509,3,))*$E467)</f>
        <v>0</v>
      </c>
      <c r="AD467" s="47">
        <f>IF(VLOOKUP($D467,$C$5:$AV$509,3,)=0,0,(VLOOKUP($D467,$C$5:$AV$509,27,)/VLOOKUP($D467,$C$5:$AV$509,3,))*$E467)</f>
        <v>0</v>
      </c>
      <c r="AE467" s="47">
        <f>IF(VLOOKUP($D467,$C$5:$AV$509,3,)=0,0,(VLOOKUP($D467,$C$5:$AV$509,28,)/VLOOKUP($D467,$C$5:$AV$509,3,))*$E467)</f>
        <v>0</v>
      </c>
      <c r="AF467" s="47">
        <f>IF(VLOOKUP($D467,$C$5:$AV$509,3,)=0,0,(VLOOKUP($D467,$C$5:$AV$509,29,)/VLOOKUP($D467,$C$5:$AV$509,3,))*$E467)</f>
        <v>0</v>
      </c>
      <c r="AG467" s="47">
        <f>IF(VLOOKUP($D467,$C$5:$AV$509,3,)=0,0,(VLOOKUP($D467,$C$5:$AV$509,30,)/VLOOKUP($D467,$C$5:$AV$509,3,))*$E467)</f>
        <v>0</v>
      </c>
      <c r="AH467" s="47">
        <f t="shared" ref="AH467" si="384">SUM(F467:AG467)</f>
        <v>1</v>
      </c>
      <c r="AI467" s="27" t="str">
        <f t="shared" si="380"/>
        <v>ok</v>
      </c>
    </row>
    <row r="469" spans="1:35" x14ac:dyDescent="0.2">
      <c r="A469" s="14" t="s">
        <v>602</v>
      </c>
      <c r="C469" s="14" t="s">
        <v>627</v>
      </c>
      <c r="E469" s="47">
        <f>E462</f>
        <v>2919792.9762314339</v>
      </c>
      <c r="F469" s="45">
        <f>F462</f>
        <v>2449046.9990434945</v>
      </c>
      <c r="G469" s="47">
        <f t="shared" ref="G469:R469" si="385">G462</f>
        <v>2479.4821357455767</v>
      </c>
      <c r="H469" s="47">
        <f t="shared" si="385"/>
        <v>191325.10090384915</v>
      </c>
      <c r="I469" s="47">
        <f t="shared" si="385"/>
        <v>21799.631433803064</v>
      </c>
      <c r="J469" s="47">
        <f t="shared" si="385"/>
        <v>154813.58300000001</v>
      </c>
      <c r="K469" s="47">
        <f t="shared" si="385"/>
        <v>0</v>
      </c>
      <c r="L469" s="47">
        <f t="shared" si="385"/>
        <v>69479.34</v>
      </c>
      <c r="M469" s="47">
        <f t="shared" ref="M469" si="386">M462</f>
        <v>19939.05</v>
      </c>
      <c r="N469" s="47">
        <f t="shared" si="385"/>
        <v>10909.789714541732</v>
      </c>
      <c r="O469" s="47">
        <f t="shared" ref="O469:P469" si="387">O462</f>
        <v>0</v>
      </c>
      <c r="P469" s="47">
        <f t="shared" si="387"/>
        <v>0</v>
      </c>
      <c r="Q469" s="47">
        <f t="shared" si="385"/>
        <v>0</v>
      </c>
      <c r="R469" s="47">
        <f t="shared" si="385"/>
        <v>0</v>
      </c>
      <c r="S469" s="47">
        <f>S462</f>
        <v>0</v>
      </c>
      <c r="T469" s="47">
        <f>T462</f>
        <v>0</v>
      </c>
      <c r="U469" s="47">
        <f>U462</f>
        <v>0</v>
      </c>
      <c r="V469" s="47">
        <f t="shared" ref="V469:AG469" si="388">V462</f>
        <v>0</v>
      </c>
      <c r="W469" s="47">
        <f t="shared" si="388"/>
        <v>0</v>
      </c>
      <c r="X469" s="47">
        <f t="shared" si="388"/>
        <v>0</v>
      </c>
      <c r="Y469" s="47">
        <f t="shared" si="388"/>
        <v>0</v>
      </c>
      <c r="Z469" s="47">
        <f t="shared" si="388"/>
        <v>0</v>
      </c>
      <c r="AA469" s="47">
        <f t="shared" si="388"/>
        <v>0</v>
      </c>
      <c r="AB469" s="47">
        <f t="shared" si="388"/>
        <v>0</v>
      </c>
      <c r="AC469" s="47">
        <f t="shared" si="388"/>
        <v>0</v>
      </c>
      <c r="AD469" s="47">
        <f t="shared" si="388"/>
        <v>0</v>
      </c>
      <c r="AE469" s="47">
        <f t="shared" si="388"/>
        <v>0</v>
      </c>
      <c r="AF469" s="47">
        <f t="shared" si="388"/>
        <v>0</v>
      </c>
      <c r="AG469" s="47">
        <f t="shared" si="388"/>
        <v>0</v>
      </c>
      <c r="AH469" s="47">
        <f>SUM(F469:AG469)</f>
        <v>2919792.9762314339</v>
      </c>
      <c r="AI469" s="27" t="str">
        <f t="shared" ref="AI469:AI474" si="389">IF(ABS(E469-AH469)&lt;0.01,"ok","err")</f>
        <v>ok</v>
      </c>
    </row>
    <row r="470" spans="1:35" x14ac:dyDescent="0.2">
      <c r="A470" s="14" t="s">
        <v>603</v>
      </c>
      <c r="E470" s="87">
        <f>E463</f>
        <v>41817728.062510923</v>
      </c>
      <c r="AH470" s="87">
        <f>E470</f>
        <v>41817728.062510923</v>
      </c>
      <c r="AI470" s="27" t="str">
        <f t="shared" si="389"/>
        <v>ok</v>
      </c>
    </row>
    <row r="471" spans="1:35" x14ac:dyDescent="0.2">
      <c r="A471" s="14" t="s">
        <v>594</v>
      </c>
      <c r="E471" s="62"/>
      <c r="N471" s="47">
        <v>0</v>
      </c>
      <c r="O471" s="47"/>
      <c r="P471" s="47"/>
      <c r="Q471" s="47"/>
      <c r="R471" s="115"/>
      <c r="S471" s="14">
        <v>0</v>
      </c>
      <c r="T471" s="14">
        <v>0</v>
      </c>
      <c r="AB471" s="62">
        <v>0</v>
      </c>
      <c r="AC471" s="62">
        <v>0</v>
      </c>
      <c r="AD471" s="62">
        <v>0</v>
      </c>
      <c r="AE471" s="87">
        <f>AE464</f>
        <v>0</v>
      </c>
      <c r="AF471" s="62">
        <v>0</v>
      </c>
      <c r="AH471" s="87">
        <f>SUM(F471:AG471)</f>
        <v>0</v>
      </c>
      <c r="AI471" s="27" t="str">
        <f t="shared" si="389"/>
        <v>ok</v>
      </c>
    </row>
    <row r="472" spans="1:35" x14ac:dyDescent="0.2">
      <c r="A472" s="14" t="s">
        <v>604</v>
      </c>
      <c r="D472" s="14" t="s">
        <v>627</v>
      </c>
      <c r="E472" s="87">
        <f>E470-E471</f>
        <v>41817728.062510923</v>
      </c>
      <c r="F472" s="47">
        <f>IF(VLOOKUP($D472,$C$5:$AV$509,3,)=0,0,(VLOOKUP($D472,$C$5:$AV$509,4,)/VLOOKUP($D472,$C$5:$AV$509,3,))*$E472)</f>
        <v>35075631.132757276</v>
      </c>
      <c r="G472" s="47">
        <f>IF(VLOOKUP($D472,$C$5:$AV$509,3,)=0,0,(VLOOKUP($D472,$C$5:$AV$509,5,)/VLOOKUP($D472,$C$5:$AV$509,3,))*$E472)</f>
        <v>35511.527883148025</v>
      </c>
      <c r="H472" s="47">
        <f>IF(VLOOKUP($D472,$C$5:$AV$509,3,)=0,0,(VLOOKUP($D472,$C$5:$AV$509,6,)/VLOOKUP($D472,$C$5:$AV$509,3,))*$E472)</f>
        <v>2740187.7825790942</v>
      </c>
      <c r="I472" s="47">
        <f>IF(VLOOKUP($D472,$C$5:$AV$509,3,)=0,0,(VLOOKUP($D472,$C$5:$AV$509,7,)/VLOOKUP($D472,$C$5:$AV$509,3,))*$E472)</f>
        <v>312217.70398884738</v>
      </c>
      <c r="J472" s="47">
        <f>IF(VLOOKUP($D472,$C$5:$AV$509,3,)=0,0,(VLOOKUP($D472,$C$5:$AV$509,8,)/VLOOKUP($D472,$C$5:$AV$509,3,))*$E472)</f>
        <v>2217264.1577598667</v>
      </c>
      <c r="K472" s="47">
        <f>IF(VLOOKUP($D472,$C$5:$AV$509,3,)=0,0,(VLOOKUP($D472,$C$5:$AV$509,9,)/VLOOKUP($D472,$C$5:$AV$509,3,))*$E472)</f>
        <v>0</v>
      </c>
      <c r="L472" s="47">
        <f>IF(VLOOKUP($D472,$C$5:$AV$509,3,)=0,0,(VLOOKUP($D472,$C$5:$AV$509,10,)/VLOOKUP($D472,$C$5:$AV$509,3,))*$E472)</f>
        <v>995093.88841424452</v>
      </c>
      <c r="M472" s="47">
        <f>IF(VLOOKUP($D472,$C$5:$AV$509,3,)=0,0,(VLOOKUP($D472,$C$5:$AV$509,11,)/VLOOKUP($D472,$C$5:$AV$509,3,))*$E472)</f>
        <v>285570.16799218359</v>
      </c>
      <c r="N472" s="47">
        <f>IF(VLOOKUP($D472,$C$5:$AV$509,3,)=0,0,(VLOOKUP($D472,$C$5:$AV$509,12,)/VLOOKUP($D472,$C$5:$AV$509,3,))*$E472)</f>
        <v>156251.70113626675</v>
      </c>
      <c r="O472" s="47">
        <f>IF(VLOOKUP($D472,$C$5:$AV$509,3,)=0,0,(VLOOKUP($D472,$C$5:$AV$509,14,)/VLOOKUP($D472,$C$5:$AV$509,3,))*$E472)</f>
        <v>0</v>
      </c>
      <c r="P472" s="47">
        <f>IF(VLOOKUP($D472,$C$5:$AV$509,3,)=0,0,(VLOOKUP($D472,$C$5:$AV$509,14,)/VLOOKUP($D472,$C$5:$AV$509,3,))*$E472)</f>
        <v>0</v>
      </c>
      <c r="Q472" s="47">
        <f>IF(VLOOKUP($D472,$C$5:$AV$509,3,)=0,0,(VLOOKUP($D472,$C$5:$AV$509,14,)/VLOOKUP($D472,$C$5:$AV$509,3,))*$E472)</f>
        <v>0</v>
      </c>
      <c r="R472" s="47">
        <f>IF(VLOOKUP($D472,$C$5:$AV$509,3,)=0,0,(VLOOKUP($D472,$C$5:$AV$509,15,)/VLOOKUP($D472,$C$5:$AV$509,3,))*$E472)</f>
        <v>0</v>
      </c>
      <c r="S472" s="47">
        <f>IF(VLOOKUP($D472,$C$5:$AV$509,3,)=0,0,(VLOOKUP($D472,$C$5:$AV$509,16,)/VLOOKUP($D472,$C$5:$AV$509,3,))*$E472)</f>
        <v>0</v>
      </c>
      <c r="T472" s="47">
        <f>IF(VLOOKUP($D472,$C$5:$AV$509,3,)=0,0,(VLOOKUP($D472,$C$5:$AV$509,17,)/VLOOKUP($D472,$C$5:$AV$509,3,))*$E472)</f>
        <v>0</v>
      </c>
      <c r="U472" s="47">
        <f>IF(VLOOKUP($D472,$C$5:$AV$509,3,)=0,0,(VLOOKUP($D472,$C$5:$AV$509,18,)/VLOOKUP($D472,$C$5:$AV$509,3,))*$E472)</f>
        <v>0</v>
      </c>
      <c r="V472" s="47">
        <f>IF(VLOOKUP($D472,$C$5:$AV$509,3,)=0,0,(VLOOKUP($D472,$C$5:$AV$509,19,)/VLOOKUP($D472,$C$5:$AV$509,3,))*$E472)</f>
        <v>0</v>
      </c>
      <c r="W472" s="47">
        <f>IF(VLOOKUP($D472,$C$5:$AV$509,3,)=0,0,(VLOOKUP($D472,$C$5:$AV$509,20,)/VLOOKUP($D472,$C$5:$AV$509,3,))*$E472)</f>
        <v>0</v>
      </c>
      <c r="X472" s="47">
        <f>IF(VLOOKUP($D472,$C$5:$AV$509,3,)=0,0,(VLOOKUP($D472,$C$5:$AV$509,21,)/VLOOKUP($D472,$C$5:$AV$509,3,))*$E472)</f>
        <v>0</v>
      </c>
      <c r="Y472" s="47">
        <f>IF(VLOOKUP($D472,$C$5:$AV$509,3,)=0,0,(VLOOKUP($D472,$C$5:$AV$509,22,)/VLOOKUP($D472,$C$5:$AV$509,3,))*$E472)</f>
        <v>0</v>
      </c>
      <c r="Z472" s="47">
        <f>IF(VLOOKUP($D472,$C$5:$AV$509,3,)=0,0,(VLOOKUP($D472,$C$5:$AV$509,23,)/VLOOKUP($D472,$C$5:$AV$509,3,))*$E472)</f>
        <v>0</v>
      </c>
      <c r="AA472" s="47">
        <f>IF(VLOOKUP($D472,$C$5:$AV$509,3,)=0,0,(VLOOKUP($D472,$C$5:$AV$509,24,)/VLOOKUP($D472,$C$5:$AV$509,3,))*$E472)</f>
        <v>0</v>
      </c>
      <c r="AB472" s="47">
        <f>IF(VLOOKUP($D472,$C$5:$AV$509,3,)=0,0,(VLOOKUP($D472,$C$5:$AV$509,25,)/VLOOKUP($D472,$C$5:$AV$509,3,))*$E472)</f>
        <v>0</v>
      </c>
      <c r="AC472" s="47">
        <f>IF(VLOOKUP($D472,$C$5:$AV$509,3,)=0,0,(VLOOKUP($D472,$C$5:$AV$509,26,)/VLOOKUP($D472,$C$5:$AV$509,3,))*$E472)</f>
        <v>0</v>
      </c>
      <c r="AD472" s="47">
        <f>IF(VLOOKUP($D472,$C$5:$AV$509,3,)=0,0,(VLOOKUP($D472,$C$5:$AV$509,27,)/VLOOKUP($D472,$C$5:$AV$509,3,))*$E472)</f>
        <v>0</v>
      </c>
      <c r="AE472" s="47">
        <f>IF(VLOOKUP($D472,$C$5:$AV$509,3,)=0,0,(VLOOKUP($D472,$C$5:$AV$509,28,)/VLOOKUP($D472,$C$5:$AV$509,3,))*$E472)</f>
        <v>0</v>
      </c>
      <c r="AF472" s="47">
        <f>IF(VLOOKUP($D472,$C$5:$AV$509,3,)=0,0,(VLOOKUP($D472,$C$5:$AV$509,29,)/VLOOKUP($D472,$C$5:$AV$509,3,))*$E472)</f>
        <v>0</v>
      </c>
      <c r="AG472" s="47">
        <f>IF(VLOOKUP($D472,$C$5:$AV$509,3,)=0,0,(VLOOKUP($D472,$C$5:$AV$509,30,)/VLOOKUP($D472,$C$5:$AV$509,3,))*$E472)</f>
        <v>0</v>
      </c>
      <c r="AH472" s="47">
        <f t="shared" ref="AH472" si="390">SUM(F472:AG472)</f>
        <v>41817728.06251093</v>
      </c>
      <c r="AI472" s="27" t="str">
        <f t="shared" si="389"/>
        <v>ok</v>
      </c>
    </row>
    <row r="473" spans="1:35" x14ac:dyDescent="0.2">
      <c r="A473" s="14" t="s">
        <v>605</v>
      </c>
      <c r="C473" s="14" t="s">
        <v>628</v>
      </c>
      <c r="E473" s="87">
        <f t="shared" ref="E473:AG473" si="391">E471+E472</f>
        <v>41817728.062510923</v>
      </c>
      <c r="F473" s="101">
        <f t="shared" si="391"/>
        <v>35075631.132757276</v>
      </c>
      <c r="G473" s="87">
        <f t="shared" si="391"/>
        <v>35511.527883148025</v>
      </c>
      <c r="H473" s="87">
        <f t="shared" si="391"/>
        <v>2740187.7825790942</v>
      </c>
      <c r="I473" s="87">
        <f t="shared" si="391"/>
        <v>312217.70398884738</v>
      </c>
      <c r="J473" s="87">
        <f t="shared" si="391"/>
        <v>2217264.1577598667</v>
      </c>
      <c r="K473" s="87">
        <f t="shared" si="391"/>
        <v>0</v>
      </c>
      <c r="L473" s="87">
        <f t="shared" si="391"/>
        <v>995093.88841424452</v>
      </c>
      <c r="M473" s="87">
        <f t="shared" ref="M473" si="392">M471+M472</f>
        <v>285570.16799218359</v>
      </c>
      <c r="N473" s="87">
        <f t="shared" si="391"/>
        <v>156251.70113626675</v>
      </c>
      <c r="O473" s="87">
        <f t="shared" ref="O473:P473" si="393">O471+O472</f>
        <v>0</v>
      </c>
      <c r="P473" s="87">
        <f t="shared" si="393"/>
        <v>0</v>
      </c>
      <c r="Q473" s="87">
        <f t="shared" si="391"/>
        <v>0</v>
      </c>
      <c r="R473" s="87">
        <f t="shared" si="391"/>
        <v>0</v>
      </c>
      <c r="S473" s="87">
        <f t="shared" si="391"/>
        <v>0</v>
      </c>
      <c r="T473" s="87">
        <f t="shared" si="391"/>
        <v>0</v>
      </c>
      <c r="U473" s="87">
        <f t="shared" si="391"/>
        <v>0</v>
      </c>
      <c r="V473" s="87">
        <f t="shared" si="391"/>
        <v>0</v>
      </c>
      <c r="W473" s="87">
        <f t="shared" si="391"/>
        <v>0</v>
      </c>
      <c r="X473" s="87">
        <f t="shared" si="391"/>
        <v>0</v>
      </c>
      <c r="Y473" s="87">
        <f t="shared" si="391"/>
        <v>0</v>
      </c>
      <c r="Z473" s="87">
        <f t="shared" si="391"/>
        <v>0</v>
      </c>
      <c r="AA473" s="87">
        <f t="shared" si="391"/>
        <v>0</v>
      </c>
      <c r="AB473" s="87">
        <f t="shared" si="391"/>
        <v>0</v>
      </c>
      <c r="AC473" s="87">
        <f t="shared" si="391"/>
        <v>0</v>
      </c>
      <c r="AD473" s="87">
        <f t="shared" si="391"/>
        <v>0</v>
      </c>
      <c r="AE473" s="87">
        <f t="shared" si="391"/>
        <v>0</v>
      </c>
      <c r="AF473" s="87">
        <f t="shared" si="391"/>
        <v>0</v>
      </c>
      <c r="AG473" s="87">
        <f t="shared" si="391"/>
        <v>0</v>
      </c>
      <c r="AH473" s="87">
        <f>SUM(F473:AG473)</f>
        <v>41817728.06251093</v>
      </c>
      <c r="AI473" s="27" t="str">
        <f t="shared" si="389"/>
        <v>ok</v>
      </c>
    </row>
    <row r="474" spans="1:35" x14ac:dyDescent="0.2">
      <c r="A474" s="14" t="s">
        <v>634</v>
      </c>
      <c r="C474" s="14" t="s">
        <v>629</v>
      </c>
      <c r="D474" s="14" t="s">
        <v>628</v>
      </c>
      <c r="E474" s="46">
        <v>1</v>
      </c>
      <c r="F474" s="47">
        <f>IF(VLOOKUP($D474,$C$5:$AV$509,3,)=0,0,(VLOOKUP($D474,$C$5:$AV$509,4,)/VLOOKUP($D474,$C$5:$AV$509,3,))*$E474)</f>
        <v>0.83877419357466598</v>
      </c>
      <c r="G474" s="47">
        <f>IF(VLOOKUP($D474,$C$5:$AV$509,3,)=0,0,(VLOOKUP($D474,$C$5:$AV$509,5,)/VLOOKUP($D474,$C$5:$AV$509,3,))*$E474)</f>
        <v>8.4919792462335303E-4</v>
      </c>
      <c r="H474" s="47">
        <f>IF(VLOOKUP($D474,$C$5:$AV$509,3,)=0,0,(VLOOKUP($D474,$C$5:$AV$509,6,)/VLOOKUP($D474,$C$5:$AV$509,3,))*$E474)</f>
        <v>6.5526940595217048E-2</v>
      </c>
      <c r="I474" s="47">
        <f>IF(VLOOKUP($D474,$C$5:$AV$509,3,)=0,0,(VLOOKUP($D474,$C$5:$AV$509,7,)/VLOOKUP($D474,$C$5:$AV$509,3,))*$E474)</f>
        <v>7.4661565430367482E-3</v>
      </c>
      <c r="J474" s="47">
        <f>IF(VLOOKUP($D474,$C$5:$AV$509,3,)=0,0,(VLOOKUP($D474,$C$5:$AV$509,8,)/VLOOKUP($D474,$C$5:$AV$509,3,))*$E474)</f>
        <v>5.30221095331962E-2</v>
      </c>
      <c r="K474" s="47">
        <f>IF(VLOOKUP($D474,$C$5:$AV$509,3,)=0,0,(VLOOKUP($D474,$C$5:$AV$509,9,)/VLOOKUP($D474,$C$5:$AV$509,3,))*$E474)</f>
        <v>0</v>
      </c>
      <c r="L474" s="47">
        <f>IF(VLOOKUP($D474,$C$5:$AV$509,3,)=0,0,(VLOOKUP($D474,$C$5:$AV$509,10,)/VLOOKUP($D474,$C$5:$AV$509,3,))*$E474)</f>
        <v>2.3795981621161623E-2</v>
      </c>
      <c r="M474" s="47">
        <f>IF(VLOOKUP($D474,$C$5:$AV$509,3,)=0,0,(VLOOKUP($D474,$C$5:$AV$509,11,)/VLOOKUP($D474,$C$5:$AV$509,3,))*$E474)</f>
        <v>6.8289259417752476E-3</v>
      </c>
      <c r="N474" s="47">
        <f>IF(VLOOKUP($D474,$C$5:$AV$509,3,)=0,0,(VLOOKUP($D474,$C$5:$AV$509,12,)/VLOOKUP($D474,$C$5:$AV$509,3,))*$E474)</f>
        <v>3.7364942663239632E-3</v>
      </c>
      <c r="O474" s="47">
        <f>IF(VLOOKUP($D474,$C$5:$AV$509,3,)=0,0,(VLOOKUP($D474,$C$5:$AV$509,14,)/VLOOKUP($D474,$C$5:$AV$509,3,))*$E474)</f>
        <v>0</v>
      </c>
      <c r="P474" s="47">
        <f>IF(VLOOKUP($D474,$C$5:$AV$509,3,)=0,0,(VLOOKUP($D474,$C$5:$AV$509,14,)/VLOOKUP($D474,$C$5:$AV$509,3,))*$E474)</f>
        <v>0</v>
      </c>
      <c r="Q474" s="47">
        <f>IF(VLOOKUP($D474,$C$5:$AV$509,3,)=0,0,(VLOOKUP($D474,$C$5:$AV$509,14,)/VLOOKUP($D474,$C$5:$AV$509,3,))*$E474)</f>
        <v>0</v>
      </c>
      <c r="R474" s="47">
        <f>IF(VLOOKUP($D474,$C$5:$AV$509,3,)=0,0,(VLOOKUP($D474,$C$5:$AV$509,15,)/VLOOKUP($D474,$C$5:$AV$509,3,))*$E474)</f>
        <v>0</v>
      </c>
      <c r="S474" s="47">
        <f>IF(VLOOKUP($D474,$C$5:$AV$509,3,)=0,0,(VLOOKUP($D474,$C$5:$AV$509,16,)/VLOOKUP($D474,$C$5:$AV$509,3,))*$E474)</f>
        <v>0</v>
      </c>
      <c r="T474" s="47">
        <f>IF(VLOOKUP($D474,$C$5:$AV$509,3,)=0,0,(VLOOKUP($D474,$C$5:$AV$509,17,)/VLOOKUP($D474,$C$5:$AV$509,3,))*$E474)</f>
        <v>0</v>
      </c>
      <c r="U474" s="47">
        <f>IF(VLOOKUP($D474,$C$5:$AV$509,3,)=0,0,(VLOOKUP($D474,$C$5:$AV$509,18,)/VLOOKUP($D474,$C$5:$AV$509,3,))*$E474)</f>
        <v>0</v>
      </c>
      <c r="V474" s="47">
        <f>IF(VLOOKUP($D474,$C$5:$AV$509,3,)=0,0,(VLOOKUP($D474,$C$5:$AV$509,19,)/VLOOKUP($D474,$C$5:$AV$509,3,))*$E474)</f>
        <v>0</v>
      </c>
      <c r="W474" s="47">
        <f>IF(VLOOKUP($D474,$C$5:$AV$509,3,)=0,0,(VLOOKUP($D474,$C$5:$AV$509,20,)/VLOOKUP($D474,$C$5:$AV$509,3,))*$E474)</f>
        <v>0</v>
      </c>
      <c r="X474" s="47">
        <f>IF(VLOOKUP($D474,$C$5:$AV$509,3,)=0,0,(VLOOKUP($D474,$C$5:$AV$509,21,)/VLOOKUP($D474,$C$5:$AV$509,3,))*$E474)</f>
        <v>0</v>
      </c>
      <c r="Y474" s="47">
        <f>IF(VLOOKUP($D474,$C$5:$AV$509,3,)=0,0,(VLOOKUP($D474,$C$5:$AV$509,22,)/VLOOKUP($D474,$C$5:$AV$509,3,))*$E474)</f>
        <v>0</v>
      </c>
      <c r="Z474" s="47">
        <f>IF(VLOOKUP($D474,$C$5:$AV$509,3,)=0,0,(VLOOKUP($D474,$C$5:$AV$509,23,)/VLOOKUP($D474,$C$5:$AV$509,3,))*$E474)</f>
        <v>0</v>
      </c>
      <c r="AA474" s="47">
        <f>IF(VLOOKUP($D474,$C$5:$AV$509,3,)=0,0,(VLOOKUP($D474,$C$5:$AV$509,24,)/VLOOKUP($D474,$C$5:$AV$509,3,))*$E474)</f>
        <v>0</v>
      </c>
      <c r="AB474" s="47">
        <f>IF(VLOOKUP($D474,$C$5:$AV$509,3,)=0,0,(VLOOKUP($D474,$C$5:$AV$509,25,)/VLOOKUP($D474,$C$5:$AV$509,3,))*$E474)</f>
        <v>0</v>
      </c>
      <c r="AC474" s="47">
        <f>IF(VLOOKUP($D474,$C$5:$AV$509,3,)=0,0,(VLOOKUP($D474,$C$5:$AV$509,26,)/VLOOKUP($D474,$C$5:$AV$509,3,))*$E474)</f>
        <v>0</v>
      </c>
      <c r="AD474" s="47">
        <f>IF(VLOOKUP($D474,$C$5:$AV$509,3,)=0,0,(VLOOKUP($D474,$C$5:$AV$509,27,)/VLOOKUP($D474,$C$5:$AV$509,3,))*$E474)</f>
        <v>0</v>
      </c>
      <c r="AE474" s="47">
        <f>IF(VLOOKUP($D474,$C$5:$AV$509,3,)=0,0,(VLOOKUP($D474,$C$5:$AV$509,28,)/VLOOKUP($D474,$C$5:$AV$509,3,))*$E474)</f>
        <v>0</v>
      </c>
      <c r="AF474" s="47">
        <f>IF(VLOOKUP($D474,$C$5:$AV$509,3,)=0,0,(VLOOKUP($D474,$C$5:$AV$509,29,)/VLOOKUP($D474,$C$5:$AV$509,3,))*$E474)</f>
        <v>0</v>
      </c>
      <c r="AG474" s="47">
        <f>IF(VLOOKUP($D474,$C$5:$AV$509,3,)=0,0,(VLOOKUP($D474,$C$5:$AV$509,30,)/VLOOKUP($D474,$C$5:$AV$509,3,))*$E474)</f>
        <v>0</v>
      </c>
      <c r="AH474" s="47">
        <f t="shared" ref="AH474" si="394">SUM(F474:AG474)</f>
        <v>1</v>
      </c>
      <c r="AI474" s="27" t="str">
        <f t="shared" si="389"/>
        <v>ok</v>
      </c>
    </row>
    <row r="476" spans="1:35" x14ac:dyDescent="0.2">
      <c r="A476" s="14" t="s">
        <v>609</v>
      </c>
      <c r="C476" s="14" t="s">
        <v>613</v>
      </c>
      <c r="E476" s="47">
        <v>1101637.0004527234</v>
      </c>
      <c r="F476" s="47">
        <f t="shared" ref="F476:T476" si="395">F455</f>
        <v>838723.52253593772</v>
      </c>
      <c r="G476" s="47">
        <f t="shared" si="395"/>
        <v>632.85281209607797</v>
      </c>
      <c r="H476" s="47">
        <f t="shared" si="395"/>
        <v>88009.546415770616</v>
      </c>
      <c r="I476" s="47">
        <f t="shared" si="395"/>
        <v>9401.0910558275718</v>
      </c>
      <c r="J476" s="47">
        <f t="shared" si="395"/>
        <v>87940.197944919186</v>
      </c>
      <c r="K476" s="47">
        <f>K455*0</f>
        <v>0</v>
      </c>
      <c r="L476" s="47">
        <f t="shared" si="395"/>
        <v>55583.472000000002</v>
      </c>
      <c r="M476" s="47">
        <f t="shared" ref="M476" si="396">M455</f>
        <v>15951.240000000002</v>
      </c>
      <c r="N476" s="47">
        <f t="shared" si="395"/>
        <v>5395.0776881720431</v>
      </c>
      <c r="O476" s="47">
        <f t="shared" ref="O476:P476" si="397">O455</f>
        <v>0</v>
      </c>
      <c r="P476" s="47">
        <f t="shared" si="397"/>
        <v>0</v>
      </c>
      <c r="Q476" s="47">
        <f t="shared" si="395"/>
        <v>0</v>
      </c>
      <c r="R476" s="47">
        <f t="shared" si="395"/>
        <v>0</v>
      </c>
      <c r="S476" s="47">
        <f t="shared" si="395"/>
        <v>0</v>
      </c>
      <c r="T476" s="47">
        <f t="shared" si="395"/>
        <v>0</v>
      </c>
      <c r="U476" s="47">
        <f t="shared" ref="U476:AD476" si="398">U443</f>
        <v>0</v>
      </c>
      <c r="V476" s="47">
        <f t="shared" si="398"/>
        <v>0</v>
      </c>
      <c r="W476" s="47">
        <f t="shared" si="398"/>
        <v>0</v>
      </c>
      <c r="X476" s="47">
        <f t="shared" si="398"/>
        <v>0</v>
      </c>
      <c r="Y476" s="47">
        <f t="shared" si="398"/>
        <v>0</v>
      </c>
      <c r="Z476" s="47">
        <f t="shared" si="398"/>
        <v>0</v>
      </c>
      <c r="AA476" s="47">
        <f t="shared" si="398"/>
        <v>0</v>
      </c>
      <c r="AB476" s="47">
        <f t="shared" si="398"/>
        <v>0</v>
      </c>
      <c r="AC476" s="47">
        <f t="shared" si="398"/>
        <v>0</v>
      </c>
      <c r="AD476" s="47">
        <f t="shared" si="398"/>
        <v>0</v>
      </c>
      <c r="AE476" s="47">
        <v>0</v>
      </c>
      <c r="AF476" s="47">
        <v>0</v>
      </c>
      <c r="AG476" s="47">
        <f>AG443</f>
        <v>0</v>
      </c>
      <c r="AH476" s="87">
        <f>SUM(F476:AG476)</f>
        <v>1101637.0004527234</v>
      </c>
      <c r="AI476" s="27" t="str">
        <f t="shared" ref="AI476:AI481" si="399">IF(ABS(E476-AH476)&lt;0.01,"ok","err")</f>
        <v>ok</v>
      </c>
    </row>
    <row r="477" spans="1:35" x14ac:dyDescent="0.2">
      <c r="A477" s="14" t="s">
        <v>610</v>
      </c>
      <c r="E477" s="87">
        <f>'Func &amp; Classif'!M56</f>
        <v>555919.07999999996</v>
      </c>
      <c r="AH477" s="87">
        <f>E477</f>
        <v>555919.07999999996</v>
      </c>
      <c r="AI477" s="27" t="str">
        <f t="shared" si="399"/>
        <v>ok</v>
      </c>
    </row>
    <row r="478" spans="1:35" x14ac:dyDescent="0.2">
      <c r="A478" s="14" t="s">
        <v>594</v>
      </c>
      <c r="E478" s="47"/>
      <c r="F478" s="47">
        <v>0</v>
      </c>
      <c r="G478" s="47">
        <v>0</v>
      </c>
      <c r="H478" s="47">
        <v>0</v>
      </c>
      <c r="I478" s="47">
        <v>0</v>
      </c>
      <c r="J478" s="47">
        <v>0</v>
      </c>
      <c r="K478" s="47">
        <v>0</v>
      </c>
      <c r="L478" s="47">
        <v>0</v>
      </c>
      <c r="M478" s="47">
        <v>0</v>
      </c>
      <c r="N478" s="47">
        <v>0</v>
      </c>
      <c r="O478" s="47"/>
      <c r="P478" s="47"/>
      <c r="Q478" s="47"/>
      <c r="R478" s="14">
        <v>0</v>
      </c>
      <c r="S478" s="14">
        <v>0</v>
      </c>
      <c r="T478" s="14">
        <v>0</v>
      </c>
      <c r="AH478" s="87">
        <f>SUM(F478:AG478)</f>
        <v>0</v>
      </c>
      <c r="AI478" s="27" t="str">
        <f t="shared" si="399"/>
        <v>ok</v>
      </c>
    </row>
    <row r="479" spans="1:35" x14ac:dyDescent="0.2">
      <c r="A479" s="14" t="s">
        <v>611</v>
      </c>
      <c r="D479" s="14" t="s">
        <v>613</v>
      </c>
      <c r="E479" s="87">
        <f>E477-E478</f>
        <v>555919.07999999996</v>
      </c>
      <c r="F479" s="47">
        <f>IF(VLOOKUP($D479,$C$5:$AV$509,3,)=0,0,(VLOOKUP($D479,$C$5:$AV$509,4,)/VLOOKUP($D479,$C$5:$AV$509,3,))*$E479)</f>
        <v>423245.05152870208</v>
      </c>
      <c r="G479" s="47">
        <f>IF(VLOOKUP($D479,$C$5:$AV$509,3,)=0,0,(VLOOKUP($D479,$C$5:$AV$509,5,)/VLOOKUP($D479,$C$5:$AV$509,3,))*$E479)</f>
        <v>319.35651483318401</v>
      </c>
      <c r="H479" s="47">
        <f>IF(VLOOKUP($D479,$C$5:$AV$509,3,)=0,0,(VLOOKUP($D479,$C$5:$AV$509,6,)/VLOOKUP($D479,$C$5:$AV$509,3,))*$E479)</f>
        <v>44412.257444662828</v>
      </c>
      <c r="I479" s="47">
        <f>IF(VLOOKUP($D479,$C$5:$AV$509,3,)=0,0,(VLOOKUP($D479,$C$5:$AV$509,7,)/VLOOKUP($D479,$C$5:$AV$509,3,))*$E479)</f>
        <v>4744.0725834409513</v>
      </c>
      <c r="J479" s="47">
        <f>IF(VLOOKUP($D479,$C$5:$AV$509,3,)=0,0,(VLOOKUP($D479,$C$5:$AV$509,8,)/VLOOKUP($D479,$C$5:$AV$509,3,))*$E479)</f>
        <v>44377.262125788024</v>
      </c>
      <c r="K479" s="47">
        <f>IF(VLOOKUP($D479,$C$5:$AV$509,3,)=0,0,(VLOOKUP($D479,$C$5:$AV$509,9,)/VLOOKUP($D479,$C$5:$AV$509,3,))*$E479)</f>
        <v>0</v>
      </c>
      <c r="L479" s="47">
        <f>IF(VLOOKUP($D479,$C$5:$AV$509,3,)=0,0,(VLOOKUP($D479,$C$5:$AV$509,10,)/VLOOKUP($D479,$C$5:$AV$509,3,))*$E479)</f>
        <v>28049.08749864727</v>
      </c>
      <c r="M479" s="47">
        <f>IF(VLOOKUP($D479,$C$5:$AV$509,3,)=0,0,(VLOOKUP($D479,$C$5:$AV$509,11,)/VLOOKUP($D479,$C$5:$AV$509,3,))*$E479)</f>
        <v>8049.4742478829376</v>
      </c>
      <c r="N479" s="47">
        <f>IF(VLOOKUP($D479,$C$5:$AV$509,3,)=0,0,(VLOOKUP($D479,$C$5:$AV$509,12,)/VLOOKUP($D479,$C$5:$AV$509,3,))*$E479)</f>
        <v>2722.5180560425815</v>
      </c>
      <c r="O479" s="47">
        <f>IF(VLOOKUP($D479,$C$5:$AV$509,3,)=0,0,(VLOOKUP($D479,$C$5:$AV$509,14,)/VLOOKUP($D479,$C$5:$AV$509,3,))*$E479)</f>
        <v>0</v>
      </c>
      <c r="P479" s="47">
        <f>IF(VLOOKUP($D479,$C$5:$AV$509,3,)=0,0,(VLOOKUP($D479,$C$5:$AV$509,14,)/VLOOKUP($D479,$C$5:$AV$509,3,))*$E479)</f>
        <v>0</v>
      </c>
      <c r="Q479" s="47">
        <f>IF(VLOOKUP($D479,$C$5:$AV$509,3,)=0,0,(VLOOKUP($D479,$C$5:$AV$509,14,)/VLOOKUP($D479,$C$5:$AV$509,3,))*$E479)</f>
        <v>0</v>
      </c>
      <c r="R479" s="47">
        <f>IF(VLOOKUP($D479,$C$5:$AV$509,3,)=0,0,(VLOOKUP($D479,$C$5:$AV$509,15,)/VLOOKUP($D479,$C$5:$AV$509,3,))*$E479)</f>
        <v>0</v>
      </c>
      <c r="S479" s="47">
        <f>IF(VLOOKUP($D479,$C$5:$AV$509,3,)=0,0,(VLOOKUP($D479,$C$5:$AV$509,16,)/VLOOKUP($D479,$C$5:$AV$509,3,))*$E479)</f>
        <v>0</v>
      </c>
      <c r="T479" s="47">
        <f>IF(VLOOKUP($D479,$C$5:$AV$509,3,)=0,0,(VLOOKUP($D479,$C$5:$AV$509,17,)/VLOOKUP($D479,$C$5:$AV$509,3,))*$E479)</f>
        <v>0</v>
      </c>
      <c r="U479" s="47">
        <f>IF(VLOOKUP($D479,$C$5:$AV$509,3,)=0,0,(VLOOKUP($D479,$C$5:$AV$509,18,)/VLOOKUP($D479,$C$5:$AV$509,3,))*$E479)</f>
        <v>0</v>
      </c>
      <c r="V479" s="47">
        <f>IF(VLOOKUP($D479,$C$5:$AV$509,3,)=0,0,(VLOOKUP($D479,$C$5:$AV$509,19,)/VLOOKUP($D479,$C$5:$AV$509,3,))*$E479)</f>
        <v>0</v>
      </c>
      <c r="W479" s="47">
        <f>IF(VLOOKUP($D479,$C$5:$AV$509,3,)=0,0,(VLOOKUP($D479,$C$5:$AV$509,20,)/VLOOKUP($D479,$C$5:$AV$509,3,))*$E479)</f>
        <v>0</v>
      </c>
      <c r="X479" s="47">
        <f>IF(VLOOKUP($D479,$C$5:$AV$509,3,)=0,0,(VLOOKUP($D479,$C$5:$AV$509,21,)/VLOOKUP($D479,$C$5:$AV$509,3,))*$E479)</f>
        <v>0</v>
      </c>
      <c r="Y479" s="47">
        <f>IF(VLOOKUP($D479,$C$5:$AV$509,3,)=0,0,(VLOOKUP($D479,$C$5:$AV$509,22,)/VLOOKUP($D479,$C$5:$AV$509,3,))*$E479)</f>
        <v>0</v>
      </c>
      <c r="Z479" s="47">
        <f>IF(VLOOKUP($D479,$C$5:$AV$509,3,)=0,0,(VLOOKUP($D479,$C$5:$AV$509,23,)/VLOOKUP($D479,$C$5:$AV$509,3,))*$E479)</f>
        <v>0</v>
      </c>
      <c r="AA479" s="47">
        <f>IF(VLOOKUP($D479,$C$5:$AV$509,3,)=0,0,(VLOOKUP($D479,$C$5:$AV$509,24,)/VLOOKUP($D479,$C$5:$AV$509,3,))*$E479)</f>
        <v>0</v>
      </c>
      <c r="AB479" s="47">
        <f>IF(VLOOKUP($D479,$C$5:$AV$509,3,)=0,0,(VLOOKUP($D479,$C$5:$AV$509,25,)/VLOOKUP($D479,$C$5:$AV$509,3,))*$E479)</f>
        <v>0</v>
      </c>
      <c r="AC479" s="47">
        <f>IF(VLOOKUP($D479,$C$5:$AV$509,3,)=0,0,(VLOOKUP($D479,$C$5:$AV$509,26,)/VLOOKUP($D479,$C$5:$AV$509,3,))*$E479)</f>
        <v>0</v>
      </c>
      <c r="AD479" s="47">
        <f>IF(VLOOKUP($D479,$C$5:$AV$509,3,)=0,0,(VLOOKUP($D479,$C$5:$AV$509,27,)/VLOOKUP($D479,$C$5:$AV$509,3,))*$E479)</f>
        <v>0</v>
      </c>
      <c r="AE479" s="47">
        <f>IF(VLOOKUP($D479,$C$5:$AV$509,3,)=0,0,(VLOOKUP($D479,$C$5:$AV$509,28,)/VLOOKUP($D479,$C$5:$AV$509,3,))*$E479)</f>
        <v>0</v>
      </c>
      <c r="AF479" s="47">
        <f>IF(VLOOKUP($D479,$C$5:$AV$509,3,)=0,0,(VLOOKUP($D479,$C$5:$AV$509,29,)/VLOOKUP($D479,$C$5:$AV$509,3,))*$E479)</f>
        <v>0</v>
      </c>
      <c r="AG479" s="47">
        <f>IF(VLOOKUP($D479,$C$5:$AV$509,3,)=0,0,(VLOOKUP($D479,$C$5:$AV$509,30,)/VLOOKUP($D479,$C$5:$AV$509,3,))*$E479)</f>
        <v>0</v>
      </c>
      <c r="AH479" s="47">
        <f t="shared" ref="AH479" si="400">SUM(F479:AG479)</f>
        <v>555919.07999999984</v>
      </c>
      <c r="AI479" s="27" t="str">
        <f t="shared" si="399"/>
        <v>ok</v>
      </c>
    </row>
    <row r="480" spans="1:35" x14ac:dyDescent="0.2">
      <c r="A480" s="14" t="s">
        <v>612</v>
      </c>
      <c r="C480" s="14" t="s">
        <v>614</v>
      </c>
      <c r="E480" s="87">
        <f t="shared" ref="E480:AG480" si="401">E478+E479</f>
        <v>555919.07999999996</v>
      </c>
      <c r="F480" s="87">
        <f t="shared" si="401"/>
        <v>423245.05152870208</v>
      </c>
      <c r="G480" s="87">
        <f t="shared" si="401"/>
        <v>319.35651483318401</v>
      </c>
      <c r="H480" s="87">
        <f t="shared" si="401"/>
        <v>44412.257444662828</v>
      </c>
      <c r="I480" s="87">
        <f t="shared" si="401"/>
        <v>4744.0725834409513</v>
      </c>
      <c r="J480" s="87">
        <f t="shared" si="401"/>
        <v>44377.262125788024</v>
      </c>
      <c r="K480" s="87">
        <f t="shared" si="401"/>
        <v>0</v>
      </c>
      <c r="L480" s="87">
        <f t="shared" si="401"/>
        <v>28049.08749864727</v>
      </c>
      <c r="M480" s="87">
        <f t="shared" ref="M480" si="402">M478+M479</f>
        <v>8049.4742478829376</v>
      </c>
      <c r="N480" s="87">
        <f t="shared" si="401"/>
        <v>2722.5180560425815</v>
      </c>
      <c r="O480" s="87">
        <f t="shared" ref="O480:P480" si="403">O478+O479</f>
        <v>0</v>
      </c>
      <c r="P480" s="87">
        <f t="shared" si="403"/>
        <v>0</v>
      </c>
      <c r="Q480" s="87">
        <f t="shared" si="401"/>
        <v>0</v>
      </c>
      <c r="R480" s="87">
        <f t="shared" si="401"/>
        <v>0</v>
      </c>
      <c r="S480" s="87">
        <f t="shared" si="401"/>
        <v>0</v>
      </c>
      <c r="T480" s="87">
        <f t="shared" si="401"/>
        <v>0</v>
      </c>
      <c r="U480" s="87">
        <f t="shared" si="401"/>
        <v>0</v>
      </c>
      <c r="V480" s="87">
        <f t="shared" si="401"/>
        <v>0</v>
      </c>
      <c r="W480" s="87">
        <f t="shared" si="401"/>
        <v>0</v>
      </c>
      <c r="X480" s="87">
        <f t="shared" si="401"/>
        <v>0</v>
      </c>
      <c r="Y480" s="87">
        <f t="shared" si="401"/>
        <v>0</v>
      </c>
      <c r="Z480" s="87">
        <f t="shared" si="401"/>
        <v>0</v>
      </c>
      <c r="AA480" s="87">
        <f t="shared" si="401"/>
        <v>0</v>
      </c>
      <c r="AB480" s="87">
        <f t="shared" si="401"/>
        <v>0</v>
      </c>
      <c r="AC480" s="87">
        <f t="shared" si="401"/>
        <v>0</v>
      </c>
      <c r="AD480" s="87">
        <f t="shared" si="401"/>
        <v>0</v>
      </c>
      <c r="AE480" s="87">
        <f t="shared" si="401"/>
        <v>0</v>
      </c>
      <c r="AF480" s="87">
        <f t="shared" si="401"/>
        <v>0</v>
      </c>
      <c r="AG480" s="87">
        <f t="shared" si="401"/>
        <v>0</v>
      </c>
      <c r="AH480" s="87">
        <f>SUM(F480:AG480)</f>
        <v>555919.07999999984</v>
      </c>
      <c r="AI480" s="27" t="str">
        <f t="shared" si="399"/>
        <v>ok</v>
      </c>
    </row>
    <row r="481" spans="1:35" x14ac:dyDescent="0.2">
      <c r="A481" s="14" t="s">
        <v>636</v>
      </c>
      <c r="C481" s="14" t="s">
        <v>615</v>
      </c>
      <c r="D481" s="14" t="s">
        <v>614</v>
      </c>
      <c r="E481" s="46">
        <v>1</v>
      </c>
      <c r="F481" s="47">
        <f>IF(VLOOKUP($D481,$C$5:$AV$509,3,)=0,0,(VLOOKUP($D481,$C$5:$AV$509,4,)/VLOOKUP($D481,$C$5:$AV$509,3,))*$E481)</f>
        <v>0.76134291258487141</v>
      </c>
      <c r="G481" s="47">
        <f>IF(VLOOKUP($D481,$C$5:$AV$509,3,)=0,0,(VLOOKUP($D481,$C$5:$AV$509,5,)/VLOOKUP($D481,$C$5:$AV$509,3,))*$E481)</f>
        <v>5.7446582843169198E-4</v>
      </c>
      <c r="H481" s="47">
        <f>IF(VLOOKUP($D481,$C$5:$AV$509,3,)=0,0,(VLOOKUP($D481,$C$5:$AV$509,6,)/VLOOKUP($D481,$C$5:$AV$509,3,))*$E481)</f>
        <v>7.9889787996956022E-2</v>
      </c>
      <c r="I481" s="47">
        <f>IF(VLOOKUP($D481,$C$5:$AV$509,3,)=0,0,(VLOOKUP($D481,$C$5:$AV$509,7,)/VLOOKUP($D481,$C$5:$AV$509,3,))*$E481)</f>
        <v>8.5337466442795083E-3</v>
      </c>
      <c r="J481" s="47">
        <f>IF(VLOOKUP($D481,$C$5:$AV$509,3,)=0,0,(VLOOKUP($D481,$C$5:$AV$509,8,)/VLOOKUP($D481,$C$5:$AV$509,3,))*$E481)</f>
        <v>7.982683761418663E-2</v>
      </c>
      <c r="K481" s="47">
        <f>IF(VLOOKUP($D481,$C$5:$AV$509,3,)=0,0,(VLOOKUP($D481,$C$5:$AV$509,9,)/VLOOKUP($D481,$C$5:$AV$509,3,))*$E481)</f>
        <v>0</v>
      </c>
      <c r="L481" s="47">
        <f>IF(VLOOKUP($D481,$C$5:$AV$509,3,)=0,0,(VLOOKUP($D481,$C$5:$AV$509,10,)/VLOOKUP($D481,$C$5:$AV$509,3,))*$E481)</f>
        <v>5.0455342347032361E-2</v>
      </c>
      <c r="M481" s="47">
        <f>IF(VLOOKUP($D481,$C$5:$AV$509,3,)=0,0,(VLOOKUP($D481,$C$5:$AV$509,11,)/VLOOKUP($D481,$C$5:$AV$509,3,))*$E481)</f>
        <v>1.4479579020534676E-2</v>
      </c>
      <c r="N481" s="47">
        <f>IF(VLOOKUP($D481,$C$5:$AV$509,3,)=0,0,(VLOOKUP($D481,$C$5:$AV$509,12,)/VLOOKUP($D481,$C$5:$AV$509,3,))*$E481)</f>
        <v>4.8973279637075625E-3</v>
      </c>
      <c r="O481" s="47">
        <f>IF(VLOOKUP($D481,$C$5:$AV$509,3,)=0,0,(VLOOKUP($D481,$C$5:$AV$509,14,)/VLOOKUP($D481,$C$5:$AV$509,3,))*$E481)</f>
        <v>0</v>
      </c>
      <c r="P481" s="47">
        <f>IF(VLOOKUP($D481,$C$5:$AV$509,3,)=0,0,(VLOOKUP($D481,$C$5:$AV$509,14,)/VLOOKUP($D481,$C$5:$AV$509,3,))*$E481)</f>
        <v>0</v>
      </c>
      <c r="Q481" s="47">
        <f>IF(VLOOKUP($D481,$C$5:$AV$509,3,)=0,0,(VLOOKUP($D481,$C$5:$AV$509,14,)/VLOOKUP($D481,$C$5:$AV$509,3,))*$E481)</f>
        <v>0</v>
      </c>
      <c r="R481" s="47">
        <f>IF(VLOOKUP($D481,$C$5:$AV$509,3,)=0,0,(VLOOKUP($D481,$C$5:$AV$509,15,)/VLOOKUP($D481,$C$5:$AV$509,3,))*$E481)</f>
        <v>0</v>
      </c>
      <c r="S481" s="47">
        <f>IF(VLOOKUP($D481,$C$5:$AV$509,3,)=0,0,(VLOOKUP($D481,$C$5:$AV$509,16,)/VLOOKUP($D481,$C$5:$AV$509,3,))*$E481)</f>
        <v>0</v>
      </c>
      <c r="T481" s="47">
        <f>IF(VLOOKUP($D481,$C$5:$AV$509,3,)=0,0,(VLOOKUP($D481,$C$5:$AV$509,17,)/VLOOKUP($D481,$C$5:$AV$509,3,))*$E481)</f>
        <v>0</v>
      </c>
      <c r="U481" s="47">
        <f>IF(VLOOKUP($D481,$C$5:$AV$509,3,)=0,0,(VLOOKUP($D481,$C$5:$AV$509,18,)/VLOOKUP($D481,$C$5:$AV$509,3,))*$E481)</f>
        <v>0</v>
      </c>
      <c r="V481" s="47">
        <f>IF(VLOOKUP($D481,$C$5:$AV$509,3,)=0,0,(VLOOKUP($D481,$C$5:$AV$509,19,)/VLOOKUP($D481,$C$5:$AV$509,3,))*$E481)</f>
        <v>0</v>
      </c>
      <c r="W481" s="47">
        <f>IF(VLOOKUP($D481,$C$5:$AV$509,3,)=0,0,(VLOOKUP($D481,$C$5:$AV$509,20,)/VLOOKUP($D481,$C$5:$AV$509,3,))*$E481)</f>
        <v>0</v>
      </c>
      <c r="X481" s="47">
        <f>IF(VLOOKUP($D481,$C$5:$AV$509,3,)=0,0,(VLOOKUP($D481,$C$5:$AV$509,21,)/VLOOKUP($D481,$C$5:$AV$509,3,))*$E481)</f>
        <v>0</v>
      </c>
      <c r="Y481" s="47">
        <f>IF(VLOOKUP($D481,$C$5:$AV$509,3,)=0,0,(VLOOKUP($D481,$C$5:$AV$509,22,)/VLOOKUP($D481,$C$5:$AV$509,3,))*$E481)</f>
        <v>0</v>
      </c>
      <c r="Z481" s="47">
        <f>IF(VLOOKUP($D481,$C$5:$AV$509,3,)=0,0,(VLOOKUP($D481,$C$5:$AV$509,23,)/VLOOKUP($D481,$C$5:$AV$509,3,))*$E481)</f>
        <v>0</v>
      </c>
      <c r="AA481" s="47">
        <f>IF(VLOOKUP($D481,$C$5:$AV$509,3,)=0,0,(VLOOKUP($D481,$C$5:$AV$509,24,)/VLOOKUP($D481,$C$5:$AV$509,3,))*$E481)</f>
        <v>0</v>
      </c>
      <c r="AB481" s="47">
        <f>IF(VLOOKUP($D481,$C$5:$AV$509,3,)=0,0,(VLOOKUP($D481,$C$5:$AV$509,25,)/VLOOKUP($D481,$C$5:$AV$509,3,))*$E481)</f>
        <v>0</v>
      </c>
      <c r="AC481" s="47">
        <f>IF(VLOOKUP($D481,$C$5:$AV$509,3,)=0,0,(VLOOKUP($D481,$C$5:$AV$509,26,)/VLOOKUP($D481,$C$5:$AV$509,3,))*$E481)</f>
        <v>0</v>
      </c>
      <c r="AD481" s="47">
        <f>IF(VLOOKUP($D481,$C$5:$AV$509,3,)=0,0,(VLOOKUP($D481,$C$5:$AV$509,27,)/VLOOKUP($D481,$C$5:$AV$509,3,))*$E481)</f>
        <v>0</v>
      </c>
      <c r="AE481" s="47">
        <f>IF(VLOOKUP($D481,$C$5:$AV$509,3,)=0,0,(VLOOKUP($D481,$C$5:$AV$509,28,)/VLOOKUP($D481,$C$5:$AV$509,3,))*$E481)</f>
        <v>0</v>
      </c>
      <c r="AF481" s="47">
        <f>IF(VLOOKUP($D481,$C$5:$AV$509,3,)=0,0,(VLOOKUP($D481,$C$5:$AV$509,29,)/VLOOKUP($D481,$C$5:$AV$509,3,))*$E481)</f>
        <v>0</v>
      </c>
      <c r="AG481" s="47">
        <f>IF(VLOOKUP($D481,$C$5:$AV$509,3,)=0,0,(VLOOKUP($D481,$C$5:$AV$509,30,)/VLOOKUP($D481,$C$5:$AV$509,3,))*$E481)</f>
        <v>0</v>
      </c>
      <c r="AH481" s="47">
        <f t="shared" ref="AH481" si="404">SUM(F481:AG481)</f>
        <v>0.99999999999999978</v>
      </c>
      <c r="AI481" s="27" t="str">
        <f t="shared" si="399"/>
        <v>ok</v>
      </c>
    </row>
    <row r="483" spans="1:35" x14ac:dyDescent="0.2">
      <c r="A483" s="14" t="s">
        <v>609</v>
      </c>
      <c r="C483" s="14" t="s">
        <v>630</v>
      </c>
      <c r="E483" s="62">
        <f>E476</f>
        <v>1101637.0004527234</v>
      </c>
      <c r="F483" s="47">
        <f>F476</f>
        <v>838723.52253593772</v>
      </c>
      <c r="G483" s="47">
        <f t="shared" ref="G483:AG483" si="405">G476</f>
        <v>632.85281209607797</v>
      </c>
      <c r="H483" s="47">
        <f t="shared" si="405"/>
        <v>88009.546415770616</v>
      </c>
      <c r="I483" s="47">
        <f t="shared" si="405"/>
        <v>9401.0910558275718</v>
      </c>
      <c r="J483" s="47">
        <f t="shared" si="405"/>
        <v>87940.197944919186</v>
      </c>
      <c r="K483" s="47">
        <f t="shared" si="405"/>
        <v>0</v>
      </c>
      <c r="L483" s="47">
        <f t="shared" si="405"/>
        <v>55583.472000000002</v>
      </c>
      <c r="M483" s="47">
        <f t="shared" ref="M483" si="406">M476</f>
        <v>15951.240000000002</v>
      </c>
      <c r="N483" s="47">
        <f t="shared" si="405"/>
        <v>5395.0776881720431</v>
      </c>
      <c r="O483" s="47">
        <f t="shared" ref="O483:P483" si="407">O476</f>
        <v>0</v>
      </c>
      <c r="P483" s="47">
        <f t="shared" si="407"/>
        <v>0</v>
      </c>
      <c r="Q483" s="47">
        <f t="shared" si="405"/>
        <v>0</v>
      </c>
      <c r="R483" s="47">
        <f t="shared" si="405"/>
        <v>0</v>
      </c>
      <c r="S483" s="47">
        <f t="shared" si="405"/>
        <v>0</v>
      </c>
      <c r="T483" s="47">
        <f t="shared" si="405"/>
        <v>0</v>
      </c>
      <c r="U483" s="47">
        <f t="shared" si="405"/>
        <v>0</v>
      </c>
      <c r="V483" s="47">
        <f t="shared" si="405"/>
        <v>0</v>
      </c>
      <c r="W483" s="47">
        <f t="shared" si="405"/>
        <v>0</v>
      </c>
      <c r="X483" s="47">
        <f t="shared" si="405"/>
        <v>0</v>
      </c>
      <c r="Y483" s="47">
        <f t="shared" si="405"/>
        <v>0</v>
      </c>
      <c r="Z483" s="47">
        <f t="shared" si="405"/>
        <v>0</v>
      </c>
      <c r="AA483" s="47">
        <f t="shared" si="405"/>
        <v>0</v>
      </c>
      <c r="AB483" s="47">
        <f t="shared" si="405"/>
        <v>0</v>
      </c>
      <c r="AC483" s="47">
        <f t="shared" si="405"/>
        <v>0</v>
      </c>
      <c r="AD483" s="47">
        <f t="shared" si="405"/>
        <v>0</v>
      </c>
      <c r="AE483" s="47">
        <f t="shared" si="405"/>
        <v>0</v>
      </c>
      <c r="AF483" s="47">
        <f t="shared" si="405"/>
        <v>0</v>
      </c>
      <c r="AG483" s="47">
        <f t="shared" si="405"/>
        <v>0</v>
      </c>
      <c r="AH483" s="87">
        <f>SUM(F483:AG483)</f>
        <v>1101637.0004527234</v>
      </c>
      <c r="AI483" s="27" t="str">
        <f t="shared" ref="AI483:AI488" si="408">IF(ABS(E483-AH483)&lt;0.01,"ok","err")</f>
        <v>ok</v>
      </c>
    </row>
    <row r="484" spans="1:35" x14ac:dyDescent="0.2">
      <c r="A484" s="14" t="s">
        <v>610</v>
      </c>
      <c r="E484" s="87">
        <f>E477</f>
        <v>555919.07999999996</v>
      </c>
      <c r="AH484" s="87">
        <f>E484</f>
        <v>555919.07999999996</v>
      </c>
      <c r="AI484" s="27" t="str">
        <f t="shared" si="408"/>
        <v>ok</v>
      </c>
    </row>
    <row r="485" spans="1:35" x14ac:dyDescent="0.2">
      <c r="A485" s="14" t="s">
        <v>594</v>
      </c>
      <c r="E485" s="47"/>
      <c r="N485" s="47">
        <v>0</v>
      </c>
      <c r="O485" s="47"/>
      <c r="P485" s="47"/>
      <c r="Q485" s="47"/>
      <c r="R485" s="14">
        <v>0</v>
      </c>
      <c r="S485" s="14">
        <v>0</v>
      </c>
      <c r="T485" s="14">
        <v>0</v>
      </c>
      <c r="AE485" s="62">
        <v>0</v>
      </c>
      <c r="AF485" s="62"/>
      <c r="AH485" s="87">
        <f>SUM(F485:AG485)</f>
        <v>0</v>
      </c>
      <c r="AI485" s="27" t="str">
        <f t="shared" si="408"/>
        <v>ok</v>
      </c>
    </row>
    <row r="486" spans="1:35" x14ac:dyDescent="0.2">
      <c r="A486" s="14" t="s">
        <v>611</v>
      </c>
      <c r="D486" s="14" t="s">
        <v>630</v>
      </c>
      <c r="E486" s="87">
        <f>E484-E485</f>
        <v>555919.07999999996</v>
      </c>
      <c r="F486" s="47">
        <f>IF(VLOOKUP($D486,$C$5:$AV$509,3,)=0,0,(VLOOKUP($D486,$C$5:$AV$509,4,)/VLOOKUP($D486,$C$5:$AV$509,3,))*$E486)</f>
        <v>423245.05152870208</v>
      </c>
      <c r="G486" s="47">
        <f>IF(VLOOKUP($D486,$C$5:$AV$509,3,)=0,0,(VLOOKUP($D486,$C$5:$AV$509,5,)/VLOOKUP($D486,$C$5:$AV$509,3,))*$E486)</f>
        <v>319.35651483318401</v>
      </c>
      <c r="H486" s="47">
        <f>IF(VLOOKUP($D486,$C$5:$AV$509,3,)=0,0,(VLOOKUP($D486,$C$5:$AV$509,6,)/VLOOKUP($D486,$C$5:$AV$509,3,))*$E486)</f>
        <v>44412.257444662828</v>
      </c>
      <c r="I486" s="47">
        <f>IF(VLOOKUP($D486,$C$5:$AV$509,3,)=0,0,(VLOOKUP($D486,$C$5:$AV$509,7,)/VLOOKUP($D486,$C$5:$AV$509,3,))*$E486)</f>
        <v>4744.0725834409513</v>
      </c>
      <c r="J486" s="47">
        <f>IF(VLOOKUP($D486,$C$5:$AV$509,3,)=0,0,(VLOOKUP($D486,$C$5:$AV$509,8,)/VLOOKUP($D486,$C$5:$AV$509,3,))*$E486)</f>
        <v>44377.262125788024</v>
      </c>
      <c r="K486" s="47">
        <f>IF(VLOOKUP($D486,$C$5:$AV$509,3,)=0,0,(VLOOKUP($D486,$C$5:$AV$509,9,)/VLOOKUP($D486,$C$5:$AV$509,3,))*$E486)</f>
        <v>0</v>
      </c>
      <c r="L486" s="47">
        <f>IF(VLOOKUP($D486,$C$5:$AV$509,3,)=0,0,(VLOOKUP($D486,$C$5:$AV$509,10,)/VLOOKUP($D486,$C$5:$AV$509,3,))*$E486)</f>
        <v>28049.08749864727</v>
      </c>
      <c r="M486" s="47">
        <f>IF(VLOOKUP($D486,$C$5:$AV$509,3,)=0,0,(VLOOKUP($D486,$C$5:$AV$509,11,)/VLOOKUP($D486,$C$5:$AV$509,3,))*$E486)</f>
        <v>8049.4742478829376</v>
      </c>
      <c r="N486" s="47">
        <f>IF(VLOOKUP($D486,$C$5:$AV$509,3,)=0,0,(VLOOKUP($D486,$C$5:$AV$509,12,)/VLOOKUP($D486,$C$5:$AV$509,3,))*$E486)</f>
        <v>2722.5180560425815</v>
      </c>
      <c r="O486" s="47">
        <f>IF(VLOOKUP($D486,$C$5:$AV$509,3,)=0,0,(VLOOKUP($D486,$C$5:$AV$509,14,)/VLOOKUP($D486,$C$5:$AV$509,3,))*$E486)</f>
        <v>0</v>
      </c>
      <c r="P486" s="47">
        <f>IF(VLOOKUP($D486,$C$5:$AV$509,3,)=0,0,(VLOOKUP($D486,$C$5:$AV$509,14,)/VLOOKUP($D486,$C$5:$AV$509,3,))*$E486)</f>
        <v>0</v>
      </c>
      <c r="Q486" s="47">
        <f>IF(VLOOKUP($D486,$C$5:$AV$509,3,)=0,0,(VLOOKUP($D486,$C$5:$AV$509,14,)/VLOOKUP($D486,$C$5:$AV$509,3,))*$E486)</f>
        <v>0</v>
      </c>
      <c r="R486" s="47">
        <f>IF(VLOOKUP($D486,$C$5:$AV$509,3,)=0,0,(VLOOKUP($D486,$C$5:$AV$509,15,)/VLOOKUP($D486,$C$5:$AV$509,3,))*$E486)</f>
        <v>0</v>
      </c>
      <c r="S486" s="47">
        <f>IF(VLOOKUP($D486,$C$5:$AV$509,3,)=0,0,(VLOOKUP($D486,$C$5:$AV$509,16,)/VLOOKUP($D486,$C$5:$AV$509,3,))*$E486)</f>
        <v>0</v>
      </c>
      <c r="T486" s="47">
        <f>IF(VLOOKUP($D486,$C$5:$AV$509,3,)=0,0,(VLOOKUP($D486,$C$5:$AV$509,17,)/VLOOKUP($D486,$C$5:$AV$509,3,))*$E486)</f>
        <v>0</v>
      </c>
      <c r="U486" s="47">
        <f>IF(VLOOKUP($D486,$C$5:$AV$509,3,)=0,0,(VLOOKUP($D486,$C$5:$AV$509,18,)/VLOOKUP($D486,$C$5:$AV$509,3,))*$E486)</f>
        <v>0</v>
      </c>
      <c r="V486" s="47">
        <f>IF(VLOOKUP($D486,$C$5:$AV$509,3,)=0,0,(VLOOKUP($D486,$C$5:$AV$509,19,)/VLOOKUP($D486,$C$5:$AV$509,3,))*$E486)</f>
        <v>0</v>
      </c>
      <c r="W486" s="47">
        <f>IF(VLOOKUP($D486,$C$5:$AV$509,3,)=0,0,(VLOOKUP($D486,$C$5:$AV$509,20,)/VLOOKUP($D486,$C$5:$AV$509,3,))*$E486)</f>
        <v>0</v>
      </c>
      <c r="X486" s="47">
        <f>IF(VLOOKUP($D486,$C$5:$AV$509,3,)=0,0,(VLOOKUP($D486,$C$5:$AV$509,21,)/VLOOKUP($D486,$C$5:$AV$509,3,))*$E486)</f>
        <v>0</v>
      </c>
      <c r="Y486" s="47">
        <f>IF(VLOOKUP($D486,$C$5:$AV$509,3,)=0,0,(VLOOKUP($D486,$C$5:$AV$509,22,)/VLOOKUP($D486,$C$5:$AV$509,3,))*$E486)</f>
        <v>0</v>
      </c>
      <c r="Z486" s="47">
        <f>IF(VLOOKUP($D486,$C$5:$AV$509,3,)=0,0,(VLOOKUP($D486,$C$5:$AV$509,23,)/VLOOKUP($D486,$C$5:$AV$509,3,))*$E486)</f>
        <v>0</v>
      </c>
      <c r="AA486" s="47">
        <f>IF(VLOOKUP($D486,$C$5:$AV$509,3,)=0,0,(VLOOKUP($D486,$C$5:$AV$509,24,)/VLOOKUP($D486,$C$5:$AV$509,3,))*$E486)</f>
        <v>0</v>
      </c>
      <c r="AB486" s="47">
        <f>IF(VLOOKUP($D486,$C$5:$AV$509,3,)=0,0,(VLOOKUP($D486,$C$5:$AV$509,25,)/VLOOKUP($D486,$C$5:$AV$509,3,))*$E486)</f>
        <v>0</v>
      </c>
      <c r="AC486" s="47">
        <f>IF(VLOOKUP($D486,$C$5:$AV$509,3,)=0,0,(VLOOKUP($D486,$C$5:$AV$509,26,)/VLOOKUP($D486,$C$5:$AV$509,3,))*$E486)</f>
        <v>0</v>
      </c>
      <c r="AD486" s="47">
        <f>IF(VLOOKUP($D486,$C$5:$AV$509,3,)=0,0,(VLOOKUP($D486,$C$5:$AV$509,27,)/VLOOKUP($D486,$C$5:$AV$509,3,))*$E486)</f>
        <v>0</v>
      </c>
      <c r="AE486" s="47">
        <f>IF(VLOOKUP($D486,$C$5:$AV$509,3,)=0,0,(VLOOKUP($D486,$C$5:$AV$509,28,)/VLOOKUP($D486,$C$5:$AV$509,3,))*$E486)</f>
        <v>0</v>
      </c>
      <c r="AF486" s="47">
        <f>IF(VLOOKUP($D486,$C$5:$AV$509,3,)=0,0,(VLOOKUP($D486,$C$5:$AV$509,29,)/VLOOKUP($D486,$C$5:$AV$509,3,))*$E486)</f>
        <v>0</v>
      </c>
      <c r="AG486" s="47">
        <f>IF(VLOOKUP($D486,$C$5:$AV$509,3,)=0,0,(VLOOKUP($D486,$C$5:$AV$509,30,)/VLOOKUP($D486,$C$5:$AV$509,3,))*$E486)</f>
        <v>0</v>
      </c>
      <c r="AH486" s="47">
        <f t="shared" ref="AH486" si="409">SUM(F486:AG486)</f>
        <v>555919.07999999984</v>
      </c>
      <c r="AI486" s="27" t="str">
        <f t="shared" si="408"/>
        <v>ok</v>
      </c>
    </row>
    <row r="487" spans="1:35" x14ac:dyDescent="0.2">
      <c r="A487" s="14" t="s">
        <v>612</v>
      </c>
      <c r="C487" s="14" t="s">
        <v>631</v>
      </c>
      <c r="E487" s="87">
        <f t="shared" ref="E487:AG487" si="410">E485+E486</f>
        <v>555919.07999999996</v>
      </c>
      <c r="F487" s="87">
        <f t="shared" si="410"/>
        <v>423245.05152870208</v>
      </c>
      <c r="G487" s="87">
        <f t="shared" si="410"/>
        <v>319.35651483318401</v>
      </c>
      <c r="H487" s="87">
        <f t="shared" si="410"/>
        <v>44412.257444662828</v>
      </c>
      <c r="I487" s="87">
        <f t="shared" si="410"/>
        <v>4744.0725834409513</v>
      </c>
      <c r="J487" s="87">
        <f t="shared" si="410"/>
        <v>44377.262125788024</v>
      </c>
      <c r="K487" s="87">
        <f t="shared" si="410"/>
        <v>0</v>
      </c>
      <c r="L487" s="87">
        <f t="shared" si="410"/>
        <v>28049.08749864727</v>
      </c>
      <c r="M487" s="87">
        <f t="shared" ref="M487" si="411">M485+M486</f>
        <v>8049.4742478829376</v>
      </c>
      <c r="N487" s="87">
        <f t="shared" si="410"/>
        <v>2722.5180560425815</v>
      </c>
      <c r="O487" s="87">
        <f t="shared" ref="O487:P487" si="412">O485+O486</f>
        <v>0</v>
      </c>
      <c r="P487" s="87">
        <f t="shared" si="412"/>
        <v>0</v>
      </c>
      <c r="Q487" s="87">
        <f t="shared" si="410"/>
        <v>0</v>
      </c>
      <c r="R487" s="87">
        <f t="shared" si="410"/>
        <v>0</v>
      </c>
      <c r="S487" s="87">
        <f t="shared" si="410"/>
        <v>0</v>
      </c>
      <c r="T487" s="87">
        <f t="shared" si="410"/>
        <v>0</v>
      </c>
      <c r="U487" s="87">
        <f t="shared" si="410"/>
        <v>0</v>
      </c>
      <c r="V487" s="87">
        <f t="shared" si="410"/>
        <v>0</v>
      </c>
      <c r="W487" s="87">
        <f t="shared" si="410"/>
        <v>0</v>
      </c>
      <c r="X487" s="87">
        <f t="shared" si="410"/>
        <v>0</v>
      </c>
      <c r="Y487" s="87">
        <f t="shared" si="410"/>
        <v>0</v>
      </c>
      <c r="Z487" s="87">
        <f t="shared" si="410"/>
        <v>0</v>
      </c>
      <c r="AA487" s="87">
        <f t="shared" si="410"/>
        <v>0</v>
      </c>
      <c r="AB487" s="87">
        <f t="shared" si="410"/>
        <v>0</v>
      </c>
      <c r="AC487" s="87">
        <f t="shared" si="410"/>
        <v>0</v>
      </c>
      <c r="AD487" s="87">
        <f t="shared" si="410"/>
        <v>0</v>
      </c>
      <c r="AE487" s="87">
        <f t="shared" si="410"/>
        <v>0</v>
      </c>
      <c r="AF487" s="87">
        <f t="shared" si="410"/>
        <v>0</v>
      </c>
      <c r="AG487" s="87">
        <f t="shared" si="410"/>
        <v>0</v>
      </c>
      <c r="AH487" s="87">
        <f>SUM(F487:AG487)</f>
        <v>555919.07999999984</v>
      </c>
      <c r="AI487" s="27" t="str">
        <f t="shared" si="408"/>
        <v>ok</v>
      </c>
    </row>
    <row r="488" spans="1:35" x14ac:dyDescent="0.2">
      <c r="A488" s="14" t="s">
        <v>637</v>
      </c>
      <c r="C488" s="14" t="s">
        <v>632</v>
      </c>
      <c r="D488" s="14" t="s">
        <v>631</v>
      </c>
      <c r="E488" s="46">
        <v>1</v>
      </c>
      <c r="F488" s="47">
        <f>IF(VLOOKUP($D488,$C$5:$AV$509,3,)=0,0,(VLOOKUP($D488,$C$5:$AV$509,4,)/VLOOKUP($D488,$C$5:$AV$509,3,))*$E488)</f>
        <v>0.76134291258487141</v>
      </c>
      <c r="G488" s="47">
        <f>IF(VLOOKUP($D488,$C$5:$AV$509,3,)=0,0,(VLOOKUP($D488,$C$5:$AV$509,5,)/VLOOKUP($D488,$C$5:$AV$509,3,))*$E488)</f>
        <v>5.7446582843169198E-4</v>
      </c>
      <c r="H488" s="47">
        <f>IF(VLOOKUP($D488,$C$5:$AV$509,3,)=0,0,(VLOOKUP($D488,$C$5:$AV$509,6,)/VLOOKUP($D488,$C$5:$AV$509,3,))*$E488)</f>
        <v>7.9889787996956022E-2</v>
      </c>
      <c r="I488" s="47">
        <f>IF(VLOOKUP($D488,$C$5:$AV$509,3,)=0,0,(VLOOKUP($D488,$C$5:$AV$509,7,)/VLOOKUP($D488,$C$5:$AV$509,3,))*$E488)</f>
        <v>8.5337466442795083E-3</v>
      </c>
      <c r="J488" s="47">
        <f>IF(VLOOKUP($D488,$C$5:$AV$509,3,)=0,0,(VLOOKUP($D488,$C$5:$AV$509,8,)/VLOOKUP($D488,$C$5:$AV$509,3,))*$E488)</f>
        <v>7.982683761418663E-2</v>
      </c>
      <c r="K488" s="47">
        <f>IF(VLOOKUP($D488,$C$5:$AV$509,3,)=0,0,(VLOOKUP($D488,$C$5:$AV$509,9,)/VLOOKUP($D488,$C$5:$AV$509,3,))*$E488)</f>
        <v>0</v>
      </c>
      <c r="L488" s="47">
        <f>IF(VLOOKUP($D488,$C$5:$AV$509,3,)=0,0,(VLOOKUP($D488,$C$5:$AV$509,10,)/VLOOKUP($D488,$C$5:$AV$509,3,))*$E488)</f>
        <v>5.0455342347032361E-2</v>
      </c>
      <c r="M488" s="47">
        <f>IF(VLOOKUP($D488,$C$5:$AV$509,3,)=0,0,(VLOOKUP($D488,$C$5:$AV$509,11,)/VLOOKUP($D488,$C$5:$AV$509,3,))*$E488)</f>
        <v>1.4479579020534676E-2</v>
      </c>
      <c r="N488" s="47">
        <f>IF(VLOOKUP($D488,$C$5:$AV$509,3,)=0,0,(VLOOKUP($D488,$C$5:$AV$509,12,)/VLOOKUP($D488,$C$5:$AV$509,3,))*$E488)</f>
        <v>4.8973279637075625E-3</v>
      </c>
      <c r="O488" s="47">
        <f>IF(VLOOKUP($D488,$C$5:$AV$509,3,)=0,0,(VLOOKUP($D488,$C$5:$AV$509,14,)/VLOOKUP($D488,$C$5:$AV$509,3,))*$E488)</f>
        <v>0</v>
      </c>
      <c r="P488" s="47">
        <f>IF(VLOOKUP($D488,$C$5:$AV$509,3,)=0,0,(VLOOKUP($D488,$C$5:$AV$509,14,)/VLOOKUP($D488,$C$5:$AV$509,3,))*$E488)</f>
        <v>0</v>
      </c>
      <c r="Q488" s="47">
        <f>IF(VLOOKUP($D488,$C$5:$AV$509,3,)=0,0,(VLOOKUP($D488,$C$5:$AV$509,14,)/VLOOKUP($D488,$C$5:$AV$509,3,))*$E488)</f>
        <v>0</v>
      </c>
      <c r="R488" s="47">
        <f>IF(VLOOKUP($D488,$C$5:$AV$509,3,)=0,0,(VLOOKUP($D488,$C$5:$AV$509,15,)/VLOOKUP($D488,$C$5:$AV$509,3,))*$E488)</f>
        <v>0</v>
      </c>
      <c r="S488" s="47">
        <f>IF(VLOOKUP($D488,$C$5:$AV$509,3,)=0,0,(VLOOKUP($D488,$C$5:$AV$509,16,)/VLOOKUP($D488,$C$5:$AV$509,3,))*$E488)</f>
        <v>0</v>
      </c>
      <c r="T488" s="47">
        <f>IF(VLOOKUP($D488,$C$5:$AV$509,3,)=0,0,(VLOOKUP($D488,$C$5:$AV$509,17,)/VLOOKUP($D488,$C$5:$AV$509,3,))*$E488)</f>
        <v>0</v>
      </c>
      <c r="U488" s="47">
        <f>IF(VLOOKUP($D488,$C$5:$AV$509,3,)=0,0,(VLOOKUP($D488,$C$5:$AV$509,18,)/VLOOKUP($D488,$C$5:$AV$509,3,))*$E488)</f>
        <v>0</v>
      </c>
      <c r="V488" s="47">
        <f>IF(VLOOKUP($D488,$C$5:$AV$509,3,)=0,0,(VLOOKUP($D488,$C$5:$AV$509,19,)/VLOOKUP($D488,$C$5:$AV$509,3,))*$E488)</f>
        <v>0</v>
      </c>
      <c r="W488" s="47">
        <f>IF(VLOOKUP($D488,$C$5:$AV$509,3,)=0,0,(VLOOKUP($D488,$C$5:$AV$509,20,)/VLOOKUP($D488,$C$5:$AV$509,3,))*$E488)</f>
        <v>0</v>
      </c>
      <c r="X488" s="47">
        <f>IF(VLOOKUP($D488,$C$5:$AV$509,3,)=0,0,(VLOOKUP($D488,$C$5:$AV$509,21,)/VLOOKUP($D488,$C$5:$AV$509,3,))*$E488)</f>
        <v>0</v>
      </c>
      <c r="Y488" s="47">
        <f>IF(VLOOKUP($D488,$C$5:$AV$509,3,)=0,0,(VLOOKUP($D488,$C$5:$AV$509,22,)/VLOOKUP($D488,$C$5:$AV$509,3,))*$E488)</f>
        <v>0</v>
      </c>
      <c r="Z488" s="47">
        <f>IF(VLOOKUP($D488,$C$5:$AV$509,3,)=0,0,(VLOOKUP($D488,$C$5:$AV$509,23,)/VLOOKUP($D488,$C$5:$AV$509,3,))*$E488)</f>
        <v>0</v>
      </c>
      <c r="AA488" s="47">
        <f>IF(VLOOKUP($D488,$C$5:$AV$509,3,)=0,0,(VLOOKUP($D488,$C$5:$AV$509,24,)/VLOOKUP($D488,$C$5:$AV$509,3,))*$E488)</f>
        <v>0</v>
      </c>
      <c r="AB488" s="47">
        <f>IF(VLOOKUP($D488,$C$5:$AV$509,3,)=0,0,(VLOOKUP($D488,$C$5:$AV$509,25,)/VLOOKUP($D488,$C$5:$AV$509,3,))*$E488)</f>
        <v>0</v>
      </c>
      <c r="AC488" s="47">
        <f>IF(VLOOKUP($D488,$C$5:$AV$509,3,)=0,0,(VLOOKUP($D488,$C$5:$AV$509,26,)/VLOOKUP($D488,$C$5:$AV$509,3,))*$E488)</f>
        <v>0</v>
      </c>
      <c r="AD488" s="47">
        <f>IF(VLOOKUP($D488,$C$5:$AV$509,3,)=0,0,(VLOOKUP($D488,$C$5:$AV$509,27,)/VLOOKUP($D488,$C$5:$AV$509,3,))*$E488)</f>
        <v>0</v>
      </c>
      <c r="AE488" s="47">
        <f>IF(VLOOKUP($D488,$C$5:$AV$509,3,)=0,0,(VLOOKUP($D488,$C$5:$AV$509,28,)/VLOOKUP($D488,$C$5:$AV$509,3,))*$E488)</f>
        <v>0</v>
      </c>
      <c r="AF488" s="47">
        <f>IF(VLOOKUP($D488,$C$5:$AV$509,3,)=0,0,(VLOOKUP($D488,$C$5:$AV$509,29,)/VLOOKUP($D488,$C$5:$AV$509,3,))*$E488)</f>
        <v>0</v>
      </c>
      <c r="AG488" s="47">
        <f>IF(VLOOKUP($D488,$C$5:$AV$509,3,)=0,0,(VLOOKUP($D488,$C$5:$AV$509,30,)/VLOOKUP($D488,$C$5:$AV$509,3,))*$E488)</f>
        <v>0</v>
      </c>
      <c r="AH488" s="47">
        <f t="shared" ref="AH488" si="413">SUM(F488:AG488)</f>
        <v>0.99999999999999978</v>
      </c>
      <c r="AI488" s="27" t="str">
        <f t="shared" si="408"/>
        <v>ok</v>
      </c>
    </row>
    <row r="490" spans="1:35" x14ac:dyDescent="0.2">
      <c r="A490" s="25" t="s">
        <v>905</v>
      </c>
    </row>
    <row r="492" spans="1:35" x14ac:dyDescent="0.2">
      <c r="A492" s="14" t="s">
        <v>621</v>
      </c>
      <c r="C492" s="14" t="s">
        <v>622</v>
      </c>
      <c r="E492" s="47">
        <f>E462</f>
        <v>2919792.9762314339</v>
      </c>
      <c r="F492" s="47">
        <f t="shared" ref="F492:AG492" si="414">F462</f>
        <v>2449046.9990434945</v>
      </c>
      <c r="G492" s="47">
        <f t="shared" si="414"/>
        <v>2479.4821357455767</v>
      </c>
      <c r="H492" s="47">
        <f t="shared" si="414"/>
        <v>191325.10090384915</v>
      </c>
      <c r="I492" s="47">
        <f t="shared" si="414"/>
        <v>21799.631433803064</v>
      </c>
      <c r="J492" s="47">
        <f t="shared" si="414"/>
        <v>154813.58300000001</v>
      </c>
      <c r="K492" s="47">
        <f t="shared" si="414"/>
        <v>0</v>
      </c>
      <c r="L492" s="47">
        <f t="shared" si="414"/>
        <v>69479.34</v>
      </c>
      <c r="M492" s="47">
        <f t="shared" ref="M492" si="415">M462</f>
        <v>19939.05</v>
      </c>
      <c r="N492" s="47">
        <f t="shared" si="414"/>
        <v>10909.789714541732</v>
      </c>
      <c r="O492" s="47">
        <f t="shared" ref="O492:P492" si="416">O462</f>
        <v>0</v>
      </c>
      <c r="P492" s="47">
        <f t="shared" si="416"/>
        <v>0</v>
      </c>
      <c r="Q492" s="47">
        <f t="shared" si="414"/>
        <v>0</v>
      </c>
      <c r="R492" s="47">
        <f t="shared" si="414"/>
        <v>0</v>
      </c>
      <c r="S492" s="47">
        <f t="shared" si="414"/>
        <v>0</v>
      </c>
      <c r="T492" s="47">
        <f t="shared" si="414"/>
        <v>0</v>
      </c>
      <c r="U492" s="47">
        <f t="shared" si="414"/>
        <v>0</v>
      </c>
      <c r="V492" s="47">
        <f t="shared" si="414"/>
        <v>0</v>
      </c>
      <c r="W492" s="47">
        <f t="shared" si="414"/>
        <v>0</v>
      </c>
      <c r="X492" s="47">
        <f t="shared" si="414"/>
        <v>0</v>
      </c>
      <c r="Y492" s="47">
        <f t="shared" si="414"/>
        <v>0</v>
      </c>
      <c r="Z492" s="47">
        <f t="shared" si="414"/>
        <v>0</v>
      </c>
      <c r="AA492" s="47">
        <f t="shared" si="414"/>
        <v>0</v>
      </c>
      <c r="AB492" s="47">
        <f t="shared" si="414"/>
        <v>0</v>
      </c>
      <c r="AC492" s="47">
        <f t="shared" si="414"/>
        <v>0</v>
      </c>
      <c r="AD492" s="47">
        <f t="shared" si="414"/>
        <v>0</v>
      </c>
      <c r="AE492" s="47">
        <f t="shared" si="414"/>
        <v>0</v>
      </c>
      <c r="AF492" s="47">
        <f t="shared" si="414"/>
        <v>0</v>
      </c>
      <c r="AG492" s="47">
        <f t="shared" si="414"/>
        <v>0</v>
      </c>
      <c r="AH492" s="87">
        <f>SUM(F492:AG492)</f>
        <v>2919792.9762314339</v>
      </c>
      <c r="AI492" s="27" t="str">
        <f>IF(ABS(E492-AH492)&lt;0.01,"ok","err")</f>
        <v>ok</v>
      </c>
    </row>
    <row r="493" spans="1:35" x14ac:dyDescent="0.2">
      <c r="A493" s="14" t="s">
        <v>620</v>
      </c>
      <c r="C493" s="14" t="s">
        <v>619</v>
      </c>
      <c r="D493" s="14" t="s">
        <v>622</v>
      </c>
      <c r="E493" s="46">
        <v>1</v>
      </c>
      <c r="F493" s="47">
        <f>IF(VLOOKUP($D493,$C$5:$AV$509,3,)=0,0,(VLOOKUP($D493,$C$5:$AV$509,4,)/VLOOKUP($D493,$C$5:$AV$509,3,))*$E493)</f>
        <v>0.83877419357466587</v>
      </c>
      <c r="G493" s="47">
        <f>IF(VLOOKUP($D493,$C$5:$AV$509,3,)=0,0,(VLOOKUP($D493,$C$5:$AV$509,5,)/VLOOKUP($D493,$C$5:$AV$509,3,))*$E493)</f>
        <v>8.4919792462335303E-4</v>
      </c>
      <c r="H493" s="47">
        <f>IF(VLOOKUP($D493,$C$5:$AV$509,3,)=0,0,(VLOOKUP($D493,$C$5:$AV$509,6,)/VLOOKUP($D493,$C$5:$AV$509,3,))*$E493)</f>
        <v>6.5526940595217048E-2</v>
      </c>
      <c r="I493" s="47">
        <f>IF(VLOOKUP($D493,$C$5:$AV$509,3,)=0,0,(VLOOKUP($D493,$C$5:$AV$509,7,)/VLOOKUP($D493,$C$5:$AV$509,3,))*$E493)</f>
        <v>7.4661565430367491E-3</v>
      </c>
      <c r="J493" s="47">
        <f>IF(VLOOKUP($D493,$C$5:$AV$509,3,)=0,0,(VLOOKUP($D493,$C$5:$AV$509,8,)/VLOOKUP($D493,$C$5:$AV$509,3,))*$E493)</f>
        <v>5.30221095331962E-2</v>
      </c>
      <c r="K493" s="47">
        <f>IF(VLOOKUP($D493,$C$5:$AV$509,3,)=0,0,(VLOOKUP($D493,$C$5:$AV$509,9,)/VLOOKUP($D493,$C$5:$AV$509,3,))*$E493)</f>
        <v>0</v>
      </c>
      <c r="L493" s="47">
        <f>IF(VLOOKUP($D493,$C$5:$AV$509,3,)=0,0,(VLOOKUP($D493,$C$5:$AV$509,10,)/VLOOKUP($D493,$C$5:$AV$509,3,))*$E493)</f>
        <v>2.3795981621161623E-2</v>
      </c>
      <c r="M493" s="47">
        <f>IF(VLOOKUP($D493,$C$5:$AV$509,3,)=0,0,(VLOOKUP($D493,$C$5:$AV$509,11,)/VLOOKUP($D493,$C$5:$AV$509,3,))*$E493)</f>
        <v>6.8289259417752476E-3</v>
      </c>
      <c r="N493" s="47">
        <f>IF(VLOOKUP($D493,$C$5:$AV$509,3,)=0,0,(VLOOKUP($D493,$C$5:$AV$509,12,)/VLOOKUP($D493,$C$5:$AV$509,3,))*$E493)</f>
        <v>3.7364942663239628E-3</v>
      </c>
      <c r="O493" s="47">
        <f>IF(VLOOKUP($D493,$C$5:$AV$509,3,)=0,0,(VLOOKUP($D493,$C$5:$AV$509,14,)/VLOOKUP($D493,$C$5:$AV$509,3,))*$E493)</f>
        <v>0</v>
      </c>
      <c r="P493" s="47">
        <f>IF(VLOOKUP($D493,$C$5:$AV$509,3,)=0,0,(VLOOKUP($D493,$C$5:$AV$509,14,)/VLOOKUP($D493,$C$5:$AV$509,3,))*$E493)</f>
        <v>0</v>
      </c>
      <c r="Q493" s="47">
        <f>IF(VLOOKUP($D493,$C$5:$AV$509,3,)=0,0,(VLOOKUP($D493,$C$5:$AV$509,14,)/VLOOKUP($D493,$C$5:$AV$509,3,))*$E493)</f>
        <v>0</v>
      </c>
      <c r="R493" s="47">
        <f>IF(VLOOKUP($D493,$C$5:$AV$509,3,)=0,0,(VLOOKUP($D493,$C$5:$AV$509,15,)/VLOOKUP($D493,$C$5:$AV$509,3,))*$E493)</f>
        <v>0</v>
      </c>
      <c r="S493" s="47">
        <f>IF(VLOOKUP($D493,$C$5:$AV$509,3,)=0,0,(VLOOKUP($D493,$C$5:$AV$509,16,)/VLOOKUP($D493,$C$5:$AV$509,3,))*$E493)</f>
        <v>0</v>
      </c>
      <c r="T493" s="47">
        <f>IF(VLOOKUP($D493,$C$5:$AV$509,3,)=0,0,(VLOOKUP($D493,$C$5:$AV$509,17,)/VLOOKUP($D493,$C$5:$AV$509,3,))*$E493)</f>
        <v>0</v>
      </c>
      <c r="U493" s="47">
        <f>IF(VLOOKUP($D493,$C$5:$AV$509,3,)=0,0,(VLOOKUP($D493,$C$5:$AV$509,18,)/VLOOKUP($D493,$C$5:$AV$509,3,))*$E493)</f>
        <v>0</v>
      </c>
      <c r="V493" s="47">
        <f>IF(VLOOKUP($D493,$C$5:$AV$509,3,)=0,0,(VLOOKUP($D493,$C$5:$AV$509,19,)/VLOOKUP($D493,$C$5:$AV$509,3,))*$E493)</f>
        <v>0</v>
      </c>
      <c r="W493" s="47">
        <f>IF(VLOOKUP($D493,$C$5:$AV$509,3,)=0,0,(VLOOKUP($D493,$C$5:$AV$509,20,)/VLOOKUP($D493,$C$5:$AV$509,3,))*$E493)</f>
        <v>0</v>
      </c>
      <c r="X493" s="47">
        <f>IF(VLOOKUP($D493,$C$5:$AV$509,3,)=0,0,(VLOOKUP($D493,$C$5:$AV$509,21,)/VLOOKUP($D493,$C$5:$AV$509,3,))*$E493)</f>
        <v>0</v>
      </c>
      <c r="Y493" s="47">
        <f>IF(VLOOKUP($D493,$C$5:$AV$509,3,)=0,0,(VLOOKUP($D493,$C$5:$AV$509,22,)/VLOOKUP($D493,$C$5:$AV$509,3,))*$E493)</f>
        <v>0</v>
      </c>
      <c r="Z493" s="47">
        <f>IF(VLOOKUP($D493,$C$5:$AV$509,3,)=0,0,(VLOOKUP($D493,$C$5:$AV$509,23,)/VLOOKUP($D493,$C$5:$AV$509,3,))*$E493)</f>
        <v>0</v>
      </c>
      <c r="AA493" s="47">
        <f>IF(VLOOKUP($D493,$C$5:$AV$509,3,)=0,0,(VLOOKUP($D493,$C$5:$AV$509,24,)/VLOOKUP($D493,$C$5:$AV$509,3,))*$E493)</f>
        <v>0</v>
      </c>
      <c r="AB493" s="47">
        <f>IF(VLOOKUP($D493,$C$5:$AV$509,3,)=0,0,(VLOOKUP($D493,$C$5:$AV$509,25,)/VLOOKUP($D493,$C$5:$AV$509,3,))*$E493)</f>
        <v>0</v>
      </c>
      <c r="AC493" s="47">
        <f>IF(VLOOKUP($D493,$C$5:$AV$509,3,)=0,0,(VLOOKUP($D493,$C$5:$AV$509,26,)/VLOOKUP($D493,$C$5:$AV$509,3,))*$E493)</f>
        <v>0</v>
      </c>
      <c r="AD493" s="47">
        <f>IF(VLOOKUP($D493,$C$5:$AV$509,3,)=0,0,(VLOOKUP($D493,$C$5:$AV$509,27,)/VLOOKUP($D493,$C$5:$AV$509,3,))*$E493)</f>
        <v>0</v>
      </c>
      <c r="AE493" s="47">
        <f>IF(VLOOKUP($D493,$C$5:$AV$509,3,)=0,0,(VLOOKUP($D493,$C$5:$AV$509,28,)/VLOOKUP($D493,$C$5:$AV$509,3,))*$E493)</f>
        <v>0</v>
      </c>
      <c r="AF493" s="47">
        <f>IF(VLOOKUP($D493,$C$5:$AV$509,3,)=0,0,(VLOOKUP($D493,$C$5:$AV$509,29,)/VLOOKUP($D493,$C$5:$AV$509,3,))*$E493)</f>
        <v>0</v>
      </c>
      <c r="AG493" s="47">
        <f>IF(VLOOKUP($D493,$C$5:$AV$509,3,)=0,0,(VLOOKUP($D493,$C$5:$AV$509,30,)/VLOOKUP($D493,$C$5:$AV$509,3,))*$E493)</f>
        <v>0</v>
      </c>
      <c r="AH493" s="47">
        <f t="shared" ref="AH493" si="417">SUM(F493:AG493)</f>
        <v>0.99999999999999989</v>
      </c>
      <c r="AI493" s="27" t="str">
        <f>IF(ABS(E493-AH493)&lt;0.01,"ok","err")</f>
        <v>ok</v>
      </c>
    </row>
    <row r="495" spans="1:35" x14ac:dyDescent="0.2">
      <c r="A495" s="14" t="s">
        <v>651</v>
      </c>
      <c r="C495" s="14" t="s">
        <v>658</v>
      </c>
      <c r="E495" s="47">
        <v>1085685.7604527234</v>
      </c>
      <c r="F495" s="47">
        <f>F442</f>
        <v>838723.52253593772</v>
      </c>
      <c r="G495" s="47">
        <f t="shared" ref="G495:P495" si="418">G442</f>
        <v>632.85281209607797</v>
      </c>
      <c r="H495" s="47">
        <f t="shared" si="418"/>
        <v>88009.546415770616</v>
      </c>
      <c r="I495" s="47">
        <f t="shared" si="418"/>
        <v>9401.0910558275718</v>
      </c>
      <c r="J495" s="47">
        <f t="shared" si="418"/>
        <v>87940.197944919186</v>
      </c>
      <c r="K495" s="47">
        <f t="shared" si="418"/>
        <v>0</v>
      </c>
      <c r="L495" s="47">
        <f t="shared" si="418"/>
        <v>55583.472000000002</v>
      </c>
      <c r="M495" s="47">
        <v>0</v>
      </c>
      <c r="N495" s="47">
        <f t="shared" si="418"/>
        <v>5395.0776881720431</v>
      </c>
      <c r="O495" s="47">
        <f t="shared" si="418"/>
        <v>0</v>
      </c>
      <c r="P495" s="47">
        <f t="shared" si="418"/>
        <v>0</v>
      </c>
      <c r="Q495" s="47">
        <f t="shared" ref="Q495:AG495" si="419">Q442</f>
        <v>0</v>
      </c>
      <c r="R495" s="47">
        <f t="shared" si="419"/>
        <v>0</v>
      </c>
      <c r="S495" s="47">
        <f t="shared" si="419"/>
        <v>0</v>
      </c>
      <c r="T495" s="47">
        <f t="shared" si="419"/>
        <v>0</v>
      </c>
      <c r="U495" s="47">
        <f t="shared" si="419"/>
        <v>0</v>
      </c>
      <c r="V495" s="47">
        <f t="shared" si="419"/>
        <v>0</v>
      </c>
      <c r="W495" s="47">
        <f t="shared" si="419"/>
        <v>0</v>
      </c>
      <c r="X495" s="47">
        <f t="shared" si="419"/>
        <v>0</v>
      </c>
      <c r="Y495" s="47">
        <f t="shared" si="419"/>
        <v>0</v>
      </c>
      <c r="Z495" s="47">
        <f t="shared" si="419"/>
        <v>0</v>
      </c>
      <c r="AA495" s="47">
        <f t="shared" si="419"/>
        <v>0</v>
      </c>
      <c r="AB495" s="47">
        <f t="shared" si="419"/>
        <v>0</v>
      </c>
      <c r="AC495" s="47">
        <f t="shared" si="419"/>
        <v>0</v>
      </c>
      <c r="AD495" s="47">
        <f t="shared" si="419"/>
        <v>0</v>
      </c>
      <c r="AE495" s="47">
        <f t="shared" si="419"/>
        <v>0</v>
      </c>
      <c r="AF495" s="47">
        <f t="shared" si="419"/>
        <v>0</v>
      </c>
      <c r="AG495" s="47">
        <f t="shared" si="419"/>
        <v>0</v>
      </c>
      <c r="AH495" s="87">
        <f>SUM(F495:AG495)</f>
        <v>1085685.7604527234</v>
      </c>
      <c r="AI495" s="27" t="str">
        <f t="shared" ref="AI495:AI500" si="420">IF(ABS(E495-AH495)&lt;0.01,"ok","err")</f>
        <v>ok</v>
      </c>
    </row>
    <row r="496" spans="1:35" x14ac:dyDescent="0.2">
      <c r="A496" s="14" t="s">
        <v>652</v>
      </c>
      <c r="E496" s="229">
        <f>E123</f>
        <v>11589879.04854697</v>
      </c>
      <c r="F496" s="227"/>
      <c r="G496" s="227"/>
      <c r="H496" s="227"/>
      <c r="I496" s="227"/>
      <c r="J496" s="227"/>
      <c r="K496" s="227"/>
      <c r="L496" s="227"/>
      <c r="M496" s="227"/>
      <c r="AH496" s="87">
        <f>E496</f>
        <v>11589879.04854697</v>
      </c>
      <c r="AI496" s="27" t="str">
        <f t="shared" si="420"/>
        <v>ok</v>
      </c>
    </row>
    <row r="497" spans="1:42" x14ac:dyDescent="0.2">
      <c r="A497" s="14" t="s">
        <v>594</v>
      </c>
      <c r="E497" s="126">
        <f>M497</f>
        <v>190263.6</v>
      </c>
      <c r="F497" s="62">
        <v>0</v>
      </c>
      <c r="G497" s="62">
        <v>0</v>
      </c>
      <c r="H497" s="62">
        <v>0</v>
      </c>
      <c r="I497" s="62">
        <v>0</v>
      </c>
      <c r="J497" s="62">
        <v>0</v>
      </c>
      <c r="K497" s="62">
        <v>0</v>
      </c>
      <c r="L497" s="62">
        <v>0</v>
      </c>
      <c r="M497" s="62">
        <f>'Purchased Power'!O56</f>
        <v>190263.6</v>
      </c>
      <c r="N497" s="62">
        <v>0</v>
      </c>
      <c r="O497" s="62">
        <v>0</v>
      </c>
      <c r="P497" s="62">
        <v>0</v>
      </c>
      <c r="Q497" s="62">
        <v>0</v>
      </c>
      <c r="R497" s="62">
        <v>0</v>
      </c>
      <c r="S497" s="62">
        <v>0</v>
      </c>
      <c r="T497" s="62">
        <v>0</v>
      </c>
      <c r="U497" s="62">
        <v>0</v>
      </c>
      <c r="V497" s="62">
        <v>0</v>
      </c>
      <c r="W497" s="62">
        <v>0</v>
      </c>
      <c r="X497" s="62">
        <v>0</v>
      </c>
      <c r="Y497" s="62">
        <v>0</v>
      </c>
      <c r="Z497" s="62">
        <v>0</v>
      </c>
      <c r="AA497" s="62">
        <v>0</v>
      </c>
      <c r="AB497" s="62">
        <v>0</v>
      </c>
      <c r="AC497" s="62">
        <v>0</v>
      </c>
      <c r="AD497" s="62">
        <v>0</v>
      </c>
      <c r="AE497" s="62">
        <v>0</v>
      </c>
      <c r="AF497" s="62">
        <v>0</v>
      </c>
      <c r="AG497" s="62">
        <v>0</v>
      </c>
      <c r="AH497" s="87">
        <f>SUM(F497:AG497)</f>
        <v>190263.6</v>
      </c>
      <c r="AI497" s="27" t="str">
        <f t="shared" si="420"/>
        <v>ok</v>
      </c>
    </row>
    <row r="498" spans="1:42" x14ac:dyDescent="0.2">
      <c r="A498" s="14" t="s">
        <v>653</v>
      </c>
      <c r="D498" s="14" t="s">
        <v>658</v>
      </c>
      <c r="E498" s="230">
        <f>E496-E497</f>
        <v>11399615.44854697</v>
      </c>
      <c r="F498" s="47">
        <f>IF(VLOOKUP($D498,$C$5:$AV$509,3,)=0,0,(VLOOKUP($D498,$C$5:$AV$509,4,)/VLOOKUP($D498,$C$5:$AV$509,3,))*$E498)</f>
        <v>8806531.2937083058</v>
      </c>
      <c r="G498" s="47">
        <f>IF(VLOOKUP($D498,$C$5:$AV$509,3,)=0,0,(VLOOKUP($D498,$C$5:$AV$509,5,)/VLOOKUP($D498,$C$5:$AV$509,3,))*$E498)</f>
        <v>6644.9049588884163</v>
      </c>
      <c r="H498" s="47">
        <f>IF(VLOOKUP($D498,$C$5:$AV$509,3,)=0,0,(VLOOKUP($D498,$C$5:$AV$509,6,)/VLOOKUP($D498,$C$5:$AV$509,3,))*$E498)</f>
        <v>924093.34402845229</v>
      </c>
      <c r="I498" s="47">
        <f>IF(VLOOKUP($D498,$C$5:$AV$509,3,)=0,0,(VLOOKUP($D498,$C$5:$AV$509,7,)/VLOOKUP($D498,$C$5:$AV$509,3,))*$E498)</f>
        <v>98710.719746863106</v>
      </c>
      <c r="J498" s="47">
        <f>IF(VLOOKUP($D498,$C$5:$AV$509,3,)=0,0,(VLOOKUP($D498,$C$5:$AV$509,8,)/VLOOKUP($D498,$C$5:$AV$509,3,))*$E498)</f>
        <v>923365.19051622285</v>
      </c>
      <c r="K498" s="47">
        <f>IF(VLOOKUP($D498,$C$5:$AV$509,3,)=0,0,(VLOOKUP($D498,$C$5:$AV$509,9,)/VLOOKUP($D498,$C$5:$AV$509,3,))*$E498)</f>
        <v>0</v>
      </c>
      <c r="L498" s="47">
        <f>IF(VLOOKUP($D498,$C$5:$AV$509,3,)=0,0,(VLOOKUP($D498,$C$5:$AV$509,10,)/VLOOKUP($D498,$C$5:$AV$509,3,))*$E498)</f>
        <v>583622.10243123991</v>
      </c>
      <c r="M498" s="47">
        <f>IF(VLOOKUP($D498,$C$5:$AV$509,3,)=0,0,(VLOOKUP($D498,$C$5:$AV$509,11,)/VLOOKUP($D498,$C$5:$AV$509,3,))*$E498)</f>
        <v>0</v>
      </c>
      <c r="N498" s="47">
        <f>IF(VLOOKUP($D498,$C$5:$AV$509,3,)=0,0,(VLOOKUP($D498,$C$5:$AV$509,12,)/VLOOKUP($D498,$C$5:$AV$509,3,))*$E498)</f>
        <v>56647.893156995327</v>
      </c>
      <c r="O498" s="47">
        <f>IF(VLOOKUP($D498,$C$5:$AV$509,3,)=0,0,(VLOOKUP($D498,$C$5:$AV$509,14,)/VLOOKUP($D498,$C$5:$AV$509,3,))*$E498)</f>
        <v>0</v>
      </c>
      <c r="P498" s="47">
        <f>IF(VLOOKUP($D498,$C$5:$AV$509,3,)=0,0,(VLOOKUP($D498,$C$5:$AV$509,14,)/VLOOKUP($D498,$C$5:$AV$509,3,))*$E498)</f>
        <v>0</v>
      </c>
      <c r="Q498" s="47">
        <f>IF(VLOOKUP($D498,$C$5:$AV$509,3,)=0,0,(VLOOKUP($D498,$C$5:$AV$509,14,)/VLOOKUP($D498,$C$5:$AV$509,3,))*$E498)</f>
        <v>0</v>
      </c>
      <c r="R498" s="47">
        <f>IF(VLOOKUP($D498,$C$5:$AV$509,3,)=0,0,(VLOOKUP($D498,$C$5:$AV$509,15,)/VLOOKUP($D498,$C$5:$AV$509,3,))*$E498)</f>
        <v>0</v>
      </c>
      <c r="S498" s="47">
        <f>IF(VLOOKUP($D498,$C$5:$AV$509,3,)=0,0,(VLOOKUP($D498,$C$5:$AV$509,16,)/VLOOKUP($D498,$C$5:$AV$509,3,))*$E498)</f>
        <v>0</v>
      </c>
      <c r="T498" s="47">
        <f>IF(VLOOKUP($D498,$C$5:$AV$509,3,)=0,0,(VLOOKUP($D498,$C$5:$AV$509,17,)/VLOOKUP($D498,$C$5:$AV$509,3,))*$E498)</f>
        <v>0</v>
      </c>
      <c r="U498" s="47">
        <f>IF(VLOOKUP($D498,$C$5:$AV$509,3,)=0,0,(VLOOKUP($D498,$C$5:$AV$509,18,)/VLOOKUP($D498,$C$5:$AV$509,3,))*$E498)</f>
        <v>0</v>
      </c>
      <c r="V498" s="47">
        <f>IF(VLOOKUP($D498,$C$5:$AV$509,3,)=0,0,(VLOOKUP($D498,$C$5:$AV$509,19,)/VLOOKUP($D498,$C$5:$AV$509,3,))*$E498)</f>
        <v>0</v>
      </c>
      <c r="W498" s="47">
        <f>IF(VLOOKUP($D498,$C$5:$AV$509,3,)=0,0,(VLOOKUP($D498,$C$5:$AV$509,20,)/VLOOKUP($D498,$C$5:$AV$509,3,))*$E498)</f>
        <v>0</v>
      </c>
      <c r="X498" s="47">
        <f>IF(VLOOKUP($D498,$C$5:$AV$509,3,)=0,0,(VLOOKUP($D498,$C$5:$AV$509,21,)/VLOOKUP($D498,$C$5:$AV$509,3,))*$E498)</f>
        <v>0</v>
      </c>
      <c r="Y498" s="47">
        <f>IF(VLOOKUP($D498,$C$5:$AV$509,3,)=0,0,(VLOOKUP($D498,$C$5:$AV$509,22,)/VLOOKUP($D498,$C$5:$AV$509,3,))*$E498)</f>
        <v>0</v>
      </c>
      <c r="Z498" s="47">
        <f>IF(VLOOKUP($D498,$C$5:$AV$509,3,)=0,0,(VLOOKUP($D498,$C$5:$AV$509,23,)/VLOOKUP($D498,$C$5:$AV$509,3,))*$E498)</f>
        <v>0</v>
      </c>
      <c r="AA498" s="47">
        <f>IF(VLOOKUP($D498,$C$5:$AV$509,3,)=0,0,(VLOOKUP($D498,$C$5:$AV$509,24,)/VLOOKUP($D498,$C$5:$AV$509,3,))*$E498)</f>
        <v>0</v>
      </c>
      <c r="AB498" s="47">
        <f>IF(VLOOKUP($D498,$C$5:$AV$509,3,)=0,0,(VLOOKUP($D498,$C$5:$AV$509,25,)/VLOOKUP($D498,$C$5:$AV$509,3,))*$E498)</f>
        <v>0</v>
      </c>
      <c r="AC498" s="47">
        <f>IF(VLOOKUP($D498,$C$5:$AV$509,3,)=0,0,(VLOOKUP($D498,$C$5:$AV$509,26,)/VLOOKUP($D498,$C$5:$AV$509,3,))*$E498)</f>
        <v>0</v>
      </c>
      <c r="AD498" s="47">
        <f>IF(VLOOKUP($D498,$C$5:$AV$509,3,)=0,0,(VLOOKUP($D498,$C$5:$AV$509,27,)/VLOOKUP($D498,$C$5:$AV$509,3,))*$E498)</f>
        <v>0</v>
      </c>
      <c r="AE498" s="47">
        <f>IF(VLOOKUP($D498,$C$5:$AV$509,3,)=0,0,(VLOOKUP($D498,$C$5:$AV$509,28,)/VLOOKUP($D498,$C$5:$AV$509,3,))*$E498)</f>
        <v>0</v>
      </c>
      <c r="AF498" s="47">
        <f>IF(VLOOKUP($D498,$C$5:$AV$509,3,)=0,0,(VLOOKUP($D498,$C$5:$AV$509,29,)/VLOOKUP($D498,$C$5:$AV$509,3,))*$E498)</f>
        <v>0</v>
      </c>
      <c r="AG498" s="47">
        <f>IF(VLOOKUP($D498,$C$5:$AV$509,3,)=0,0,(VLOOKUP($D498,$C$5:$AV$509,30,)/VLOOKUP($D498,$C$5:$AV$509,3,))*$E498)</f>
        <v>0</v>
      </c>
      <c r="AH498" s="47">
        <f t="shared" ref="AH498" si="421">SUM(F498:AG498)</f>
        <v>11399615.448546968</v>
      </c>
      <c r="AI498" s="27" t="str">
        <f>IF(ABS(E498-AH498)&lt;0.01,"ok","err")</f>
        <v>ok</v>
      </c>
    </row>
    <row r="499" spans="1:42" x14ac:dyDescent="0.2">
      <c r="A499" s="14" t="s">
        <v>654</v>
      </c>
      <c r="C499" s="14" t="s">
        <v>656</v>
      </c>
      <c r="E499" s="229">
        <f t="shared" ref="E499:AG499" si="422">E497+E498</f>
        <v>11589879.04854697</v>
      </c>
      <c r="F499" s="229">
        <f t="shared" si="422"/>
        <v>8806531.2937083058</v>
      </c>
      <c r="G499" s="229">
        <f t="shared" si="422"/>
        <v>6644.9049588884163</v>
      </c>
      <c r="H499" s="229">
        <f t="shared" si="422"/>
        <v>924093.34402845229</v>
      </c>
      <c r="I499" s="229">
        <f t="shared" si="422"/>
        <v>98710.719746863106</v>
      </c>
      <c r="J499" s="229">
        <f t="shared" si="422"/>
        <v>923365.19051622285</v>
      </c>
      <c r="K499" s="229">
        <f t="shared" si="422"/>
        <v>0</v>
      </c>
      <c r="L499" s="229">
        <f t="shared" si="422"/>
        <v>583622.10243123991</v>
      </c>
      <c r="M499" s="229">
        <f t="shared" ref="M499" si="423">M497+M498</f>
        <v>190263.6</v>
      </c>
      <c r="N499" s="87">
        <f t="shared" si="422"/>
        <v>56647.893156995327</v>
      </c>
      <c r="O499" s="87">
        <f t="shared" ref="O499:P499" si="424">O497+O498</f>
        <v>0</v>
      </c>
      <c r="P499" s="87">
        <f t="shared" si="424"/>
        <v>0</v>
      </c>
      <c r="Q499" s="87">
        <f t="shared" si="422"/>
        <v>0</v>
      </c>
      <c r="R499" s="87">
        <f t="shared" si="422"/>
        <v>0</v>
      </c>
      <c r="S499" s="87">
        <f t="shared" si="422"/>
        <v>0</v>
      </c>
      <c r="T499" s="87">
        <f t="shared" si="422"/>
        <v>0</v>
      </c>
      <c r="U499" s="87">
        <f t="shared" si="422"/>
        <v>0</v>
      </c>
      <c r="V499" s="87">
        <f t="shared" si="422"/>
        <v>0</v>
      </c>
      <c r="W499" s="87">
        <f t="shared" si="422"/>
        <v>0</v>
      </c>
      <c r="X499" s="87">
        <f t="shared" si="422"/>
        <v>0</v>
      </c>
      <c r="Y499" s="87">
        <f t="shared" si="422"/>
        <v>0</v>
      </c>
      <c r="Z499" s="87">
        <f t="shared" si="422"/>
        <v>0</v>
      </c>
      <c r="AA499" s="87">
        <f t="shared" si="422"/>
        <v>0</v>
      </c>
      <c r="AB499" s="87">
        <f t="shared" si="422"/>
        <v>0</v>
      </c>
      <c r="AC499" s="87">
        <f t="shared" si="422"/>
        <v>0</v>
      </c>
      <c r="AD499" s="87">
        <f t="shared" si="422"/>
        <v>0</v>
      </c>
      <c r="AE499" s="87">
        <f t="shared" si="422"/>
        <v>0</v>
      </c>
      <c r="AF499" s="87">
        <f t="shared" si="422"/>
        <v>0</v>
      </c>
      <c r="AG499" s="87">
        <f t="shared" si="422"/>
        <v>0</v>
      </c>
      <c r="AH499" s="188">
        <f>SUM(F499:AG499)</f>
        <v>11589879.048546968</v>
      </c>
      <c r="AI499" s="27" t="str">
        <f>IF(ABS(E499-AH499)&lt;0.01,"ok","err")</f>
        <v>ok</v>
      </c>
    </row>
    <row r="500" spans="1:42" x14ac:dyDescent="0.2">
      <c r="A500" s="14" t="s">
        <v>655</v>
      </c>
      <c r="C500" s="14" t="s">
        <v>657</v>
      </c>
      <c r="D500" s="14" t="s">
        <v>656</v>
      </c>
      <c r="E500" s="46">
        <v>1</v>
      </c>
      <c r="F500" s="47">
        <f>IF(VLOOKUP($D500,$C$5:$AV$509,3,)=0,0,(VLOOKUP($D500,$C$5:$AV$509,4,)/VLOOKUP($D500,$C$5:$AV$509,3,))*$E500)</f>
        <v>0.75984669527784121</v>
      </c>
      <c r="G500" s="47">
        <f>IF(VLOOKUP($D500,$C$5:$AV$509,3,)=0,0,(VLOOKUP($D500,$C$5:$AV$509,5,)/VLOOKUP($D500,$C$5:$AV$509,3,))*$E500)</f>
        <v>5.7333686840515315E-4</v>
      </c>
      <c r="H500" s="47">
        <f>IF(VLOOKUP($D500,$C$5:$AV$509,3,)=0,0,(VLOOKUP($D500,$C$5:$AV$509,6,)/VLOOKUP($D500,$C$5:$AV$509,3,))*$E500)</f>
        <v>7.9732785834750061E-2</v>
      </c>
      <c r="I500" s="47">
        <f>IF(VLOOKUP($D500,$C$5:$AV$509,3,)=0,0,(VLOOKUP($D500,$C$5:$AV$509,7,)/VLOOKUP($D500,$C$5:$AV$509,3,))*$E500)</f>
        <v>8.5169758315328178E-3</v>
      </c>
      <c r="J500" s="47">
        <f>IF(VLOOKUP($D500,$C$5:$AV$509,3,)=0,0,(VLOOKUP($D500,$C$5:$AV$509,8,)/VLOOKUP($D500,$C$5:$AV$509,3,))*$E500)</f>
        <v>7.9669959164240439E-2</v>
      </c>
      <c r="K500" s="47">
        <f>IF(VLOOKUP($D500,$C$5:$AV$509,3,)=0,0,(VLOOKUP($D500,$C$5:$AV$509,9,)/VLOOKUP($D500,$C$5:$AV$509,3,))*$E500)</f>
        <v>0</v>
      </c>
      <c r="L500" s="47">
        <f>IF(VLOOKUP($D500,$C$5:$AV$509,3,)=0,0,(VLOOKUP($D500,$C$5:$AV$509,10,)/VLOOKUP($D500,$C$5:$AV$509,3,))*$E500)</f>
        <v>5.0356185770929936E-2</v>
      </c>
      <c r="M500" s="47">
        <f>IF(VLOOKUP($D500,$C$5:$AV$509,3,)=0,0,(VLOOKUP($D500,$C$5:$AV$509,11,)/VLOOKUP($D500,$C$5:$AV$509,3,))*$E500)</f>
        <v>1.6416357686135946E-2</v>
      </c>
      <c r="N500" s="47">
        <f>IF(VLOOKUP($D500,$C$5:$AV$509,3,)=0,0,(VLOOKUP($D500,$C$5:$AV$509,12,)/VLOOKUP($D500,$C$5:$AV$509,3,))*$E500)</f>
        <v>4.8877035661642485E-3</v>
      </c>
      <c r="O500" s="47">
        <f>IF(VLOOKUP($D500,$C$5:$AV$509,3,)=0,0,(VLOOKUP($D500,$C$5:$AV$509,14,)/VLOOKUP($D500,$C$5:$AV$509,3,))*$E500)</f>
        <v>0</v>
      </c>
      <c r="P500" s="47">
        <f>IF(VLOOKUP($D500,$C$5:$AV$509,3,)=0,0,(VLOOKUP($D500,$C$5:$AV$509,14,)/VLOOKUP($D500,$C$5:$AV$509,3,))*$E500)</f>
        <v>0</v>
      </c>
      <c r="Q500" s="47">
        <f>IF(VLOOKUP($D500,$C$5:$AV$509,3,)=0,0,(VLOOKUP($D500,$C$5:$AV$509,14,)/VLOOKUP($D500,$C$5:$AV$509,3,))*$E500)</f>
        <v>0</v>
      </c>
      <c r="R500" s="47">
        <f>IF(VLOOKUP($D500,$C$5:$AV$509,3,)=0,0,(VLOOKUP($D500,$C$5:$AV$509,15,)/VLOOKUP($D500,$C$5:$AV$509,3,))*$E500)</f>
        <v>0</v>
      </c>
      <c r="S500" s="47">
        <f>IF(VLOOKUP($D500,$C$5:$AV$509,3,)=0,0,(VLOOKUP($D500,$C$5:$AV$509,16,)/VLOOKUP($D500,$C$5:$AV$509,3,))*$E500)</f>
        <v>0</v>
      </c>
      <c r="T500" s="47">
        <f>IF(VLOOKUP($D500,$C$5:$AV$509,3,)=0,0,(VLOOKUP($D500,$C$5:$AV$509,17,)/VLOOKUP($D500,$C$5:$AV$509,3,))*$E500)</f>
        <v>0</v>
      </c>
      <c r="U500" s="47">
        <f>IF(VLOOKUP($D500,$C$5:$AV$509,3,)=0,0,(VLOOKUP($D500,$C$5:$AV$509,18,)/VLOOKUP($D500,$C$5:$AV$509,3,))*$E500)</f>
        <v>0</v>
      </c>
      <c r="V500" s="47">
        <f>IF(VLOOKUP($D500,$C$5:$AV$509,3,)=0,0,(VLOOKUP($D500,$C$5:$AV$509,19,)/VLOOKUP($D500,$C$5:$AV$509,3,))*$E500)</f>
        <v>0</v>
      </c>
      <c r="W500" s="47">
        <f>IF(VLOOKUP($D500,$C$5:$AV$509,3,)=0,0,(VLOOKUP($D500,$C$5:$AV$509,20,)/VLOOKUP($D500,$C$5:$AV$509,3,))*$E500)</f>
        <v>0</v>
      </c>
      <c r="X500" s="47">
        <f>IF(VLOOKUP($D500,$C$5:$AV$509,3,)=0,0,(VLOOKUP($D500,$C$5:$AV$509,21,)/VLOOKUP($D500,$C$5:$AV$509,3,))*$E500)</f>
        <v>0</v>
      </c>
      <c r="Y500" s="47">
        <f>IF(VLOOKUP($D500,$C$5:$AV$509,3,)=0,0,(VLOOKUP($D500,$C$5:$AV$509,22,)/VLOOKUP($D500,$C$5:$AV$509,3,))*$E500)</f>
        <v>0</v>
      </c>
      <c r="Z500" s="47">
        <f>IF(VLOOKUP($D500,$C$5:$AV$509,3,)=0,0,(VLOOKUP($D500,$C$5:$AV$509,23,)/VLOOKUP($D500,$C$5:$AV$509,3,))*$E500)</f>
        <v>0</v>
      </c>
      <c r="AA500" s="47">
        <f>IF(VLOOKUP($D500,$C$5:$AV$509,3,)=0,0,(VLOOKUP($D500,$C$5:$AV$509,24,)/VLOOKUP($D500,$C$5:$AV$509,3,))*$E500)</f>
        <v>0</v>
      </c>
      <c r="AB500" s="47">
        <f>IF(VLOOKUP($D500,$C$5:$AV$509,3,)=0,0,(VLOOKUP($D500,$C$5:$AV$509,25,)/VLOOKUP($D500,$C$5:$AV$509,3,))*$E500)</f>
        <v>0</v>
      </c>
      <c r="AC500" s="47">
        <f>IF(VLOOKUP($D500,$C$5:$AV$509,3,)=0,0,(VLOOKUP($D500,$C$5:$AV$509,26,)/VLOOKUP($D500,$C$5:$AV$509,3,))*$E500)</f>
        <v>0</v>
      </c>
      <c r="AD500" s="47">
        <f>IF(VLOOKUP($D500,$C$5:$AV$509,3,)=0,0,(VLOOKUP($D500,$C$5:$AV$509,27,)/VLOOKUP($D500,$C$5:$AV$509,3,))*$E500)</f>
        <v>0</v>
      </c>
      <c r="AE500" s="47">
        <f>IF(VLOOKUP($D500,$C$5:$AV$509,3,)=0,0,(VLOOKUP($D500,$C$5:$AV$509,28,)/VLOOKUP($D500,$C$5:$AV$509,3,))*$E500)</f>
        <v>0</v>
      </c>
      <c r="AF500" s="47">
        <f>IF(VLOOKUP($D500,$C$5:$AV$509,3,)=0,0,(VLOOKUP($D500,$C$5:$AV$509,29,)/VLOOKUP($D500,$C$5:$AV$509,3,))*$E500)</f>
        <v>0</v>
      </c>
      <c r="AG500" s="47">
        <f>IF(VLOOKUP($D500,$C$5:$AV$509,3,)=0,0,(VLOOKUP($D500,$C$5:$AV$509,30,)/VLOOKUP($D500,$C$5:$AV$509,3,))*$E500)</f>
        <v>0</v>
      </c>
      <c r="AH500" s="47">
        <f t="shared" ref="AH500" si="425">SUM(F500:AG500)</f>
        <v>0.99999999999999978</v>
      </c>
      <c r="AI500" s="27" t="str">
        <f t="shared" si="420"/>
        <v>ok</v>
      </c>
    </row>
    <row r="501" spans="1:42" x14ac:dyDescent="0.2">
      <c r="E501" s="46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  <c r="AA501" s="95"/>
      <c r="AB501" s="95"/>
      <c r="AC501" s="95"/>
      <c r="AD501" s="95"/>
      <c r="AE501" s="95"/>
      <c r="AF501" s="95"/>
      <c r="AG501" s="95"/>
      <c r="AH501" s="95"/>
      <c r="AI501" s="27"/>
    </row>
    <row r="502" spans="1:42" x14ac:dyDescent="0.2">
      <c r="A502" s="14" t="s">
        <v>659</v>
      </c>
      <c r="C502" s="14" t="s">
        <v>664</v>
      </c>
      <c r="E502" s="47">
        <v>425133368</v>
      </c>
      <c r="F502" s="47">
        <f>F429</f>
        <v>321373036</v>
      </c>
      <c r="G502" s="47">
        <f t="shared" ref="G502:P502" si="426">G429</f>
        <v>327183</v>
      </c>
      <c r="H502" s="47">
        <f t="shared" si="426"/>
        <v>32071501</v>
      </c>
      <c r="I502" s="47">
        <f t="shared" si="426"/>
        <v>3649587</v>
      </c>
      <c r="J502" s="47">
        <f t="shared" si="426"/>
        <v>42496124</v>
      </c>
      <c r="K502" s="47">
        <f t="shared" si="426"/>
        <v>0</v>
      </c>
      <c r="L502" s="47">
        <f t="shared" si="426"/>
        <v>21237280</v>
      </c>
      <c r="M502" s="47">
        <v>0</v>
      </c>
      <c r="N502" s="47">
        <f t="shared" si="426"/>
        <v>3978657</v>
      </c>
      <c r="O502" s="47">
        <f t="shared" si="426"/>
        <v>0</v>
      </c>
      <c r="P502" s="47">
        <f t="shared" si="426"/>
        <v>0</v>
      </c>
      <c r="Q502" s="47">
        <f t="shared" ref="Q502:AA502" si="427">Q429</f>
        <v>0</v>
      </c>
      <c r="R502" s="47">
        <f t="shared" si="427"/>
        <v>0</v>
      </c>
      <c r="S502" s="47">
        <f t="shared" si="427"/>
        <v>0</v>
      </c>
      <c r="T502" s="47">
        <f t="shared" si="427"/>
        <v>0</v>
      </c>
      <c r="U502" s="47">
        <f t="shared" si="427"/>
        <v>0</v>
      </c>
      <c r="V502" s="47">
        <f t="shared" si="427"/>
        <v>0</v>
      </c>
      <c r="W502" s="47">
        <f t="shared" si="427"/>
        <v>0</v>
      </c>
      <c r="X502" s="47">
        <f t="shared" si="427"/>
        <v>0</v>
      </c>
      <c r="Y502" s="47">
        <f t="shared" si="427"/>
        <v>0</v>
      </c>
      <c r="Z502" s="47">
        <f t="shared" si="427"/>
        <v>0</v>
      </c>
      <c r="AA502" s="47">
        <f t="shared" si="427"/>
        <v>0</v>
      </c>
      <c r="AB502" s="47">
        <v>0</v>
      </c>
      <c r="AC502" s="47">
        <v>0</v>
      </c>
      <c r="AD502" s="47">
        <v>0</v>
      </c>
      <c r="AE502" s="47">
        <v>0</v>
      </c>
      <c r="AF502" s="47">
        <v>0</v>
      </c>
      <c r="AG502" s="47">
        <f>AG429</f>
        <v>0</v>
      </c>
      <c r="AH502" s="87">
        <f>SUM(F502:AG502)</f>
        <v>425133368</v>
      </c>
      <c r="AI502" s="27" t="str">
        <f t="shared" ref="AI502:AI507" si="428">IF(ABS(E502-AH502)&lt;0.01,"ok","err")</f>
        <v>ok</v>
      </c>
    </row>
    <row r="503" spans="1:42" x14ac:dyDescent="0.2">
      <c r="A503" s="14" t="s">
        <v>660</v>
      </c>
      <c r="E503" s="229">
        <f>E124</f>
        <v>27577089.951453038</v>
      </c>
      <c r="F503" s="227"/>
      <c r="G503" s="227"/>
      <c r="H503" s="227"/>
      <c r="I503" s="227"/>
      <c r="J503" s="227"/>
      <c r="K503" s="227"/>
      <c r="L503" s="227"/>
      <c r="M503" s="227"/>
      <c r="AH503" s="87">
        <f>E503</f>
        <v>27577089.951453038</v>
      </c>
      <c r="AI503" s="27" t="str">
        <f t="shared" si="428"/>
        <v>ok</v>
      </c>
    </row>
    <row r="504" spans="1:42" x14ac:dyDescent="0.2">
      <c r="A504" s="14" t="s">
        <v>594</v>
      </c>
      <c r="E504" s="62">
        <f>M504</f>
        <v>506972.39999999997</v>
      </c>
      <c r="F504" s="47">
        <v>0</v>
      </c>
      <c r="G504" s="47">
        <v>0</v>
      </c>
      <c r="H504" s="47">
        <v>0</v>
      </c>
      <c r="I504" s="47">
        <v>0</v>
      </c>
      <c r="J504" s="47">
        <v>0</v>
      </c>
      <c r="K504" s="47">
        <v>0</v>
      </c>
      <c r="L504" s="47">
        <v>0</v>
      </c>
      <c r="M504" s="47">
        <f>'Purchased Power'!O57</f>
        <v>506972.39999999997</v>
      </c>
      <c r="N504" s="47">
        <v>0</v>
      </c>
      <c r="O504" s="47">
        <v>0</v>
      </c>
      <c r="P504" s="47">
        <v>0</v>
      </c>
      <c r="Q504" s="47">
        <v>0</v>
      </c>
      <c r="R504" s="47">
        <v>0</v>
      </c>
      <c r="S504" s="47">
        <v>0</v>
      </c>
      <c r="T504" s="47">
        <v>0</v>
      </c>
      <c r="U504" s="47">
        <v>0</v>
      </c>
      <c r="V504" s="47">
        <v>0</v>
      </c>
      <c r="W504" s="47">
        <v>0</v>
      </c>
      <c r="X504" s="47">
        <v>0</v>
      </c>
      <c r="Y504" s="47">
        <v>0</v>
      </c>
      <c r="Z504" s="47">
        <v>0</v>
      </c>
      <c r="AA504" s="47">
        <v>0</v>
      </c>
      <c r="AB504" s="47">
        <v>0</v>
      </c>
      <c r="AC504" s="47">
        <v>0</v>
      </c>
      <c r="AD504" s="47">
        <v>0</v>
      </c>
      <c r="AE504" s="47">
        <v>0</v>
      </c>
      <c r="AF504" s="47">
        <v>0</v>
      </c>
      <c r="AG504" s="47">
        <v>0</v>
      </c>
      <c r="AH504" s="87">
        <f>SUM(F504:AG504)</f>
        <v>506972.39999999997</v>
      </c>
      <c r="AI504" s="27" t="str">
        <f t="shared" si="428"/>
        <v>ok</v>
      </c>
    </row>
    <row r="505" spans="1:42" x14ac:dyDescent="0.2">
      <c r="A505" s="14" t="s">
        <v>661</v>
      </c>
      <c r="D505" s="14" t="s">
        <v>664</v>
      </c>
      <c r="E505" s="87">
        <f>E503-E504</f>
        <v>27070117.551453039</v>
      </c>
      <c r="F505" s="47">
        <f>IF(VLOOKUP($D505,$C$5:$AV$509,3,)=0,0,(VLOOKUP($D505,$C$5:$AV$509,4,)/VLOOKUP($D505,$C$5:$AV$509,3,))*$E505)</f>
        <v>20463239.343723658</v>
      </c>
      <c r="G505" s="47">
        <f>IF(VLOOKUP($D505,$C$5:$AV$509,3,)=0,0,(VLOOKUP($D505,$C$5:$AV$509,5,)/VLOOKUP($D505,$C$5:$AV$509,3,))*$E505)</f>
        <v>20833.18538957182</v>
      </c>
      <c r="H505" s="47">
        <f>IF(VLOOKUP($D505,$C$5:$AV$509,3,)=0,0,(VLOOKUP($D505,$C$5:$AV$509,6,)/VLOOKUP($D505,$C$5:$AV$509,3,))*$E505)</f>
        <v>2042133.9924593822</v>
      </c>
      <c r="I505" s="47">
        <f>IF(VLOOKUP($D505,$C$5:$AV$509,3,)=0,0,(VLOOKUP($D505,$C$5:$AV$509,7,)/VLOOKUP($D505,$C$5:$AV$509,3,))*$E505)</f>
        <v>232385.30903613954</v>
      </c>
      <c r="J505" s="47">
        <f>IF(VLOOKUP($D505,$C$5:$AV$509,3,)=0,0,(VLOOKUP($D505,$C$5:$AV$509,8,)/VLOOKUP($D505,$C$5:$AV$509,3,))*$E505)</f>
        <v>2705915.7402133741</v>
      </c>
      <c r="K505" s="47">
        <f>IF(VLOOKUP($D505,$C$5:$AV$509,3,)=0,0,(VLOOKUP($D505,$C$5:$AV$509,9,)/VLOOKUP($D505,$C$5:$AV$509,3,))*$E505)</f>
        <v>0</v>
      </c>
      <c r="L505" s="47">
        <f>IF(VLOOKUP($D505,$C$5:$AV$509,3,)=0,0,(VLOOKUP($D505,$C$5:$AV$509,10,)/VLOOKUP($D505,$C$5:$AV$509,3,))*$E505)</f>
        <v>1352271.3325883246</v>
      </c>
      <c r="M505" s="47">
        <f>IF(VLOOKUP($D505,$C$5:$AV$509,3,)=0,0,(VLOOKUP($D505,$C$5:$AV$509,11,)/VLOOKUP($D505,$C$5:$AV$509,3,))*$E505)</f>
        <v>0</v>
      </c>
      <c r="N505" s="47">
        <f>IF(VLOOKUP($D505,$C$5:$AV$509,3,)=0,0,(VLOOKUP($D505,$C$5:$AV$509,12,)/VLOOKUP($D505,$C$5:$AV$509,3,))*$E505)</f>
        <v>253338.64804258672</v>
      </c>
      <c r="O505" s="47">
        <f>IF(VLOOKUP($D505,$C$5:$AV$509,3,)=0,0,(VLOOKUP($D505,$C$5:$AV$509,14,)/VLOOKUP($D505,$C$5:$AV$509,3,))*$E505)</f>
        <v>0</v>
      </c>
      <c r="P505" s="47">
        <f>IF(VLOOKUP($D505,$C$5:$AV$509,3,)=0,0,(VLOOKUP($D505,$C$5:$AV$509,14,)/VLOOKUP($D505,$C$5:$AV$509,3,))*$E505)</f>
        <v>0</v>
      </c>
      <c r="Q505" s="47">
        <f>IF(VLOOKUP($D505,$C$5:$AV$509,3,)=0,0,(VLOOKUP($D505,$C$5:$AV$509,14,)/VLOOKUP($D505,$C$5:$AV$509,3,))*$E505)</f>
        <v>0</v>
      </c>
      <c r="R505" s="47">
        <f>IF(VLOOKUP($D505,$C$5:$AV$509,3,)=0,0,(VLOOKUP($D505,$C$5:$AV$509,15,)/VLOOKUP($D505,$C$5:$AV$509,3,))*$E505)</f>
        <v>0</v>
      </c>
      <c r="S505" s="47">
        <f>IF(VLOOKUP($D505,$C$5:$AV$509,3,)=0,0,(VLOOKUP($D505,$C$5:$AV$509,16,)/VLOOKUP($D505,$C$5:$AV$509,3,))*$E505)</f>
        <v>0</v>
      </c>
      <c r="T505" s="47">
        <f>IF(VLOOKUP($D505,$C$5:$AV$509,3,)=0,0,(VLOOKUP($D505,$C$5:$AV$509,17,)/VLOOKUP($D505,$C$5:$AV$509,3,))*$E505)</f>
        <v>0</v>
      </c>
      <c r="U505" s="47">
        <f>IF(VLOOKUP($D505,$C$5:$AV$509,3,)=0,0,(VLOOKUP($D505,$C$5:$AV$509,18,)/VLOOKUP($D505,$C$5:$AV$509,3,))*$E505)</f>
        <v>0</v>
      </c>
      <c r="V505" s="47">
        <f>IF(VLOOKUP($D505,$C$5:$AV$509,3,)=0,0,(VLOOKUP($D505,$C$5:$AV$509,19,)/VLOOKUP($D505,$C$5:$AV$509,3,))*$E505)</f>
        <v>0</v>
      </c>
      <c r="W505" s="47">
        <f>IF(VLOOKUP($D505,$C$5:$AV$509,3,)=0,0,(VLOOKUP($D505,$C$5:$AV$509,20,)/VLOOKUP($D505,$C$5:$AV$509,3,))*$E505)</f>
        <v>0</v>
      </c>
      <c r="X505" s="47">
        <f>IF(VLOOKUP($D505,$C$5:$AV$509,3,)=0,0,(VLOOKUP($D505,$C$5:$AV$509,21,)/VLOOKUP($D505,$C$5:$AV$509,3,))*$E505)</f>
        <v>0</v>
      </c>
      <c r="Y505" s="47">
        <f>IF(VLOOKUP($D505,$C$5:$AV$509,3,)=0,0,(VLOOKUP($D505,$C$5:$AV$509,22,)/VLOOKUP($D505,$C$5:$AV$509,3,))*$E505)</f>
        <v>0</v>
      </c>
      <c r="Z505" s="47">
        <f>IF(VLOOKUP($D505,$C$5:$AV$509,3,)=0,0,(VLOOKUP($D505,$C$5:$AV$509,23,)/VLOOKUP($D505,$C$5:$AV$509,3,))*$E505)</f>
        <v>0</v>
      </c>
      <c r="AA505" s="47">
        <f>IF(VLOOKUP($D505,$C$5:$AV$509,3,)=0,0,(VLOOKUP($D505,$C$5:$AV$509,24,)/VLOOKUP($D505,$C$5:$AV$509,3,))*$E505)</f>
        <v>0</v>
      </c>
      <c r="AB505" s="47">
        <f>IF(VLOOKUP($D505,$C$5:$AV$509,3,)=0,0,(VLOOKUP($D505,$C$5:$AV$509,25,)/VLOOKUP($D505,$C$5:$AV$509,3,))*$E505)</f>
        <v>0</v>
      </c>
      <c r="AC505" s="47">
        <f>IF(VLOOKUP($D505,$C$5:$AV$509,3,)=0,0,(VLOOKUP($D505,$C$5:$AV$509,26,)/VLOOKUP($D505,$C$5:$AV$509,3,))*$E505)</f>
        <v>0</v>
      </c>
      <c r="AD505" s="47">
        <f>IF(VLOOKUP($D505,$C$5:$AV$509,3,)=0,0,(VLOOKUP($D505,$C$5:$AV$509,27,)/VLOOKUP($D505,$C$5:$AV$509,3,))*$E505)</f>
        <v>0</v>
      </c>
      <c r="AE505" s="47">
        <f>IF(VLOOKUP($D505,$C$5:$AV$509,3,)=0,0,(VLOOKUP($D505,$C$5:$AV$509,28,)/VLOOKUP($D505,$C$5:$AV$509,3,))*$E505)</f>
        <v>0</v>
      </c>
      <c r="AF505" s="47">
        <f>IF(VLOOKUP($D505,$C$5:$AV$509,3,)=0,0,(VLOOKUP($D505,$C$5:$AV$509,29,)/VLOOKUP($D505,$C$5:$AV$509,3,))*$E505)</f>
        <v>0</v>
      </c>
      <c r="AG505" s="47">
        <f>IF(VLOOKUP($D505,$C$5:$AV$509,3,)=0,0,(VLOOKUP($D505,$C$5:$AV$509,30,)/VLOOKUP($D505,$C$5:$AV$509,3,))*$E505)</f>
        <v>0</v>
      </c>
      <c r="AH505" s="47">
        <f t="shared" ref="AH505" si="429">SUM(F505:AG505)</f>
        <v>27070117.551453039</v>
      </c>
      <c r="AI505" s="27" t="str">
        <f t="shared" si="428"/>
        <v>ok</v>
      </c>
    </row>
    <row r="506" spans="1:42" x14ac:dyDescent="0.2">
      <c r="A506" s="14" t="s">
        <v>662</v>
      </c>
      <c r="C506" s="14" t="s">
        <v>665</v>
      </c>
      <c r="E506" s="87">
        <f t="shared" ref="E506:AG506" si="430">E504+E505</f>
        <v>27577089.951453038</v>
      </c>
      <c r="F506" s="87">
        <f t="shared" si="430"/>
        <v>20463239.343723658</v>
      </c>
      <c r="G506" s="87">
        <f t="shared" si="430"/>
        <v>20833.18538957182</v>
      </c>
      <c r="H506" s="87">
        <f t="shared" si="430"/>
        <v>2042133.9924593822</v>
      </c>
      <c r="I506" s="87">
        <f t="shared" si="430"/>
        <v>232385.30903613954</v>
      </c>
      <c r="J506" s="87">
        <f t="shared" si="430"/>
        <v>2705915.7402133741</v>
      </c>
      <c r="K506" s="87">
        <f t="shared" si="430"/>
        <v>0</v>
      </c>
      <c r="L506" s="87">
        <f t="shared" si="430"/>
        <v>1352271.3325883246</v>
      </c>
      <c r="M506" s="87">
        <f t="shared" ref="M506" si="431">M504+M505</f>
        <v>506972.39999999997</v>
      </c>
      <c r="N506" s="87">
        <f t="shared" si="430"/>
        <v>253338.64804258672</v>
      </c>
      <c r="O506" s="87">
        <f t="shared" ref="O506:P506" si="432">O504+O505</f>
        <v>0</v>
      </c>
      <c r="P506" s="87">
        <f t="shared" si="432"/>
        <v>0</v>
      </c>
      <c r="Q506" s="87">
        <f t="shared" si="430"/>
        <v>0</v>
      </c>
      <c r="R506" s="87">
        <f t="shared" si="430"/>
        <v>0</v>
      </c>
      <c r="S506" s="87">
        <f t="shared" si="430"/>
        <v>0</v>
      </c>
      <c r="T506" s="87">
        <f t="shared" si="430"/>
        <v>0</v>
      </c>
      <c r="U506" s="87">
        <f t="shared" si="430"/>
        <v>0</v>
      </c>
      <c r="V506" s="87">
        <f t="shared" si="430"/>
        <v>0</v>
      </c>
      <c r="W506" s="87">
        <f t="shared" si="430"/>
        <v>0</v>
      </c>
      <c r="X506" s="87">
        <f t="shared" si="430"/>
        <v>0</v>
      </c>
      <c r="Y506" s="87">
        <f t="shared" si="430"/>
        <v>0</v>
      </c>
      <c r="Z506" s="87">
        <f t="shared" si="430"/>
        <v>0</v>
      </c>
      <c r="AA506" s="87">
        <f t="shared" si="430"/>
        <v>0</v>
      </c>
      <c r="AB506" s="87">
        <f t="shared" si="430"/>
        <v>0</v>
      </c>
      <c r="AC506" s="87">
        <f t="shared" si="430"/>
        <v>0</v>
      </c>
      <c r="AD506" s="87">
        <f t="shared" si="430"/>
        <v>0</v>
      </c>
      <c r="AE506" s="87">
        <f t="shared" si="430"/>
        <v>0</v>
      </c>
      <c r="AF506" s="87">
        <f t="shared" si="430"/>
        <v>0</v>
      </c>
      <c r="AG506" s="87">
        <f t="shared" si="430"/>
        <v>0</v>
      </c>
      <c r="AH506" s="87">
        <f>SUM(F506:AG506)</f>
        <v>27577089.951453038</v>
      </c>
      <c r="AI506" s="27" t="str">
        <f t="shared" si="428"/>
        <v>ok</v>
      </c>
    </row>
    <row r="507" spans="1:42" x14ac:dyDescent="0.2">
      <c r="A507" s="14" t="s">
        <v>663</v>
      </c>
      <c r="C507" s="14" t="s">
        <v>666</v>
      </c>
      <c r="D507" s="14" t="s">
        <v>665</v>
      </c>
      <c r="E507" s="46">
        <v>1</v>
      </c>
      <c r="F507" s="47">
        <f>IF(VLOOKUP($D507,$C$5:$AV$509,3,)=0,0,(VLOOKUP($D507,$C$5:$AV$509,4,)/VLOOKUP($D507,$C$5:$AV$509,3,))*$E507)</f>
        <v>0.7420376616875578</v>
      </c>
      <c r="G507" s="47">
        <f>IF(VLOOKUP($D507,$C$5:$AV$509,3,)=0,0,(VLOOKUP($D507,$C$5:$AV$509,5,)/VLOOKUP($D507,$C$5:$AV$509,3,))*$E507)</f>
        <v>7.5545263935559374E-4</v>
      </c>
      <c r="H507" s="47">
        <f>IF(VLOOKUP($D507,$C$5:$AV$509,3,)=0,0,(VLOOKUP($D507,$C$5:$AV$509,6,)/VLOOKUP($D507,$C$5:$AV$509,3,))*$E507)</f>
        <v>7.4051830561323681E-2</v>
      </c>
      <c r="I507" s="47">
        <f>IF(VLOOKUP($D507,$C$5:$AV$509,3,)=0,0,(VLOOKUP($D507,$C$5:$AV$509,7,)/VLOOKUP($D507,$C$5:$AV$509,3,))*$E507)</f>
        <v>8.4267524037247143E-3</v>
      </c>
      <c r="J507" s="47">
        <f>IF(VLOOKUP($D507,$C$5:$AV$509,3,)=0,0,(VLOOKUP($D507,$C$5:$AV$509,8,)/VLOOKUP($D507,$C$5:$AV$509,3,))*$E507)</f>
        <v>9.8121873808182561E-2</v>
      </c>
      <c r="K507" s="47">
        <f>IF(VLOOKUP($D507,$C$5:$AV$509,3,)=0,0,(VLOOKUP($D507,$C$5:$AV$509,9,)/VLOOKUP($D507,$C$5:$AV$509,3,))*$E507)</f>
        <v>0</v>
      </c>
      <c r="L507" s="47">
        <f>IF(VLOOKUP($D507,$C$5:$AV$509,3,)=0,0,(VLOOKUP($D507,$C$5:$AV$509,10,)/VLOOKUP($D507,$C$5:$AV$509,3,))*$E507)</f>
        <v>4.903604169145024E-2</v>
      </c>
      <c r="M507" s="47">
        <f>IF(VLOOKUP($D507,$C$5:$AV$509,3,)=0,0,(VLOOKUP($D507,$C$5:$AV$509,11,)/VLOOKUP($D507,$C$5:$AV$509,3,))*$E507)</f>
        <v>1.8383825156768854E-2</v>
      </c>
      <c r="N507" s="47">
        <f>IF(VLOOKUP($D507,$C$5:$AV$509,3,)=0,0,(VLOOKUP($D507,$C$5:$AV$509,12,)/VLOOKUP($D507,$C$5:$AV$509,3,))*$E507)</f>
        <v>9.1865620516365723E-3</v>
      </c>
      <c r="O507" s="47">
        <f>IF(VLOOKUP($D507,$C$5:$AV$509,3,)=0,0,(VLOOKUP($D507,$C$5:$AV$509,14,)/VLOOKUP($D507,$C$5:$AV$509,3,))*$E507)</f>
        <v>0</v>
      </c>
      <c r="P507" s="47">
        <f>IF(VLOOKUP($D507,$C$5:$AV$509,3,)=0,0,(VLOOKUP($D507,$C$5:$AV$509,14,)/VLOOKUP($D507,$C$5:$AV$509,3,))*$E507)</f>
        <v>0</v>
      </c>
      <c r="Q507" s="47">
        <f>IF(VLOOKUP($D507,$C$5:$AV$509,3,)=0,0,(VLOOKUP($D507,$C$5:$AV$509,14,)/VLOOKUP($D507,$C$5:$AV$509,3,))*$E507)</f>
        <v>0</v>
      </c>
      <c r="R507" s="47">
        <f>IF(VLOOKUP($D507,$C$5:$AV$509,3,)=0,0,(VLOOKUP($D507,$C$5:$AV$509,15,)/VLOOKUP($D507,$C$5:$AV$509,3,))*$E507)</f>
        <v>0</v>
      </c>
      <c r="S507" s="47">
        <f>IF(VLOOKUP($D507,$C$5:$AV$509,3,)=0,0,(VLOOKUP($D507,$C$5:$AV$509,16,)/VLOOKUP($D507,$C$5:$AV$509,3,))*$E507)</f>
        <v>0</v>
      </c>
      <c r="T507" s="47">
        <f>IF(VLOOKUP($D507,$C$5:$AV$509,3,)=0,0,(VLOOKUP($D507,$C$5:$AV$509,17,)/VLOOKUP($D507,$C$5:$AV$509,3,))*$E507)</f>
        <v>0</v>
      </c>
      <c r="U507" s="47">
        <f>IF(VLOOKUP($D507,$C$5:$AV$509,3,)=0,0,(VLOOKUP($D507,$C$5:$AV$509,18,)/VLOOKUP($D507,$C$5:$AV$509,3,))*$E507)</f>
        <v>0</v>
      </c>
      <c r="V507" s="47">
        <f>IF(VLOOKUP($D507,$C$5:$AV$509,3,)=0,0,(VLOOKUP($D507,$C$5:$AV$509,19,)/VLOOKUP($D507,$C$5:$AV$509,3,))*$E507)</f>
        <v>0</v>
      </c>
      <c r="W507" s="47">
        <f>IF(VLOOKUP($D507,$C$5:$AV$509,3,)=0,0,(VLOOKUP($D507,$C$5:$AV$509,20,)/VLOOKUP($D507,$C$5:$AV$509,3,))*$E507)</f>
        <v>0</v>
      </c>
      <c r="X507" s="47">
        <f>IF(VLOOKUP($D507,$C$5:$AV$509,3,)=0,0,(VLOOKUP($D507,$C$5:$AV$509,21,)/VLOOKUP($D507,$C$5:$AV$509,3,))*$E507)</f>
        <v>0</v>
      </c>
      <c r="Y507" s="47">
        <f>IF(VLOOKUP($D507,$C$5:$AV$509,3,)=0,0,(VLOOKUP($D507,$C$5:$AV$509,22,)/VLOOKUP($D507,$C$5:$AV$509,3,))*$E507)</f>
        <v>0</v>
      </c>
      <c r="Z507" s="47">
        <f>IF(VLOOKUP($D507,$C$5:$AV$509,3,)=0,0,(VLOOKUP($D507,$C$5:$AV$509,23,)/VLOOKUP($D507,$C$5:$AV$509,3,))*$E507)</f>
        <v>0</v>
      </c>
      <c r="AA507" s="47">
        <f>IF(VLOOKUP($D507,$C$5:$AV$509,3,)=0,0,(VLOOKUP($D507,$C$5:$AV$509,24,)/VLOOKUP($D507,$C$5:$AV$509,3,))*$E507)</f>
        <v>0</v>
      </c>
      <c r="AB507" s="47">
        <f>IF(VLOOKUP($D507,$C$5:$AV$509,3,)=0,0,(VLOOKUP($D507,$C$5:$AV$509,25,)/VLOOKUP($D507,$C$5:$AV$509,3,))*$E507)</f>
        <v>0</v>
      </c>
      <c r="AC507" s="47">
        <f>IF(VLOOKUP($D507,$C$5:$AV$509,3,)=0,0,(VLOOKUP($D507,$C$5:$AV$509,26,)/VLOOKUP($D507,$C$5:$AV$509,3,))*$E507)</f>
        <v>0</v>
      </c>
      <c r="AD507" s="47">
        <f>IF(VLOOKUP($D507,$C$5:$AV$509,3,)=0,0,(VLOOKUP($D507,$C$5:$AV$509,27,)/VLOOKUP($D507,$C$5:$AV$509,3,))*$E507)</f>
        <v>0</v>
      </c>
      <c r="AE507" s="47">
        <f>IF(VLOOKUP($D507,$C$5:$AV$509,3,)=0,0,(VLOOKUP($D507,$C$5:$AV$509,28,)/VLOOKUP($D507,$C$5:$AV$509,3,))*$E507)</f>
        <v>0</v>
      </c>
      <c r="AF507" s="47">
        <f>IF(VLOOKUP($D507,$C$5:$AV$509,3,)=0,0,(VLOOKUP($D507,$C$5:$AV$509,29,)/VLOOKUP($D507,$C$5:$AV$509,3,))*$E507)</f>
        <v>0</v>
      </c>
      <c r="AG507" s="47">
        <f>IF(VLOOKUP($D507,$C$5:$AV$509,3,)=0,0,(VLOOKUP($D507,$C$5:$AV$509,30,)/VLOOKUP($D507,$C$5:$AV$509,3,))*$E507)</f>
        <v>0</v>
      </c>
      <c r="AH507" s="47">
        <f t="shared" ref="AH507" si="433">SUM(F507:AG507)</f>
        <v>1</v>
      </c>
      <c r="AI507" s="27" t="str">
        <f t="shared" si="428"/>
        <v>ok</v>
      </c>
    </row>
    <row r="508" spans="1:42" x14ac:dyDescent="0.2">
      <c r="E508" s="46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  <c r="AA508" s="95"/>
      <c r="AB508" s="95"/>
      <c r="AC508" s="95"/>
      <c r="AD508" s="95"/>
      <c r="AE508" s="95"/>
      <c r="AF508" s="95"/>
      <c r="AG508" s="95"/>
      <c r="AH508" s="95"/>
      <c r="AI508" s="27"/>
    </row>
    <row r="509" spans="1:42" x14ac:dyDescent="0.2">
      <c r="A509" s="13" t="s">
        <v>327</v>
      </c>
    </row>
    <row r="510" spans="1:42" x14ac:dyDescent="0.2">
      <c r="AK510" s="84"/>
      <c r="AL510" s="171"/>
      <c r="AM510" s="84"/>
      <c r="AN510" s="84"/>
      <c r="AO510" s="84"/>
      <c r="AP510" s="84"/>
    </row>
    <row r="511" spans="1:42" x14ac:dyDescent="0.2">
      <c r="A511" s="14" t="s">
        <v>645</v>
      </c>
      <c r="E511" s="87">
        <f>E123+E199+E237+E275</f>
        <v>11589879.04854697</v>
      </c>
      <c r="F511" s="87">
        <f t="shared" ref="F511:S511" si="434">F123+F199+F237+F275</f>
        <v>8806531.2937083058</v>
      </c>
      <c r="G511" s="87">
        <f t="shared" si="434"/>
        <v>6644.9049588884154</v>
      </c>
      <c r="H511" s="87">
        <f t="shared" si="434"/>
        <v>924093.34402845241</v>
      </c>
      <c r="I511" s="87">
        <f t="shared" si="434"/>
        <v>98710.719746863106</v>
      </c>
      <c r="J511" s="87">
        <f t="shared" si="434"/>
        <v>923365.19051622297</v>
      </c>
      <c r="K511" s="87">
        <f t="shared" si="434"/>
        <v>0</v>
      </c>
      <c r="L511" s="87">
        <f t="shared" si="434"/>
        <v>583622.10243123991</v>
      </c>
      <c r="M511" s="87">
        <f t="shared" ref="M511" si="435">M123+M199+M237+M275</f>
        <v>190263.6</v>
      </c>
      <c r="N511" s="87">
        <f t="shared" si="434"/>
        <v>56647.893156995335</v>
      </c>
      <c r="O511" s="87">
        <v>0</v>
      </c>
      <c r="P511" s="87">
        <f t="shared" si="434"/>
        <v>0</v>
      </c>
      <c r="Q511" s="87">
        <f t="shared" si="434"/>
        <v>0</v>
      </c>
      <c r="R511" s="87">
        <f t="shared" si="434"/>
        <v>0</v>
      </c>
      <c r="S511" s="87">
        <f t="shared" si="434"/>
        <v>0</v>
      </c>
      <c r="T511" s="87">
        <f t="shared" ref="T511:AG511" si="436">T123</f>
        <v>0</v>
      </c>
      <c r="U511" s="87">
        <f t="shared" si="436"/>
        <v>0</v>
      </c>
      <c r="V511" s="87">
        <f t="shared" si="436"/>
        <v>0</v>
      </c>
      <c r="W511" s="87">
        <f t="shared" si="436"/>
        <v>0</v>
      </c>
      <c r="X511" s="87">
        <f t="shared" si="436"/>
        <v>0</v>
      </c>
      <c r="Y511" s="87">
        <f t="shared" si="436"/>
        <v>0</v>
      </c>
      <c r="Z511" s="87">
        <f t="shared" si="436"/>
        <v>0</v>
      </c>
      <c r="AA511" s="87">
        <f t="shared" si="436"/>
        <v>0</v>
      </c>
      <c r="AB511" s="87">
        <f t="shared" si="436"/>
        <v>0</v>
      </c>
      <c r="AC511" s="87">
        <f t="shared" si="436"/>
        <v>0</v>
      </c>
      <c r="AD511" s="87">
        <f t="shared" si="436"/>
        <v>0</v>
      </c>
      <c r="AE511" s="87">
        <f t="shared" si="436"/>
        <v>0</v>
      </c>
      <c r="AF511" s="87">
        <f t="shared" si="436"/>
        <v>0</v>
      </c>
      <c r="AG511" s="87">
        <f t="shared" si="436"/>
        <v>0</v>
      </c>
      <c r="AH511" s="87">
        <f>SUM(F511:AG511)</f>
        <v>11589879.048546968</v>
      </c>
      <c r="AI511" s="27" t="str">
        <f t="shared" ref="AI511:AI516" si="437">IF(ABS(E511-AH511)&lt;0.01,"ok","err")</f>
        <v>ok</v>
      </c>
      <c r="AK511" s="73"/>
      <c r="AL511" s="73"/>
      <c r="AM511" s="73"/>
      <c r="AN511" s="73"/>
      <c r="AO511" s="73"/>
      <c r="AP511" s="73"/>
    </row>
    <row r="512" spans="1:42" x14ac:dyDescent="0.2">
      <c r="A512" s="14" t="s">
        <v>646</v>
      </c>
      <c r="E512" s="87">
        <f>E124+E200+E238+E276</f>
        <v>27577089.951453038</v>
      </c>
      <c r="F512" s="87">
        <f t="shared" ref="F512:S512" si="438">F124+F200+F238+F276</f>
        <v>20463239.343723658</v>
      </c>
      <c r="G512" s="87">
        <f t="shared" si="438"/>
        <v>20833.18538957182</v>
      </c>
      <c r="H512" s="87">
        <f t="shared" si="438"/>
        <v>2042133.9924593822</v>
      </c>
      <c r="I512" s="87">
        <f t="shared" si="438"/>
        <v>232385.30903613954</v>
      </c>
      <c r="J512" s="87">
        <f t="shared" si="438"/>
        <v>2705915.7402133741</v>
      </c>
      <c r="K512" s="87">
        <f t="shared" si="438"/>
        <v>0</v>
      </c>
      <c r="L512" s="87">
        <f t="shared" si="438"/>
        <v>1352271.3325883246</v>
      </c>
      <c r="M512" s="87">
        <f t="shared" ref="M512" si="439">M124+M200+M238+M276</f>
        <v>506972.39999999991</v>
      </c>
      <c r="N512" s="87">
        <f t="shared" si="438"/>
        <v>253338.64804258672</v>
      </c>
      <c r="O512" s="87">
        <v>0</v>
      </c>
      <c r="P512" s="87">
        <f t="shared" si="438"/>
        <v>0</v>
      </c>
      <c r="Q512" s="87">
        <f t="shared" si="438"/>
        <v>0</v>
      </c>
      <c r="R512" s="87">
        <f t="shared" si="438"/>
        <v>0</v>
      </c>
      <c r="S512" s="87">
        <f t="shared" si="438"/>
        <v>0</v>
      </c>
      <c r="T512" s="87">
        <f t="shared" ref="T512:AG512" si="440">T124</f>
        <v>0</v>
      </c>
      <c r="U512" s="87">
        <f t="shared" si="440"/>
        <v>0</v>
      </c>
      <c r="V512" s="87">
        <f t="shared" si="440"/>
        <v>0</v>
      </c>
      <c r="W512" s="87">
        <f t="shared" si="440"/>
        <v>0</v>
      </c>
      <c r="X512" s="87">
        <f t="shared" si="440"/>
        <v>0</v>
      </c>
      <c r="Y512" s="87">
        <f t="shared" si="440"/>
        <v>0</v>
      </c>
      <c r="Z512" s="87">
        <f t="shared" si="440"/>
        <v>0</v>
      </c>
      <c r="AA512" s="87">
        <f t="shared" si="440"/>
        <v>0</v>
      </c>
      <c r="AB512" s="87">
        <f t="shared" si="440"/>
        <v>0</v>
      </c>
      <c r="AC512" s="87">
        <f t="shared" si="440"/>
        <v>0</v>
      </c>
      <c r="AD512" s="87">
        <f t="shared" si="440"/>
        <v>0</v>
      </c>
      <c r="AE512" s="87">
        <f t="shared" si="440"/>
        <v>0</v>
      </c>
      <c r="AF512" s="87">
        <f t="shared" si="440"/>
        <v>0</v>
      </c>
      <c r="AG512" s="87">
        <f t="shared" si="440"/>
        <v>0</v>
      </c>
      <c r="AH512" s="87">
        <f>SUM(F512:AG512)</f>
        <v>27577089.951453038</v>
      </c>
      <c r="AI512" s="27" t="str">
        <f t="shared" si="437"/>
        <v>ok</v>
      </c>
      <c r="AK512" s="73"/>
      <c r="AL512" s="73"/>
      <c r="AM512" s="73"/>
      <c r="AN512" s="73"/>
      <c r="AO512" s="73"/>
      <c r="AP512" s="73"/>
    </row>
    <row r="513" spans="1:42" x14ac:dyDescent="0.2">
      <c r="A513" s="14" t="s">
        <v>895</v>
      </c>
      <c r="E513" s="87">
        <f t="shared" ref="E513:S513" si="441">E128+E204+E242+E280</f>
        <v>0</v>
      </c>
      <c r="F513" s="87">
        <f t="shared" si="441"/>
        <v>0</v>
      </c>
      <c r="G513" s="87">
        <f t="shared" si="441"/>
        <v>0</v>
      </c>
      <c r="H513" s="87">
        <f t="shared" si="441"/>
        <v>0</v>
      </c>
      <c r="I513" s="87">
        <f t="shared" si="441"/>
        <v>0</v>
      </c>
      <c r="J513" s="87">
        <f t="shared" si="441"/>
        <v>0</v>
      </c>
      <c r="K513" s="87">
        <f t="shared" si="441"/>
        <v>0</v>
      </c>
      <c r="L513" s="87">
        <f t="shared" si="441"/>
        <v>0</v>
      </c>
      <c r="M513" s="87">
        <f t="shared" ref="M513" si="442">M128+M204+M242+M280</f>
        <v>0</v>
      </c>
      <c r="N513" s="87">
        <f t="shared" si="441"/>
        <v>0</v>
      </c>
      <c r="O513" s="87">
        <v>0</v>
      </c>
      <c r="P513" s="87">
        <f t="shared" si="441"/>
        <v>0</v>
      </c>
      <c r="Q513" s="87">
        <f t="shared" si="441"/>
        <v>0</v>
      </c>
      <c r="R513" s="87">
        <f t="shared" si="441"/>
        <v>0</v>
      </c>
      <c r="S513" s="87">
        <f t="shared" si="441"/>
        <v>0</v>
      </c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7">
        <f>SUM(F513:AG513)</f>
        <v>0</v>
      </c>
      <c r="AI513" s="27" t="str">
        <f t="shared" si="437"/>
        <v>ok</v>
      </c>
      <c r="AK513" s="73"/>
      <c r="AL513" s="73"/>
      <c r="AM513" s="73"/>
      <c r="AN513" s="73"/>
      <c r="AO513" s="73"/>
      <c r="AP513" s="73"/>
    </row>
    <row r="514" spans="1:42" x14ac:dyDescent="0.2">
      <c r="A514" s="14" t="s">
        <v>647</v>
      </c>
      <c r="D514" s="23">
        <f>E514/(E514+E515)</f>
        <v>0.27160015209849714</v>
      </c>
      <c r="E514" s="87">
        <f t="shared" ref="E514:AH514" si="443">E131+E134+E139+E207+E210+E215+E245+E248+E253+E283+E286+E291</f>
        <v>4711743.9912584787</v>
      </c>
      <c r="F514" s="87">
        <f t="shared" si="443"/>
        <v>3948924.4647340397</v>
      </c>
      <c r="G514" s="87">
        <f t="shared" si="443"/>
        <v>3989.9742601130101</v>
      </c>
      <c r="H514" s="87">
        <f t="shared" si="443"/>
        <v>309333.21258036321</v>
      </c>
      <c r="I514" s="87">
        <f t="shared" si="443"/>
        <v>35222.253193242068</v>
      </c>
      <c r="J514" s="87">
        <f t="shared" si="443"/>
        <v>250922.17941775912</v>
      </c>
      <c r="K514" s="87">
        <f t="shared" si="443"/>
        <v>0</v>
      </c>
      <c r="L514" s="87">
        <f t="shared" si="443"/>
        <v>113210.20532859107</v>
      </c>
      <c r="M514" s="87">
        <f t="shared" ref="M514" si="444">M131+M134+M139+M207+M210+M215+M245+M248+M253+M283+M286+M291</f>
        <v>32488.851283806725</v>
      </c>
      <c r="N514" s="87">
        <f t="shared" si="443"/>
        <v>17652.850460564245</v>
      </c>
      <c r="O514" s="87">
        <v>0</v>
      </c>
      <c r="P514" s="87">
        <f t="shared" si="443"/>
        <v>0</v>
      </c>
      <c r="Q514" s="87">
        <f t="shared" si="443"/>
        <v>0</v>
      </c>
      <c r="R514" s="87">
        <f t="shared" si="443"/>
        <v>0</v>
      </c>
      <c r="S514" s="87">
        <f t="shared" si="443"/>
        <v>0</v>
      </c>
      <c r="T514" s="87">
        <f t="shared" si="443"/>
        <v>0</v>
      </c>
      <c r="U514" s="87">
        <f t="shared" si="443"/>
        <v>0</v>
      </c>
      <c r="V514" s="87">
        <f t="shared" si="443"/>
        <v>0</v>
      </c>
      <c r="W514" s="87">
        <f t="shared" si="443"/>
        <v>0</v>
      </c>
      <c r="X514" s="87">
        <f t="shared" si="443"/>
        <v>0</v>
      </c>
      <c r="Y514" s="87">
        <f t="shared" si="443"/>
        <v>0</v>
      </c>
      <c r="Z514" s="87">
        <f t="shared" si="443"/>
        <v>0</v>
      </c>
      <c r="AA514" s="87">
        <f t="shared" si="443"/>
        <v>0</v>
      </c>
      <c r="AB514" s="87">
        <f t="shared" si="443"/>
        <v>0</v>
      </c>
      <c r="AC514" s="87">
        <f t="shared" si="443"/>
        <v>0</v>
      </c>
      <c r="AD514" s="87">
        <f t="shared" si="443"/>
        <v>0</v>
      </c>
      <c r="AE514" s="87">
        <f t="shared" si="443"/>
        <v>0</v>
      </c>
      <c r="AF514" s="87">
        <f t="shared" si="443"/>
        <v>0</v>
      </c>
      <c r="AG514" s="87">
        <f t="shared" si="443"/>
        <v>0</v>
      </c>
      <c r="AH514" s="87">
        <f t="shared" si="443"/>
        <v>4711743.9912584787</v>
      </c>
      <c r="AI514" s="27" t="str">
        <f t="shared" si="437"/>
        <v>ok</v>
      </c>
      <c r="AK514" s="73"/>
      <c r="AL514" s="73"/>
      <c r="AM514" s="73"/>
      <c r="AN514" s="73"/>
      <c r="AO514" s="73"/>
      <c r="AP514" s="73"/>
    </row>
    <row r="515" spans="1:42" x14ac:dyDescent="0.2">
      <c r="A515" s="14" t="s">
        <v>648</v>
      </c>
      <c r="D515" s="23">
        <f>E515/(E514+E515)</f>
        <v>0.72839984790150281</v>
      </c>
      <c r="E515" s="62">
        <f t="shared" ref="E515:AE515" si="445">E135+E140+E144+E147+E150+E153+E211+E216+E220+E223+E226+E229+E249+E254+E258+E261+E264+E267+E287+E292+E296+E299+E302+E305</f>
        <v>12636346.408741523</v>
      </c>
      <c r="F515" s="62">
        <f t="shared" si="445"/>
        <v>11117374.143309256</v>
      </c>
      <c r="G515" s="62">
        <f t="shared" si="445"/>
        <v>432.66682791629717</v>
      </c>
      <c r="H515" s="62">
        <f t="shared" si="445"/>
        <v>952472.01462526165</v>
      </c>
      <c r="I515" s="62">
        <f t="shared" si="445"/>
        <v>138226.55558056349</v>
      </c>
      <c r="J515" s="62">
        <f t="shared" si="445"/>
        <v>64281.839749712308</v>
      </c>
      <c r="K515" s="62">
        <f t="shared" si="445"/>
        <v>0</v>
      </c>
      <c r="L515" s="62">
        <f t="shared" si="445"/>
        <v>4282.4894727536139</v>
      </c>
      <c r="M515" s="62">
        <f t="shared" ref="M515" si="446">M135+M140+M144+M147+M150+M153+M211+M216+M220+M223+M226+M229+M249+M254+M258+M261+M264+M267+M287+M292+M296+M299+M302+M305</f>
        <v>556.21895961017481</v>
      </c>
      <c r="N515" s="62">
        <f t="shared" si="445"/>
        <v>358720.48021644488</v>
      </c>
      <c r="O515" s="62">
        <v>0</v>
      </c>
      <c r="P515" s="62">
        <f t="shared" si="445"/>
        <v>0</v>
      </c>
      <c r="Q515" s="62">
        <f t="shared" si="445"/>
        <v>0</v>
      </c>
      <c r="R515" s="62">
        <f t="shared" si="445"/>
        <v>0</v>
      </c>
      <c r="S515" s="62">
        <f t="shared" si="445"/>
        <v>0</v>
      </c>
      <c r="T515" s="62">
        <f t="shared" si="445"/>
        <v>0</v>
      </c>
      <c r="U515" s="62">
        <f t="shared" si="445"/>
        <v>0</v>
      </c>
      <c r="V515" s="62">
        <f t="shared" si="445"/>
        <v>0</v>
      </c>
      <c r="W515" s="62">
        <f t="shared" si="445"/>
        <v>0</v>
      </c>
      <c r="X515" s="62">
        <f t="shared" si="445"/>
        <v>0</v>
      </c>
      <c r="Y515" s="62">
        <f t="shared" si="445"/>
        <v>0</v>
      </c>
      <c r="Z515" s="62">
        <f t="shared" si="445"/>
        <v>0</v>
      </c>
      <c r="AA515" s="62">
        <f t="shared" si="445"/>
        <v>0</v>
      </c>
      <c r="AB515" s="62">
        <f t="shared" si="445"/>
        <v>0</v>
      </c>
      <c r="AC515" s="62">
        <f t="shared" si="445"/>
        <v>0</v>
      </c>
      <c r="AD515" s="62">
        <f t="shared" si="445"/>
        <v>0</v>
      </c>
      <c r="AE515" s="62">
        <f t="shared" si="445"/>
        <v>0</v>
      </c>
      <c r="AF515" s="62"/>
      <c r="AG515" s="62">
        <f>AG135+AG140+AG144+AG147+AG150+AG153+AG211+AG216+AG220+AG223+AG226+AG229+AG249+AG254+AG258+AG261+AG264+AG267+AG287+AG292+AG296+AG299+AG302+AG305</f>
        <v>0</v>
      </c>
      <c r="AH515" s="87">
        <f>SUM(F515:AG515)</f>
        <v>12636346.408741523</v>
      </c>
      <c r="AI515" s="27" t="str">
        <f t="shared" si="437"/>
        <v>ok</v>
      </c>
      <c r="AK515" s="73"/>
      <c r="AL515" s="73"/>
      <c r="AM515" s="73"/>
      <c r="AN515" s="73"/>
      <c r="AO515" s="73"/>
      <c r="AP515" s="73"/>
    </row>
    <row r="516" spans="1:42" x14ac:dyDescent="0.2">
      <c r="A516" s="14" t="s">
        <v>0</v>
      </c>
      <c r="E516" s="98">
        <f>SUM(E511:E515)</f>
        <v>56515059.400000006</v>
      </c>
      <c r="F516" s="98">
        <f t="shared" ref="F516:S516" si="447">SUM(F511:F515)</f>
        <v>44336069.245475262</v>
      </c>
      <c r="G516" s="98">
        <f t="shared" si="447"/>
        <v>31900.731436489543</v>
      </c>
      <c r="H516" s="98">
        <f t="shared" si="447"/>
        <v>4228032.5636934591</v>
      </c>
      <c r="I516" s="98">
        <f t="shared" si="447"/>
        <v>504544.8375568082</v>
      </c>
      <c r="J516" s="98">
        <f t="shared" si="447"/>
        <v>3944484.9498970686</v>
      </c>
      <c r="K516" s="98">
        <f t="shared" si="447"/>
        <v>0</v>
      </c>
      <c r="L516" s="98">
        <f t="shared" si="447"/>
        <v>2053386.1298209091</v>
      </c>
      <c r="M516" s="98">
        <f t="shared" ref="M516" si="448">SUM(M511:M515)</f>
        <v>730281.07024341682</v>
      </c>
      <c r="N516" s="98">
        <f t="shared" si="447"/>
        <v>686359.87187659112</v>
      </c>
      <c r="O516" s="98">
        <f t="shared" si="447"/>
        <v>0</v>
      </c>
      <c r="P516" s="98">
        <f t="shared" si="447"/>
        <v>0</v>
      </c>
      <c r="Q516" s="98">
        <f t="shared" si="447"/>
        <v>0</v>
      </c>
      <c r="R516" s="98">
        <f t="shared" si="447"/>
        <v>0</v>
      </c>
      <c r="S516" s="98">
        <f t="shared" si="447"/>
        <v>0</v>
      </c>
      <c r="T516" s="98">
        <f t="shared" ref="T516:AH516" si="449">SUM(T511:T515)</f>
        <v>0</v>
      </c>
      <c r="U516" s="98">
        <f t="shared" si="449"/>
        <v>0</v>
      </c>
      <c r="V516" s="98">
        <f t="shared" si="449"/>
        <v>0</v>
      </c>
      <c r="W516" s="98">
        <f t="shared" si="449"/>
        <v>0</v>
      </c>
      <c r="X516" s="98">
        <f t="shared" si="449"/>
        <v>0</v>
      </c>
      <c r="Y516" s="98">
        <f t="shared" si="449"/>
        <v>0</v>
      </c>
      <c r="Z516" s="98">
        <f t="shared" si="449"/>
        <v>0</v>
      </c>
      <c r="AA516" s="98">
        <f t="shared" si="449"/>
        <v>0</v>
      </c>
      <c r="AB516" s="98">
        <f t="shared" si="449"/>
        <v>0</v>
      </c>
      <c r="AC516" s="98">
        <f t="shared" si="449"/>
        <v>0</v>
      </c>
      <c r="AD516" s="98">
        <f t="shared" si="449"/>
        <v>0</v>
      </c>
      <c r="AE516" s="98">
        <f t="shared" si="449"/>
        <v>0</v>
      </c>
      <c r="AF516" s="98">
        <f t="shared" si="449"/>
        <v>0</v>
      </c>
      <c r="AG516" s="98">
        <f t="shared" si="449"/>
        <v>0</v>
      </c>
      <c r="AH516" s="98">
        <f t="shared" si="449"/>
        <v>56515059.400000006</v>
      </c>
      <c r="AI516" s="27" t="str">
        <f t="shared" si="437"/>
        <v>ok</v>
      </c>
      <c r="AK516" s="73"/>
      <c r="AL516" s="73"/>
      <c r="AM516" s="73"/>
      <c r="AN516" s="73"/>
      <c r="AO516" s="73"/>
      <c r="AP516" s="73"/>
    </row>
    <row r="518" spans="1:42" x14ac:dyDescent="0.2">
      <c r="A518" s="13" t="s">
        <v>697</v>
      </c>
      <c r="E518" s="87"/>
    </row>
    <row r="519" spans="1:42" x14ac:dyDescent="0.2">
      <c r="AK519" s="84"/>
      <c r="AL519" s="171"/>
      <c r="AM519" s="84"/>
      <c r="AN519" s="84"/>
      <c r="AO519" s="84"/>
      <c r="AP519" s="84"/>
    </row>
    <row r="520" spans="1:42" x14ac:dyDescent="0.2">
      <c r="A520" s="14" t="s">
        <v>645</v>
      </c>
      <c r="D520" s="87"/>
      <c r="E520" s="87">
        <f>E511+E366</f>
        <v>5823199.0485469699</v>
      </c>
      <c r="F520" s="87">
        <f t="shared" ref="F520:AH520" si="450">F511+F366</f>
        <v>4416110.3465633793</v>
      </c>
      <c r="G520" s="87">
        <f t="shared" si="450"/>
        <v>3332.1443553879458</v>
      </c>
      <c r="H520" s="87">
        <f t="shared" si="450"/>
        <v>463394.50138216605</v>
      </c>
      <c r="I520" s="87">
        <f t="shared" si="450"/>
        <v>49499.333648229353</v>
      </c>
      <c r="J520" s="87">
        <f t="shared" si="450"/>
        <v>463029.36258324521</v>
      </c>
      <c r="K520" s="87">
        <f t="shared" si="450"/>
        <v>0</v>
      </c>
      <c r="L520" s="87">
        <f t="shared" si="450"/>
        <v>292662.28882545535</v>
      </c>
      <c r="M520" s="87">
        <f t="shared" ref="M520" si="451">M511+M366</f>
        <v>106764.5012538631</v>
      </c>
      <c r="N520" s="87">
        <f t="shared" si="450"/>
        <v>28406.569935242209</v>
      </c>
      <c r="O520" s="87">
        <v>0</v>
      </c>
      <c r="P520" s="87">
        <f t="shared" si="450"/>
        <v>0</v>
      </c>
      <c r="Q520" s="87">
        <f t="shared" si="450"/>
        <v>0</v>
      </c>
      <c r="R520" s="87">
        <f t="shared" si="450"/>
        <v>0</v>
      </c>
      <c r="S520" s="87">
        <f t="shared" si="450"/>
        <v>0</v>
      </c>
      <c r="T520" s="87">
        <f t="shared" si="450"/>
        <v>0</v>
      </c>
      <c r="U520" s="87">
        <f t="shared" si="450"/>
        <v>0</v>
      </c>
      <c r="V520" s="87">
        <f t="shared" si="450"/>
        <v>0</v>
      </c>
      <c r="W520" s="87">
        <f t="shared" si="450"/>
        <v>0</v>
      </c>
      <c r="X520" s="87">
        <f t="shared" si="450"/>
        <v>0</v>
      </c>
      <c r="Y520" s="87">
        <f t="shared" si="450"/>
        <v>0</v>
      </c>
      <c r="Z520" s="87">
        <f t="shared" si="450"/>
        <v>0</v>
      </c>
      <c r="AA520" s="87">
        <f t="shared" si="450"/>
        <v>0</v>
      </c>
      <c r="AB520" s="87">
        <f t="shared" si="450"/>
        <v>0</v>
      </c>
      <c r="AC520" s="87">
        <f t="shared" si="450"/>
        <v>0</v>
      </c>
      <c r="AD520" s="87">
        <f t="shared" si="450"/>
        <v>0</v>
      </c>
      <c r="AE520" s="87">
        <f t="shared" si="450"/>
        <v>0</v>
      </c>
      <c r="AF520" s="87">
        <f t="shared" si="450"/>
        <v>0</v>
      </c>
      <c r="AG520" s="87">
        <f t="shared" si="450"/>
        <v>0</v>
      </c>
      <c r="AH520" s="87">
        <f t="shared" si="450"/>
        <v>5823199.048546968</v>
      </c>
      <c r="AI520" s="27" t="str">
        <f t="shared" ref="AI520:AI525" si="452">IF(ABS(E520-AH520)&lt;0.01,"ok","err")</f>
        <v>ok</v>
      </c>
      <c r="AK520" s="73"/>
      <c r="AL520" s="73"/>
      <c r="AM520" s="73"/>
      <c r="AN520" s="73"/>
      <c r="AO520" s="73"/>
      <c r="AP520" s="73"/>
    </row>
    <row r="521" spans="1:42" x14ac:dyDescent="0.2">
      <c r="A521" s="14" t="s">
        <v>646</v>
      </c>
      <c r="D521" s="87"/>
      <c r="E521" s="87">
        <f>E512+E365+E367+E369</f>
        <v>24767253.621453039</v>
      </c>
      <c r="F521" s="87">
        <f t="shared" ref="F521:AH521" si="453">F512+F365+F367+F369</f>
        <v>18371510.668340676</v>
      </c>
      <c r="G521" s="87">
        <f t="shared" si="453"/>
        <v>18703.641256946361</v>
      </c>
      <c r="H521" s="87">
        <f t="shared" si="453"/>
        <v>1838741.8409798504</v>
      </c>
      <c r="I521" s="87">
        <f t="shared" si="453"/>
        <v>209240.23229209412</v>
      </c>
      <c r="J521" s="87">
        <f t="shared" si="453"/>
        <v>2436412.3549523922</v>
      </c>
      <c r="K521" s="87">
        <f t="shared" si="453"/>
        <v>0</v>
      </c>
      <c r="L521" s="87">
        <f t="shared" si="453"/>
        <v>1217588.0176174028</v>
      </c>
      <c r="M521" s="87">
        <f t="shared" ref="M521" si="454">M512+M365+M367+M369</f>
        <v>447614.20177855628</v>
      </c>
      <c r="N521" s="87">
        <f t="shared" si="453"/>
        <v>227442.66423511747</v>
      </c>
      <c r="O521" s="87">
        <v>0</v>
      </c>
      <c r="P521" s="87">
        <f t="shared" si="453"/>
        <v>0</v>
      </c>
      <c r="Q521" s="87">
        <f t="shared" si="453"/>
        <v>0</v>
      </c>
      <c r="R521" s="87">
        <f t="shared" si="453"/>
        <v>0</v>
      </c>
      <c r="S521" s="87">
        <f t="shared" si="453"/>
        <v>0</v>
      </c>
      <c r="T521" s="87">
        <f t="shared" si="453"/>
        <v>0</v>
      </c>
      <c r="U521" s="87">
        <f t="shared" si="453"/>
        <v>0</v>
      </c>
      <c r="V521" s="87">
        <f t="shared" si="453"/>
        <v>0</v>
      </c>
      <c r="W521" s="87">
        <f t="shared" si="453"/>
        <v>0</v>
      </c>
      <c r="X521" s="87">
        <f t="shared" si="453"/>
        <v>0</v>
      </c>
      <c r="Y521" s="87">
        <f t="shared" si="453"/>
        <v>0</v>
      </c>
      <c r="Z521" s="87">
        <f t="shared" si="453"/>
        <v>0</v>
      </c>
      <c r="AA521" s="87">
        <f t="shared" si="453"/>
        <v>0</v>
      </c>
      <c r="AB521" s="87">
        <f t="shared" si="453"/>
        <v>0</v>
      </c>
      <c r="AC521" s="87">
        <f t="shared" si="453"/>
        <v>0</v>
      </c>
      <c r="AD521" s="87">
        <f t="shared" si="453"/>
        <v>0</v>
      </c>
      <c r="AE521" s="87">
        <f t="shared" si="453"/>
        <v>0</v>
      </c>
      <c r="AF521" s="87">
        <f t="shared" si="453"/>
        <v>0</v>
      </c>
      <c r="AG521" s="87">
        <f t="shared" si="453"/>
        <v>0</v>
      </c>
      <c r="AH521" s="87">
        <f t="shared" si="453"/>
        <v>24767253.621453039</v>
      </c>
      <c r="AI521" s="27" t="str">
        <f t="shared" si="452"/>
        <v>ok</v>
      </c>
      <c r="AK521" s="73"/>
      <c r="AL521" s="73"/>
      <c r="AM521" s="73"/>
      <c r="AN521" s="73"/>
      <c r="AO521" s="73"/>
      <c r="AP521" s="73"/>
    </row>
    <row r="522" spans="1:42" x14ac:dyDescent="0.2">
      <c r="A522" s="14" t="s">
        <v>895</v>
      </c>
      <c r="D522" s="87"/>
      <c r="E522" s="87">
        <f t="shared" ref="E522:AH522" si="455">E513</f>
        <v>0</v>
      </c>
      <c r="F522" s="87">
        <f t="shared" si="455"/>
        <v>0</v>
      </c>
      <c r="G522" s="87">
        <f t="shared" si="455"/>
        <v>0</v>
      </c>
      <c r="H522" s="87">
        <f t="shared" si="455"/>
        <v>0</v>
      </c>
      <c r="I522" s="87">
        <f t="shared" si="455"/>
        <v>0</v>
      </c>
      <c r="J522" s="87">
        <f t="shared" si="455"/>
        <v>0</v>
      </c>
      <c r="K522" s="87">
        <f t="shared" si="455"/>
        <v>0</v>
      </c>
      <c r="L522" s="87">
        <f t="shared" si="455"/>
        <v>0</v>
      </c>
      <c r="M522" s="87">
        <f t="shared" ref="M522" si="456">M513</f>
        <v>0</v>
      </c>
      <c r="N522" s="87">
        <f t="shared" si="455"/>
        <v>0</v>
      </c>
      <c r="O522" s="87">
        <v>0</v>
      </c>
      <c r="P522" s="87">
        <f t="shared" si="455"/>
        <v>0</v>
      </c>
      <c r="Q522" s="87">
        <f t="shared" si="455"/>
        <v>0</v>
      </c>
      <c r="R522" s="87">
        <f t="shared" si="455"/>
        <v>0</v>
      </c>
      <c r="S522" s="87">
        <f t="shared" si="455"/>
        <v>0</v>
      </c>
      <c r="T522" s="87">
        <f t="shared" si="455"/>
        <v>0</v>
      </c>
      <c r="U522" s="87">
        <f t="shared" si="455"/>
        <v>0</v>
      </c>
      <c r="V522" s="87">
        <f t="shared" si="455"/>
        <v>0</v>
      </c>
      <c r="W522" s="87">
        <f t="shared" si="455"/>
        <v>0</v>
      </c>
      <c r="X522" s="87">
        <f t="shared" si="455"/>
        <v>0</v>
      </c>
      <c r="Y522" s="87">
        <f t="shared" si="455"/>
        <v>0</v>
      </c>
      <c r="Z522" s="87">
        <f t="shared" si="455"/>
        <v>0</v>
      </c>
      <c r="AA522" s="87">
        <f t="shared" si="455"/>
        <v>0</v>
      </c>
      <c r="AB522" s="87">
        <f t="shared" si="455"/>
        <v>0</v>
      </c>
      <c r="AC522" s="87">
        <f t="shared" si="455"/>
        <v>0</v>
      </c>
      <c r="AD522" s="87">
        <f t="shared" si="455"/>
        <v>0</v>
      </c>
      <c r="AE522" s="87">
        <f t="shared" si="455"/>
        <v>0</v>
      </c>
      <c r="AF522" s="87">
        <f t="shared" si="455"/>
        <v>0</v>
      </c>
      <c r="AG522" s="87">
        <f t="shared" si="455"/>
        <v>0</v>
      </c>
      <c r="AH522" s="87">
        <f t="shared" si="455"/>
        <v>0</v>
      </c>
      <c r="AI522" s="27" t="str">
        <f t="shared" si="452"/>
        <v>ok</v>
      </c>
      <c r="AK522" s="73"/>
      <c r="AL522" s="73"/>
      <c r="AM522" s="73"/>
      <c r="AN522" s="73"/>
      <c r="AO522" s="73"/>
      <c r="AP522" s="73"/>
    </row>
    <row r="523" spans="1:42" x14ac:dyDescent="0.2">
      <c r="A523" s="14" t="s">
        <v>647</v>
      </c>
      <c r="D523" s="87"/>
      <c r="E523" s="87">
        <f>E514+E371+(E368+E370+E372+E373+E374+E375+E376)*0.27</f>
        <v>4868485.4584499784</v>
      </c>
      <c r="F523" s="87">
        <f t="shared" ref="F523:N523" si="457">F514+F371+(F368+F370+F372+F373+F374+F375+F376)*0.27</f>
        <v>4085340.3005859996</v>
      </c>
      <c r="G523" s="87">
        <f t="shared" si="457"/>
        <v>4019.4863399439009</v>
      </c>
      <c r="H523" s="87">
        <f t="shared" si="457"/>
        <v>324857.46293444559</v>
      </c>
      <c r="I523" s="87">
        <f t="shared" si="457"/>
        <v>36267.911843115537</v>
      </c>
      <c r="J523" s="87">
        <f t="shared" si="457"/>
        <v>250914.14401749507</v>
      </c>
      <c r="K523" s="87">
        <f t="shared" si="457"/>
        <v>0</v>
      </c>
      <c r="L523" s="87">
        <f t="shared" si="457"/>
        <v>113986.92272475849</v>
      </c>
      <c r="M523" s="87">
        <f t="shared" si="457"/>
        <v>32706.460786672487</v>
      </c>
      <c r="N523" s="87">
        <f t="shared" si="457"/>
        <v>20392.769854369009</v>
      </c>
      <c r="O523" s="87">
        <v>0</v>
      </c>
      <c r="P523" s="87">
        <v>0</v>
      </c>
      <c r="Q523" s="87">
        <f t="shared" ref="F523:AH523" si="458">Q514+Q371+(Q368+Q370+Q372+Q373+Q374+Q375)*0.45</f>
        <v>0</v>
      </c>
      <c r="R523" s="87">
        <f t="shared" si="458"/>
        <v>0</v>
      </c>
      <c r="S523" s="87">
        <f t="shared" si="458"/>
        <v>0</v>
      </c>
      <c r="T523" s="87">
        <f t="shared" si="458"/>
        <v>0</v>
      </c>
      <c r="U523" s="87">
        <f t="shared" si="458"/>
        <v>0</v>
      </c>
      <c r="V523" s="87">
        <f t="shared" si="458"/>
        <v>0</v>
      </c>
      <c r="W523" s="87">
        <f t="shared" si="458"/>
        <v>0</v>
      </c>
      <c r="X523" s="87">
        <f t="shared" si="458"/>
        <v>0</v>
      </c>
      <c r="Y523" s="87">
        <f t="shared" si="458"/>
        <v>0</v>
      </c>
      <c r="Z523" s="87">
        <f t="shared" si="458"/>
        <v>0</v>
      </c>
      <c r="AA523" s="87">
        <f t="shared" si="458"/>
        <v>0</v>
      </c>
      <c r="AB523" s="87">
        <f t="shared" si="458"/>
        <v>0</v>
      </c>
      <c r="AC523" s="87">
        <f t="shared" si="458"/>
        <v>0</v>
      </c>
      <c r="AD523" s="87">
        <f t="shared" si="458"/>
        <v>0</v>
      </c>
      <c r="AE523" s="87">
        <f t="shared" si="458"/>
        <v>0</v>
      </c>
      <c r="AF523" s="87">
        <f t="shared" si="458"/>
        <v>0</v>
      </c>
      <c r="AG523" s="87">
        <f t="shared" si="458"/>
        <v>0</v>
      </c>
      <c r="AH523" s="47">
        <f t="shared" ref="AH523:AH524" si="459">SUM(F523:AG523)</f>
        <v>4868485.4590867991</v>
      </c>
      <c r="AI523" s="27" t="str">
        <f t="shared" si="452"/>
        <v>ok</v>
      </c>
      <c r="AK523" s="73"/>
      <c r="AL523" s="73"/>
      <c r="AM523" s="73"/>
      <c r="AN523" s="73"/>
      <c r="AO523" s="73"/>
      <c r="AP523" s="73"/>
    </row>
    <row r="524" spans="1:42" x14ac:dyDescent="0.2">
      <c r="A524" s="14" t="s">
        <v>648</v>
      </c>
      <c r="D524" s="87"/>
      <c r="E524" s="87">
        <f>E515+(E368+E370+E372+E373+E374+E375+E376)*0.73</f>
        <v>12734823.293000022</v>
      </c>
      <c r="F524" s="87">
        <f t="shared" ref="F524:N524" si="460">F515+(F368+F370+F372+F373+F374+F375+F376)*0.73</f>
        <v>11209993.348095734</v>
      </c>
      <c r="G524" s="87">
        <f t="shared" si="460"/>
        <v>426.78644585532942</v>
      </c>
      <c r="H524" s="87">
        <f t="shared" si="460"/>
        <v>970391.19994478289</v>
      </c>
      <c r="I524" s="87">
        <f t="shared" si="460"/>
        <v>137851.16473006399</v>
      </c>
      <c r="J524" s="87">
        <f t="shared" si="460"/>
        <v>58086.727845013542</v>
      </c>
      <c r="K524" s="87">
        <f t="shared" si="460"/>
        <v>0</v>
      </c>
      <c r="L524" s="87">
        <f t="shared" si="460"/>
        <v>4076.4365196472058</v>
      </c>
      <c r="M524" s="87">
        <f t="shared" si="460"/>
        <v>495.16066637909057</v>
      </c>
      <c r="N524" s="87">
        <f t="shared" si="460"/>
        <v>353502.4704743168</v>
      </c>
      <c r="O524" s="87">
        <v>0</v>
      </c>
      <c r="P524" s="87">
        <v>0</v>
      </c>
      <c r="Q524" s="87">
        <f t="shared" ref="F524:AH524" si="461">Q515+(Q368+Q370+Q372+Q373+Q374+Q375)*0.55</f>
        <v>0</v>
      </c>
      <c r="R524" s="87">
        <f t="shared" si="461"/>
        <v>0</v>
      </c>
      <c r="S524" s="87">
        <f t="shared" si="461"/>
        <v>0</v>
      </c>
      <c r="T524" s="87">
        <f t="shared" si="461"/>
        <v>0</v>
      </c>
      <c r="U524" s="87">
        <f t="shared" si="461"/>
        <v>0</v>
      </c>
      <c r="V524" s="87">
        <f t="shared" si="461"/>
        <v>0</v>
      </c>
      <c r="W524" s="87">
        <f t="shared" si="461"/>
        <v>0</v>
      </c>
      <c r="X524" s="87">
        <f t="shared" si="461"/>
        <v>0</v>
      </c>
      <c r="Y524" s="87">
        <f t="shared" si="461"/>
        <v>0</v>
      </c>
      <c r="Z524" s="87">
        <f t="shared" si="461"/>
        <v>0</v>
      </c>
      <c r="AA524" s="87">
        <f t="shared" si="461"/>
        <v>0</v>
      </c>
      <c r="AB524" s="87">
        <f t="shared" si="461"/>
        <v>0</v>
      </c>
      <c r="AC524" s="87">
        <f t="shared" si="461"/>
        <v>0</v>
      </c>
      <c r="AD524" s="87">
        <f t="shared" si="461"/>
        <v>0</v>
      </c>
      <c r="AE524" s="87">
        <f t="shared" si="461"/>
        <v>0</v>
      </c>
      <c r="AF524" s="87">
        <f t="shared" si="461"/>
        <v>0</v>
      </c>
      <c r="AG524" s="87">
        <f t="shared" si="461"/>
        <v>0</v>
      </c>
      <c r="AH524" s="47">
        <f t="shared" si="459"/>
        <v>12734823.294721793</v>
      </c>
      <c r="AI524" s="27" t="str">
        <f t="shared" si="452"/>
        <v>ok</v>
      </c>
      <c r="AK524" s="73"/>
      <c r="AL524" s="73"/>
      <c r="AM524" s="73"/>
      <c r="AN524" s="73"/>
      <c r="AO524" s="73"/>
      <c r="AP524" s="73"/>
    </row>
    <row r="525" spans="1:42" x14ac:dyDescent="0.2">
      <c r="A525" s="14" t="s">
        <v>0</v>
      </c>
      <c r="E525" s="98">
        <f>SUM(E520:E524)</f>
        <v>48193761.421450011</v>
      </c>
      <c r="F525" s="98">
        <f t="shared" ref="F525:AG525" si="462">SUM(F520:F524)</f>
        <v>38082954.66358579</v>
      </c>
      <c r="G525" s="98">
        <f t="shared" si="462"/>
        <v>26482.05839813354</v>
      </c>
      <c r="H525" s="98">
        <f t="shared" si="462"/>
        <v>3597385.005241245</v>
      </c>
      <c r="I525" s="98">
        <f t="shared" si="462"/>
        <v>432858.64251350297</v>
      </c>
      <c r="J525" s="98">
        <f t="shared" si="462"/>
        <v>3208442.5893981461</v>
      </c>
      <c r="K525" s="98">
        <f t="shared" si="462"/>
        <v>0</v>
      </c>
      <c r="L525" s="98">
        <f t="shared" si="462"/>
        <v>1628313.6656872639</v>
      </c>
      <c r="M525" s="98">
        <f t="shared" ref="M525" si="463">SUM(M520:M524)</f>
        <v>587580.32448547101</v>
      </c>
      <c r="N525" s="98">
        <f t="shared" si="462"/>
        <v>629744.47449904541</v>
      </c>
      <c r="O525" s="98">
        <f t="shared" si="462"/>
        <v>0</v>
      </c>
      <c r="P525" s="98">
        <f t="shared" si="462"/>
        <v>0</v>
      </c>
      <c r="Q525" s="98">
        <f t="shared" si="462"/>
        <v>0</v>
      </c>
      <c r="R525" s="98">
        <f t="shared" si="462"/>
        <v>0</v>
      </c>
      <c r="S525" s="98">
        <f t="shared" si="462"/>
        <v>0</v>
      </c>
      <c r="T525" s="87">
        <f t="shared" si="462"/>
        <v>0</v>
      </c>
      <c r="U525" s="87">
        <f t="shared" si="462"/>
        <v>0</v>
      </c>
      <c r="V525" s="87">
        <f t="shared" si="462"/>
        <v>0</v>
      </c>
      <c r="W525" s="87">
        <f t="shared" si="462"/>
        <v>0</v>
      </c>
      <c r="X525" s="87">
        <f t="shared" si="462"/>
        <v>0</v>
      </c>
      <c r="Y525" s="87">
        <f t="shared" si="462"/>
        <v>0</v>
      </c>
      <c r="Z525" s="87">
        <f t="shared" si="462"/>
        <v>0</v>
      </c>
      <c r="AA525" s="87">
        <f t="shared" si="462"/>
        <v>0</v>
      </c>
      <c r="AB525" s="87">
        <f t="shared" si="462"/>
        <v>0</v>
      </c>
      <c r="AC525" s="87">
        <f t="shared" si="462"/>
        <v>0</v>
      </c>
      <c r="AD525" s="87">
        <f t="shared" si="462"/>
        <v>0</v>
      </c>
      <c r="AE525" s="87">
        <f t="shared" si="462"/>
        <v>0</v>
      </c>
      <c r="AF525" s="87">
        <f t="shared" si="462"/>
        <v>0</v>
      </c>
      <c r="AG525" s="87">
        <f t="shared" si="462"/>
        <v>0</v>
      </c>
      <c r="AH525" s="87">
        <f t="shared" ref="AH525" si="464">SUM(F525:AG525)</f>
        <v>48193761.423808604</v>
      </c>
      <c r="AI525" s="27" t="str">
        <f t="shared" si="452"/>
        <v>ok</v>
      </c>
      <c r="AK525" s="73"/>
      <c r="AL525" s="73"/>
      <c r="AM525" s="73"/>
      <c r="AN525" s="73"/>
      <c r="AO525" s="73"/>
      <c r="AP525" s="73"/>
    </row>
    <row r="526" spans="1:42" x14ac:dyDescent="0.2">
      <c r="D526" s="14" t="s">
        <v>1174</v>
      </c>
      <c r="E526" s="87">
        <f>E525-E516</f>
        <v>-8321297.9785499945</v>
      </c>
    </row>
    <row r="527" spans="1:42" x14ac:dyDescent="0.2">
      <c r="A527" s="13" t="s">
        <v>76</v>
      </c>
      <c r="D527" s="14" t="s">
        <v>1169</v>
      </c>
      <c r="E527" s="87">
        <f>E526-E390</f>
        <v>0</v>
      </c>
      <c r="F527" s="87"/>
      <c r="G527" s="87"/>
      <c r="H527" s="87"/>
      <c r="I527" s="87"/>
      <c r="J527" s="87"/>
      <c r="K527" s="87"/>
    </row>
    <row r="529" spans="1:35" x14ac:dyDescent="0.2">
      <c r="A529" s="14" t="s">
        <v>897</v>
      </c>
      <c r="E529" s="87">
        <f t="shared" ref="E529:S529" si="465">E85</f>
        <v>0</v>
      </c>
      <c r="F529" s="87">
        <f t="shared" si="465"/>
        <v>0</v>
      </c>
      <c r="G529" s="87">
        <f t="shared" si="465"/>
        <v>0</v>
      </c>
      <c r="H529" s="87">
        <f t="shared" si="465"/>
        <v>0</v>
      </c>
      <c r="I529" s="87">
        <f t="shared" si="465"/>
        <v>0</v>
      </c>
      <c r="J529" s="87">
        <f t="shared" si="465"/>
        <v>0</v>
      </c>
      <c r="K529" s="87">
        <f t="shared" si="465"/>
        <v>0</v>
      </c>
      <c r="L529" s="87">
        <f t="shared" si="465"/>
        <v>0</v>
      </c>
      <c r="M529" s="87">
        <f t="shared" ref="M529" si="466">M85</f>
        <v>0</v>
      </c>
      <c r="N529" s="87">
        <f t="shared" si="465"/>
        <v>0</v>
      </c>
      <c r="O529" s="87">
        <f t="shared" si="465"/>
        <v>0</v>
      </c>
      <c r="P529" s="87">
        <f t="shared" si="465"/>
        <v>0</v>
      </c>
      <c r="Q529" s="87">
        <f t="shared" si="465"/>
        <v>0</v>
      </c>
      <c r="R529" s="87">
        <f t="shared" si="465"/>
        <v>0</v>
      </c>
      <c r="S529" s="87">
        <f t="shared" si="465"/>
        <v>0</v>
      </c>
      <c r="AH529" s="87">
        <f>SUM(F529:AG529)</f>
        <v>0</v>
      </c>
      <c r="AI529" s="27" t="str">
        <f>IF(ABS(E529-AH529)&lt;0.01,"ok","err")</f>
        <v>ok</v>
      </c>
    </row>
    <row r="530" spans="1:35" x14ac:dyDescent="0.2">
      <c r="A530" s="14" t="s">
        <v>898</v>
      </c>
      <c r="E530" s="87">
        <f t="shared" ref="E530:S530" si="467">E86</f>
        <v>0</v>
      </c>
      <c r="F530" s="87">
        <f t="shared" si="467"/>
        <v>0</v>
      </c>
      <c r="G530" s="87">
        <f t="shared" si="467"/>
        <v>0</v>
      </c>
      <c r="H530" s="87">
        <f t="shared" si="467"/>
        <v>0</v>
      </c>
      <c r="I530" s="87">
        <f t="shared" si="467"/>
        <v>0</v>
      </c>
      <c r="J530" s="87">
        <f t="shared" si="467"/>
        <v>0</v>
      </c>
      <c r="K530" s="87">
        <f t="shared" si="467"/>
        <v>0</v>
      </c>
      <c r="L530" s="87">
        <f t="shared" si="467"/>
        <v>0</v>
      </c>
      <c r="M530" s="87">
        <f t="shared" ref="M530" si="468">M86</f>
        <v>0</v>
      </c>
      <c r="N530" s="87">
        <f t="shared" si="467"/>
        <v>0</v>
      </c>
      <c r="O530" s="87">
        <f t="shared" si="467"/>
        <v>0</v>
      </c>
      <c r="P530" s="87">
        <f t="shared" si="467"/>
        <v>0</v>
      </c>
      <c r="Q530" s="87">
        <f t="shared" si="467"/>
        <v>0</v>
      </c>
      <c r="R530" s="87">
        <f t="shared" si="467"/>
        <v>0</v>
      </c>
      <c r="S530" s="87">
        <f t="shared" si="467"/>
        <v>0</v>
      </c>
      <c r="AH530" s="87"/>
      <c r="AI530" s="27"/>
    </row>
    <row r="531" spans="1:35" x14ac:dyDescent="0.2">
      <c r="A531" s="14" t="s">
        <v>895</v>
      </c>
      <c r="E531" s="87">
        <f t="shared" ref="E531:S531" si="469">E90</f>
        <v>0</v>
      </c>
      <c r="F531" s="87">
        <f t="shared" si="469"/>
        <v>0</v>
      </c>
      <c r="G531" s="87">
        <f t="shared" si="469"/>
        <v>0</v>
      </c>
      <c r="H531" s="87">
        <f t="shared" si="469"/>
        <v>0</v>
      </c>
      <c r="I531" s="87">
        <f t="shared" si="469"/>
        <v>0</v>
      </c>
      <c r="J531" s="87">
        <f t="shared" si="469"/>
        <v>0</v>
      </c>
      <c r="K531" s="87">
        <f t="shared" si="469"/>
        <v>0</v>
      </c>
      <c r="L531" s="87">
        <f t="shared" si="469"/>
        <v>0</v>
      </c>
      <c r="M531" s="87">
        <f t="shared" ref="M531" si="470">M90</f>
        <v>0</v>
      </c>
      <c r="N531" s="87">
        <f t="shared" si="469"/>
        <v>0</v>
      </c>
      <c r="O531" s="87">
        <f t="shared" si="469"/>
        <v>0</v>
      </c>
      <c r="P531" s="87">
        <f t="shared" si="469"/>
        <v>0</v>
      </c>
      <c r="Q531" s="87">
        <f t="shared" si="469"/>
        <v>0</v>
      </c>
      <c r="R531" s="87">
        <f t="shared" si="469"/>
        <v>0</v>
      </c>
      <c r="S531" s="87">
        <f t="shared" si="469"/>
        <v>0</v>
      </c>
      <c r="AH531" s="87">
        <f>SUM(F531:AG531)</f>
        <v>0</v>
      </c>
      <c r="AI531" s="27" t="str">
        <f>IF(ABS(E531-AH531)&lt;0.01,"ok","err")</f>
        <v>ok</v>
      </c>
    </row>
    <row r="532" spans="1:35" x14ac:dyDescent="0.2">
      <c r="A532" s="14" t="s">
        <v>647</v>
      </c>
      <c r="E532" s="87">
        <f t="shared" ref="E532:AG532" si="471">E93+E96+E101</f>
        <v>31369175.899864618</v>
      </c>
      <c r="F532" s="87">
        <f t="shared" si="471"/>
        <v>26279991.357366819</v>
      </c>
      <c r="G532" s="87">
        <f t="shared" si="471"/>
        <v>26526.293274696392</v>
      </c>
      <c r="H532" s="87">
        <f t="shared" si="471"/>
        <v>2061399.5040146247</v>
      </c>
      <c r="I532" s="87">
        <f t="shared" si="471"/>
        <v>234643.74596218599</v>
      </c>
      <c r="J532" s="87">
        <f t="shared" si="471"/>
        <v>1674221.0990066936</v>
      </c>
      <c r="K532" s="87">
        <f t="shared" si="471"/>
        <v>0</v>
      </c>
      <c r="L532" s="87">
        <f t="shared" si="471"/>
        <v>757362.10680098436</v>
      </c>
      <c r="M532" s="87">
        <f t="shared" ref="M532" si="472">M93+M96+M101</f>
        <v>217346.34951354127</v>
      </c>
      <c r="N532" s="87">
        <f t="shared" si="471"/>
        <v>117685.44392507944</v>
      </c>
      <c r="O532" s="87">
        <v>0</v>
      </c>
      <c r="P532" s="87">
        <f t="shared" si="471"/>
        <v>0</v>
      </c>
      <c r="Q532" s="87">
        <f t="shared" si="471"/>
        <v>0</v>
      </c>
      <c r="R532" s="87">
        <f t="shared" si="471"/>
        <v>0</v>
      </c>
      <c r="S532" s="87">
        <f t="shared" si="471"/>
        <v>0</v>
      </c>
      <c r="T532" s="87">
        <f t="shared" si="471"/>
        <v>0</v>
      </c>
      <c r="U532" s="87">
        <f t="shared" si="471"/>
        <v>0</v>
      </c>
      <c r="V532" s="87">
        <f t="shared" si="471"/>
        <v>0</v>
      </c>
      <c r="W532" s="87">
        <f t="shared" si="471"/>
        <v>0</v>
      </c>
      <c r="X532" s="87">
        <f t="shared" si="471"/>
        <v>0</v>
      </c>
      <c r="Y532" s="87">
        <f t="shared" si="471"/>
        <v>0</v>
      </c>
      <c r="Z532" s="87">
        <f t="shared" si="471"/>
        <v>0</v>
      </c>
      <c r="AA532" s="87">
        <f t="shared" si="471"/>
        <v>0</v>
      </c>
      <c r="AB532" s="87">
        <f t="shared" si="471"/>
        <v>0</v>
      </c>
      <c r="AC532" s="87">
        <f t="shared" si="471"/>
        <v>0</v>
      </c>
      <c r="AD532" s="87">
        <f t="shared" si="471"/>
        <v>0</v>
      </c>
      <c r="AE532" s="87">
        <f t="shared" si="471"/>
        <v>0</v>
      </c>
      <c r="AF532" s="87">
        <f t="shared" si="471"/>
        <v>0</v>
      </c>
      <c r="AG532" s="87">
        <f t="shared" si="471"/>
        <v>0</v>
      </c>
      <c r="AH532" s="87">
        <f>SUM(F532:AG532)</f>
        <v>31369175.899864629</v>
      </c>
      <c r="AI532" s="27" t="str">
        <f>IF(ABS(E532-AH532)&lt;0.01,"ok","err")</f>
        <v>ok</v>
      </c>
    </row>
    <row r="533" spans="1:35" x14ac:dyDescent="0.2">
      <c r="A533" s="14" t="s">
        <v>648</v>
      </c>
      <c r="E533" s="62">
        <f t="shared" ref="E533:AE533" si="473">E97+E102+E106+E109+E112+E115</f>
        <v>79450449.651673868</v>
      </c>
      <c r="F533" s="62">
        <f t="shared" si="473"/>
        <v>67856221.625952393</v>
      </c>
      <c r="G533" s="62">
        <f t="shared" si="473"/>
        <v>2640.8336884978557</v>
      </c>
      <c r="H533" s="62">
        <f t="shared" si="473"/>
        <v>6130220.5675466238</v>
      </c>
      <c r="I533" s="62">
        <f t="shared" si="473"/>
        <v>856676.97146949184</v>
      </c>
      <c r="J533" s="62">
        <f t="shared" si="473"/>
        <v>427072.36345802719</v>
      </c>
      <c r="K533" s="62">
        <f t="shared" si="473"/>
        <v>0</v>
      </c>
      <c r="L533" s="62">
        <f t="shared" si="473"/>
        <v>27543.961742417003</v>
      </c>
      <c r="M533" s="62">
        <f t="shared" ref="M533" si="474">M97+M102+M106+M109+M112+M115</f>
        <v>3685.2853981643957</v>
      </c>
      <c r="N533" s="62">
        <f t="shared" si="473"/>
        <v>4146388.0424182317</v>
      </c>
      <c r="O533" s="62">
        <v>0</v>
      </c>
      <c r="P533" s="62">
        <f t="shared" si="473"/>
        <v>0</v>
      </c>
      <c r="Q533" s="62">
        <f t="shared" si="473"/>
        <v>0</v>
      </c>
      <c r="R533" s="62">
        <f t="shared" si="473"/>
        <v>0</v>
      </c>
      <c r="S533" s="62">
        <f t="shared" si="473"/>
        <v>0</v>
      </c>
      <c r="T533" s="62">
        <f t="shared" si="473"/>
        <v>0</v>
      </c>
      <c r="U533" s="62">
        <f t="shared" si="473"/>
        <v>0</v>
      </c>
      <c r="V533" s="62">
        <f t="shared" si="473"/>
        <v>0</v>
      </c>
      <c r="W533" s="62">
        <f t="shared" si="473"/>
        <v>0</v>
      </c>
      <c r="X533" s="62">
        <f t="shared" si="473"/>
        <v>0</v>
      </c>
      <c r="Y533" s="62">
        <f t="shared" si="473"/>
        <v>0</v>
      </c>
      <c r="Z533" s="62">
        <f t="shared" si="473"/>
        <v>0</v>
      </c>
      <c r="AA533" s="62">
        <f t="shared" si="473"/>
        <v>0</v>
      </c>
      <c r="AB533" s="62">
        <f t="shared" si="473"/>
        <v>0</v>
      </c>
      <c r="AC533" s="62">
        <f t="shared" si="473"/>
        <v>0</v>
      </c>
      <c r="AD533" s="62">
        <f t="shared" si="473"/>
        <v>0</v>
      </c>
      <c r="AE533" s="62">
        <f t="shared" si="473"/>
        <v>0</v>
      </c>
      <c r="AF533" s="62"/>
      <c r="AG533" s="62">
        <f>AG97+AG102+AG106+AG109+AG112+AG115</f>
        <v>0</v>
      </c>
      <c r="AH533" s="87">
        <f>SUM(F533:AG533)</f>
        <v>79450449.651673838</v>
      </c>
      <c r="AI533" s="27" t="str">
        <f>IF(ABS(E533-AH533)&lt;0.01,"ok","err")</f>
        <v>ok</v>
      </c>
    </row>
    <row r="534" spans="1:35" x14ac:dyDescent="0.2">
      <c r="A534" s="14" t="s">
        <v>0</v>
      </c>
      <c r="E534" s="98">
        <f>SUM(E529:E533)</f>
        <v>110819625.55153848</v>
      </c>
      <c r="F534" s="98">
        <f t="shared" ref="F534:S534" si="475">SUM(F529:F533)</f>
        <v>94136212.983319208</v>
      </c>
      <c r="G534" s="98">
        <f t="shared" si="475"/>
        <v>29167.126963194249</v>
      </c>
      <c r="H534" s="98">
        <f t="shared" si="475"/>
        <v>8191620.071561249</v>
      </c>
      <c r="I534" s="98">
        <f t="shared" si="475"/>
        <v>1091320.7174316777</v>
      </c>
      <c r="J534" s="98">
        <f t="shared" si="475"/>
        <v>2101293.4624647209</v>
      </c>
      <c r="K534" s="98">
        <f t="shared" si="475"/>
        <v>0</v>
      </c>
      <c r="L534" s="98">
        <f t="shared" si="475"/>
        <v>784906.06854340131</v>
      </c>
      <c r="M534" s="98">
        <f t="shared" ref="M534" si="476">SUM(M529:M533)</f>
        <v>221031.63491170565</v>
      </c>
      <c r="N534" s="98">
        <f t="shared" si="475"/>
        <v>4264073.4863433111</v>
      </c>
      <c r="O534" s="98">
        <f t="shared" si="475"/>
        <v>0</v>
      </c>
      <c r="P534" s="98">
        <f t="shared" si="475"/>
        <v>0</v>
      </c>
      <c r="Q534" s="98">
        <f t="shared" si="475"/>
        <v>0</v>
      </c>
      <c r="R534" s="98">
        <f t="shared" si="475"/>
        <v>0</v>
      </c>
      <c r="S534" s="98">
        <f t="shared" si="475"/>
        <v>0</v>
      </c>
      <c r="T534" s="177"/>
      <c r="U534" s="177"/>
      <c r="V534" s="177"/>
      <c r="W534" s="177"/>
      <c r="X534" s="177"/>
      <c r="Y534" s="177"/>
      <c r="Z534" s="177"/>
      <c r="AA534" s="177"/>
      <c r="AB534" s="177"/>
      <c r="AC534" s="177"/>
      <c r="AD534" s="177"/>
      <c r="AE534" s="177"/>
      <c r="AF534" s="177"/>
      <c r="AG534" s="177"/>
      <c r="AH534" s="98">
        <f>SUM(F534:AG534)</f>
        <v>110819625.55153847</v>
      </c>
      <c r="AI534" s="27" t="str">
        <f>IF(ABS(E534-AH534)&lt;0.01,"ok","err")</f>
        <v>ok</v>
      </c>
    </row>
    <row r="537" spans="1:35" x14ac:dyDescent="0.2">
      <c r="A537" s="13" t="s">
        <v>761</v>
      </c>
      <c r="C537" s="231">
        <v>3.6464943176248966E-2</v>
      </c>
      <c r="S537" s="74"/>
    </row>
    <row r="538" spans="1:35" x14ac:dyDescent="0.2">
      <c r="A538" s="14" t="s">
        <v>897</v>
      </c>
      <c r="E538" s="87">
        <f>E520+(E529*$C$537)</f>
        <v>5823199.0485469699</v>
      </c>
      <c r="F538" s="87">
        <f t="shared" ref="F538:S538" si="477">F520+(F529*$C$537)</f>
        <v>4416110.3465633793</v>
      </c>
      <c r="G538" s="87">
        <f t="shared" si="477"/>
        <v>3332.1443553879458</v>
      </c>
      <c r="H538" s="87">
        <f t="shared" si="477"/>
        <v>463394.50138216605</v>
      </c>
      <c r="I538" s="87">
        <f t="shared" si="477"/>
        <v>49499.333648229353</v>
      </c>
      <c r="J538" s="87">
        <f t="shared" si="477"/>
        <v>463029.36258324521</v>
      </c>
      <c r="K538" s="87">
        <f t="shared" si="477"/>
        <v>0</v>
      </c>
      <c r="L538" s="87">
        <f t="shared" si="477"/>
        <v>292662.28882545535</v>
      </c>
      <c r="M538" s="87">
        <f t="shared" ref="M538" si="478">M520+(M529*$C$537)</f>
        <v>106764.5012538631</v>
      </c>
      <c r="N538" s="87">
        <f t="shared" si="477"/>
        <v>28406.569935242209</v>
      </c>
      <c r="O538" s="87">
        <f t="shared" si="477"/>
        <v>0</v>
      </c>
      <c r="P538" s="87">
        <f t="shared" si="477"/>
        <v>0</v>
      </c>
      <c r="Q538" s="87">
        <f t="shared" si="477"/>
        <v>0</v>
      </c>
      <c r="R538" s="87">
        <f t="shared" si="477"/>
        <v>0</v>
      </c>
      <c r="S538" s="87">
        <f t="shared" si="477"/>
        <v>0</v>
      </c>
      <c r="T538" s="14">
        <f>T520</f>
        <v>0</v>
      </c>
    </row>
    <row r="539" spans="1:35" x14ac:dyDescent="0.2">
      <c r="A539" s="14" t="s">
        <v>898</v>
      </c>
      <c r="E539" s="87">
        <f>E521+(E530*$C$537)</f>
        <v>24767253.621453039</v>
      </c>
      <c r="F539" s="87">
        <f t="shared" ref="F539:S539" si="479">F521+(F530*$C$537)</f>
        <v>18371510.668340676</v>
      </c>
      <c r="G539" s="87">
        <f t="shared" si="479"/>
        <v>18703.641256946361</v>
      </c>
      <c r="H539" s="87">
        <f t="shared" si="479"/>
        <v>1838741.8409798504</v>
      </c>
      <c r="I539" s="87">
        <f t="shared" si="479"/>
        <v>209240.23229209412</v>
      </c>
      <c r="J539" s="87">
        <f t="shared" si="479"/>
        <v>2436412.3549523922</v>
      </c>
      <c r="K539" s="87">
        <f t="shared" si="479"/>
        <v>0</v>
      </c>
      <c r="L539" s="87">
        <f t="shared" si="479"/>
        <v>1217588.0176174028</v>
      </c>
      <c r="M539" s="87">
        <f t="shared" ref="M539" si="480">M521+(M530*$C$537)</f>
        <v>447614.20177855628</v>
      </c>
      <c r="N539" s="87">
        <f t="shared" si="479"/>
        <v>227442.66423511747</v>
      </c>
      <c r="O539" s="87">
        <f t="shared" si="479"/>
        <v>0</v>
      </c>
      <c r="P539" s="87">
        <f t="shared" si="479"/>
        <v>0</v>
      </c>
      <c r="Q539" s="87">
        <f t="shared" si="479"/>
        <v>0</v>
      </c>
      <c r="R539" s="87">
        <f t="shared" si="479"/>
        <v>0</v>
      </c>
      <c r="S539" s="87">
        <f t="shared" si="479"/>
        <v>0</v>
      </c>
      <c r="T539" s="14">
        <f>T521</f>
        <v>0</v>
      </c>
    </row>
    <row r="540" spans="1:35" x14ac:dyDescent="0.2">
      <c r="A540" s="14" t="s">
        <v>895</v>
      </c>
      <c r="E540" s="87">
        <f>E522+(E531*$C$537)</f>
        <v>0</v>
      </c>
      <c r="F540" s="87">
        <f t="shared" ref="F540:S540" si="481">F522+(F531*$C$537)</f>
        <v>0</v>
      </c>
      <c r="G540" s="87">
        <f t="shared" si="481"/>
        <v>0</v>
      </c>
      <c r="H540" s="87">
        <f t="shared" si="481"/>
        <v>0</v>
      </c>
      <c r="I540" s="87">
        <f t="shared" si="481"/>
        <v>0</v>
      </c>
      <c r="J540" s="87">
        <f t="shared" si="481"/>
        <v>0</v>
      </c>
      <c r="K540" s="87">
        <f t="shared" si="481"/>
        <v>0</v>
      </c>
      <c r="L540" s="87">
        <f t="shared" si="481"/>
        <v>0</v>
      </c>
      <c r="M540" s="87">
        <f t="shared" ref="M540" si="482">M522+(M531*$C$537)</f>
        <v>0</v>
      </c>
      <c r="N540" s="87">
        <f t="shared" si="481"/>
        <v>0</v>
      </c>
      <c r="O540" s="87">
        <f t="shared" si="481"/>
        <v>0</v>
      </c>
      <c r="P540" s="87">
        <f t="shared" si="481"/>
        <v>0</v>
      </c>
      <c r="Q540" s="87">
        <f t="shared" si="481"/>
        <v>0</v>
      </c>
      <c r="R540" s="87">
        <f t="shared" si="481"/>
        <v>0</v>
      </c>
      <c r="S540" s="87">
        <f t="shared" si="481"/>
        <v>0</v>
      </c>
    </row>
    <row r="541" spans="1:35" x14ac:dyDescent="0.2">
      <c r="A541" s="14" t="s">
        <v>647</v>
      </c>
      <c r="E541" s="87">
        <f>E523+(E532*$C$537)</f>
        <v>6012360.6751243006</v>
      </c>
      <c r="F541" s="87">
        <f t="shared" ref="F541:S541" si="483">F523+(F532*$C$537)</f>
        <v>5043638.6921046944</v>
      </c>
      <c r="G541" s="87">
        <f t="shared" si="483"/>
        <v>4986.7661168822196</v>
      </c>
      <c r="H541" s="87">
        <f t="shared" si="483"/>
        <v>400026.27871188667</v>
      </c>
      <c r="I541" s="87">
        <f t="shared" si="483"/>
        <v>44824.182706288848</v>
      </c>
      <c r="J541" s="87">
        <f t="shared" si="483"/>
        <v>311964.52125725127</v>
      </c>
      <c r="K541" s="87">
        <f t="shared" si="483"/>
        <v>0</v>
      </c>
      <c r="L541" s="87">
        <f t="shared" si="483"/>
        <v>141604.0889131006</v>
      </c>
      <c r="M541" s="87">
        <f t="shared" ref="M541" si="484">M523+(M532*$C$537)</f>
        <v>40631.98307124892</v>
      </c>
      <c r="N541" s="87">
        <f t="shared" si="483"/>
        <v>24684.162879768664</v>
      </c>
      <c r="O541" s="87">
        <f t="shared" si="483"/>
        <v>0</v>
      </c>
      <c r="P541" s="87">
        <f t="shared" si="483"/>
        <v>0</v>
      </c>
      <c r="Q541" s="87">
        <f t="shared" si="483"/>
        <v>0</v>
      </c>
      <c r="R541" s="87">
        <f t="shared" si="483"/>
        <v>0</v>
      </c>
      <c r="S541" s="87">
        <f t="shared" si="483"/>
        <v>0</v>
      </c>
      <c r="T541" s="14">
        <f>T523+(T533*$C$537)</f>
        <v>0</v>
      </c>
    </row>
    <row r="542" spans="1:35" x14ac:dyDescent="0.2">
      <c r="A542" s="14" t="s">
        <v>648</v>
      </c>
      <c r="E542" s="87">
        <f>E524+(E533*$C$537)</f>
        <v>15631979.42487574</v>
      </c>
      <c r="F542" s="87">
        <f t="shared" ref="F542:S542" si="485">F524+(F533*$C$537)</f>
        <v>13684366.613841044</v>
      </c>
      <c r="G542" s="87">
        <f t="shared" si="485"/>
        <v>523.08429624432767</v>
      </c>
      <c r="H542" s="87">
        <f t="shared" si="485"/>
        <v>1193929.3445982432</v>
      </c>
      <c r="I542" s="87">
        <f t="shared" si="485"/>
        <v>169089.84181510005</v>
      </c>
      <c r="J542" s="87">
        <f t="shared" si="485"/>
        <v>73659.897310656845</v>
      </c>
      <c r="K542" s="87">
        <f t="shared" si="485"/>
        <v>0</v>
      </c>
      <c r="L542" s="87">
        <f t="shared" si="485"/>
        <v>5080.8255194332178</v>
      </c>
      <c r="M542" s="87">
        <f t="shared" ref="M542" si="486">M524+(M533*$C$537)</f>
        <v>629.54438901141532</v>
      </c>
      <c r="N542" s="87">
        <f t="shared" si="485"/>
        <v>504700.27482777578</v>
      </c>
      <c r="O542" s="87">
        <f t="shared" si="485"/>
        <v>0</v>
      </c>
      <c r="P542" s="87">
        <f t="shared" si="485"/>
        <v>0</v>
      </c>
      <c r="Q542" s="87">
        <f t="shared" si="485"/>
        <v>0</v>
      </c>
      <c r="R542" s="87">
        <f t="shared" si="485"/>
        <v>0</v>
      </c>
      <c r="S542" s="87">
        <f t="shared" si="485"/>
        <v>0</v>
      </c>
      <c r="T542" s="14">
        <f>T524+(T534*$C$537)</f>
        <v>0</v>
      </c>
    </row>
    <row r="543" spans="1:35" x14ac:dyDescent="0.2">
      <c r="A543" s="14" t="s">
        <v>0</v>
      </c>
      <c r="C543" s="47"/>
      <c r="E543" s="193">
        <f>SUM(E538:E542)</f>
        <v>52234792.770000055</v>
      </c>
      <c r="F543" s="98">
        <f t="shared" ref="F543:S543" si="487">SUM(F538:F542)</f>
        <v>41515626.320849791</v>
      </c>
      <c r="G543" s="98">
        <f t="shared" si="487"/>
        <v>27545.636025460855</v>
      </c>
      <c r="H543" s="98">
        <f t="shared" si="487"/>
        <v>3896091.9656721465</v>
      </c>
      <c r="I543" s="98">
        <f t="shared" si="487"/>
        <v>472653.59046171233</v>
      </c>
      <c r="J543" s="98">
        <f t="shared" si="487"/>
        <v>3285066.1361035458</v>
      </c>
      <c r="K543" s="98">
        <f t="shared" si="487"/>
        <v>0</v>
      </c>
      <c r="L543" s="98">
        <f t="shared" si="487"/>
        <v>1656935.220875392</v>
      </c>
      <c r="M543" s="98">
        <f t="shared" ref="M543" si="488">SUM(M538:M542)</f>
        <v>595640.23049267975</v>
      </c>
      <c r="N543" s="98">
        <f t="shared" si="487"/>
        <v>785233.6718779041</v>
      </c>
      <c r="O543" s="98">
        <f t="shared" si="487"/>
        <v>0</v>
      </c>
      <c r="P543" s="98">
        <f t="shared" si="487"/>
        <v>0</v>
      </c>
      <c r="Q543" s="98">
        <f t="shared" si="487"/>
        <v>0</v>
      </c>
      <c r="R543" s="98">
        <f t="shared" si="487"/>
        <v>0</v>
      </c>
      <c r="S543" s="98">
        <f t="shared" si="487"/>
        <v>0</v>
      </c>
      <c r="T543" s="14">
        <f>SUM(T538:T542)</f>
        <v>0</v>
      </c>
    </row>
    <row r="544" spans="1:35" x14ac:dyDescent="0.2">
      <c r="D544" s="26" t="s">
        <v>1172</v>
      </c>
      <c r="E544" s="159">
        <v>52234792.770000003</v>
      </c>
    </row>
    <row r="545" spans="1:33" x14ac:dyDescent="0.2">
      <c r="D545" s="26" t="s">
        <v>1044</v>
      </c>
      <c r="E545" s="87">
        <f>E543-E544</f>
        <v>0</v>
      </c>
      <c r="F545" s="47"/>
    </row>
    <row r="546" spans="1:33" x14ac:dyDescent="0.2">
      <c r="E546" s="87"/>
    </row>
    <row r="547" spans="1:33" x14ac:dyDescent="0.2">
      <c r="A547" s="13" t="s">
        <v>649</v>
      </c>
      <c r="E547" s="87"/>
    </row>
    <row r="549" spans="1:33" x14ac:dyDescent="0.2">
      <c r="A549" s="14" t="s">
        <v>1009</v>
      </c>
      <c r="F549" s="95">
        <f t="shared" ref="F549:H552" si="489">F520/F$429</f>
        <v>1.374138416069038E-2</v>
      </c>
      <c r="G549" s="95">
        <f t="shared" si="489"/>
        <v>1.0184344404776367E-2</v>
      </c>
      <c r="H549" s="95">
        <f t="shared" si="489"/>
        <v>1.444879369325951E-2</v>
      </c>
      <c r="I549" s="45">
        <f>I520/I$444</f>
        <v>2.2706500244529098</v>
      </c>
      <c r="J549" s="45">
        <f t="shared" ref="J549:L549" si="490">J520/J$444</f>
        <v>2.9908833166353701</v>
      </c>
      <c r="L549" s="45">
        <f t="shared" si="490"/>
        <v>4.2122203352169922</v>
      </c>
      <c r="M549" s="45">
        <f t="shared" ref="M549" si="491">M520/M$444</f>
        <v>5.3545430325849575</v>
      </c>
      <c r="N549" s="95"/>
      <c r="O549" s="95" t="e">
        <f>O520/O$429</f>
        <v>#DIV/0!</v>
      </c>
      <c r="P549" s="165"/>
      <c r="Q549" s="95" t="e">
        <f>Q520/Q$429</f>
        <v>#DIV/0!</v>
      </c>
      <c r="R549" s="95" t="e">
        <f>R520/R$429</f>
        <v>#DIV/0!</v>
      </c>
      <c r="S549" s="45" t="e">
        <f>S520/S$444</f>
        <v>#DIV/0!</v>
      </c>
      <c r="T549" s="45" t="e">
        <f>T520/T$429</f>
        <v>#DIV/0!</v>
      </c>
      <c r="U549" s="45">
        <f>U511/1251.6</f>
        <v>0</v>
      </c>
      <c r="V549" s="45" t="e">
        <f>V511/V432</f>
        <v>#DIV/0!</v>
      </c>
      <c r="W549" s="45" t="e">
        <f>W511/W432</f>
        <v>#DIV/0!</v>
      </c>
      <c r="X549" s="45" t="e">
        <f>X511/X432</f>
        <v>#DIV/0!</v>
      </c>
      <c r="Y549" s="95" t="e">
        <f>Y511/Y429</f>
        <v>#DIV/0!</v>
      </c>
      <c r="Z549" s="45" t="e">
        <f>Z511/Z432</f>
        <v>#DIV/0!</v>
      </c>
      <c r="AA549" s="178">
        <f>AA511/3624.9</f>
        <v>0</v>
      </c>
      <c r="AB549" s="86">
        <f>AB511/9725.8</f>
        <v>0</v>
      </c>
      <c r="AC549" s="86">
        <f>AC511/12443</f>
        <v>0</v>
      </c>
      <c r="AD549" s="86">
        <f>AD511/9726</f>
        <v>0</v>
      </c>
      <c r="AE549" s="86">
        <f>AE511/10680</f>
        <v>0</v>
      </c>
      <c r="AF549" s="86"/>
      <c r="AG549" s="86"/>
    </row>
    <row r="550" spans="1:33" x14ac:dyDescent="0.2">
      <c r="A550" s="14" t="s">
        <v>899</v>
      </c>
      <c r="F550" s="95">
        <f t="shared" si="489"/>
        <v>5.7165687877873725E-2</v>
      </c>
      <c r="G550" s="95">
        <f t="shared" si="489"/>
        <v>5.7165687877873732E-2</v>
      </c>
      <c r="H550" s="95">
        <f t="shared" si="489"/>
        <v>5.7332578259428842E-2</v>
      </c>
      <c r="I550" s="95">
        <f t="shared" ref="I550:L550" si="492">I521/I$429</f>
        <v>5.7332578259428842E-2</v>
      </c>
      <c r="J550" s="95">
        <f t="shared" si="492"/>
        <v>5.7332578259428842E-2</v>
      </c>
      <c r="L550" s="95">
        <f t="shared" si="492"/>
        <v>5.7332578259428835E-2</v>
      </c>
      <c r="M550" s="95">
        <f t="shared" ref="M550" si="493">M521/M$429</f>
        <v>4.6627557614202772E-2</v>
      </c>
      <c r="N550" s="95"/>
      <c r="O550" s="95" t="e">
        <f t="shared" ref="O550" si="494">O521/O$429</f>
        <v>#DIV/0!</v>
      </c>
      <c r="P550" s="165"/>
      <c r="Q550" s="95" t="e">
        <f t="shared" ref="Q550:T550" si="495">Q521/Q$429</f>
        <v>#DIV/0!</v>
      </c>
      <c r="R550" s="95" t="e">
        <f t="shared" si="495"/>
        <v>#DIV/0!</v>
      </c>
      <c r="S550" s="95" t="e">
        <f t="shared" si="495"/>
        <v>#DIV/0!</v>
      </c>
      <c r="T550" s="45" t="e">
        <f t="shared" si="495"/>
        <v>#DIV/0!</v>
      </c>
      <c r="U550" s="45" t="e">
        <f>U512/U$429</f>
        <v>#DIV/0!</v>
      </c>
      <c r="V550" s="45" t="e">
        <f>V512/V$432</f>
        <v>#DIV/0!</v>
      </c>
      <c r="W550" s="45" t="e">
        <f>W512/W$432</f>
        <v>#DIV/0!</v>
      </c>
      <c r="X550" s="45" t="e">
        <f>X512/X$432</f>
        <v>#DIV/0!</v>
      </c>
      <c r="Y550" s="95" t="e">
        <f>Y512/Y$429</f>
        <v>#DIV/0!</v>
      </c>
      <c r="Z550" s="45" t="e">
        <f>Z512/Z$432</f>
        <v>#DIV/0!</v>
      </c>
      <c r="AA550" s="14" t="e">
        <f>AA512/AA$429</f>
        <v>#DIV/0!</v>
      </c>
      <c r="AB550" s="14" t="e">
        <f>AB512/AB$429</f>
        <v>#DIV/0!</v>
      </c>
      <c r="AC550" s="14" t="e">
        <f>AC512/AC$429</f>
        <v>#DIV/0!</v>
      </c>
      <c r="AD550" s="14" t="e">
        <f>AD512/AD$429</f>
        <v>#DIV/0!</v>
      </c>
      <c r="AE550" s="14" t="e">
        <f>AE512/AE$429</f>
        <v>#DIV/0!</v>
      </c>
    </row>
    <row r="551" spans="1:33" x14ac:dyDescent="0.2">
      <c r="A551" s="14" t="s">
        <v>1010</v>
      </c>
      <c r="F551" s="95">
        <f t="shared" si="489"/>
        <v>0</v>
      </c>
      <c r="G551" s="95">
        <f t="shared" si="489"/>
        <v>0</v>
      </c>
      <c r="H551" s="95">
        <f t="shared" si="489"/>
        <v>0</v>
      </c>
      <c r="I551" s="45">
        <f t="shared" ref="I551:L551" si="496">I522/I$444</f>
        <v>0</v>
      </c>
      <c r="J551" s="45">
        <f t="shared" si="496"/>
        <v>0</v>
      </c>
      <c r="L551" s="45">
        <f t="shared" si="496"/>
        <v>0</v>
      </c>
      <c r="M551" s="45">
        <f t="shared" ref="M551" si="497">M522/M$444</f>
        <v>0</v>
      </c>
      <c r="N551" s="95"/>
      <c r="O551" s="95" t="e">
        <f t="shared" ref="O551:O552" si="498">O522/O$429</f>
        <v>#DIV/0!</v>
      </c>
      <c r="P551" s="165"/>
      <c r="Q551" s="95" t="e">
        <f t="shared" ref="Q551:R551" si="499">Q522/Q$429</f>
        <v>#DIV/0!</v>
      </c>
      <c r="R551" s="95" t="e">
        <f t="shared" si="499"/>
        <v>#DIV/0!</v>
      </c>
      <c r="S551" s="45" t="e">
        <f>S522/S$444</f>
        <v>#DIV/0!</v>
      </c>
      <c r="T551" s="45"/>
      <c r="U551" s="45"/>
      <c r="V551" s="45"/>
      <c r="W551" s="45"/>
      <c r="X551" s="45"/>
      <c r="Y551" s="95"/>
      <c r="Z551" s="45"/>
    </row>
    <row r="552" spans="1:33" x14ac:dyDescent="0.2">
      <c r="A552" s="14" t="s">
        <v>1011</v>
      </c>
      <c r="F552" s="95">
        <f t="shared" si="489"/>
        <v>1.271214396650875E-2</v>
      </c>
      <c r="G552" s="95">
        <f t="shared" si="489"/>
        <v>1.228513199018256E-2</v>
      </c>
      <c r="H552" s="95">
        <f t="shared" si="489"/>
        <v>1.0129163051471947E-2</v>
      </c>
      <c r="I552" s="45">
        <f>I523/I$444</f>
        <v>1.6636938084594213</v>
      </c>
      <c r="J552" s="45">
        <f t="shared" ref="J552:L552" si="500">J523/J$444</f>
        <v>1.6207501897136187</v>
      </c>
      <c r="L552" s="45">
        <f t="shared" si="500"/>
        <v>1.6405872986812842</v>
      </c>
      <c r="M552" s="45">
        <f t="shared" ref="M552" si="501">M523/M$444</f>
        <v>1.6403219203860007</v>
      </c>
      <c r="N552" s="95"/>
      <c r="O552" s="95" t="e">
        <f t="shared" si="498"/>
        <v>#DIV/0!</v>
      </c>
      <c r="P552" s="165"/>
      <c r="Q552" s="95" t="e">
        <f>Q523/Q$429</f>
        <v>#DIV/0!</v>
      </c>
      <c r="R552" s="95" t="e">
        <f>R523/R$429</f>
        <v>#DIV/0!</v>
      </c>
      <c r="S552" s="45" t="e">
        <f>S523/S$444</f>
        <v>#DIV/0!</v>
      </c>
      <c r="T552" s="45" t="e">
        <f>T523/T$429</f>
        <v>#DIV/0!</v>
      </c>
      <c r="U552" s="45">
        <f>U514/1251.6</f>
        <v>0</v>
      </c>
      <c r="V552" s="45" t="e">
        <f>V514/V432</f>
        <v>#DIV/0!</v>
      </c>
      <c r="W552" s="45" t="e">
        <f>W514/W432</f>
        <v>#DIV/0!</v>
      </c>
      <c r="X552" s="45" t="e">
        <f>X514/X432</f>
        <v>#DIV/0!</v>
      </c>
      <c r="Y552" s="95" t="e">
        <f>Y514/Y429</f>
        <v>#DIV/0!</v>
      </c>
      <c r="Z552" s="45" t="e">
        <f>Z514/Z432</f>
        <v>#DIV/0!</v>
      </c>
      <c r="AA552" s="178">
        <f>AA514/12877</f>
        <v>0</v>
      </c>
      <c r="AB552" s="86">
        <f>AB514/11922</f>
        <v>0</v>
      </c>
      <c r="AC552" s="86">
        <f>AC514/14745</f>
        <v>0</v>
      </c>
      <c r="AD552" s="86">
        <f>AD514/10526</f>
        <v>0</v>
      </c>
      <c r="AE552" s="86">
        <f>AE514/11459</f>
        <v>0</v>
      </c>
      <c r="AF552" s="86"/>
      <c r="AG552" s="86"/>
    </row>
    <row r="553" spans="1:33" s="45" customFormat="1" x14ac:dyDescent="0.2">
      <c r="A553" s="45" t="s">
        <v>900</v>
      </c>
      <c r="F553" s="45">
        <f t="shared" ref="F553:T553" si="502">F524/F432</f>
        <v>36.355949108437869</v>
      </c>
      <c r="G553" s="45">
        <f t="shared" ref="G553:I553" si="503">G524/G432</f>
        <v>35.565537154610787</v>
      </c>
      <c r="H553" s="45">
        <f t="shared" si="503"/>
        <v>39.796227031856255</v>
      </c>
      <c r="I553" s="45">
        <f t="shared" si="503"/>
        <v>36.584704015409763</v>
      </c>
      <c r="J553" s="45">
        <f t="shared" ref="J553:L553" si="504">J524/J432</f>
        <v>40.676980283622932</v>
      </c>
      <c r="K553" s="14"/>
      <c r="L553" s="45">
        <f t="shared" si="504"/>
        <v>42.46288041299173</v>
      </c>
      <c r="M553" s="45">
        <f t="shared" ref="M553" si="505">M524/M432</f>
        <v>41.263388864924217</v>
      </c>
      <c r="O553" s="45" t="e">
        <f t="shared" si="502"/>
        <v>#DIV/0!</v>
      </c>
      <c r="P553" s="165"/>
      <c r="Q553" s="45" t="e">
        <f t="shared" si="502"/>
        <v>#DIV/0!</v>
      </c>
      <c r="R553" s="45" t="e">
        <f t="shared" si="502"/>
        <v>#DIV/0!</v>
      </c>
      <c r="S553" s="45" t="e">
        <f t="shared" si="502"/>
        <v>#DIV/0!</v>
      </c>
      <c r="T553" s="45" t="e">
        <f t="shared" si="502"/>
        <v>#DIV/0!</v>
      </c>
      <c r="U553" s="45" t="e">
        <f t="shared" ref="U553:AE553" si="506">U515/U432</f>
        <v>#DIV/0!</v>
      </c>
      <c r="V553" s="45" t="e">
        <f t="shared" si="506"/>
        <v>#DIV/0!</v>
      </c>
      <c r="W553" s="45" t="e">
        <f t="shared" si="506"/>
        <v>#DIV/0!</v>
      </c>
      <c r="X553" s="45" t="e">
        <f t="shared" si="506"/>
        <v>#DIV/0!</v>
      </c>
      <c r="Y553" s="45" t="e">
        <f t="shared" si="506"/>
        <v>#DIV/0!</v>
      </c>
      <c r="Z553" s="45" t="e">
        <f t="shared" si="506"/>
        <v>#DIV/0!</v>
      </c>
      <c r="AA553" s="45" t="e">
        <f t="shared" si="506"/>
        <v>#DIV/0!</v>
      </c>
      <c r="AB553" s="45" t="e">
        <f t="shared" si="506"/>
        <v>#DIV/0!</v>
      </c>
      <c r="AC553" s="45" t="e">
        <f t="shared" si="506"/>
        <v>#DIV/0!</v>
      </c>
      <c r="AD553" s="45" t="e">
        <f t="shared" si="506"/>
        <v>#DIV/0!</v>
      </c>
      <c r="AE553" s="45" t="e">
        <f t="shared" si="506"/>
        <v>#DIV/0!</v>
      </c>
    </row>
    <row r="556" spans="1:33" x14ac:dyDescent="0.2">
      <c r="A556" s="13" t="s">
        <v>650</v>
      </c>
    </row>
    <row r="557" spans="1:33" x14ac:dyDescent="0.2">
      <c r="A557" s="13"/>
    </row>
    <row r="558" spans="1:33" x14ac:dyDescent="0.2">
      <c r="A558" s="14" t="s">
        <v>1009</v>
      </c>
      <c r="F558" s="95">
        <f t="shared" ref="F558:F561" si="507">F529/F$429</f>
        <v>0</v>
      </c>
      <c r="G558" s="95">
        <f t="shared" ref="G558:H558" si="508">G529/G$429</f>
        <v>0</v>
      </c>
      <c r="H558" s="95">
        <f t="shared" si="508"/>
        <v>0</v>
      </c>
      <c r="I558" s="45">
        <f>I529/I$444</f>
        <v>0</v>
      </c>
      <c r="J558" s="45">
        <f t="shared" ref="J558:L558" si="509">J529/J$444</f>
        <v>0</v>
      </c>
      <c r="L558" s="45">
        <f t="shared" si="509"/>
        <v>0</v>
      </c>
      <c r="M558" s="45">
        <f t="shared" ref="M558" si="510">M529/M$444</f>
        <v>0</v>
      </c>
      <c r="N558" s="95"/>
      <c r="O558" s="95" t="e">
        <f t="shared" ref="O558:O561" si="511">O529/O$429</f>
        <v>#DIV/0!</v>
      </c>
      <c r="P558" s="165"/>
      <c r="Q558" s="95" t="e">
        <f t="shared" ref="Q558:R558" si="512">Q529/Q$429</f>
        <v>#DIV/0!</v>
      </c>
      <c r="R558" s="95" t="e">
        <f t="shared" si="512"/>
        <v>#DIV/0!</v>
      </c>
      <c r="S558" s="45" t="e">
        <f>S529/S$444</f>
        <v>#DIV/0!</v>
      </c>
    </row>
    <row r="559" spans="1:33" x14ac:dyDescent="0.2">
      <c r="A559" s="14" t="s">
        <v>899</v>
      </c>
      <c r="F559" s="95">
        <f t="shared" si="507"/>
        <v>0</v>
      </c>
      <c r="G559" s="95">
        <f t="shared" ref="G559:H559" si="513">G530/G$429</f>
        <v>0</v>
      </c>
      <c r="H559" s="95">
        <f t="shared" si="513"/>
        <v>0</v>
      </c>
      <c r="I559" s="95">
        <f>I530/I$429</f>
        <v>0</v>
      </c>
      <c r="J559" s="95">
        <f t="shared" ref="J559:L559" si="514">J530/J$429</f>
        <v>0</v>
      </c>
      <c r="L559" s="95">
        <f t="shared" si="514"/>
        <v>0</v>
      </c>
      <c r="M559" s="95">
        <f t="shared" ref="M559" si="515">M530/M$429</f>
        <v>0</v>
      </c>
      <c r="N559" s="95"/>
      <c r="O559" s="95" t="e">
        <f t="shared" si="511"/>
        <v>#DIV/0!</v>
      </c>
      <c r="P559" s="165"/>
      <c r="Q559" s="95" t="e">
        <f t="shared" ref="Q559:R559" si="516">Q530/Q$429</f>
        <v>#DIV/0!</v>
      </c>
      <c r="R559" s="95" t="e">
        <f t="shared" si="516"/>
        <v>#DIV/0!</v>
      </c>
      <c r="S559" s="95" t="e">
        <f>S530/S$429</f>
        <v>#DIV/0!</v>
      </c>
    </row>
    <row r="560" spans="1:33" x14ac:dyDescent="0.2">
      <c r="A560" s="14" t="s">
        <v>1010</v>
      </c>
      <c r="F560" s="95">
        <f t="shared" si="507"/>
        <v>0</v>
      </c>
      <c r="G560" s="95">
        <f t="shared" ref="G560:H560" si="517">G531/G$429</f>
        <v>0</v>
      </c>
      <c r="H560" s="95">
        <f t="shared" si="517"/>
        <v>0</v>
      </c>
      <c r="I560" s="45">
        <f t="shared" ref="I560:L561" si="518">I531/I$444</f>
        <v>0</v>
      </c>
      <c r="J560" s="45">
        <f t="shared" si="518"/>
        <v>0</v>
      </c>
      <c r="L560" s="45">
        <f t="shared" si="518"/>
        <v>0</v>
      </c>
      <c r="M560" s="45">
        <f t="shared" ref="M560" si="519">M531/M$444</f>
        <v>0</v>
      </c>
      <c r="N560" s="95"/>
      <c r="O560" s="95" t="e">
        <f t="shared" si="511"/>
        <v>#DIV/0!</v>
      </c>
      <c r="P560" s="165"/>
      <c r="Q560" s="95" t="e">
        <f t="shared" ref="Q560:R560" si="520">Q531/Q$429</f>
        <v>#DIV/0!</v>
      </c>
      <c r="R560" s="95" t="e">
        <f t="shared" si="520"/>
        <v>#DIV/0!</v>
      </c>
      <c r="S560" s="45" t="e">
        <f>S531/S$444</f>
        <v>#DIV/0!</v>
      </c>
    </row>
    <row r="561" spans="1:38" x14ac:dyDescent="0.2">
      <c r="A561" s="14" t="s">
        <v>1011</v>
      </c>
      <c r="F561" s="95">
        <f t="shared" si="507"/>
        <v>8.1774101786706271E-2</v>
      </c>
      <c r="G561" s="95">
        <f t="shared" ref="G561:H561" si="521">G532/G$429</f>
        <v>8.1074790788935827E-2</v>
      </c>
      <c r="H561" s="95">
        <f t="shared" si="521"/>
        <v>6.4275117775579788E-2</v>
      </c>
      <c r="I561" s="45">
        <f t="shared" si="518"/>
        <v>10.763656563401408</v>
      </c>
      <c r="J561" s="45">
        <f t="shared" si="518"/>
        <v>10.814432858948129</v>
      </c>
      <c r="L561" s="45">
        <f t="shared" si="518"/>
        <v>10.900536861763287</v>
      </c>
      <c r="M561" s="45">
        <f t="shared" ref="M561" si="522">M532/M$444</f>
        <v>10.900536861763287</v>
      </c>
      <c r="N561" s="95"/>
      <c r="O561" s="95" t="e">
        <f t="shared" si="511"/>
        <v>#DIV/0!</v>
      </c>
      <c r="P561" s="165"/>
      <c r="Q561" s="95" t="e">
        <f t="shared" ref="Q561:R561" si="523">Q532/Q$429</f>
        <v>#DIV/0!</v>
      </c>
      <c r="R561" s="95" t="e">
        <f t="shared" si="523"/>
        <v>#DIV/0!</v>
      </c>
      <c r="S561" s="45" t="e">
        <f>S532/S$444</f>
        <v>#DIV/0!</v>
      </c>
      <c r="T561" s="45">
        <f>T532/5037.7</f>
        <v>0</v>
      </c>
      <c r="U561" s="45">
        <f>U532/1251.6</f>
        <v>0</v>
      </c>
      <c r="V561" s="45" t="e">
        <f>V532/V432</f>
        <v>#DIV/0!</v>
      </c>
      <c r="W561" s="45" t="e">
        <f>W532/W432</f>
        <v>#DIV/0!</v>
      </c>
      <c r="X561" s="45" t="e">
        <f>X532/X432</f>
        <v>#DIV/0!</v>
      </c>
      <c r="Y561" s="45" t="e">
        <f>Y532/Y432</f>
        <v>#DIV/0!</v>
      </c>
      <c r="Z561" s="45" t="e">
        <f>Z532/Z432</f>
        <v>#DIV/0!</v>
      </c>
      <c r="AA561" s="179">
        <f>AA532/12877</f>
        <v>0</v>
      </c>
      <c r="AB561" s="86">
        <f>AB532/11922</f>
        <v>0</v>
      </c>
      <c r="AC561" s="86">
        <f>AC532/14745</f>
        <v>0</v>
      </c>
      <c r="AD561" s="86">
        <f>AD532/10526</f>
        <v>0</v>
      </c>
      <c r="AE561" s="86">
        <f>AE532/11459</f>
        <v>0</v>
      </c>
      <c r="AF561" s="86"/>
      <c r="AG561" s="86"/>
    </row>
    <row r="562" spans="1:38" x14ac:dyDescent="0.2">
      <c r="A562" s="14" t="s">
        <v>900</v>
      </c>
      <c r="F562" s="45">
        <f t="shared" ref="F562:O562" si="524">F533/F$432</f>
        <v>220.06947404148795</v>
      </c>
      <c r="G562" s="45">
        <f t="shared" ref="G562:I562" si="525">G533/G$432</f>
        <v>220.06947404148798</v>
      </c>
      <c r="H562" s="45">
        <f t="shared" si="525"/>
        <v>251.40340254046194</v>
      </c>
      <c r="I562" s="45">
        <f t="shared" si="525"/>
        <v>227.3558841479543</v>
      </c>
      <c r="J562" s="45">
        <f t="shared" ref="J562:L562" si="526">J533/J$432</f>
        <v>299.07028253363251</v>
      </c>
      <c r="L562" s="45">
        <f t="shared" si="526"/>
        <v>286.91626815017713</v>
      </c>
      <c r="M562" s="45">
        <f t="shared" ref="M562" si="527">M533/M$432</f>
        <v>307.10711651369962</v>
      </c>
      <c r="N562" s="45"/>
      <c r="O562" s="45" t="e">
        <f t="shared" si="524"/>
        <v>#DIV/0!</v>
      </c>
      <c r="P562" s="165"/>
      <c r="Q562" s="45" t="e">
        <f t="shared" ref="Q562:R562" si="528">Q533/Q$432</f>
        <v>#DIV/0!</v>
      </c>
      <c r="R562" s="45" t="e">
        <f t="shared" si="528"/>
        <v>#DIV/0!</v>
      </c>
      <c r="S562" s="45" t="e">
        <f>S533/S$432</f>
        <v>#DIV/0!</v>
      </c>
      <c r="T562" s="45" t="e">
        <f t="shared" ref="T562:AE562" si="529">T533/T$432</f>
        <v>#DIV/0!</v>
      </c>
      <c r="U562" s="45" t="e">
        <f t="shared" si="529"/>
        <v>#DIV/0!</v>
      </c>
      <c r="V562" s="45" t="e">
        <f t="shared" si="529"/>
        <v>#DIV/0!</v>
      </c>
      <c r="W562" s="45" t="e">
        <f t="shared" si="529"/>
        <v>#DIV/0!</v>
      </c>
      <c r="X562" s="45" t="e">
        <f t="shared" si="529"/>
        <v>#DIV/0!</v>
      </c>
      <c r="Y562" s="45" t="e">
        <f t="shared" si="529"/>
        <v>#DIV/0!</v>
      </c>
      <c r="Z562" s="45" t="e">
        <f t="shared" si="529"/>
        <v>#DIV/0!</v>
      </c>
      <c r="AA562" s="180" t="e">
        <f t="shared" si="529"/>
        <v>#DIV/0!</v>
      </c>
      <c r="AB562" s="180" t="e">
        <f t="shared" si="529"/>
        <v>#DIV/0!</v>
      </c>
      <c r="AC562" s="180" t="e">
        <f t="shared" si="529"/>
        <v>#DIV/0!</v>
      </c>
      <c r="AD562" s="180" t="e">
        <f t="shared" si="529"/>
        <v>#DIV/0!</v>
      </c>
      <c r="AE562" s="180" t="e">
        <f t="shared" si="529"/>
        <v>#DIV/0!</v>
      </c>
      <c r="AF562" s="180"/>
      <c r="AG562" s="180"/>
    </row>
    <row r="565" spans="1:38" x14ac:dyDescent="0.2">
      <c r="A565" s="25" t="s">
        <v>667</v>
      </c>
      <c r="B565" s="181"/>
      <c r="C565" s="14" t="s">
        <v>906</v>
      </c>
      <c r="F565" s="44">
        <f t="shared" ref="F565:S565" si="530">F402</f>
        <v>-1.0969442481392096E-2</v>
      </c>
      <c r="G565" s="44">
        <f t="shared" si="530"/>
        <v>1.3696709714566104</v>
      </c>
      <c r="H565" s="44">
        <f t="shared" si="530"/>
        <v>6.6206303952956388E-2</v>
      </c>
      <c r="I565" s="44">
        <f t="shared" ref="I565" si="531">I402</f>
        <v>1.4763779594253245E-2</v>
      </c>
      <c r="J565" s="44">
        <f t="shared" si="530"/>
        <v>0.55921811537182242</v>
      </c>
      <c r="L565" s="44">
        <f t="shared" si="530"/>
        <v>0.31868954719061982</v>
      </c>
      <c r="M565" s="44">
        <f t="shared" ref="M565" si="532">M402</f>
        <v>0.63431502519059968</v>
      </c>
      <c r="N565" s="44"/>
      <c r="O565" s="44" t="e">
        <f t="shared" si="530"/>
        <v>#DIV/0!</v>
      </c>
      <c r="P565" s="44" t="e">
        <f t="shared" si="530"/>
        <v>#DIV/0!</v>
      </c>
      <c r="Q565" s="44" t="e">
        <f t="shared" si="530"/>
        <v>#DIV/0!</v>
      </c>
      <c r="R565" s="44" t="e">
        <f t="shared" si="530"/>
        <v>#DIV/0!</v>
      </c>
      <c r="S565" s="44" t="e">
        <f t="shared" si="530"/>
        <v>#DIV/0!</v>
      </c>
    </row>
    <row r="566" spans="1:38" x14ac:dyDescent="0.2">
      <c r="A566" s="13"/>
    </row>
    <row r="567" spans="1:38" x14ac:dyDescent="0.2">
      <c r="A567" s="13" t="s">
        <v>763</v>
      </c>
    </row>
    <row r="568" spans="1:38" x14ac:dyDescent="0.2">
      <c r="A568" s="14" t="s">
        <v>1012</v>
      </c>
      <c r="F568" s="99">
        <f t="shared" ref="F568:O568" si="533">F549</f>
        <v>1.374138416069038E-2</v>
      </c>
      <c r="G568" s="99">
        <f t="shared" ref="G568:H568" si="534">G549</f>
        <v>1.0184344404776367E-2</v>
      </c>
      <c r="H568" s="99">
        <f t="shared" si="534"/>
        <v>1.444879369325951E-2</v>
      </c>
      <c r="I568" s="45">
        <f t="shared" ref="I568:L568" si="535">I549</f>
        <v>2.2706500244529098</v>
      </c>
      <c r="J568" s="45">
        <f t="shared" si="535"/>
        <v>2.9908833166353701</v>
      </c>
      <c r="L568" s="45">
        <f t="shared" si="535"/>
        <v>4.2122203352169922</v>
      </c>
      <c r="M568" s="45">
        <f t="shared" ref="M568" si="536">M549</f>
        <v>5.3545430325849575</v>
      </c>
      <c r="N568" s="99"/>
      <c r="O568" s="99" t="e">
        <f t="shared" si="533"/>
        <v>#DIV/0!</v>
      </c>
      <c r="Q568" s="99" t="e">
        <f t="shared" ref="Q568:T568" si="537">Q549</f>
        <v>#DIV/0!</v>
      </c>
      <c r="R568" s="99" t="e">
        <f t="shared" si="537"/>
        <v>#DIV/0!</v>
      </c>
      <c r="S568" s="45" t="e">
        <f>S549</f>
        <v>#DIV/0!</v>
      </c>
      <c r="T568" s="99" t="e">
        <f t="shared" si="537"/>
        <v>#DIV/0!</v>
      </c>
      <c r="U568" s="99" t="e">
        <f>#REF!</f>
        <v>#REF!</v>
      </c>
      <c r="V568" s="99" t="e">
        <f>#REF!</f>
        <v>#REF!</v>
      </c>
      <c r="W568" s="99" t="e">
        <f>#REF!</f>
        <v>#REF!</v>
      </c>
      <c r="X568" s="99" t="e">
        <f>#REF!</f>
        <v>#REF!</v>
      </c>
      <c r="Y568" s="99" t="e">
        <f>#REF!</f>
        <v>#REF!</v>
      </c>
      <c r="Z568" s="99" t="e">
        <f>#REF!</f>
        <v>#REF!</v>
      </c>
      <c r="AA568" s="99" t="e">
        <f>#REF!</f>
        <v>#REF!</v>
      </c>
      <c r="AB568" s="99" t="e">
        <f>#REF!</f>
        <v>#REF!</v>
      </c>
      <c r="AC568" s="99" t="e">
        <f>#REF!</f>
        <v>#REF!</v>
      </c>
      <c r="AD568" s="99" t="e">
        <f>#REF!</f>
        <v>#REF!</v>
      </c>
      <c r="AE568" s="99" t="e">
        <f>#REF!</f>
        <v>#REF!</v>
      </c>
      <c r="AF568" s="99" t="e">
        <f>#REF!</f>
        <v>#REF!</v>
      </c>
      <c r="AG568" s="99" t="e">
        <f>#REF!</f>
        <v>#REF!</v>
      </c>
    </row>
    <row r="569" spans="1:38" x14ac:dyDescent="0.2">
      <c r="A569" s="14" t="s">
        <v>1013</v>
      </c>
      <c r="F569" s="99">
        <f t="shared" ref="F569:I569" si="538">(F529*F402)/F$429</f>
        <v>0</v>
      </c>
      <c r="G569" s="99">
        <f t="shared" si="538"/>
        <v>0</v>
      </c>
      <c r="H569" s="99">
        <f t="shared" si="538"/>
        <v>0</v>
      </c>
      <c r="I569" s="99">
        <f t="shared" si="538"/>
        <v>0</v>
      </c>
      <c r="J569" s="99">
        <f t="shared" ref="J569:L569" si="539">(J529*J402)/J$429</f>
        <v>0</v>
      </c>
      <c r="L569" s="99">
        <f t="shared" si="539"/>
        <v>0</v>
      </c>
      <c r="M569" s="99">
        <f t="shared" ref="M569" si="540">(M529*M402)/M$429</f>
        <v>0</v>
      </c>
      <c r="N569" s="99"/>
      <c r="O569" s="99" t="e">
        <f>(O529*O402)/O$429</f>
        <v>#DIV/0!</v>
      </c>
      <c r="Q569" s="99" t="e">
        <f>(Q529*Q402)/Q$429</f>
        <v>#DIV/0!</v>
      </c>
      <c r="R569" s="99" t="e">
        <f>(R529*R402)/R$429</f>
        <v>#DIV/0!</v>
      </c>
      <c r="S569" s="45" t="e">
        <f>(S529*S402)/S$444</f>
        <v>#DIV/0!</v>
      </c>
      <c r="T569" s="99"/>
      <c r="U569" s="99"/>
      <c r="V569" s="99"/>
      <c r="W569" s="99"/>
      <c r="X569" s="99"/>
      <c r="Y569" s="99"/>
      <c r="Z569" s="99"/>
      <c r="AA569" s="99"/>
      <c r="AB569" s="99"/>
      <c r="AC569" s="99"/>
      <c r="AD569" s="99"/>
      <c r="AE569" s="99"/>
      <c r="AF569" s="99"/>
      <c r="AG569" s="99"/>
    </row>
    <row r="570" spans="1:38" x14ac:dyDescent="0.2">
      <c r="A570" s="14" t="s">
        <v>901</v>
      </c>
      <c r="F570" s="99">
        <f t="shared" ref="F570:T570" si="541">F550</f>
        <v>5.7165687877873725E-2</v>
      </c>
      <c r="G570" s="99">
        <f t="shared" ref="G570:H570" si="542">G550</f>
        <v>5.7165687877873732E-2</v>
      </c>
      <c r="H570" s="99">
        <f t="shared" si="542"/>
        <v>5.7332578259428842E-2</v>
      </c>
      <c r="I570" s="99">
        <f t="shared" ref="I570:L570" si="543">I550</f>
        <v>5.7332578259428842E-2</v>
      </c>
      <c r="J570" s="99">
        <f t="shared" si="543"/>
        <v>5.7332578259428842E-2</v>
      </c>
      <c r="L570" s="99">
        <f t="shared" si="543"/>
        <v>5.7332578259428835E-2</v>
      </c>
      <c r="M570" s="99">
        <f t="shared" ref="M570" si="544">M550</f>
        <v>4.6627557614202772E-2</v>
      </c>
      <c r="N570" s="99"/>
      <c r="O570" s="99" t="e">
        <f t="shared" ref="O570" si="545">O550</f>
        <v>#DIV/0!</v>
      </c>
      <c r="Q570" s="99" t="e">
        <f t="shared" si="541"/>
        <v>#DIV/0!</v>
      </c>
      <c r="R570" s="99" t="e">
        <f t="shared" si="541"/>
        <v>#DIV/0!</v>
      </c>
      <c r="S570" s="99" t="e">
        <f t="shared" si="541"/>
        <v>#DIV/0!</v>
      </c>
      <c r="T570" s="99" t="e">
        <f t="shared" si="541"/>
        <v>#DIV/0!</v>
      </c>
      <c r="U570" s="99" t="e">
        <f>#REF!</f>
        <v>#REF!</v>
      </c>
      <c r="V570" s="99" t="e">
        <f>#REF!</f>
        <v>#REF!</v>
      </c>
      <c r="W570" s="99" t="e">
        <f>#REF!</f>
        <v>#REF!</v>
      </c>
      <c r="X570" s="99" t="e">
        <f>#REF!</f>
        <v>#REF!</v>
      </c>
      <c r="Y570" s="99" t="e">
        <f>#REF!</f>
        <v>#REF!</v>
      </c>
      <c r="Z570" s="99" t="e">
        <f>#REF!</f>
        <v>#REF!</v>
      </c>
      <c r="AA570" s="99" t="e">
        <f>#REF!</f>
        <v>#REF!</v>
      </c>
      <c r="AB570" s="99" t="e">
        <f>#REF!</f>
        <v>#REF!</v>
      </c>
      <c r="AC570" s="99" t="e">
        <f>#REF!</f>
        <v>#REF!</v>
      </c>
      <c r="AD570" s="99" t="e">
        <f>#REF!</f>
        <v>#REF!</v>
      </c>
      <c r="AE570" s="99" t="e">
        <f>#REF!</f>
        <v>#REF!</v>
      </c>
      <c r="AF570" s="99" t="e">
        <f>#REF!</f>
        <v>#REF!</v>
      </c>
      <c r="AG570" s="99" t="e">
        <f>#REF!</f>
        <v>#REF!</v>
      </c>
    </row>
    <row r="571" spans="1:38" x14ac:dyDescent="0.2">
      <c r="A571" s="14" t="s">
        <v>902</v>
      </c>
      <c r="F571" s="99">
        <f t="shared" ref="F571:S571" si="546">(F530*F402)/F$429</f>
        <v>0</v>
      </c>
      <c r="G571" s="99">
        <f t="shared" ref="G571:H571" si="547">(G530*G402)/G$429</f>
        <v>0</v>
      </c>
      <c r="H571" s="99">
        <f t="shared" si="547"/>
        <v>0</v>
      </c>
      <c r="I571" s="99">
        <f t="shared" ref="I571:L571" si="548">(I530*I402)/I$429</f>
        <v>0</v>
      </c>
      <c r="J571" s="99">
        <f t="shared" si="548"/>
        <v>0</v>
      </c>
      <c r="L571" s="99">
        <f t="shared" si="548"/>
        <v>0</v>
      </c>
      <c r="M571" s="99">
        <f t="shared" ref="M571" si="549">(M530*M402)/M$429</f>
        <v>0</v>
      </c>
      <c r="N571" s="99"/>
      <c r="O571" s="99" t="e">
        <f t="shared" si="546"/>
        <v>#DIV/0!</v>
      </c>
      <c r="Q571" s="99" t="e">
        <f t="shared" si="546"/>
        <v>#DIV/0!</v>
      </c>
      <c r="R571" s="99" t="e">
        <f t="shared" si="546"/>
        <v>#DIV/0!</v>
      </c>
      <c r="S571" s="99" t="e">
        <f t="shared" si="546"/>
        <v>#DIV/0!</v>
      </c>
      <c r="T571" s="99"/>
      <c r="U571" s="99"/>
      <c r="V571" s="99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</row>
    <row r="572" spans="1:38" x14ac:dyDescent="0.2">
      <c r="F572" s="99"/>
      <c r="G572" s="99"/>
      <c r="H572" s="99"/>
      <c r="I572" s="99"/>
      <c r="J572" s="99"/>
      <c r="L572" s="99"/>
      <c r="M572" s="99"/>
      <c r="N572" s="99"/>
      <c r="O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</row>
    <row r="573" spans="1:38" x14ac:dyDescent="0.2">
      <c r="A573" s="13" t="s">
        <v>895</v>
      </c>
      <c r="F573" s="99"/>
      <c r="G573" s="99"/>
      <c r="H573" s="99"/>
      <c r="I573" s="99"/>
      <c r="J573" s="99"/>
      <c r="L573" s="99"/>
      <c r="M573" s="99"/>
      <c r="N573" s="99"/>
      <c r="O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</row>
    <row r="574" spans="1:38" x14ac:dyDescent="0.2">
      <c r="A574" s="14" t="s">
        <v>1014</v>
      </c>
      <c r="F574" s="99">
        <f t="shared" ref="F574:S574" si="550">F551</f>
        <v>0</v>
      </c>
      <c r="G574" s="99">
        <f t="shared" ref="G574:H574" si="551">G551</f>
        <v>0</v>
      </c>
      <c r="H574" s="99">
        <f t="shared" si="551"/>
        <v>0</v>
      </c>
      <c r="I574" s="99">
        <f t="shared" ref="I574" si="552">I551</f>
        <v>0</v>
      </c>
      <c r="J574" s="99">
        <f t="shared" ref="J574:K574" si="553">J551</f>
        <v>0</v>
      </c>
      <c r="L574" s="99">
        <f t="shared" si="550"/>
        <v>0</v>
      </c>
      <c r="M574" s="99">
        <f t="shared" ref="M574" si="554">M551</f>
        <v>0</v>
      </c>
      <c r="N574" s="45"/>
      <c r="O574" s="99" t="e">
        <f t="shared" si="550"/>
        <v>#DIV/0!</v>
      </c>
      <c r="Q574" s="99" t="e">
        <f t="shared" si="550"/>
        <v>#DIV/0!</v>
      </c>
      <c r="R574" s="99" t="e">
        <f t="shared" si="550"/>
        <v>#DIV/0!</v>
      </c>
      <c r="S574" s="45" t="e">
        <f t="shared" si="550"/>
        <v>#DIV/0!</v>
      </c>
      <c r="T574" s="99"/>
      <c r="U574" s="99"/>
      <c r="V574" s="99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</row>
    <row r="575" spans="1:38" s="71" customFormat="1" ht="15" x14ac:dyDescent="0.2">
      <c r="A575" s="71" t="s">
        <v>1015</v>
      </c>
      <c r="E575" s="106"/>
      <c r="F575" s="102">
        <f t="shared" ref="F575:L575" si="555">(F531*F402)/F$429</f>
        <v>0</v>
      </c>
      <c r="G575" s="102">
        <f t="shared" si="555"/>
        <v>0</v>
      </c>
      <c r="H575" s="102">
        <f t="shared" si="555"/>
        <v>0</v>
      </c>
      <c r="I575" s="102">
        <f t="shared" si="555"/>
        <v>0</v>
      </c>
      <c r="J575" s="102">
        <f t="shared" si="555"/>
        <v>0</v>
      </c>
      <c r="K575" s="14"/>
      <c r="L575" s="102">
        <f t="shared" si="555"/>
        <v>0</v>
      </c>
      <c r="M575" s="102">
        <f t="shared" ref="M575" si="556">(M531*M402)/M$429</f>
        <v>0</v>
      </c>
      <c r="N575" s="160"/>
      <c r="O575" s="102" t="e">
        <f>(O531*O402)/O$429</f>
        <v>#DIV/0!</v>
      </c>
      <c r="P575" s="14"/>
      <c r="Q575" s="102" t="e">
        <f>(Q531*Q402)/Q$429</f>
        <v>#DIV/0!</v>
      </c>
      <c r="R575" s="102" t="e">
        <f>(R531*R402)/R$429</f>
        <v>#DIV/0!</v>
      </c>
      <c r="S575" s="160" t="e">
        <f>(S531*S402)/S$444</f>
        <v>#DIV/0!</v>
      </c>
      <c r="AL575" s="75"/>
    </row>
    <row r="576" spans="1:38" x14ac:dyDescent="0.2">
      <c r="B576" s="14" t="s">
        <v>1016</v>
      </c>
      <c r="F576" s="103">
        <f t="shared" ref="F576:K576" si="557">F575+F574</f>
        <v>0</v>
      </c>
      <c r="G576" s="103">
        <f t="shared" si="557"/>
        <v>0</v>
      </c>
      <c r="H576" s="103">
        <f t="shared" si="557"/>
        <v>0</v>
      </c>
      <c r="I576" s="103">
        <f t="shared" si="557"/>
        <v>0</v>
      </c>
      <c r="J576" s="103">
        <f t="shared" si="557"/>
        <v>0</v>
      </c>
      <c r="L576" s="103">
        <f t="shared" ref="L576:S576" si="558">L575+L574</f>
        <v>0</v>
      </c>
      <c r="M576" s="103">
        <f t="shared" ref="M576" si="559">M575+M574</f>
        <v>0</v>
      </c>
      <c r="N576" s="45"/>
      <c r="O576" s="103" t="e">
        <f t="shared" si="558"/>
        <v>#DIV/0!</v>
      </c>
      <c r="Q576" s="103" t="e">
        <f t="shared" si="558"/>
        <v>#DIV/0!</v>
      </c>
      <c r="R576" s="103" t="e">
        <f t="shared" si="558"/>
        <v>#DIV/0!</v>
      </c>
      <c r="S576" s="45" t="e">
        <f t="shared" si="558"/>
        <v>#DIV/0!</v>
      </c>
    </row>
    <row r="577" spans="1:33" x14ac:dyDescent="0.2">
      <c r="Q577" s="45"/>
    </row>
    <row r="578" spans="1:33" x14ac:dyDescent="0.2">
      <c r="A578" s="13" t="s">
        <v>668</v>
      </c>
      <c r="Q578" s="45"/>
    </row>
    <row r="579" spans="1:33" x14ac:dyDescent="0.2">
      <c r="A579" s="14" t="s">
        <v>1017</v>
      </c>
      <c r="F579" s="99">
        <f t="shared" ref="F579:T579" si="560">F552</f>
        <v>1.271214396650875E-2</v>
      </c>
      <c r="G579" s="99">
        <f t="shared" ref="G579:H579" si="561">G552</f>
        <v>1.228513199018256E-2</v>
      </c>
      <c r="H579" s="99">
        <f t="shared" si="561"/>
        <v>1.0129163051471947E-2</v>
      </c>
      <c r="I579" s="45">
        <f t="shared" ref="I579:L579" si="562">I552</f>
        <v>1.6636938084594213</v>
      </c>
      <c r="J579" s="45">
        <f t="shared" si="562"/>
        <v>1.6207501897136187</v>
      </c>
      <c r="L579" s="45">
        <f t="shared" si="562"/>
        <v>1.6405872986812842</v>
      </c>
      <c r="M579" s="45">
        <f t="shared" ref="M579" si="563">M552</f>
        <v>1.6403219203860007</v>
      </c>
      <c r="N579" s="99"/>
      <c r="O579" s="99" t="e">
        <f t="shared" ref="O579" si="564">O552</f>
        <v>#DIV/0!</v>
      </c>
      <c r="Q579" s="99" t="e">
        <f t="shared" si="560"/>
        <v>#DIV/0!</v>
      </c>
      <c r="R579" s="99" t="e">
        <f t="shared" si="560"/>
        <v>#DIV/0!</v>
      </c>
      <c r="S579" s="45" t="e">
        <f t="shared" si="560"/>
        <v>#DIV/0!</v>
      </c>
      <c r="T579" s="99" t="e">
        <f t="shared" si="560"/>
        <v>#DIV/0!</v>
      </c>
      <c r="U579" s="99" t="e">
        <f>#REF!</f>
        <v>#REF!</v>
      </c>
      <c r="V579" s="99" t="e">
        <f>#REF!</f>
        <v>#REF!</v>
      </c>
      <c r="W579" s="99" t="e">
        <f>#REF!</f>
        <v>#REF!</v>
      </c>
      <c r="X579" s="99" t="e">
        <f>#REF!</f>
        <v>#REF!</v>
      </c>
      <c r="Y579" s="99" t="e">
        <f>#REF!</f>
        <v>#REF!</v>
      </c>
      <c r="Z579" s="99" t="e">
        <f>#REF!</f>
        <v>#REF!</v>
      </c>
      <c r="AA579" s="99" t="e">
        <f>#REF!</f>
        <v>#REF!</v>
      </c>
      <c r="AB579" s="99" t="e">
        <f>#REF!</f>
        <v>#REF!</v>
      </c>
      <c r="AC579" s="99" t="e">
        <f>#REF!</f>
        <v>#REF!</v>
      </c>
      <c r="AD579" s="99" t="e">
        <f>#REF!</f>
        <v>#REF!</v>
      </c>
      <c r="AE579" s="99" t="e">
        <f>#REF!</f>
        <v>#REF!</v>
      </c>
      <c r="AF579" s="99" t="e">
        <f>#REF!</f>
        <v>#REF!</v>
      </c>
      <c r="AG579" s="99" t="e">
        <f>#REF!</f>
        <v>#REF!</v>
      </c>
    </row>
    <row r="580" spans="1:33" ht="15" x14ac:dyDescent="0.35">
      <c r="A580" s="71" t="s">
        <v>1018</v>
      </c>
      <c r="E580" s="99"/>
      <c r="F580" s="104">
        <f t="shared" ref="F580:I580" si="565">(F532*F402)/F$429</f>
        <v>-8.9701630601677707E-4</v>
      </c>
      <c r="G580" s="104">
        <f t="shared" si="565"/>
        <v>0.11104578746052318</v>
      </c>
      <c r="H580" s="104">
        <f t="shared" si="565"/>
        <v>4.2554179840621044E-3</v>
      </c>
      <c r="I580" s="105">
        <f t="shared" si="565"/>
        <v>9.4921111582095823E-4</v>
      </c>
      <c r="J580" s="105">
        <f t="shared" ref="J580:L580" si="566">(J532*J402)/J$429</f>
        <v>2.2031533221765459E-2</v>
      </c>
      <c r="L580" s="105">
        <f t="shared" si="566"/>
        <v>1.1365080032647286E-2</v>
      </c>
      <c r="M580" s="105">
        <f t="shared" ref="M580" si="567">(M532*M402)/M$429</f>
        <v>1.4361379520106278E-2</v>
      </c>
      <c r="N580" s="104"/>
      <c r="O580" s="104" t="e">
        <f>(O532*O402)/O$429</f>
        <v>#DIV/0!</v>
      </c>
      <c r="Q580" s="104" t="e">
        <f>(Q532*Q402)/Q$429</f>
        <v>#DIV/0!</v>
      </c>
      <c r="R580" s="104" t="e">
        <f>(R532*R402)/R$429</f>
        <v>#DIV/0!</v>
      </c>
      <c r="S580" s="105" t="e">
        <f>(S532*S402)/S$444</f>
        <v>#DIV/0!</v>
      </c>
      <c r="T580" s="104" t="e">
        <f>(T532*T402)/T$429</f>
        <v>#DIV/0!</v>
      </c>
      <c r="U580" s="104" t="e">
        <f>(#REF!*U330)/1026.4</f>
        <v>#REF!</v>
      </c>
      <c r="V580" s="104" t="e">
        <f>(#REF!*V330)/11504</f>
        <v>#REF!</v>
      </c>
      <c r="W580" s="104" t="e">
        <f>(#REF!*W330)/7284</f>
        <v>#REF!</v>
      </c>
      <c r="X580" s="104" t="e">
        <f>(#REF!*X330)/320.47</f>
        <v>#REF!</v>
      </c>
      <c r="Y580" s="104" t="e">
        <f>(#REF!*Y330)/26669</f>
        <v>#REF!</v>
      </c>
      <c r="Z580" s="104" t="e">
        <f>(#REF!*Z330)/68503</f>
        <v>#REF!</v>
      </c>
      <c r="AA580" s="104" t="e">
        <f>(#REF!*AA330)/AA$429</f>
        <v>#REF!</v>
      </c>
      <c r="AB580" s="104" t="e">
        <f>(#REF!*AB330)/17492.7</f>
        <v>#REF!</v>
      </c>
      <c r="AC580" s="104" t="e">
        <f>(#REF!*AC330)/10846</f>
        <v>#REF!</v>
      </c>
      <c r="AD580" s="104" t="e">
        <f>(#REF!*AD330)/12274</f>
        <v>#REF!</v>
      </c>
      <c r="AE580" s="104" t="e">
        <f>(#REF!*AE330)/10405</f>
        <v>#REF!</v>
      </c>
      <c r="AF580" s="104" t="e">
        <f>(#REF!*AF330)/12044</f>
        <v>#REF!</v>
      </c>
      <c r="AG580" s="104" t="e">
        <f>(#REF!*#REF!)/AG$442/12</f>
        <v>#REF!</v>
      </c>
    </row>
    <row r="581" spans="1:33" x14ac:dyDescent="0.2">
      <c r="B581" s="14" t="s">
        <v>1019</v>
      </c>
      <c r="F581" s="99">
        <f t="shared" ref="F581:I581" si="568">F579+F580</f>
        <v>1.1815127660491974E-2</v>
      </c>
      <c r="G581" s="99">
        <f t="shared" si="568"/>
        <v>0.12333091945070575</v>
      </c>
      <c r="H581" s="99">
        <f t="shared" si="568"/>
        <v>1.4384581035534052E-2</v>
      </c>
      <c r="I581" s="45">
        <f t="shared" si="568"/>
        <v>1.6646430195752422</v>
      </c>
      <c r="J581" s="45">
        <f t="shared" ref="J581:L581" si="569">J579+J580</f>
        <v>1.6427817229353843</v>
      </c>
      <c r="L581" s="45">
        <f t="shared" si="569"/>
        <v>1.6519523787139314</v>
      </c>
      <c r="M581" s="45">
        <f t="shared" ref="M581" si="570">M579+M580</f>
        <v>1.654683299906107</v>
      </c>
      <c r="N581" s="99"/>
      <c r="O581" s="99" t="e">
        <f>O579+O580</f>
        <v>#DIV/0!</v>
      </c>
      <c r="Q581" s="99" t="e">
        <f t="shared" ref="Q581:AG581" si="571">Q579+Q580</f>
        <v>#DIV/0!</v>
      </c>
      <c r="R581" s="99" t="e">
        <f t="shared" si="571"/>
        <v>#DIV/0!</v>
      </c>
      <c r="S581" s="45" t="e">
        <f t="shared" si="571"/>
        <v>#DIV/0!</v>
      </c>
      <c r="T581" s="99" t="e">
        <f t="shared" si="571"/>
        <v>#DIV/0!</v>
      </c>
      <c r="U581" s="99" t="e">
        <f t="shared" si="571"/>
        <v>#REF!</v>
      </c>
      <c r="V581" s="99" t="e">
        <f t="shared" si="571"/>
        <v>#REF!</v>
      </c>
      <c r="W581" s="99" t="e">
        <f t="shared" si="571"/>
        <v>#REF!</v>
      </c>
      <c r="X581" s="99" t="e">
        <f t="shared" si="571"/>
        <v>#REF!</v>
      </c>
      <c r="Y581" s="99" t="e">
        <f t="shared" si="571"/>
        <v>#REF!</v>
      </c>
      <c r="Z581" s="99" t="e">
        <f t="shared" si="571"/>
        <v>#REF!</v>
      </c>
      <c r="AA581" s="99" t="e">
        <f t="shared" si="571"/>
        <v>#REF!</v>
      </c>
      <c r="AB581" s="99" t="e">
        <f t="shared" si="571"/>
        <v>#REF!</v>
      </c>
      <c r="AC581" s="99" t="e">
        <f t="shared" si="571"/>
        <v>#REF!</v>
      </c>
      <c r="AD581" s="99" t="e">
        <f t="shared" si="571"/>
        <v>#REF!</v>
      </c>
      <c r="AE581" s="99" t="e">
        <f t="shared" si="571"/>
        <v>#REF!</v>
      </c>
      <c r="AF581" s="99" t="e">
        <f t="shared" si="571"/>
        <v>#REF!</v>
      </c>
      <c r="AG581" s="99" t="e">
        <f t="shared" si="571"/>
        <v>#REF!</v>
      </c>
    </row>
    <row r="583" spans="1:33" x14ac:dyDescent="0.2">
      <c r="A583" s="13" t="s">
        <v>669</v>
      </c>
    </row>
    <row r="584" spans="1:33" x14ac:dyDescent="0.2">
      <c r="A584" s="14" t="s">
        <v>670</v>
      </c>
      <c r="F584" s="74">
        <f t="shared" ref="F584:T584" si="572">F553</f>
        <v>36.355949108437869</v>
      </c>
      <c r="G584" s="74">
        <f t="shared" ref="G584:H584" si="573">G553</f>
        <v>35.565537154610787</v>
      </c>
      <c r="H584" s="74">
        <f t="shared" si="573"/>
        <v>39.796227031856255</v>
      </c>
      <c r="I584" s="74">
        <f t="shared" ref="I584" si="574">I553</f>
        <v>36.584704015409763</v>
      </c>
      <c r="J584" s="74">
        <f t="shared" ref="J584:O584" si="575">J553</f>
        <v>40.676980283622932</v>
      </c>
      <c r="L584" s="74">
        <f t="shared" si="575"/>
        <v>42.46288041299173</v>
      </c>
      <c r="M584" s="74">
        <f t="shared" ref="M584" si="576">M553</f>
        <v>41.263388864924217</v>
      </c>
      <c r="N584" s="74"/>
      <c r="O584" s="74" t="e">
        <f t="shared" si="575"/>
        <v>#DIV/0!</v>
      </c>
      <c r="Q584" s="74" t="e">
        <f t="shared" si="572"/>
        <v>#DIV/0!</v>
      </c>
      <c r="R584" s="74" t="e">
        <f t="shared" si="572"/>
        <v>#DIV/0!</v>
      </c>
      <c r="S584" s="74" t="e">
        <f t="shared" si="572"/>
        <v>#DIV/0!</v>
      </c>
      <c r="T584" s="74" t="e">
        <f t="shared" si="572"/>
        <v>#DIV/0!</v>
      </c>
      <c r="U584" s="74" t="e">
        <f>#REF!</f>
        <v>#REF!</v>
      </c>
      <c r="V584" s="74" t="e">
        <f>#REF!</f>
        <v>#REF!</v>
      </c>
      <c r="W584" s="74" t="e">
        <f>#REF!</f>
        <v>#REF!</v>
      </c>
      <c r="X584" s="74" t="e">
        <f>#REF!</f>
        <v>#REF!</v>
      </c>
      <c r="Y584" s="74" t="e">
        <f>#REF!</f>
        <v>#REF!</v>
      </c>
      <c r="Z584" s="74" t="e">
        <f>#REF!</f>
        <v>#REF!</v>
      </c>
      <c r="AA584" s="74" t="e">
        <f>#REF!</f>
        <v>#REF!</v>
      </c>
      <c r="AB584" s="74" t="e">
        <f>#REF!</f>
        <v>#REF!</v>
      </c>
      <c r="AC584" s="74" t="e">
        <f>#REF!</f>
        <v>#REF!</v>
      </c>
      <c r="AD584" s="74" t="e">
        <f>#REF!</f>
        <v>#REF!</v>
      </c>
      <c r="AE584" s="74" t="e">
        <f>#REF!</f>
        <v>#REF!</v>
      </c>
      <c r="AF584" s="74" t="e">
        <f>#REF!</f>
        <v>#REF!</v>
      </c>
      <c r="AG584" s="74" t="e">
        <f>#REF!</f>
        <v>#REF!</v>
      </c>
    </row>
    <row r="585" spans="1:33" ht="15" x14ac:dyDescent="0.35">
      <c r="A585" s="14" t="s">
        <v>671</v>
      </c>
      <c r="E585" s="74"/>
      <c r="F585" s="105">
        <f t="shared" ref="F585:T585" si="577">(F533*F402)/F432</f>
        <v>-2.4140394374083129</v>
      </c>
      <c r="G585" s="105">
        <f t="shared" ref="G585:H585" si="578">(G533*G402)/G432</f>
        <v>301.42277029835014</v>
      </c>
      <c r="H585" s="105">
        <f t="shared" si="578"/>
        <v>16.644490083401269</v>
      </c>
      <c r="I585" s="105">
        <f t="shared" ref="I585" si="579">(I533*I402)/I432</f>
        <v>3.3566321630169726</v>
      </c>
      <c r="J585" s="105">
        <f t="shared" ref="J585:K585" si="580">(J533*J402)/J432</f>
        <v>167.24551976217643</v>
      </c>
      <c r="L585" s="105">
        <f t="shared" si="577"/>
        <v>91.437215578402402</v>
      </c>
      <c r="M585" s="105">
        <f t="shared" ref="M585" si="581">(M533*M402)/M432</f>
        <v>194.80265834759982</v>
      </c>
      <c r="N585" s="105"/>
      <c r="O585" s="105" t="e">
        <f t="shared" si="577"/>
        <v>#DIV/0!</v>
      </c>
      <c r="Q585" s="105" t="e">
        <f t="shared" si="577"/>
        <v>#DIV/0!</v>
      </c>
      <c r="R585" s="105" t="e">
        <f t="shared" si="577"/>
        <v>#DIV/0!</v>
      </c>
      <c r="S585" s="105" t="e">
        <f t="shared" si="577"/>
        <v>#DIV/0!</v>
      </c>
      <c r="T585" s="105" t="e">
        <f t="shared" si="577"/>
        <v>#DIV/0!</v>
      </c>
      <c r="U585" s="105" t="e">
        <f>(#REF!*U330)/U432</f>
        <v>#REF!</v>
      </c>
      <c r="V585" s="105" t="e">
        <f>(#REF!*V330)/V432</f>
        <v>#REF!</v>
      </c>
      <c r="W585" s="105" t="e">
        <f>(#REF!*W330)/W432</f>
        <v>#REF!</v>
      </c>
      <c r="X585" s="105" t="e">
        <f>(#REF!*X330)/X432</f>
        <v>#REF!</v>
      </c>
      <c r="Y585" s="105" t="e">
        <f>(#REF!*Y330)/Y432</f>
        <v>#REF!</v>
      </c>
      <c r="Z585" s="105" t="e">
        <f>(#REF!*Z330)/Z432</f>
        <v>#REF!</v>
      </c>
      <c r="AA585" s="105" t="e">
        <f>(#REF!*AA330)/AA432</f>
        <v>#REF!</v>
      </c>
      <c r="AB585" s="105" t="e">
        <f>(#REF!*AB330)/AB432</f>
        <v>#REF!</v>
      </c>
      <c r="AC585" s="105" t="e">
        <f>(#REF!*AC330)/AC432</f>
        <v>#REF!</v>
      </c>
      <c r="AD585" s="105" t="e">
        <f>(#REF!*AD330)/AD432</f>
        <v>#REF!</v>
      </c>
      <c r="AE585" s="105" t="e">
        <f>(#REF!*AE330)/AE432</f>
        <v>#REF!</v>
      </c>
      <c r="AF585" s="105" t="e">
        <f>(#REF!*AF330)/AF432</f>
        <v>#REF!</v>
      </c>
      <c r="AG585" s="105" t="e">
        <f>(#REF!*#REF!)/#REF!</f>
        <v>#REF!</v>
      </c>
    </row>
    <row r="586" spans="1:33" x14ac:dyDescent="0.2">
      <c r="B586" s="14" t="s">
        <v>672</v>
      </c>
      <c r="F586" s="74">
        <f t="shared" ref="F586:O586" si="582">F584+F585</f>
        <v>33.941909671029556</v>
      </c>
      <c r="G586" s="74">
        <f t="shared" ref="G586:H586" si="583">G584+G585</f>
        <v>336.98830745296095</v>
      </c>
      <c r="H586" s="74">
        <f t="shared" si="583"/>
        <v>56.440717115257527</v>
      </c>
      <c r="I586" s="74">
        <f t="shared" ref="I586" si="584">I584+I585</f>
        <v>39.941336178426738</v>
      </c>
      <c r="J586" s="74">
        <f t="shared" ref="J586:K586" si="585">J584+J585</f>
        <v>207.92250004579935</v>
      </c>
      <c r="L586" s="74">
        <f t="shared" si="582"/>
        <v>133.90009599139412</v>
      </c>
      <c r="M586" s="74">
        <f t="shared" ref="M586" si="586">M584+M585</f>
        <v>236.06604721252404</v>
      </c>
      <c r="N586" s="74"/>
      <c r="O586" s="74" t="e">
        <f t="shared" si="582"/>
        <v>#DIV/0!</v>
      </c>
      <c r="Q586" s="74" t="e">
        <f t="shared" ref="Q586:AG586" si="587">Q584+Q585</f>
        <v>#DIV/0!</v>
      </c>
      <c r="R586" s="74" t="e">
        <f t="shared" si="587"/>
        <v>#DIV/0!</v>
      </c>
      <c r="S586" s="74" t="e">
        <f t="shared" si="587"/>
        <v>#DIV/0!</v>
      </c>
      <c r="T586" s="74" t="e">
        <f t="shared" si="587"/>
        <v>#DIV/0!</v>
      </c>
      <c r="U586" s="74" t="e">
        <f t="shared" si="587"/>
        <v>#REF!</v>
      </c>
      <c r="V586" s="74" t="e">
        <f t="shared" si="587"/>
        <v>#REF!</v>
      </c>
      <c r="W586" s="74" t="e">
        <f t="shared" si="587"/>
        <v>#REF!</v>
      </c>
      <c r="X586" s="74" t="e">
        <f t="shared" si="587"/>
        <v>#REF!</v>
      </c>
      <c r="Y586" s="74" t="e">
        <f t="shared" si="587"/>
        <v>#REF!</v>
      </c>
      <c r="Z586" s="74" t="e">
        <f t="shared" si="587"/>
        <v>#REF!</v>
      </c>
      <c r="AA586" s="74" t="e">
        <f t="shared" si="587"/>
        <v>#REF!</v>
      </c>
      <c r="AB586" s="74" t="e">
        <f t="shared" si="587"/>
        <v>#REF!</v>
      </c>
      <c r="AC586" s="74" t="e">
        <f t="shared" si="587"/>
        <v>#REF!</v>
      </c>
      <c r="AD586" s="74" t="e">
        <f t="shared" si="587"/>
        <v>#REF!</v>
      </c>
      <c r="AE586" s="74" t="e">
        <f t="shared" si="587"/>
        <v>#REF!</v>
      </c>
      <c r="AF586" s="74" t="e">
        <f t="shared" si="587"/>
        <v>#REF!</v>
      </c>
      <c r="AG586" s="74" t="e">
        <f t="shared" si="587"/>
        <v>#REF!</v>
      </c>
    </row>
    <row r="590" spans="1:33" x14ac:dyDescent="0.2">
      <c r="A590" s="25" t="s">
        <v>673</v>
      </c>
      <c r="B590" s="181"/>
      <c r="C590" s="182">
        <f>E402</f>
        <v>1.3615740550073136E-2</v>
      </c>
      <c r="F590" s="44">
        <f t="shared" ref="F590:S590" si="588">$C$590</f>
        <v>1.3615740550073136E-2</v>
      </c>
      <c r="G590" s="44">
        <f t="shared" si="588"/>
        <v>1.3615740550073136E-2</v>
      </c>
      <c r="H590" s="44">
        <f t="shared" si="588"/>
        <v>1.3615740550073136E-2</v>
      </c>
      <c r="I590" s="44">
        <f t="shared" si="588"/>
        <v>1.3615740550073136E-2</v>
      </c>
      <c r="J590" s="44">
        <f t="shared" si="588"/>
        <v>1.3615740550073136E-2</v>
      </c>
      <c r="L590" s="44">
        <f t="shared" si="588"/>
        <v>1.3615740550073136E-2</v>
      </c>
      <c r="M590" s="44">
        <f t="shared" si="588"/>
        <v>1.3615740550073136E-2</v>
      </c>
      <c r="N590" s="44"/>
      <c r="O590" s="44">
        <f t="shared" si="588"/>
        <v>1.3615740550073136E-2</v>
      </c>
      <c r="P590" s="44">
        <f t="shared" si="588"/>
        <v>1.3615740550073136E-2</v>
      </c>
      <c r="Q590" s="44">
        <f t="shared" si="588"/>
        <v>1.3615740550073136E-2</v>
      </c>
      <c r="R590" s="44">
        <f t="shared" si="588"/>
        <v>1.3615740550073136E-2</v>
      </c>
      <c r="S590" s="44">
        <f t="shared" si="588"/>
        <v>1.3615740550073136E-2</v>
      </c>
    </row>
    <row r="591" spans="1:33" x14ac:dyDescent="0.2">
      <c r="A591" s="13"/>
    </row>
    <row r="592" spans="1:33" x14ac:dyDescent="0.2">
      <c r="A592" s="13" t="s">
        <v>763</v>
      </c>
    </row>
    <row r="593" spans="1:38" x14ac:dyDescent="0.2">
      <c r="A593" s="14" t="s">
        <v>1012</v>
      </c>
      <c r="F593" s="99">
        <f t="shared" ref="F593:O593" si="589">F568</f>
        <v>1.374138416069038E-2</v>
      </c>
      <c r="G593" s="99">
        <f t="shared" ref="G593:I593" si="590">G568</f>
        <v>1.0184344404776367E-2</v>
      </c>
      <c r="H593" s="99">
        <f t="shared" si="590"/>
        <v>1.444879369325951E-2</v>
      </c>
      <c r="I593" s="45">
        <f t="shared" si="590"/>
        <v>2.2706500244529098</v>
      </c>
      <c r="J593" s="45">
        <f t="shared" ref="J593:L593" si="591">J568</f>
        <v>2.9908833166353701</v>
      </c>
      <c r="L593" s="45">
        <f t="shared" si="591"/>
        <v>4.2122203352169922</v>
      </c>
      <c r="M593" s="45">
        <f t="shared" ref="M593" si="592">M568</f>
        <v>5.3545430325849575</v>
      </c>
      <c r="N593" s="99"/>
      <c r="O593" s="99" t="e">
        <f t="shared" si="589"/>
        <v>#DIV/0!</v>
      </c>
      <c r="Q593" s="99" t="e">
        <f t="shared" ref="Q593:R593" si="593">Q568</f>
        <v>#DIV/0!</v>
      </c>
      <c r="R593" s="99" t="e">
        <f t="shared" si="593"/>
        <v>#DIV/0!</v>
      </c>
      <c r="S593" s="45" t="e">
        <f>S568</f>
        <v>#DIV/0!</v>
      </c>
      <c r="T593" s="99" t="e">
        <f t="shared" ref="T593:AF593" si="594">T549</f>
        <v>#DIV/0!</v>
      </c>
      <c r="U593" s="99">
        <f t="shared" si="594"/>
        <v>0</v>
      </c>
      <c r="V593" s="99" t="e">
        <f t="shared" si="594"/>
        <v>#DIV/0!</v>
      </c>
      <c r="W593" s="99" t="e">
        <f t="shared" si="594"/>
        <v>#DIV/0!</v>
      </c>
      <c r="X593" s="99" t="e">
        <f t="shared" si="594"/>
        <v>#DIV/0!</v>
      </c>
      <c r="Y593" s="99" t="e">
        <f t="shared" si="594"/>
        <v>#DIV/0!</v>
      </c>
      <c r="Z593" s="99" t="e">
        <f t="shared" si="594"/>
        <v>#DIV/0!</v>
      </c>
      <c r="AA593" s="99">
        <f t="shared" si="594"/>
        <v>0</v>
      </c>
      <c r="AB593" s="99">
        <f t="shared" si="594"/>
        <v>0</v>
      </c>
      <c r="AC593" s="99">
        <f t="shared" si="594"/>
        <v>0</v>
      </c>
      <c r="AD593" s="99">
        <f t="shared" si="594"/>
        <v>0</v>
      </c>
      <c r="AE593" s="99">
        <f t="shared" si="594"/>
        <v>0</v>
      </c>
      <c r="AF593" s="99">
        <f t="shared" si="594"/>
        <v>0</v>
      </c>
      <c r="AG593" s="99" t="e">
        <f>#REF!</f>
        <v>#REF!</v>
      </c>
    </row>
    <row r="594" spans="1:38" x14ac:dyDescent="0.2">
      <c r="A594" s="14" t="s">
        <v>1013</v>
      </c>
      <c r="E594" s="107"/>
      <c r="F594" s="99">
        <f>(F529*$E$402)/F$429</f>
        <v>0</v>
      </c>
      <c r="G594" s="99">
        <f>(G529*$E$402)/G$429</f>
        <v>0</v>
      </c>
      <c r="H594" s="99">
        <f>(H529*$E$402)/H$429</f>
        <v>0</v>
      </c>
      <c r="I594" s="45">
        <f>(I529*$E$402)/I$444</f>
        <v>0</v>
      </c>
      <c r="J594" s="45">
        <f t="shared" ref="J594:L594" si="595">(J529*$E$402)/J$444</f>
        <v>0</v>
      </c>
      <c r="L594" s="45">
        <f t="shared" si="595"/>
        <v>0</v>
      </c>
      <c r="M594" s="45">
        <f t="shared" ref="M594" si="596">(M529*$E$402)/M$444</f>
        <v>0</v>
      </c>
      <c r="N594" s="99"/>
      <c r="O594" s="99" t="e">
        <f>(O529*$E$402)/O$429</f>
        <v>#DIV/0!</v>
      </c>
      <c r="Q594" s="99" t="e">
        <f>(Q529*$E$402)/Q$429</f>
        <v>#DIV/0!</v>
      </c>
      <c r="R594" s="99" t="e">
        <f>(R529*$E$402)/R$429</f>
        <v>#DIV/0!</v>
      </c>
      <c r="S594" s="45" t="e">
        <f>(S529*$E$402)/S$444</f>
        <v>#DIV/0!</v>
      </c>
      <c r="T594" s="99" t="e">
        <f t="shared" ref="T594:AF594" si="597">T550</f>
        <v>#DIV/0!</v>
      </c>
      <c r="U594" s="99" t="e">
        <f t="shared" si="597"/>
        <v>#DIV/0!</v>
      </c>
      <c r="V594" s="99" t="e">
        <f t="shared" si="597"/>
        <v>#DIV/0!</v>
      </c>
      <c r="W594" s="99" t="e">
        <f t="shared" si="597"/>
        <v>#DIV/0!</v>
      </c>
      <c r="X594" s="99" t="e">
        <f t="shared" si="597"/>
        <v>#DIV/0!</v>
      </c>
      <c r="Y594" s="99" t="e">
        <f t="shared" si="597"/>
        <v>#DIV/0!</v>
      </c>
      <c r="Z594" s="99" t="e">
        <f t="shared" si="597"/>
        <v>#DIV/0!</v>
      </c>
      <c r="AA594" s="99" t="e">
        <f t="shared" si="597"/>
        <v>#DIV/0!</v>
      </c>
      <c r="AB594" s="99" t="e">
        <f t="shared" si="597"/>
        <v>#DIV/0!</v>
      </c>
      <c r="AC594" s="99" t="e">
        <f t="shared" si="597"/>
        <v>#DIV/0!</v>
      </c>
      <c r="AD594" s="99" t="e">
        <f t="shared" si="597"/>
        <v>#DIV/0!</v>
      </c>
      <c r="AE594" s="99" t="e">
        <f t="shared" si="597"/>
        <v>#DIV/0!</v>
      </c>
      <c r="AF594" s="99">
        <f t="shared" si="597"/>
        <v>0</v>
      </c>
      <c r="AG594" s="99" t="e">
        <f>#REF!</f>
        <v>#REF!</v>
      </c>
    </row>
    <row r="595" spans="1:38" x14ac:dyDescent="0.2">
      <c r="A595" s="14" t="s">
        <v>901</v>
      </c>
      <c r="F595" s="99">
        <f t="shared" ref="F595:O595" si="598">F570</f>
        <v>5.7165687877873725E-2</v>
      </c>
      <c r="G595" s="99">
        <f t="shared" ref="G595:I595" si="599">G570</f>
        <v>5.7165687877873732E-2</v>
      </c>
      <c r="H595" s="99">
        <f t="shared" si="599"/>
        <v>5.7332578259428842E-2</v>
      </c>
      <c r="I595" s="99">
        <f t="shared" si="599"/>
        <v>5.7332578259428842E-2</v>
      </c>
      <c r="J595" s="99">
        <f t="shared" ref="J595:L595" si="600">J570</f>
        <v>5.7332578259428842E-2</v>
      </c>
      <c r="L595" s="99">
        <f t="shared" si="600"/>
        <v>5.7332578259428835E-2</v>
      </c>
      <c r="M595" s="99">
        <f t="shared" ref="M595" si="601">M570</f>
        <v>4.6627557614202772E-2</v>
      </c>
      <c r="N595" s="99"/>
      <c r="O595" s="99" t="e">
        <f t="shared" si="598"/>
        <v>#DIV/0!</v>
      </c>
      <c r="Q595" s="99" t="e">
        <f t="shared" ref="Q595:R595" si="602">Q570</f>
        <v>#DIV/0!</v>
      </c>
      <c r="R595" s="99" t="e">
        <f t="shared" si="602"/>
        <v>#DIV/0!</v>
      </c>
      <c r="S595" s="99" t="e">
        <f>S570</f>
        <v>#DIV/0!</v>
      </c>
      <c r="T595" s="99">
        <f>T575</f>
        <v>0</v>
      </c>
      <c r="U595" s="99" t="e">
        <f>#REF!</f>
        <v>#REF!</v>
      </c>
      <c r="V595" s="99" t="e">
        <f>#REF!</f>
        <v>#REF!</v>
      </c>
      <c r="W595" s="99" t="e">
        <f>#REF!</f>
        <v>#REF!</v>
      </c>
      <c r="X595" s="99" t="e">
        <f>#REF!</f>
        <v>#REF!</v>
      </c>
      <c r="Y595" s="99" t="e">
        <f>#REF!</f>
        <v>#REF!</v>
      </c>
      <c r="Z595" s="99" t="e">
        <f>#REF!</f>
        <v>#REF!</v>
      </c>
      <c r="AA595" s="99" t="e">
        <f>#REF!</f>
        <v>#REF!</v>
      </c>
      <c r="AB595" s="99" t="e">
        <f>#REF!</f>
        <v>#REF!</v>
      </c>
      <c r="AC595" s="99" t="e">
        <f>#REF!</f>
        <v>#REF!</v>
      </c>
      <c r="AD595" s="99" t="e">
        <f>#REF!</f>
        <v>#REF!</v>
      </c>
      <c r="AE595" s="99" t="e">
        <f>#REF!</f>
        <v>#REF!</v>
      </c>
      <c r="AF595" s="99" t="e">
        <f>#REF!</f>
        <v>#REF!</v>
      </c>
      <c r="AG595" s="99" t="e">
        <f>#REF!</f>
        <v>#REF!</v>
      </c>
    </row>
    <row r="596" spans="1:38" x14ac:dyDescent="0.2">
      <c r="A596" s="14" t="s">
        <v>902</v>
      </c>
      <c r="D596" s="99"/>
      <c r="F596" s="99">
        <f t="shared" ref="F596:S596" si="603">(F530*$E$402)/F$429</f>
        <v>0</v>
      </c>
      <c r="G596" s="99">
        <f t="shared" ref="G596:I596" si="604">(G530*$E$402)/G$429</f>
        <v>0</v>
      </c>
      <c r="H596" s="99">
        <f t="shared" si="604"/>
        <v>0</v>
      </c>
      <c r="I596" s="46">
        <f t="shared" si="604"/>
        <v>0</v>
      </c>
      <c r="J596" s="46">
        <f t="shared" ref="J596:L596" si="605">(J530*$E$402)/J$429</f>
        <v>0</v>
      </c>
      <c r="L596" s="46">
        <f t="shared" si="605"/>
        <v>0</v>
      </c>
      <c r="M596" s="46">
        <f t="shared" ref="M596" si="606">(M530*$E$402)/M$429</f>
        <v>0</v>
      </c>
      <c r="N596" s="99"/>
      <c r="O596" s="99" t="e">
        <f t="shared" ref="O596" si="607">(O530*$E$402)/O$429</f>
        <v>#DIV/0!</v>
      </c>
      <c r="Q596" s="99" t="e">
        <f t="shared" si="603"/>
        <v>#DIV/0!</v>
      </c>
      <c r="R596" s="99" t="e">
        <f t="shared" si="603"/>
        <v>#DIV/0!</v>
      </c>
      <c r="S596" s="46" t="e">
        <f t="shared" si="603"/>
        <v>#DIV/0!</v>
      </c>
      <c r="T596" s="99"/>
      <c r="U596" s="99"/>
      <c r="V596" s="99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</row>
    <row r="597" spans="1:38" x14ac:dyDescent="0.2">
      <c r="F597" s="99"/>
      <c r="G597" s="99"/>
      <c r="H597" s="99"/>
      <c r="I597" s="99"/>
      <c r="J597" s="99"/>
      <c r="L597" s="99"/>
      <c r="M597" s="99"/>
      <c r="N597" s="99"/>
      <c r="O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</row>
    <row r="598" spans="1:38" x14ac:dyDescent="0.2">
      <c r="A598" s="13" t="s">
        <v>895</v>
      </c>
      <c r="F598" s="99"/>
      <c r="G598" s="99"/>
      <c r="H598" s="99"/>
      <c r="I598" s="99"/>
      <c r="J598" s="99"/>
      <c r="L598" s="99"/>
      <c r="M598" s="99"/>
      <c r="N598" s="99"/>
      <c r="O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</row>
    <row r="599" spans="1:38" x14ac:dyDescent="0.2">
      <c r="A599" s="14" t="s">
        <v>1014</v>
      </c>
      <c r="F599" s="99">
        <f t="shared" ref="F599:O599" si="608">F574</f>
        <v>0</v>
      </c>
      <c r="G599" s="99">
        <f t="shared" ref="G599:I599" si="609">G574</f>
        <v>0</v>
      </c>
      <c r="H599" s="99">
        <f t="shared" si="609"/>
        <v>0</v>
      </c>
      <c r="I599" s="45">
        <f t="shared" si="609"/>
        <v>0</v>
      </c>
      <c r="J599" s="99">
        <f t="shared" ref="J599:K599" si="610">J574</f>
        <v>0</v>
      </c>
      <c r="L599" s="45">
        <f t="shared" si="608"/>
        <v>0</v>
      </c>
      <c r="M599" s="45">
        <f t="shared" ref="M599" si="611">M574</f>
        <v>0</v>
      </c>
      <c r="N599" s="99"/>
      <c r="O599" s="99" t="e">
        <f t="shared" si="608"/>
        <v>#DIV/0!</v>
      </c>
      <c r="Q599" s="99" t="e">
        <f t="shared" ref="Q599:R599" si="612">Q574</f>
        <v>#DIV/0!</v>
      </c>
      <c r="R599" s="99" t="e">
        <f t="shared" si="612"/>
        <v>#DIV/0!</v>
      </c>
      <c r="S599" s="45" t="e">
        <f>S574</f>
        <v>#DIV/0!</v>
      </c>
      <c r="T599" s="99"/>
      <c r="U599" s="99"/>
      <c r="V599" s="99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</row>
    <row r="600" spans="1:38" s="71" customFormat="1" ht="15" x14ac:dyDescent="0.35">
      <c r="A600" s="71" t="s">
        <v>1015</v>
      </c>
      <c r="D600" s="106"/>
      <c r="F600" s="104">
        <f>(F531*$E$402)/F$429</f>
        <v>0</v>
      </c>
      <c r="G600" s="104">
        <f>(G531*$E$402)/G$429</f>
        <v>0</v>
      </c>
      <c r="H600" s="104">
        <f>(H531*$E$402)/H$429</f>
        <v>0</v>
      </c>
      <c r="I600" s="105">
        <f>(I531*$E$402)/I$444</f>
        <v>0</v>
      </c>
      <c r="J600" s="104">
        <f>(J531*$E$402)/J$429</f>
        <v>0</v>
      </c>
      <c r="K600" s="14"/>
      <c r="L600" s="105">
        <f>(L531*$E$402)/L$444</f>
        <v>0</v>
      </c>
      <c r="M600" s="105">
        <f>(M531*$E$402)/M$444</f>
        <v>0</v>
      </c>
      <c r="N600" s="104"/>
      <c r="O600" s="104" t="e">
        <f>(O531*$E$402)/O$429</f>
        <v>#DIV/0!</v>
      </c>
      <c r="P600" s="14"/>
      <c r="Q600" s="104" t="e">
        <f>(Q531*$E$402)/Q$429</f>
        <v>#DIV/0!</v>
      </c>
      <c r="R600" s="104" t="e">
        <f>(R531*$E$402)/R$429</f>
        <v>#DIV/0!</v>
      </c>
      <c r="S600" s="105" t="e">
        <f>(S531*$E$402)/S$444</f>
        <v>#DIV/0!</v>
      </c>
      <c r="AL600" s="75"/>
    </row>
    <row r="601" spans="1:38" x14ac:dyDescent="0.2">
      <c r="B601" s="14" t="s">
        <v>1016</v>
      </c>
      <c r="F601" s="99">
        <f>F599+F600</f>
        <v>0</v>
      </c>
      <c r="G601" s="99">
        <f>G599+G600</f>
        <v>0</v>
      </c>
      <c r="H601" s="99">
        <f>H599+H600</f>
        <v>0</v>
      </c>
      <c r="I601" s="45">
        <f t="shared" ref="I601" si="613">I599+I600</f>
        <v>0</v>
      </c>
      <c r="J601" s="99">
        <f>J599+J600</f>
        <v>0</v>
      </c>
      <c r="L601" s="45">
        <f t="shared" ref="L601:M601" si="614">L599+L600</f>
        <v>0</v>
      </c>
      <c r="M601" s="45">
        <f t="shared" si="614"/>
        <v>0</v>
      </c>
      <c r="N601" s="99"/>
      <c r="O601" s="99" t="e">
        <f>O599+O600</f>
        <v>#DIV/0!</v>
      </c>
      <c r="Q601" s="99" t="e">
        <f t="shared" ref="Q601:S601" si="615">Q599+Q600</f>
        <v>#DIV/0!</v>
      </c>
      <c r="R601" s="99" t="e">
        <f t="shared" si="615"/>
        <v>#DIV/0!</v>
      </c>
      <c r="S601" s="45" t="e">
        <f t="shared" si="615"/>
        <v>#DIV/0!</v>
      </c>
    </row>
    <row r="602" spans="1:38" x14ac:dyDescent="0.2">
      <c r="Q602" s="45"/>
    </row>
    <row r="603" spans="1:38" x14ac:dyDescent="0.2">
      <c r="A603" s="13" t="s">
        <v>668</v>
      </c>
      <c r="Q603" s="45"/>
    </row>
    <row r="604" spans="1:38" x14ac:dyDescent="0.2">
      <c r="A604" s="14" t="s">
        <v>1017</v>
      </c>
      <c r="F604" s="99">
        <f t="shared" ref="F604:T604" si="616">F552</f>
        <v>1.271214396650875E-2</v>
      </c>
      <c r="G604" s="99">
        <f t="shared" ref="G604:I604" si="617">G552</f>
        <v>1.228513199018256E-2</v>
      </c>
      <c r="H604" s="99">
        <f t="shared" si="617"/>
        <v>1.0129163051471947E-2</v>
      </c>
      <c r="I604" s="45">
        <f t="shared" si="617"/>
        <v>1.6636938084594213</v>
      </c>
      <c r="J604" s="45">
        <f t="shared" ref="J604:L604" si="618">J552</f>
        <v>1.6207501897136187</v>
      </c>
      <c r="L604" s="45">
        <f t="shared" si="618"/>
        <v>1.6405872986812842</v>
      </c>
      <c r="M604" s="45">
        <f t="shared" ref="M604" si="619">M552</f>
        <v>1.6403219203860007</v>
      </c>
      <c r="N604" s="99"/>
      <c r="O604" s="99" t="e">
        <f t="shared" ref="O604" si="620">O552</f>
        <v>#DIV/0!</v>
      </c>
      <c r="Q604" s="99" t="e">
        <f t="shared" si="616"/>
        <v>#DIV/0!</v>
      </c>
      <c r="R604" s="99" t="e">
        <f t="shared" si="616"/>
        <v>#DIV/0!</v>
      </c>
      <c r="S604" s="45" t="e">
        <f t="shared" si="616"/>
        <v>#DIV/0!</v>
      </c>
      <c r="T604" s="99" t="e">
        <f t="shared" si="616"/>
        <v>#DIV/0!</v>
      </c>
      <c r="U604" s="99" t="e">
        <f>#REF!</f>
        <v>#REF!</v>
      </c>
      <c r="V604" s="99" t="e">
        <f>#REF!</f>
        <v>#REF!</v>
      </c>
      <c r="W604" s="99" t="e">
        <f>#REF!</f>
        <v>#REF!</v>
      </c>
      <c r="X604" s="99" t="e">
        <f>#REF!</f>
        <v>#REF!</v>
      </c>
      <c r="Y604" s="99" t="e">
        <f>#REF!</f>
        <v>#REF!</v>
      </c>
      <c r="Z604" s="99" t="e">
        <f>#REF!</f>
        <v>#REF!</v>
      </c>
      <c r="AA604" s="99" t="e">
        <f>#REF!</f>
        <v>#REF!</v>
      </c>
      <c r="AB604" s="99" t="e">
        <f>#REF!</f>
        <v>#REF!</v>
      </c>
      <c r="AC604" s="99" t="e">
        <f>#REF!</f>
        <v>#REF!</v>
      </c>
      <c r="AD604" s="99" t="e">
        <f>#REF!</f>
        <v>#REF!</v>
      </c>
      <c r="AE604" s="99" t="e">
        <f>#REF!</f>
        <v>#REF!</v>
      </c>
      <c r="AF604" s="99" t="e">
        <f>#REF!</f>
        <v>#REF!</v>
      </c>
      <c r="AG604" s="99" t="e">
        <f>#REF!</f>
        <v>#REF!</v>
      </c>
    </row>
    <row r="605" spans="1:38" ht="15" x14ac:dyDescent="0.35">
      <c r="A605" s="71" t="s">
        <v>1018</v>
      </c>
      <c r="D605" s="107"/>
      <c r="F605" s="104">
        <f>(F532*$E$402)/F429</f>
        <v>1.1134149536430648E-3</v>
      </c>
      <c r="G605" s="104">
        <f>(G532*$E$402)/G429</f>
        <v>1.1038933165336095E-3</v>
      </c>
      <c r="H605" s="104">
        <f>(H532*$E$402)/H429</f>
        <v>8.7515332745768829E-4</v>
      </c>
      <c r="I605" s="105">
        <f>(I532*$E$402)/I444</f>
        <v>0.14655515513736539</v>
      </c>
      <c r="J605" s="105">
        <f t="shared" ref="J605:L605" si="621">(J532*$E$402)/J444</f>
        <v>0.1472465120036234</v>
      </c>
      <c r="L605" s="105">
        <f t="shared" si="621"/>
        <v>0.14841888176627735</v>
      </c>
      <c r="M605" s="105">
        <f t="shared" ref="M605" si="622">(M532*$E$402)/M444</f>
        <v>0.14841888176627735</v>
      </c>
      <c r="N605" s="104"/>
      <c r="O605" s="104" t="e">
        <f>(O532*$E$402)/O429</f>
        <v>#DIV/0!</v>
      </c>
      <c r="Q605" s="104" t="e">
        <f>(Q532*$E$402)/Q429</f>
        <v>#DIV/0!</v>
      </c>
      <c r="R605" s="104" t="e">
        <f>(R532*$E$402)/R429</f>
        <v>#DIV/0!</v>
      </c>
      <c r="S605" s="105" t="e">
        <f>(S532*$E$402)/S444</f>
        <v>#DIV/0!</v>
      </c>
      <c r="T605" s="104" t="e">
        <f>(T532*$E$402)/T429</f>
        <v>#DIV/0!</v>
      </c>
      <c r="U605" s="104" t="e">
        <f>(#REF!*$E$330)/1026.4</f>
        <v>#REF!</v>
      </c>
      <c r="V605" s="104" t="e">
        <f>(#REF!*$E$330)/11504</f>
        <v>#REF!</v>
      </c>
      <c r="W605" s="104" t="e">
        <f>(#REF!*$E$330)/7284</f>
        <v>#REF!</v>
      </c>
      <c r="X605" s="104" t="e">
        <f>(#REF!*$E$330)/320.47</f>
        <v>#REF!</v>
      </c>
      <c r="Y605" s="104" t="e">
        <f>(#REF!*$E$330)/26669</f>
        <v>#REF!</v>
      </c>
      <c r="Z605" s="104" t="e">
        <f>(#REF!*$E$330)/68503</f>
        <v>#REF!</v>
      </c>
      <c r="AA605" s="104" t="e">
        <f>(#REF!*$E$330)/AA429</f>
        <v>#REF!</v>
      </c>
      <c r="AB605" s="104" t="e">
        <f>(#REF!*$E$330)/17492.7</f>
        <v>#REF!</v>
      </c>
      <c r="AC605" s="104" t="e">
        <f>(#REF!*$E$330)/10846</f>
        <v>#REF!</v>
      </c>
      <c r="AD605" s="104" t="e">
        <f>(#REF!*$E$330)/12274</f>
        <v>#REF!</v>
      </c>
      <c r="AE605" s="104" t="e">
        <f>(#REF!*$E$330)/10405</f>
        <v>#REF!</v>
      </c>
      <c r="AF605" s="104" t="e">
        <f>(#REF!*$E$330)/120444</f>
        <v>#REF!</v>
      </c>
      <c r="AG605" s="104" t="e">
        <f>(#REF!*$E$330)/AG509/12</f>
        <v>#REF!</v>
      </c>
    </row>
    <row r="606" spans="1:38" x14ac:dyDescent="0.2">
      <c r="B606" s="14" t="s">
        <v>1019</v>
      </c>
      <c r="F606" s="99">
        <f t="shared" ref="F606:AG606" si="623">F604+F605</f>
        <v>1.3825558920151814E-2</v>
      </c>
      <c r="G606" s="99">
        <f t="shared" ref="G606:I606" si="624">G604+G605</f>
        <v>1.338902530671617E-2</v>
      </c>
      <c r="H606" s="99">
        <f t="shared" si="624"/>
        <v>1.1004316378929634E-2</v>
      </c>
      <c r="I606" s="45">
        <f t="shared" si="624"/>
        <v>1.8102489635967867</v>
      </c>
      <c r="J606" s="45">
        <f t="shared" ref="J606:L606" si="625">J604+J605</f>
        <v>1.7679967017172422</v>
      </c>
      <c r="L606" s="45">
        <f t="shared" si="625"/>
        <v>1.7890061804475614</v>
      </c>
      <c r="M606" s="45">
        <f t="shared" ref="M606" si="626">M604+M605</f>
        <v>1.7887408021522779</v>
      </c>
      <c r="N606" s="99"/>
      <c r="O606" s="99" t="e">
        <f t="shared" ref="O606" si="627">O604+O605</f>
        <v>#DIV/0!</v>
      </c>
      <c r="Q606" s="99" t="e">
        <f t="shared" si="623"/>
        <v>#DIV/0!</v>
      </c>
      <c r="R606" s="99" t="e">
        <f t="shared" si="623"/>
        <v>#DIV/0!</v>
      </c>
      <c r="S606" s="45" t="e">
        <f t="shared" si="623"/>
        <v>#DIV/0!</v>
      </c>
      <c r="T606" s="99" t="e">
        <f t="shared" si="623"/>
        <v>#DIV/0!</v>
      </c>
      <c r="U606" s="99" t="e">
        <f t="shared" si="623"/>
        <v>#REF!</v>
      </c>
      <c r="V606" s="99" t="e">
        <f t="shared" si="623"/>
        <v>#REF!</v>
      </c>
      <c r="W606" s="99" t="e">
        <f t="shared" si="623"/>
        <v>#REF!</v>
      </c>
      <c r="X606" s="99" t="e">
        <f t="shared" si="623"/>
        <v>#REF!</v>
      </c>
      <c r="Y606" s="99" t="e">
        <f t="shared" si="623"/>
        <v>#REF!</v>
      </c>
      <c r="Z606" s="99" t="e">
        <f t="shared" si="623"/>
        <v>#REF!</v>
      </c>
      <c r="AA606" s="99" t="e">
        <f t="shared" si="623"/>
        <v>#REF!</v>
      </c>
      <c r="AB606" s="99" t="e">
        <f t="shared" si="623"/>
        <v>#REF!</v>
      </c>
      <c r="AC606" s="99" t="e">
        <f t="shared" si="623"/>
        <v>#REF!</v>
      </c>
      <c r="AD606" s="99" t="e">
        <f t="shared" si="623"/>
        <v>#REF!</v>
      </c>
      <c r="AE606" s="99" t="e">
        <f t="shared" si="623"/>
        <v>#REF!</v>
      </c>
      <c r="AF606" s="99" t="e">
        <f t="shared" si="623"/>
        <v>#REF!</v>
      </c>
      <c r="AG606" s="99" t="e">
        <f t="shared" si="623"/>
        <v>#REF!</v>
      </c>
    </row>
    <row r="608" spans="1:38" x14ac:dyDescent="0.2">
      <c r="A608" s="13" t="s">
        <v>669</v>
      </c>
    </row>
    <row r="609" spans="1:33" x14ac:dyDescent="0.2">
      <c r="A609" s="14" t="s">
        <v>670</v>
      </c>
      <c r="F609" s="74">
        <f t="shared" ref="F609:T609" si="628">F553</f>
        <v>36.355949108437869</v>
      </c>
      <c r="G609" s="74">
        <f t="shared" ref="G609:I609" si="629">G553</f>
        <v>35.565537154610787</v>
      </c>
      <c r="H609" s="74">
        <f t="shared" si="629"/>
        <v>39.796227031856255</v>
      </c>
      <c r="I609" s="74">
        <f t="shared" si="629"/>
        <v>36.584704015409763</v>
      </c>
      <c r="J609" s="74">
        <f t="shared" ref="J609:K609" si="630">J553</f>
        <v>40.676980283622932</v>
      </c>
      <c r="L609" s="74">
        <f t="shared" ref="L609:M609" si="631">L553</f>
        <v>42.46288041299173</v>
      </c>
      <c r="M609" s="74">
        <f t="shared" si="631"/>
        <v>41.263388864924217</v>
      </c>
      <c r="N609" s="74"/>
      <c r="O609" s="74" t="e">
        <f t="shared" ref="O609" si="632">O553</f>
        <v>#DIV/0!</v>
      </c>
      <c r="Q609" s="74" t="e">
        <f t="shared" si="628"/>
        <v>#DIV/0!</v>
      </c>
      <c r="R609" s="74" t="e">
        <f t="shared" si="628"/>
        <v>#DIV/0!</v>
      </c>
      <c r="S609" s="74" t="e">
        <f t="shared" si="628"/>
        <v>#DIV/0!</v>
      </c>
      <c r="T609" s="74" t="e">
        <f t="shared" si="628"/>
        <v>#DIV/0!</v>
      </c>
      <c r="U609" s="74" t="e">
        <f>#REF!</f>
        <v>#REF!</v>
      </c>
      <c r="V609" s="74" t="e">
        <f>#REF!</f>
        <v>#REF!</v>
      </c>
      <c r="W609" s="74" t="e">
        <f>#REF!</f>
        <v>#REF!</v>
      </c>
      <c r="X609" s="74" t="e">
        <f>#REF!</f>
        <v>#REF!</v>
      </c>
      <c r="Y609" s="74" t="e">
        <f>#REF!</f>
        <v>#REF!</v>
      </c>
      <c r="Z609" s="74" t="e">
        <f>#REF!</f>
        <v>#REF!</v>
      </c>
      <c r="AA609" s="74" t="e">
        <f>#REF!</f>
        <v>#REF!</v>
      </c>
      <c r="AB609" s="74" t="e">
        <f>#REF!</f>
        <v>#REF!</v>
      </c>
      <c r="AC609" s="74" t="e">
        <f>#REF!</f>
        <v>#REF!</v>
      </c>
      <c r="AD609" s="74" t="e">
        <f>#REF!</f>
        <v>#REF!</v>
      </c>
      <c r="AE609" s="74" t="e">
        <f>#REF!</f>
        <v>#REF!</v>
      </c>
      <c r="AF609" s="74" t="e">
        <f>#REF!</f>
        <v>#REF!</v>
      </c>
      <c r="AG609" s="74" t="e">
        <f>#REF!</f>
        <v>#REF!</v>
      </c>
    </row>
    <row r="610" spans="1:33" ht="15" x14ac:dyDescent="0.35">
      <c r="A610" s="14" t="s">
        <v>671</v>
      </c>
      <c r="D610" s="74"/>
      <c r="F610" s="105">
        <f t="shared" ref="F610:AG610" si="633">(F533*$E$402)/F432</f>
        <v>2.9964088615399547</v>
      </c>
      <c r="G610" s="105">
        <f t="shared" ref="G610:I610" si="634">(G533*$E$402)/G432</f>
        <v>2.9964088615399551</v>
      </c>
      <c r="H610" s="105">
        <f t="shared" si="634"/>
        <v>3.4230435023965269</v>
      </c>
      <c r="I610" s="105">
        <f t="shared" si="634"/>
        <v>3.0956187310910313</v>
      </c>
      <c r="J610" s="105">
        <f t="shared" ref="J610:K610" si="635">(J533*$E$402)/J432</f>
        <v>4.07206337321501</v>
      </c>
      <c r="L610" s="105">
        <f t="shared" si="633"/>
        <v>3.9065774667280238</v>
      </c>
      <c r="M610" s="105">
        <f t="shared" ref="M610" si="636">(M533*$E$402)/M432</f>
        <v>4.1814908195316152</v>
      </c>
      <c r="N610" s="105"/>
      <c r="O610" s="105" t="e">
        <f t="shared" si="633"/>
        <v>#DIV/0!</v>
      </c>
      <c r="Q610" s="105" t="e">
        <f t="shared" si="633"/>
        <v>#DIV/0!</v>
      </c>
      <c r="R610" s="105" t="e">
        <f t="shared" si="633"/>
        <v>#DIV/0!</v>
      </c>
      <c r="S610" s="105" t="e">
        <f t="shared" si="633"/>
        <v>#DIV/0!</v>
      </c>
      <c r="T610" s="105" t="e">
        <f t="shared" si="633"/>
        <v>#DIV/0!</v>
      </c>
      <c r="U610" s="105" t="e">
        <f t="shared" si="633"/>
        <v>#DIV/0!</v>
      </c>
      <c r="V610" s="105" t="e">
        <f t="shared" si="633"/>
        <v>#DIV/0!</v>
      </c>
      <c r="W610" s="105" t="e">
        <f t="shared" si="633"/>
        <v>#DIV/0!</v>
      </c>
      <c r="X610" s="105" t="e">
        <f t="shared" si="633"/>
        <v>#DIV/0!</v>
      </c>
      <c r="Y610" s="105" t="e">
        <f t="shared" si="633"/>
        <v>#DIV/0!</v>
      </c>
      <c r="Z610" s="105" t="e">
        <f t="shared" si="633"/>
        <v>#DIV/0!</v>
      </c>
      <c r="AA610" s="105" t="e">
        <f t="shared" si="633"/>
        <v>#DIV/0!</v>
      </c>
      <c r="AB610" s="105" t="e">
        <f t="shared" si="633"/>
        <v>#DIV/0!</v>
      </c>
      <c r="AC610" s="105" t="e">
        <f t="shared" si="633"/>
        <v>#DIV/0!</v>
      </c>
      <c r="AD610" s="105" t="e">
        <f t="shared" si="633"/>
        <v>#DIV/0!</v>
      </c>
      <c r="AE610" s="105" t="e">
        <f t="shared" si="633"/>
        <v>#DIV/0!</v>
      </c>
      <c r="AF610" s="105" t="e">
        <f t="shared" si="633"/>
        <v>#DIV/0!</v>
      </c>
      <c r="AG610" s="105" t="e">
        <f t="shared" si="633"/>
        <v>#DIV/0!</v>
      </c>
    </row>
    <row r="611" spans="1:33" x14ac:dyDescent="0.2">
      <c r="B611" s="14" t="s">
        <v>672</v>
      </c>
      <c r="F611" s="74">
        <f t="shared" ref="F611:AG611" si="637">F609+F610</f>
        <v>39.352357969977824</v>
      </c>
      <c r="G611" s="74">
        <f t="shared" ref="G611:I611" si="638">G609+G610</f>
        <v>38.561946016150742</v>
      </c>
      <c r="H611" s="74">
        <f t="shared" si="638"/>
        <v>43.219270534252779</v>
      </c>
      <c r="I611" s="74">
        <f t="shared" si="638"/>
        <v>39.680322746500792</v>
      </c>
      <c r="J611" s="74">
        <f t="shared" ref="J611:K611" si="639">J609+J610</f>
        <v>44.749043656837941</v>
      </c>
      <c r="L611" s="74">
        <f t="shared" ref="L611:M611" si="640">L609+L610</f>
        <v>46.369457879719754</v>
      </c>
      <c r="M611" s="74">
        <f t="shared" si="640"/>
        <v>45.444879684455834</v>
      </c>
      <c r="N611" s="74"/>
      <c r="O611" s="74" t="e">
        <f t="shared" ref="O611" si="641">O609+O610</f>
        <v>#DIV/0!</v>
      </c>
      <c r="Q611" s="74" t="e">
        <f t="shared" si="637"/>
        <v>#DIV/0!</v>
      </c>
      <c r="R611" s="74" t="e">
        <f t="shared" si="637"/>
        <v>#DIV/0!</v>
      </c>
      <c r="S611" s="74" t="e">
        <f t="shared" si="637"/>
        <v>#DIV/0!</v>
      </c>
      <c r="T611" s="74" t="e">
        <f t="shared" si="637"/>
        <v>#DIV/0!</v>
      </c>
      <c r="U611" s="74" t="e">
        <f t="shared" si="637"/>
        <v>#REF!</v>
      </c>
      <c r="V611" s="74" t="e">
        <f t="shared" si="637"/>
        <v>#REF!</v>
      </c>
      <c r="W611" s="74" t="e">
        <f t="shared" si="637"/>
        <v>#REF!</v>
      </c>
      <c r="X611" s="74" t="e">
        <f t="shared" si="637"/>
        <v>#REF!</v>
      </c>
      <c r="Y611" s="74" t="e">
        <f t="shared" si="637"/>
        <v>#REF!</v>
      </c>
      <c r="Z611" s="74" t="e">
        <f t="shared" si="637"/>
        <v>#REF!</v>
      </c>
      <c r="AA611" s="74" t="e">
        <f t="shared" si="637"/>
        <v>#REF!</v>
      </c>
      <c r="AB611" s="74" t="e">
        <f t="shared" si="637"/>
        <v>#REF!</v>
      </c>
      <c r="AC611" s="74" t="e">
        <f t="shared" si="637"/>
        <v>#REF!</v>
      </c>
      <c r="AD611" s="74" t="e">
        <f t="shared" si="637"/>
        <v>#REF!</v>
      </c>
      <c r="AE611" s="74" t="e">
        <f t="shared" si="637"/>
        <v>#REF!</v>
      </c>
      <c r="AF611" s="74" t="e">
        <f t="shared" si="637"/>
        <v>#REF!</v>
      </c>
      <c r="AG611" s="74" t="e">
        <f t="shared" si="637"/>
        <v>#REF!</v>
      </c>
    </row>
    <row r="616" spans="1:33" x14ac:dyDescent="0.2">
      <c r="A616" s="25" t="s">
        <v>698</v>
      </c>
      <c r="C616" s="182">
        <f>C537</f>
        <v>3.6464943176248966E-2</v>
      </c>
      <c r="F616" s="63">
        <f>$C$537</f>
        <v>3.6464943176248966E-2</v>
      </c>
      <c r="G616" s="63">
        <f t="shared" ref="G616:T616" si="642">$C$537</f>
        <v>3.6464943176248966E-2</v>
      </c>
      <c r="H616" s="63">
        <f t="shared" si="642"/>
        <v>3.6464943176248966E-2</v>
      </c>
      <c r="I616" s="63">
        <f t="shared" si="642"/>
        <v>3.6464943176248966E-2</v>
      </c>
      <c r="J616" s="63">
        <f t="shared" si="642"/>
        <v>3.6464943176248966E-2</v>
      </c>
      <c r="L616" s="63">
        <f t="shared" si="642"/>
        <v>3.6464943176248966E-2</v>
      </c>
      <c r="M616" s="63">
        <f t="shared" si="642"/>
        <v>3.6464943176248966E-2</v>
      </c>
      <c r="N616" s="63"/>
      <c r="O616" s="63">
        <f t="shared" si="642"/>
        <v>3.6464943176248966E-2</v>
      </c>
      <c r="P616" s="63">
        <f t="shared" si="642"/>
        <v>3.6464943176248966E-2</v>
      </c>
      <c r="Q616" s="63">
        <f t="shared" si="642"/>
        <v>3.6464943176248966E-2</v>
      </c>
      <c r="R616" s="63">
        <f t="shared" si="642"/>
        <v>3.6464943176248966E-2</v>
      </c>
      <c r="S616" s="63">
        <f t="shared" si="642"/>
        <v>3.6464943176248966E-2</v>
      </c>
      <c r="T616" s="63">
        <f t="shared" si="642"/>
        <v>3.6464943176248966E-2</v>
      </c>
      <c r="U616" s="63">
        <v>0.2</v>
      </c>
      <c r="V616" s="63">
        <v>0.2</v>
      </c>
      <c r="W616" s="63">
        <v>0.08</v>
      </c>
      <c r="X616" s="63">
        <v>0.08</v>
      </c>
      <c r="Y616" s="63">
        <v>0.2</v>
      </c>
      <c r="Z616" s="63">
        <v>0.08</v>
      </c>
      <c r="AA616" s="63">
        <v>0.08</v>
      </c>
      <c r="AB616" s="63">
        <v>0.08</v>
      </c>
      <c r="AC616" s="63">
        <v>0.08</v>
      </c>
      <c r="AD616" s="63">
        <v>0.08</v>
      </c>
      <c r="AE616" s="63">
        <v>0.08</v>
      </c>
      <c r="AF616" s="63">
        <v>0.08</v>
      </c>
      <c r="AG616" s="63">
        <v>0.08</v>
      </c>
    </row>
    <row r="617" spans="1:33" x14ac:dyDescent="0.2">
      <c r="A617" s="13"/>
    </row>
    <row r="618" spans="1:33" x14ac:dyDescent="0.2">
      <c r="A618" s="13" t="s">
        <v>763</v>
      </c>
    </row>
    <row r="619" spans="1:33" x14ac:dyDescent="0.2">
      <c r="A619" s="14" t="s">
        <v>1012</v>
      </c>
      <c r="F619" s="99">
        <f t="shared" ref="F619:O619" si="643">F568</f>
        <v>1.374138416069038E-2</v>
      </c>
      <c r="G619" s="99">
        <f t="shared" ref="G619:I619" si="644">G568</f>
        <v>1.0184344404776367E-2</v>
      </c>
      <c r="H619" s="99">
        <f t="shared" si="644"/>
        <v>1.444879369325951E-2</v>
      </c>
      <c r="I619" s="45">
        <f t="shared" si="644"/>
        <v>2.2706500244529098</v>
      </c>
      <c r="J619" s="45">
        <f t="shared" ref="J619:L619" si="645">J568</f>
        <v>2.9908833166353701</v>
      </c>
      <c r="L619" s="45">
        <f t="shared" si="645"/>
        <v>4.2122203352169922</v>
      </c>
      <c r="M619" s="45">
        <f t="shared" ref="M619" si="646">M568</f>
        <v>5.3545430325849575</v>
      </c>
      <c r="N619" s="99"/>
      <c r="O619" s="99" t="e">
        <f t="shared" si="643"/>
        <v>#DIV/0!</v>
      </c>
      <c r="Q619" s="99" t="e">
        <f t="shared" ref="Q619:R619" si="647">Q568</f>
        <v>#DIV/0!</v>
      </c>
      <c r="R619" s="99" t="e">
        <f t="shared" si="647"/>
        <v>#DIV/0!</v>
      </c>
      <c r="S619" s="45" t="e">
        <f>S568</f>
        <v>#DIV/0!</v>
      </c>
      <c r="T619" s="99" t="e">
        <f t="shared" ref="T619:AG619" si="648">T593</f>
        <v>#DIV/0!</v>
      </c>
      <c r="U619" s="99">
        <f t="shared" si="648"/>
        <v>0</v>
      </c>
      <c r="V619" s="99" t="e">
        <f t="shared" si="648"/>
        <v>#DIV/0!</v>
      </c>
      <c r="W619" s="99" t="e">
        <f t="shared" si="648"/>
        <v>#DIV/0!</v>
      </c>
      <c r="X619" s="99" t="e">
        <f t="shared" si="648"/>
        <v>#DIV/0!</v>
      </c>
      <c r="Y619" s="99" t="e">
        <f t="shared" si="648"/>
        <v>#DIV/0!</v>
      </c>
      <c r="Z619" s="99" t="e">
        <f t="shared" si="648"/>
        <v>#DIV/0!</v>
      </c>
      <c r="AA619" s="99">
        <f t="shared" si="648"/>
        <v>0</v>
      </c>
      <c r="AB619" s="99">
        <f t="shared" si="648"/>
        <v>0</v>
      </c>
      <c r="AC619" s="99">
        <f t="shared" si="648"/>
        <v>0</v>
      </c>
      <c r="AD619" s="99">
        <f t="shared" si="648"/>
        <v>0</v>
      </c>
      <c r="AE619" s="99">
        <f t="shared" si="648"/>
        <v>0</v>
      </c>
      <c r="AF619" s="99">
        <f t="shared" si="648"/>
        <v>0</v>
      </c>
      <c r="AG619" s="99" t="e">
        <f t="shared" si="648"/>
        <v>#REF!</v>
      </c>
    </row>
    <row r="620" spans="1:33" x14ac:dyDescent="0.2">
      <c r="A620" s="14" t="s">
        <v>1013</v>
      </c>
      <c r="D620" s="99"/>
      <c r="F620" s="99">
        <f>(F529*$C$537)/F$429</f>
        <v>0</v>
      </c>
      <c r="G620" s="99">
        <f>(G529*$C$537)/G$429</f>
        <v>0</v>
      </c>
      <c r="H620" s="99">
        <f>(H529*$C$537)/H$429</f>
        <v>0</v>
      </c>
      <c r="I620" s="45">
        <f>(I529*$C$537)/I$444</f>
        <v>0</v>
      </c>
      <c r="J620" s="45">
        <f t="shared" ref="J620:L620" si="649">(J529*$C$537)/J$444</f>
        <v>0</v>
      </c>
      <c r="L620" s="45">
        <f t="shared" si="649"/>
        <v>0</v>
      </c>
      <c r="M620" s="45">
        <f t="shared" ref="M620" si="650">(M529*$C$537)/M$444</f>
        <v>0</v>
      </c>
      <c r="N620" s="99"/>
      <c r="O620" s="99" t="e">
        <f>(O529*$C$537)/O$429</f>
        <v>#DIV/0!</v>
      </c>
      <c r="Q620" s="99" t="e">
        <f>(Q529*$C$537)/Q$429</f>
        <v>#DIV/0!</v>
      </c>
      <c r="R620" s="99" t="e">
        <f>(R529*$C$537)/R$429</f>
        <v>#DIV/0!</v>
      </c>
      <c r="S620" s="45" t="e">
        <f>(S529*$C$537)/S$444</f>
        <v>#DIV/0!</v>
      </c>
      <c r="T620" s="99" t="e">
        <f t="shared" ref="T620:AG620" si="651">T594</f>
        <v>#DIV/0!</v>
      </c>
      <c r="U620" s="99" t="e">
        <f t="shared" si="651"/>
        <v>#DIV/0!</v>
      </c>
      <c r="V620" s="99" t="e">
        <f t="shared" si="651"/>
        <v>#DIV/0!</v>
      </c>
      <c r="W620" s="99" t="e">
        <f t="shared" si="651"/>
        <v>#DIV/0!</v>
      </c>
      <c r="X620" s="99" t="e">
        <f t="shared" si="651"/>
        <v>#DIV/0!</v>
      </c>
      <c r="Y620" s="99" t="e">
        <f t="shared" si="651"/>
        <v>#DIV/0!</v>
      </c>
      <c r="Z620" s="99" t="e">
        <f t="shared" si="651"/>
        <v>#DIV/0!</v>
      </c>
      <c r="AA620" s="99" t="e">
        <f t="shared" si="651"/>
        <v>#DIV/0!</v>
      </c>
      <c r="AB620" s="99" t="e">
        <f t="shared" si="651"/>
        <v>#DIV/0!</v>
      </c>
      <c r="AC620" s="99" t="e">
        <f t="shared" si="651"/>
        <v>#DIV/0!</v>
      </c>
      <c r="AD620" s="99" t="e">
        <f t="shared" si="651"/>
        <v>#DIV/0!</v>
      </c>
      <c r="AE620" s="99" t="e">
        <f t="shared" si="651"/>
        <v>#DIV/0!</v>
      </c>
      <c r="AF620" s="99">
        <f t="shared" si="651"/>
        <v>0</v>
      </c>
      <c r="AG620" s="99" t="e">
        <f t="shared" si="651"/>
        <v>#REF!</v>
      </c>
    </row>
    <row r="621" spans="1:33" x14ac:dyDescent="0.2">
      <c r="A621" s="14" t="s">
        <v>901</v>
      </c>
      <c r="F621" s="99">
        <f t="shared" ref="F621:O621" si="652">F570</f>
        <v>5.7165687877873725E-2</v>
      </c>
      <c r="G621" s="99">
        <f t="shared" ref="G621:I621" si="653">G570</f>
        <v>5.7165687877873732E-2</v>
      </c>
      <c r="H621" s="99">
        <f t="shared" si="653"/>
        <v>5.7332578259428842E-2</v>
      </c>
      <c r="I621" s="99">
        <f t="shared" si="653"/>
        <v>5.7332578259428842E-2</v>
      </c>
      <c r="J621" s="99">
        <f t="shared" ref="J621:L621" si="654">J570</f>
        <v>5.7332578259428842E-2</v>
      </c>
      <c r="L621" s="99">
        <f t="shared" si="654"/>
        <v>5.7332578259428835E-2</v>
      </c>
      <c r="M621" s="99">
        <f t="shared" ref="M621" si="655">M570</f>
        <v>4.6627557614202772E-2</v>
      </c>
      <c r="N621" s="99"/>
      <c r="O621" s="99" t="e">
        <f t="shared" si="652"/>
        <v>#DIV/0!</v>
      </c>
      <c r="Q621" s="99" t="e">
        <f t="shared" ref="Q621:R621" si="656">Q570</f>
        <v>#DIV/0!</v>
      </c>
      <c r="R621" s="99" t="e">
        <f t="shared" si="656"/>
        <v>#DIV/0!</v>
      </c>
      <c r="S621" s="99" t="e">
        <f>S570</f>
        <v>#DIV/0!</v>
      </c>
      <c r="T621" s="99">
        <f>T601</f>
        <v>0</v>
      </c>
      <c r="U621" s="99" t="e">
        <f>#REF!</f>
        <v>#REF!</v>
      </c>
      <c r="V621" s="99" t="e">
        <f>#REF!</f>
        <v>#REF!</v>
      </c>
      <c r="W621" s="99" t="e">
        <f>#REF!</f>
        <v>#REF!</v>
      </c>
      <c r="X621" s="99" t="e">
        <f>#REF!</f>
        <v>#REF!</v>
      </c>
      <c r="Y621" s="99" t="e">
        <f>#REF!</f>
        <v>#REF!</v>
      </c>
      <c r="Z621" s="99" t="e">
        <f>#REF!</f>
        <v>#REF!</v>
      </c>
      <c r="AA621" s="99" t="e">
        <f>#REF!</f>
        <v>#REF!</v>
      </c>
      <c r="AB621" s="99" t="e">
        <f>#REF!</f>
        <v>#REF!</v>
      </c>
      <c r="AC621" s="99" t="e">
        <f>#REF!</f>
        <v>#REF!</v>
      </c>
      <c r="AD621" s="99" t="e">
        <f>#REF!</f>
        <v>#REF!</v>
      </c>
      <c r="AE621" s="99" t="e">
        <f>#REF!</f>
        <v>#REF!</v>
      </c>
      <c r="AF621" s="99" t="e">
        <f>#REF!</f>
        <v>#REF!</v>
      </c>
      <c r="AG621" s="99" t="e">
        <f>#REF!</f>
        <v>#REF!</v>
      </c>
    </row>
    <row r="622" spans="1:33" x14ac:dyDescent="0.2">
      <c r="A622" s="14" t="s">
        <v>902</v>
      </c>
      <c r="D622" s="99"/>
      <c r="F622" s="99">
        <f t="shared" ref="F622:S622" si="657">(F530*$C$537)/F$429</f>
        <v>0</v>
      </c>
      <c r="G622" s="99">
        <f t="shared" ref="G622:I622" si="658">(G530*$C$537)/G$429</f>
        <v>0</v>
      </c>
      <c r="H622" s="99">
        <f t="shared" si="658"/>
        <v>0</v>
      </c>
      <c r="I622" s="99">
        <f t="shared" si="658"/>
        <v>0</v>
      </c>
      <c r="J622" s="99">
        <f t="shared" ref="J622:L622" si="659">(J530*$C$537)/J$429</f>
        <v>0</v>
      </c>
      <c r="L622" s="99">
        <f t="shared" si="659"/>
        <v>0</v>
      </c>
      <c r="M622" s="99">
        <f t="shared" ref="M622" si="660">(M530*$C$537)/M$429</f>
        <v>0</v>
      </c>
      <c r="N622" s="99"/>
      <c r="O622" s="99" t="e">
        <f t="shared" si="657"/>
        <v>#DIV/0!</v>
      </c>
      <c r="Q622" s="99" t="e">
        <f t="shared" si="657"/>
        <v>#DIV/0!</v>
      </c>
      <c r="R622" s="99" t="e">
        <f t="shared" si="657"/>
        <v>#DIV/0!</v>
      </c>
      <c r="S622" s="99" t="e">
        <f t="shared" si="657"/>
        <v>#DIV/0!</v>
      </c>
      <c r="T622" s="99"/>
      <c r="U622" s="99"/>
      <c r="V622" s="99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</row>
    <row r="623" spans="1:33" x14ac:dyDescent="0.2">
      <c r="E623" s="99"/>
      <c r="F623" s="99"/>
      <c r="G623" s="99"/>
      <c r="H623" s="99"/>
      <c r="I623" s="99"/>
      <c r="J623" s="99"/>
      <c r="L623" s="99"/>
      <c r="M623" s="99"/>
      <c r="N623" s="99"/>
      <c r="O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</row>
    <row r="624" spans="1:33" x14ac:dyDescent="0.2">
      <c r="A624" s="13" t="s">
        <v>895</v>
      </c>
      <c r="F624" s="99"/>
      <c r="G624" s="99"/>
      <c r="H624" s="99"/>
      <c r="I624" s="99"/>
      <c r="J624" s="99"/>
      <c r="L624" s="99"/>
      <c r="M624" s="99"/>
      <c r="N624" s="99"/>
      <c r="O624" s="99"/>
      <c r="Q624" s="99"/>
      <c r="R624" s="99"/>
      <c r="S624" s="99"/>
      <c r="T624" s="99"/>
      <c r="U624" s="99"/>
      <c r="V624" s="99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</row>
    <row r="625" spans="1:38" x14ac:dyDescent="0.2">
      <c r="A625" s="14" t="s">
        <v>1014</v>
      </c>
      <c r="F625" s="99">
        <f t="shared" ref="F625:O625" si="661">F574</f>
        <v>0</v>
      </c>
      <c r="G625" s="99">
        <f t="shared" ref="G625:I625" si="662">G574</f>
        <v>0</v>
      </c>
      <c r="H625" s="99">
        <f t="shared" si="662"/>
        <v>0</v>
      </c>
      <c r="I625" s="45">
        <f t="shared" si="662"/>
        <v>0</v>
      </c>
      <c r="J625" s="99">
        <f t="shared" ref="J625:K625" si="663">J574</f>
        <v>0</v>
      </c>
      <c r="L625" s="45">
        <f t="shared" si="661"/>
        <v>0</v>
      </c>
      <c r="M625" s="45">
        <f t="shared" ref="M625" si="664">M574</f>
        <v>0</v>
      </c>
      <c r="N625" s="99"/>
      <c r="O625" s="99" t="e">
        <f t="shared" si="661"/>
        <v>#DIV/0!</v>
      </c>
      <c r="Q625" s="99" t="e">
        <f t="shared" ref="Q625:R625" si="665">Q574</f>
        <v>#DIV/0!</v>
      </c>
      <c r="R625" s="99" t="e">
        <f t="shared" si="665"/>
        <v>#DIV/0!</v>
      </c>
      <c r="S625" s="45" t="e">
        <f>S574</f>
        <v>#DIV/0!</v>
      </c>
      <c r="T625" s="99"/>
      <c r="U625" s="99"/>
      <c r="V625" s="99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</row>
    <row r="626" spans="1:38" s="71" customFormat="1" ht="15" x14ac:dyDescent="0.35">
      <c r="A626" s="71" t="s">
        <v>1015</v>
      </c>
      <c r="D626" s="99"/>
      <c r="F626" s="104">
        <f>(F531*$C$537)/F$429</f>
        <v>0</v>
      </c>
      <c r="G626" s="104">
        <f>(G531*$C$537)/G$429</f>
        <v>0</v>
      </c>
      <c r="H626" s="104">
        <f>(H531*$C$537)/H$429</f>
        <v>0</v>
      </c>
      <c r="I626" s="105">
        <f>(I531*$C$537)/I$444</f>
        <v>0</v>
      </c>
      <c r="J626" s="104">
        <f>(J531*$C$537)/J$429</f>
        <v>0</v>
      </c>
      <c r="K626" s="14"/>
      <c r="L626" s="105">
        <f>(L531*$C$537)/L$444</f>
        <v>0</v>
      </c>
      <c r="M626" s="105">
        <f>(M531*$C$537)/M$444</f>
        <v>0</v>
      </c>
      <c r="N626" s="104"/>
      <c r="O626" s="104" t="e">
        <f>(O531*$C$537)/O$429</f>
        <v>#DIV/0!</v>
      </c>
      <c r="P626" s="14"/>
      <c r="Q626" s="104" t="e">
        <f>(Q531*$C$537)/Q$429</f>
        <v>#DIV/0!</v>
      </c>
      <c r="R626" s="104" t="e">
        <f>(R531*$C$537)/R$429</f>
        <v>#DIV/0!</v>
      </c>
      <c r="S626" s="105" t="e">
        <f>(S531*$C$537)/S$444</f>
        <v>#DIV/0!</v>
      </c>
      <c r="AL626" s="75"/>
    </row>
    <row r="627" spans="1:38" x14ac:dyDescent="0.2">
      <c r="B627" s="14" t="s">
        <v>1016</v>
      </c>
      <c r="F627" s="99">
        <f>F625+F626</f>
        <v>0</v>
      </c>
      <c r="G627" s="99">
        <f>G625+G626</f>
        <v>0</v>
      </c>
      <c r="H627" s="99">
        <f>H625+H626</f>
        <v>0</v>
      </c>
      <c r="I627" s="45">
        <f t="shared" ref="I627" si="666">I625+I626</f>
        <v>0</v>
      </c>
      <c r="J627" s="99">
        <f>J625+J626</f>
        <v>0</v>
      </c>
      <c r="L627" s="45">
        <f t="shared" ref="L627:M627" si="667">L625+L626</f>
        <v>0</v>
      </c>
      <c r="M627" s="45">
        <f t="shared" si="667"/>
        <v>0</v>
      </c>
      <c r="N627" s="99"/>
      <c r="O627" s="99" t="e">
        <f>O625+O626</f>
        <v>#DIV/0!</v>
      </c>
      <c r="Q627" s="99" t="e">
        <f t="shared" ref="Q627:S627" si="668">Q625+Q626</f>
        <v>#DIV/0!</v>
      </c>
      <c r="R627" s="99" t="e">
        <f t="shared" si="668"/>
        <v>#DIV/0!</v>
      </c>
      <c r="S627" s="45" t="e">
        <f t="shared" si="668"/>
        <v>#DIV/0!</v>
      </c>
    </row>
    <row r="628" spans="1:38" x14ac:dyDescent="0.2">
      <c r="F628" s="99"/>
      <c r="G628" s="99"/>
      <c r="H628" s="99"/>
      <c r="I628" s="99"/>
      <c r="J628" s="99"/>
      <c r="L628" s="99"/>
      <c r="M628" s="99"/>
      <c r="N628" s="99"/>
      <c r="O628" s="99"/>
      <c r="Q628" s="99"/>
      <c r="R628" s="99"/>
      <c r="S628" s="99"/>
    </row>
    <row r="629" spans="1:38" x14ac:dyDescent="0.2">
      <c r="A629" s="13" t="s">
        <v>668</v>
      </c>
      <c r="Q629" s="45"/>
    </row>
    <row r="630" spans="1:38" x14ac:dyDescent="0.2">
      <c r="A630" s="14" t="s">
        <v>1017</v>
      </c>
      <c r="F630" s="99">
        <f>F579</f>
        <v>1.271214396650875E-2</v>
      </c>
      <c r="G630" s="99">
        <f>G579</f>
        <v>1.228513199018256E-2</v>
      </c>
      <c r="H630" s="99">
        <f>H579</f>
        <v>1.0129163051471947E-2</v>
      </c>
      <c r="I630" s="45">
        <f t="shared" ref="I630:L630" si="669">I604</f>
        <v>1.6636938084594213</v>
      </c>
      <c r="J630" s="45">
        <f t="shared" si="669"/>
        <v>1.6207501897136187</v>
      </c>
      <c r="L630" s="45">
        <f t="shared" si="669"/>
        <v>1.6405872986812842</v>
      </c>
      <c r="M630" s="45">
        <f t="shared" ref="M630" si="670">M604</f>
        <v>1.6403219203860007</v>
      </c>
      <c r="N630" s="99"/>
      <c r="O630" s="99" t="e">
        <f>O579</f>
        <v>#DIV/0!</v>
      </c>
      <c r="Q630" s="99" t="e">
        <f t="shared" ref="Q630:AF630" si="671">Q604</f>
        <v>#DIV/0!</v>
      </c>
      <c r="R630" s="99" t="e">
        <f t="shared" si="671"/>
        <v>#DIV/0!</v>
      </c>
      <c r="S630" s="45" t="e">
        <f t="shared" si="671"/>
        <v>#DIV/0!</v>
      </c>
      <c r="T630" s="99" t="e">
        <f t="shared" si="671"/>
        <v>#DIV/0!</v>
      </c>
      <c r="U630" s="99" t="e">
        <f t="shared" si="671"/>
        <v>#REF!</v>
      </c>
      <c r="V630" s="99" t="e">
        <f t="shared" si="671"/>
        <v>#REF!</v>
      </c>
      <c r="W630" s="99" t="e">
        <f t="shared" si="671"/>
        <v>#REF!</v>
      </c>
      <c r="X630" s="99" t="e">
        <f t="shared" si="671"/>
        <v>#REF!</v>
      </c>
      <c r="Y630" s="99" t="e">
        <f t="shared" si="671"/>
        <v>#REF!</v>
      </c>
      <c r="Z630" s="99" t="e">
        <f t="shared" si="671"/>
        <v>#REF!</v>
      </c>
      <c r="AA630" s="99" t="e">
        <f t="shared" si="671"/>
        <v>#REF!</v>
      </c>
      <c r="AB630" s="99" t="e">
        <f t="shared" si="671"/>
        <v>#REF!</v>
      </c>
      <c r="AC630" s="99" t="e">
        <f t="shared" si="671"/>
        <v>#REF!</v>
      </c>
      <c r="AD630" s="99" t="e">
        <f t="shared" si="671"/>
        <v>#REF!</v>
      </c>
      <c r="AE630" s="99" t="e">
        <f t="shared" si="671"/>
        <v>#REF!</v>
      </c>
      <c r="AF630" s="99" t="e">
        <f t="shared" si="671"/>
        <v>#REF!</v>
      </c>
      <c r="AG630" s="99">
        <f>AG552</f>
        <v>0</v>
      </c>
    </row>
    <row r="631" spans="1:38" ht="15" x14ac:dyDescent="0.35">
      <c r="A631" s="71" t="s">
        <v>1018</v>
      </c>
      <c r="D631" s="99"/>
      <c r="F631" s="104">
        <f>(F532*F616)/F429</f>
        <v>2.9818879749410436E-3</v>
      </c>
      <c r="G631" s="104">
        <f>(G532*G616)/G429</f>
        <v>2.9563876391448182E-3</v>
      </c>
      <c r="H631" s="104">
        <f>(H532*H616)/H429</f>
        <v>2.3437885173332265E-3</v>
      </c>
      <c r="I631" s="105">
        <f>(I532*I616)/I444</f>
        <v>0.39249612495309155</v>
      </c>
      <c r="J631" s="105">
        <f t="shared" ref="J631:L631" si="672">(J532*J616)/J444</f>
        <v>0.3943476796849032</v>
      </c>
      <c r="L631" s="105">
        <f t="shared" si="672"/>
        <v>0.3974874572548055</v>
      </c>
      <c r="M631" s="105">
        <f t="shared" ref="M631" si="673">(M532*M616)/M444</f>
        <v>0.3974874572548055</v>
      </c>
      <c r="N631" s="104"/>
      <c r="O631" s="104" t="e">
        <f>(O532*O616)/O429</f>
        <v>#DIV/0!</v>
      </c>
      <c r="Q631" s="104" t="e">
        <f>(Q532*Q616)/Q429</f>
        <v>#DIV/0!</v>
      </c>
      <c r="R631" s="104" t="e">
        <f>(R532*R616)/R429</f>
        <v>#DIV/0!</v>
      </c>
      <c r="S631" s="105" t="e">
        <f>(S532*S616)/S444</f>
        <v>#DIV/0!</v>
      </c>
      <c r="T631" s="104" t="e">
        <f t="shared" ref="T631:AG631" si="674">(T532*T616)/T429</f>
        <v>#DIV/0!</v>
      </c>
      <c r="U631" s="104" t="e">
        <f t="shared" si="674"/>
        <v>#DIV/0!</v>
      </c>
      <c r="V631" s="104" t="e">
        <f t="shared" si="674"/>
        <v>#DIV/0!</v>
      </c>
      <c r="W631" s="104" t="e">
        <f t="shared" si="674"/>
        <v>#DIV/0!</v>
      </c>
      <c r="X631" s="104" t="e">
        <f t="shared" si="674"/>
        <v>#DIV/0!</v>
      </c>
      <c r="Y631" s="104" t="e">
        <f t="shared" si="674"/>
        <v>#DIV/0!</v>
      </c>
      <c r="Z631" s="104" t="e">
        <f t="shared" si="674"/>
        <v>#DIV/0!</v>
      </c>
      <c r="AA631" s="104" t="e">
        <f t="shared" si="674"/>
        <v>#DIV/0!</v>
      </c>
      <c r="AB631" s="104" t="e">
        <f t="shared" si="674"/>
        <v>#DIV/0!</v>
      </c>
      <c r="AC631" s="104" t="e">
        <f t="shared" si="674"/>
        <v>#DIV/0!</v>
      </c>
      <c r="AD631" s="104" t="e">
        <f t="shared" si="674"/>
        <v>#DIV/0!</v>
      </c>
      <c r="AE631" s="104" t="e">
        <f t="shared" si="674"/>
        <v>#DIV/0!</v>
      </c>
      <c r="AF631" s="104" t="e">
        <f t="shared" si="674"/>
        <v>#DIV/0!</v>
      </c>
      <c r="AG631" s="104" t="e">
        <f t="shared" si="674"/>
        <v>#DIV/0!</v>
      </c>
    </row>
    <row r="632" spans="1:38" x14ac:dyDescent="0.2">
      <c r="B632" s="14" t="s">
        <v>1019</v>
      </c>
      <c r="F632" s="99">
        <f t="shared" ref="F632:AG632" si="675">F630+F631</f>
        <v>1.5694031941449794E-2</v>
      </c>
      <c r="G632" s="99">
        <f t="shared" ref="G632:H632" si="676">G630+G631</f>
        <v>1.5241519629327379E-2</v>
      </c>
      <c r="H632" s="99">
        <f t="shared" si="676"/>
        <v>1.2472951568805173E-2</v>
      </c>
      <c r="I632" s="45">
        <f>I630+I631</f>
        <v>2.0561899334125129</v>
      </c>
      <c r="J632" s="45">
        <f t="shared" ref="J632:L632" si="677">J630+J631</f>
        <v>2.015097869398522</v>
      </c>
      <c r="L632" s="45">
        <f t="shared" si="677"/>
        <v>2.0380747559360897</v>
      </c>
      <c r="M632" s="45">
        <f t="shared" ref="M632" si="678">M630+M631</f>
        <v>2.0378093776408059</v>
      </c>
      <c r="N632" s="99"/>
      <c r="O632" s="99" t="e">
        <f t="shared" ref="O632" si="679">O630+O631</f>
        <v>#DIV/0!</v>
      </c>
      <c r="Q632" s="45" t="e">
        <f t="shared" si="675"/>
        <v>#DIV/0!</v>
      </c>
      <c r="R632" s="99" t="e">
        <f t="shared" si="675"/>
        <v>#DIV/0!</v>
      </c>
      <c r="S632" s="45" t="e">
        <f>S630+S631</f>
        <v>#DIV/0!</v>
      </c>
      <c r="T632" s="99" t="e">
        <f t="shared" si="675"/>
        <v>#DIV/0!</v>
      </c>
      <c r="U632" s="99" t="e">
        <f t="shared" si="675"/>
        <v>#REF!</v>
      </c>
      <c r="V632" s="99" t="e">
        <f t="shared" si="675"/>
        <v>#REF!</v>
      </c>
      <c r="W632" s="99" t="e">
        <f t="shared" si="675"/>
        <v>#REF!</v>
      </c>
      <c r="X632" s="99" t="e">
        <f t="shared" si="675"/>
        <v>#REF!</v>
      </c>
      <c r="Y632" s="99" t="e">
        <f t="shared" si="675"/>
        <v>#REF!</v>
      </c>
      <c r="Z632" s="99" t="e">
        <f t="shared" si="675"/>
        <v>#REF!</v>
      </c>
      <c r="AA632" s="99" t="e">
        <f t="shared" si="675"/>
        <v>#REF!</v>
      </c>
      <c r="AB632" s="99" t="e">
        <f t="shared" si="675"/>
        <v>#REF!</v>
      </c>
      <c r="AC632" s="99" t="e">
        <f t="shared" si="675"/>
        <v>#REF!</v>
      </c>
      <c r="AD632" s="99" t="e">
        <f t="shared" si="675"/>
        <v>#REF!</v>
      </c>
      <c r="AE632" s="99" t="e">
        <f t="shared" si="675"/>
        <v>#REF!</v>
      </c>
      <c r="AF632" s="99" t="e">
        <f t="shared" si="675"/>
        <v>#REF!</v>
      </c>
      <c r="AG632" s="99" t="e">
        <f t="shared" si="675"/>
        <v>#DIV/0!</v>
      </c>
    </row>
    <row r="634" spans="1:38" x14ac:dyDescent="0.2">
      <c r="A634" s="13" t="s">
        <v>669</v>
      </c>
    </row>
    <row r="635" spans="1:38" x14ac:dyDescent="0.2">
      <c r="A635" s="14" t="s">
        <v>670</v>
      </c>
      <c r="F635" s="74">
        <f t="shared" ref="F635:AF635" si="680">F609</f>
        <v>36.355949108437869</v>
      </c>
      <c r="G635" s="74">
        <f t="shared" ref="G635:I635" si="681">G609</f>
        <v>35.565537154610787</v>
      </c>
      <c r="H635" s="74">
        <f t="shared" si="681"/>
        <v>39.796227031856255</v>
      </c>
      <c r="I635" s="74">
        <f t="shared" si="681"/>
        <v>36.584704015409763</v>
      </c>
      <c r="J635" s="74">
        <f t="shared" ref="J635:K635" si="682">J609</f>
        <v>40.676980283622932</v>
      </c>
      <c r="L635" s="74">
        <f t="shared" ref="L635:M635" si="683">L609</f>
        <v>42.46288041299173</v>
      </c>
      <c r="M635" s="74">
        <f t="shared" si="683"/>
        <v>41.263388864924217</v>
      </c>
      <c r="N635" s="74"/>
      <c r="O635" s="74" t="e">
        <f t="shared" ref="O635" si="684">O609</f>
        <v>#DIV/0!</v>
      </c>
      <c r="Q635" s="74" t="e">
        <f t="shared" si="680"/>
        <v>#DIV/0!</v>
      </c>
      <c r="R635" s="74" t="e">
        <f t="shared" si="680"/>
        <v>#DIV/0!</v>
      </c>
      <c r="S635" s="74" t="e">
        <f t="shared" si="680"/>
        <v>#DIV/0!</v>
      </c>
      <c r="T635" s="74" t="e">
        <f t="shared" si="680"/>
        <v>#DIV/0!</v>
      </c>
      <c r="U635" s="74" t="e">
        <f t="shared" si="680"/>
        <v>#REF!</v>
      </c>
      <c r="V635" s="74" t="e">
        <f t="shared" si="680"/>
        <v>#REF!</v>
      </c>
      <c r="W635" s="74" t="e">
        <f t="shared" si="680"/>
        <v>#REF!</v>
      </c>
      <c r="X635" s="74" t="e">
        <f t="shared" si="680"/>
        <v>#REF!</v>
      </c>
      <c r="Y635" s="74" t="e">
        <f t="shared" si="680"/>
        <v>#REF!</v>
      </c>
      <c r="Z635" s="74" t="e">
        <f t="shared" si="680"/>
        <v>#REF!</v>
      </c>
      <c r="AA635" s="74" t="e">
        <f t="shared" si="680"/>
        <v>#REF!</v>
      </c>
      <c r="AB635" s="74" t="e">
        <f t="shared" si="680"/>
        <v>#REF!</v>
      </c>
      <c r="AC635" s="74" t="e">
        <f t="shared" si="680"/>
        <v>#REF!</v>
      </c>
      <c r="AD635" s="74" t="e">
        <f t="shared" si="680"/>
        <v>#REF!</v>
      </c>
      <c r="AE635" s="74" t="e">
        <f t="shared" si="680"/>
        <v>#REF!</v>
      </c>
      <c r="AF635" s="74" t="e">
        <f t="shared" si="680"/>
        <v>#REF!</v>
      </c>
      <c r="AG635" s="74">
        <f>AG553</f>
        <v>0</v>
      </c>
    </row>
    <row r="636" spans="1:38" ht="15" x14ac:dyDescent="0.35">
      <c r="A636" s="14" t="s">
        <v>671</v>
      </c>
      <c r="D636" s="45"/>
      <c r="F636" s="105">
        <f t="shared" ref="F636:AG636" si="685">(F533*F$616)/F432</f>
        <v>8.0248208657498541</v>
      </c>
      <c r="G636" s="105">
        <f t="shared" ref="G636:I636" si="686">(G533*G$616)/G432</f>
        <v>8.0248208657498559</v>
      </c>
      <c r="H636" s="105">
        <f t="shared" si="686"/>
        <v>9.1674107879535889</v>
      </c>
      <c r="I636" s="105">
        <f t="shared" si="686"/>
        <v>8.2905193962409971</v>
      </c>
      <c r="J636" s="105">
        <f t="shared" ref="J636:K636" si="687">(J533*J$616)/J432</f>
        <v>10.905580858293632</v>
      </c>
      <c r="L636" s="105">
        <f t="shared" si="685"/>
        <v>10.46238541443762</v>
      </c>
      <c r="M636" s="105">
        <f t="shared" ref="M636" si="688">(M533*M$616)/M432</f>
        <v>11.19864355269373</v>
      </c>
      <c r="N636" s="105"/>
      <c r="O636" s="105" t="e">
        <f t="shared" si="685"/>
        <v>#DIV/0!</v>
      </c>
      <c r="Q636" s="105" t="e">
        <f t="shared" si="685"/>
        <v>#DIV/0!</v>
      </c>
      <c r="R636" s="105" t="e">
        <f t="shared" si="685"/>
        <v>#DIV/0!</v>
      </c>
      <c r="S636" s="105" t="e">
        <f t="shared" si="685"/>
        <v>#DIV/0!</v>
      </c>
      <c r="T636" s="105" t="e">
        <f t="shared" si="685"/>
        <v>#DIV/0!</v>
      </c>
      <c r="U636" s="105" t="e">
        <f t="shared" si="685"/>
        <v>#DIV/0!</v>
      </c>
      <c r="V636" s="105" t="e">
        <f t="shared" si="685"/>
        <v>#DIV/0!</v>
      </c>
      <c r="W636" s="105" t="e">
        <f t="shared" si="685"/>
        <v>#DIV/0!</v>
      </c>
      <c r="X636" s="105" t="e">
        <f t="shared" si="685"/>
        <v>#DIV/0!</v>
      </c>
      <c r="Y636" s="105" t="e">
        <f t="shared" si="685"/>
        <v>#DIV/0!</v>
      </c>
      <c r="Z636" s="105" t="e">
        <f t="shared" si="685"/>
        <v>#DIV/0!</v>
      </c>
      <c r="AA636" s="105" t="e">
        <f t="shared" si="685"/>
        <v>#DIV/0!</v>
      </c>
      <c r="AB636" s="105" t="e">
        <f t="shared" si="685"/>
        <v>#DIV/0!</v>
      </c>
      <c r="AC636" s="105" t="e">
        <f t="shared" si="685"/>
        <v>#DIV/0!</v>
      </c>
      <c r="AD636" s="105" t="e">
        <f t="shared" si="685"/>
        <v>#DIV/0!</v>
      </c>
      <c r="AE636" s="105" t="e">
        <f t="shared" si="685"/>
        <v>#DIV/0!</v>
      </c>
      <c r="AF636" s="105" t="e">
        <f t="shared" si="685"/>
        <v>#DIV/0!</v>
      </c>
      <c r="AG636" s="105" t="e">
        <f t="shared" si="685"/>
        <v>#DIV/0!</v>
      </c>
    </row>
    <row r="637" spans="1:38" x14ac:dyDescent="0.2">
      <c r="B637" s="14" t="s">
        <v>672</v>
      </c>
      <c r="F637" s="74">
        <f t="shared" ref="F637:AG637" si="689">F635+F636</f>
        <v>44.380769974187722</v>
      </c>
      <c r="G637" s="74">
        <f t="shared" ref="G637:I637" si="690">G635+G636</f>
        <v>43.59035802036064</v>
      </c>
      <c r="H637" s="74">
        <f t="shared" si="690"/>
        <v>48.963637819809847</v>
      </c>
      <c r="I637" s="74">
        <f t="shared" si="690"/>
        <v>44.875223411650758</v>
      </c>
      <c r="J637" s="74">
        <f t="shared" ref="J637:K637" si="691">J635+J636</f>
        <v>51.582561141916564</v>
      </c>
      <c r="L637" s="74">
        <f t="shared" ref="L637:M637" si="692">L635+L636</f>
        <v>52.925265827429349</v>
      </c>
      <c r="M637" s="74">
        <f t="shared" si="692"/>
        <v>52.462032417617948</v>
      </c>
      <c r="N637" s="74"/>
      <c r="O637" s="74" t="e">
        <f t="shared" ref="O637" si="693">O635+O636</f>
        <v>#DIV/0!</v>
      </c>
      <c r="Q637" s="74" t="e">
        <f t="shared" si="689"/>
        <v>#DIV/0!</v>
      </c>
      <c r="R637" s="74" t="e">
        <f t="shared" si="689"/>
        <v>#DIV/0!</v>
      </c>
      <c r="S637" s="74" t="e">
        <f t="shared" si="689"/>
        <v>#DIV/0!</v>
      </c>
      <c r="T637" s="74" t="e">
        <f t="shared" si="689"/>
        <v>#DIV/0!</v>
      </c>
      <c r="U637" s="74" t="e">
        <f t="shared" si="689"/>
        <v>#REF!</v>
      </c>
      <c r="V637" s="74" t="e">
        <f t="shared" si="689"/>
        <v>#REF!</v>
      </c>
      <c r="W637" s="74" t="e">
        <f t="shared" si="689"/>
        <v>#REF!</v>
      </c>
      <c r="X637" s="74" t="e">
        <f t="shared" si="689"/>
        <v>#REF!</v>
      </c>
      <c r="Y637" s="74" t="e">
        <f t="shared" si="689"/>
        <v>#REF!</v>
      </c>
      <c r="Z637" s="74" t="e">
        <f t="shared" si="689"/>
        <v>#REF!</v>
      </c>
      <c r="AA637" s="74" t="e">
        <f t="shared" si="689"/>
        <v>#REF!</v>
      </c>
      <c r="AB637" s="74" t="e">
        <f t="shared" si="689"/>
        <v>#REF!</v>
      </c>
      <c r="AC637" s="74" t="e">
        <f t="shared" si="689"/>
        <v>#REF!</v>
      </c>
      <c r="AD637" s="74" t="e">
        <f t="shared" si="689"/>
        <v>#REF!</v>
      </c>
      <c r="AE637" s="74" t="e">
        <f t="shared" si="689"/>
        <v>#REF!</v>
      </c>
      <c r="AF637" s="74" t="e">
        <f t="shared" si="689"/>
        <v>#REF!</v>
      </c>
      <c r="AG637" s="74" t="e">
        <f t="shared" si="689"/>
        <v>#DIV/0!</v>
      </c>
    </row>
    <row r="638" spans="1:38" x14ac:dyDescent="0.2">
      <c r="F638" s="74"/>
      <c r="G638" s="74"/>
      <c r="H638" s="74"/>
      <c r="I638" s="74"/>
      <c r="J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  <c r="AG638" s="74"/>
    </row>
    <row r="641" spans="1:20" x14ac:dyDescent="0.2">
      <c r="A641" s="25" t="s">
        <v>879</v>
      </c>
      <c r="F641" s="108"/>
      <c r="R641" s="74"/>
      <c r="S641" s="74"/>
      <c r="T641" s="87"/>
    </row>
    <row r="643" spans="1:20" x14ac:dyDescent="0.2">
      <c r="A643" s="13" t="s">
        <v>880</v>
      </c>
      <c r="E643" s="44">
        <f>E330</f>
        <v>1.4218902680583239E-2</v>
      </c>
      <c r="F643" s="44">
        <f t="shared" ref="F643:L643" si="694">F330</f>
        <v>-1.1529157179342478E-2</v>
      </c>
      <c r="G643" s="44">
        <f t="shared" ref="G643:I643" si="695">G330</f>
        <v>-0.267707916616654</v>
      </c>
      <c r="H643" s="44">
        <f t="shared" si="695"/>
        <v>7.5918782349475467E-2</v>
      </c>
      <c r="I643" s="44">
        <f t="shared" si="695"/>
        <v>3.3461318314980962E-2</v>
      </c>
      <c r="J643" s="44">
        <f t="shared" si="694"/>
        <v>0.58084470140889721</v>
      </c>
      <c r="L643" s="44">
        <f t="shared" si="694"/>
        <v>0.20506589235674463</v>
      </c>
      <c r="M643" s="44">
        <f t="shared" ref="M643" si="696">M330</f>
        <v>0.57760632742603013</v>
      </c>
      <c r="N643" s="44"/>
      <c r="O643" s="44" t="e">
        <f t="shared" ref="O643:P643" si="697">O330</f>
        <v>#DIV/0!</v>
      </c>
      <c r="P643" s="44" t="e">
        <f t="shared" si="697"/>
        <v>#DIV/0!</v>
      </c>
      <c r="Q643" s="109" t="e">
        <f>Q402</f>
        <v>#DIV/0!</v>
      </c>
      <c r="R643" s="109" t="e">
        <f>R402</f>
        <v>#DIV/0!</v>
      </c>
      <c r="S643" s="109" t="e">
        <f>S402</f>
        <v>#DIV/0!</v>
      </c>
      <c r="T643" s="109">
        <f>T315</f>
        <v>0</v>
      </c>
    </row>
    <row r="644" spans="1:20" x14ac:dyDescent="0.2">
      <c r="F644" s="109"/>
      <c r="G644" s="109"/>
      <c r="H644" s="109"/>
      <c r="I644" s="109"/>
      <c r="J644" s="109"/>
      <c r="L644" s="109"/>
      <c r="M644" s="109"/>
      <c r="N644" s="109"/>
      <c r="O644" s="109"/>
      <c r="P644" s="109"/>
      <c r="T644" s="72"/>
    </row>
    <row r="645" spans="1:20" x14ac:dyDescent="0.2">
      <c r="B645" s="14" t="s">
        <v>881</v>
      </c>
      <c r="F645" s="110">
        <f t="shared" ref="F645:S645" si="698">F586</f>
        <v>33.941909671029556</v>
      </c>
      <c r="G645" s="110">
        <f t="shared" ref="G645:H645" si="699">G586</f>
        <v>336.98830745296095</v>
      </c>
      <c r="H645" s="110">
        <f t="shared" si="699"/>
        <v>56.440717115257527</v>
      </c>
      <c r="I645" s="110">
        <f t="shared" ref="I645:J645" si="700">I586</f>
        <v>39.941336178426738</v>
      </c>
      <c r="J645" s="110">
        <f t="shared" si="700"/>
        <v>207.92250004579935</v>
      </c>
      <c r="L645" s="110">
        <f t="shared" ref="K645:L645" si="701">L586</f>
        <v>133.90009599139412</v>
      </c>
      <c r="M645" s="110">
        <f t="shared" ref="M645" si="702">M586</f>
        <v>236.06604721252404</v>
      </c>
      <c r="N645" s="110"/>
      <c r="O645" s="110" t="e">
        <f t="shared" ref="O645" si="703">O586</f>
        <v>#DIV/0!</v>
      </c>
      <c r="P645" s="110"/>
      <c r="Q645" s="110" t="e">
        <f t="shared" si="698"/>
        <v>#DIV/0!</v>
      </c>
      <c r="R645" s="110" t="e">
        <f t="shared" si="698"/>
        <v>#DIV/0!</v>
      </c>
      <c r="S645" s="110" t="e">
        <f t="shared" si="698"/>
        <v>#DIV/0!</v>
      </c>
      <c r="T645" s="110">
        <f>T587</f>
        <v>0</v>
      </c>
    </row>
    <row r="646" spans="1:20" x14ac:dyDescent="0.2">
      <c r="B646" s="14" t="s">
        <v>762</v>
      </c>
      <c r="F646" s="111">
        <f>F568+F569+F570+F571+F576+F581</f>
        <v>8.2722199699056087E-2</v>
      </c>
      <c r="G646" s="111">
        <f>G568+G569+G570+G571+G576+G581</f>
        <v>0.19068095173335586</v>
      </c>
      <c r="H646" s="111">
        <f>H568+H569+H570+H571+H576+H581</f>
        <v>8.6165952988222411E-2</v>
      </c>
      <c r="I646" s="111">
        <f>+I570+I571</f>
        <v>5.7332578259428842E-2</v>
      </c>
      <c r="J646" s="111">
        <f>+J570+J571</f>
        <v>5.7332578259428842E-2</v>
      </c>
      <c r="L646" s="111">
        <f>+L570+L571</f>
        <v>5.7332578259428835E-2</v>
      </c>
      <c r="M646" s="111">
        <f>+M570+M571</f>
        <v>4.6627557614202772E-2</v>
      </c>
      <c r="N646" s="111"/>
      <c r="O646" s="111" t="e">
        <f>O568+O569+O570+O571+O576+O581</f>
        <v>#DIV/0!</v>
      </c>
      <c r="P646" s="111"/>
      <c r="Q646" s="111" t="e">
        <f>Q568+Q569+Q570+Q571+Q576+Q581</f>
        <v>#DIV/0!</v>
      </c>
      <c r="R646" s="111" t="e">
        <f>R568+R569+R570+R571+R576+R581</f>
        <v>#DIV/0!</v>
      </c>
      <c r="S646" s="111" t="e">
        <f>S570+S571</f>
        <v>#DIV/0!</v>
      </c>
      <c r="T646" s="111" t="e">
        <f>T570+T575+T580+T581</f>
        <v>#DIV/0!</v>
      </c>
    </row>
    <row r="647" spans="1:20" x14ac:dyDescent="0.2">
      <c r="B647" s="14" t="s">
        <v>882</v>
      </c>
      <c r="F647" s="110">
        <v>0</v>
      </c>
      <c r="G647" s="110">
        <v>0</v>
      </c>
      <c r="H647" s="110">
        <v>0</v>
      </c>
      <c r="I647" s="110">
        <f>I568+I569+I576+I581</f>
        <v>3.9352930440281519</v>
      </c>
      <c r="J647" s="110">
        <f>J568+J569+J576+J581</f>
        <v>4.6336650395707544</v>
      </c>
      <c r="L647" s="110">
        <f>L568+L569+L576+L581</f>
        <v>5.8641727139309232</v>
      </c>
      <c r="M647" s="110">
        <f>M568+M569+M576+M581</f>
        <v>7.009226332491064</v>
      </c>
      <c r="N647" s="110"/>
      <c r="O647" s="110">
        <v>0</v>
      </c>
      <c r="P647" s="110"/>
      <c r="Q647" s="110">
        <v>0</v>
      </c>
      <c r="R647" s="110">
        <v>0</v>
      </c>
      <c r="S647" s="110" t="e">
        <f>S568+S569+S576+S581</f>
        <v>#DIV/0!</v>
      </c>
      <c r="T647" s="110">
        <v>0</v>
      </c>
    </row>
    <row r="648" spans="1:20" x14ac:dyDescent="0.2">
      <c r="F648" s="26"/>
      <c r="G648" s="26"/>
      <c r="H648" s="26"/>
      <c r="I648" s="26"/>
      <c r="J648" s="26"/>
      <c r="L648" s="26"/>
      <c r="M648" s="26"/>
      <c r="N648" s="26"/>
      <c r="O648" s="26"/>
      <c r="P648" s="26"/>
    </row>
    <row r="649" spans="1:20" x14ac:dyDescent="0.2">
      <c r="A649" s="13" t="s">
        <v>883</v>
      </c>
      <c r="E649" s="44">
        <f>E402</f>
        <v>1.3615740550073136E-2</v>
      </c>
      <c r="F649" s="109">
        <f>$E649</f>
        <v>1.3615740550073136E-2</v>
      </c>
      <c r="G649" s="109">
        <f>$E649</f>
        <v>1.3615740550073136E-2</v>
      </c>
      <c r="H649" s="109">
        <f>$E649</f>
        <v>1.3615740550073136E-2</v>
      </c>
      <c r="I649" s="109">
        <f>$E649</f>
        <v>1.3615740550073136E-2</v>
      </c>
      <c r="J649" s="109">
        <f t="shared" ref="J649:M649" si="704">$E649</f>
        <v>1.3615740550073136E-2</v>
      </c>
      <c r="L649" s="109">
        <f t="shared" si="704"/>
        <v>1.3615740550073136E-2</v>
      </c>
      <c r="M649" s="109">
        <f t="shared" si="704"/>
        <v>1.3615740550073136E-2</v>
      </c>
      <c r="N649" s="109"/>
      <c r="O649" s="109">
        <f>$E649</f>
        <v>1.3615740550073136E-2</v>
      </c>
      <c r="P649" s="109">
        <f>$E649</f>
        <v>1.3615740550073136E-2</v>
      </c>
      <c r="Q649" s="109">
        <f t="shared" ref="Q649:T649" si="705">P649</f>
        <v>1.3615740550073136E-2</v>
      </c>
      <c r="R649" s="109">
        <f t="shared" si="705"/>
        <v>1.3615740550073136E-2</v>
      </c>
      <c r="S649" s="109">
        <f t="shared" si="705"/>
        <v>1.3615740550073136E-2</v>
      </c>
      <c r="T649" s="109">
        <f t="shared" si="705"/>
        <v>1.3615740550073136E-2</v>
      </c>
    </row>
    <row r="650" spans="1:20" x14ac:dyDescent="0.2">
      <c r="F650" s="109"/>
      <c r="G650" s="109"/>
      <c r="H650" s="109"/>
      <c r="I650" s="109"/>
      <c r="J650" s="109"/>
      <c r="L650" s="109"/>
      <c r="M650" s="109"/>
      <c r="N650" s="109"/>
      <c r="O650" s="109"/>
      <c r="P650" s="109"/>
      <c r="Q650" s="109"/>
      <c r="R650" s="109"/>
      <c r="S650" s="109"/>
      <c r="T650" s="109"/>
    </row>
    <row r="651" spans="1:20" x14ac:dyDescent="0.2">
      <c r="B651" s="14" t="s">
        <v>881</v>
      </c>
      <c r="F651" s="110">
        <f>F611</f>
        <v>39.352357969977824</v>
      </c>
      <c r="G651" s="110">
        <f>G611</f>
        <v>38.561946016150742</v>
      </c>
      <c r="H651" s="110">
        <f>H611</f>
        <v>43.219270534252779</v>
      </c>
      <c r="I651" s="110">
        <f t="shared" ref="I651:J651" si="706">I611</f>
        <v>39.680322746500792</v>
      </c>
      <c r="J651" s="110">
        <f t="shared" si="706"/>
        <v>44.749043656837941</v>
      </c>
      <c r="L651" s="110">
        <f t="shared" ref="L651:M651" si="707">L611</f>
        <v>46.369457879719754</v>
      </c>
      <c r="M651" s="110">
        <f t="shared" si="707"/>
        <v>45.444879684455834</v>
      </c>
      <c r="N651" s="110"/>
      <c r="O651" s="110" t="e">
        <f>O611</f>
        <v>#DIV/0!</v>
      </c>
      <c r="P651" s="110"/>
      <c r="Q651" s="110" t="e">
        <f t="shared" ref="Q651:T651" si="708">Q611</f>
        <v>#DIV/0!</v>
      </c>
      <c r="R651" s="110" t="e">
        <f t="shared" si="708"/>
        <v>#DIV/0!</v>
      </c>
      <c r="S651" s="110" t="e">
        <f t="shared" si="708"/>
        <v>#DIV/0!</v>
      </c>
      <c r="T651" s="110" t="e">
        <f t="shared" si="708"/>
        <v>#DIV/0!</v>
      </c>
    </row>
    <row r="652" spans="1:20" x14ac:dyDescent="0.2">
      <c r="B652" s="14" t="s">
        <v>762</v>
      </c>
      <c r="F652" s="111">
        <f>F593+F594+F595+F596+F601+F606</f>
        <v>8.4732630958715929E-2</v>
      </c>
      <c r="G652" s="111">
        <f>G593+G594+G595+G596+G601+G606</f>
        <v>8.0739057589366267E-2</v>
      </c>
      <c r="H652" s="111">
        <f>H593+H594+H595+H596+H601+H606</f>
        <v>8.2785688331617993E-2</v>
      </c>
      <c r="I652" s="111">
        <f>+I595+I596</f>
        <v>5.7332578259428842E-2</v>
      </c>
      <c r="J652" s="111">
        <f>+J595+J596</f>
        <v>5.7332578259428842E-2</v>
      </c>
      <c r="L652" s="111">
        <f>+L595+L596</f>
        <v>5.7332578259428835E-2</v>
      </c>
      <c r="M652" s="111">
        <f>+M595+M596</f>
        <v>4.6627557614202772E-2</v>
      </c>
      <c r="N652" s="111"/>
      <c r="O652" s="111" t="e">
        <f>O593+O594+O595+O596+O601+O606</f>
        <v>#DIV/0!</v>
      </c>
      <c r="P652" s="111"/>
      <c r="Q652" s="111" t="e">
        <f>Q593+Q594+Q595+Q596+Q601+Q606</f>
        <v>#DIV/0!</v>
      </c>
      <c r="R652" s="111" t="e">
        <f>R593+R594+R595+R596+R601+R606</f>
        <v>#DIV/0!</v>
      </c>
      <c r="S652" s="111" t="e">
        <f>S595+S596</f>
        <v>#DIV/0!</v>
      </c>
      <c r="T652" s="111" t="e">
        <f>T593+T594+T604+T605</f>
        <v>#DIV/0!</v>
      </c>
    </row>
    <row r="653" spans="1:20" x14ac:dyDescent="0.2">
      <c r="B653" s="14" t="s">
        <v>882</v>
      </c>
      <c r="F653" s="110">
        <v>0</v>
      </c>
      <c r="G653" s="110">
        <v>0</v>
      </c>
      <c r="H653" s="110">
        <v>0</v>
      </c>
      <c r="I653" s="110">
        <f>I593+I594+I601+I606</f>
        <v>4.0808989880496966</v>
      </c>
      <c r="J653" s="110">
        <f>J593+J594+J601+J606</f>
        <v>4.7588800183526123</v>
      </c>
      <c r="L653" s="110">
        <f>L593+L594+L601+L606</f>
        <v>6.0012265156645537</v>
      </c>
      <c r="M653" s="110">
        <f>M593+M594+M601+M606</f>
        <v>7.1432838347372352</v>
      </c>
      <c r="N653" s="110"/>
      <c r="O653" s="110">
        <v>0</v>
      </c>
      <c r="P653" s="110"/>
      <c r="Q653" s="110">
        <v>0</v>
      </c>
      <c r="R653" s="110">
        <v>0</v>
      </c>
      <c r="S653" s="110" t="e">
        <f>S593+S594+S601+S606</f>
        <v>#DIV/0!</v>
      </c>
      <c r="T653" s="110">
        <v>0</v>
      </c>
    </row>
    <row r="654" spans="1:20" x14ac:dyDescent="0.2">
      <c r="F654" s="26"/>
      <c r="G654" s="26"/>
      <c r="H654" s="26"/>
      <c r="I654" s="26"/>
      <c r="J654" s="26"/>
      <c r="L654" s="26"/>
      <c r="M654" s="26"/>
      <c r="N654" s="26"/>
      <c r="O654" s="26"/>
      <c r="P654" s="26"/>
      <c r="Q654" s="26"/>
      <c r="R654" s="26"/>
      <c r="S654" s="26"/>
      <c r="T654" s="26"/>
    </row>
    <row r="655" spans="1:20" x14ac:dyDescent="0.2">
      <c r="A655" s="13" t="s">
        <v>884</v>
      </c>
      <c r="E655" s="44">
        <f>C537</f>
        <v>3.6464943176248966E-2</v>
      </c>
      <c r="F655" s="109">
        <f>E$655</f>
        <v>3.6464943176248966E-2</v>
      </c>
      <c r="G655" s="109">
        <f>F$655</f>
        <v>3.6464943176248966E-2</v>
      </c>
      <c r="H655" s="109">
        <f>G$655</f>
        <v>3.6464943176248966E-2</v>
      </c>
      <c r="I655" s="109">
        <f>H$655</f>
        <v>3.6464943176248966E-2</v>
      </c>
      <c r="J655" s="109">
        <f t="shared" ref="J655" si="709">I$655</f>
        <v>3.6464943176248966E-2</v>
      </c>
      <c r="L655" s="109">
        <f t="shared" ref="K655:M655" si="710">K$655</f>
        <v>0</v>
      </c>
      <c r="M655" s="109">
        <f t="shared" si="710"/>
        <v>0</v>
      </c>
      <c r="N655" s="109"/>
      <c r="O655" s="109">
        <f>N$655</f>
        <v>0</v>
      </c>
      <c r="P655" s="109">
        <f>O$655</f>
        <v>0</v>
      </c>
      <c r="Q655" s="109">
        <f t="shared" ref="Q655:S655" si="711">P655</f>
        <v>0</v>
      </c>
      <c r="R655" s="109">
        <f t="shared" si="711"/>
        <v>0</v>
      </c>
      <c r="S655" s="109">
        <f t="shared" si="711"/>
        <v>0</v>
      </c>
      <c r="T655" s="109">
        <f>$C$586</f>
        <v>0</v>
      </c>
    </row>
    <row r="656" spans="1:20" x14ac:dyDescent="0.2">
      <c r="A656" s="13"/>
      <c r="F656" s="109"/>
      <c r="G656" s="109"/>
      <c r="H656" s="109"/>
      <c r="I656" s="109"/>
      <c r="J656" s="109"/>
      <c r="L656" s="109"/>
      <c r="M656" s="109"/>
      <c r="N656" s="109"/>
      <c r="O656" s="109"/>
      <c r="P656" s="109"/>
      <c r="Q656" s="109"/>
      <c r="R656" s="109"/>
      <c r="S656" s="109"/>
      <c r="T656" s="109"/>
    </row>
    <row r="657" spans="2:20" x14ac:dyDescent="0.2">
      <c r="B657" s="14" t="s">
        <v>881</v>
      </c>
      <c r="F657" s="110">
        <f>F637</f>
        <v>44.380769974187722</v>
      </c>
      <c r="G657" s="110">
        <f>G637</f>
        <v>43.59035802036064</v>
      </c>
      <c r="H657" s="110">
        <f>H637</f>
        <v>48.963637819809847</v>
      </c>
      <c r="I657" s="110">
        <f t="shared" ref="I657:J657" si="712">I637</f>
        <v>44.875223411650758</v>
      </c>
      <c r="J657" s="110">
        <f t="shared" si="712"/>
        <v>51.582561141916564</v>
      </c>
      <c r="L657" s="110">
        <f t="shared" ref="L657:M657" si="713">L637</f>
        <v>52.925265827429349</v>
      </c>
      <c r="M657" s="110">
        <f t="shared" si="713"/>
        <v>52.462032417617948</v>
      </c>
      <c r="N657" s="110"/>
      <c r="O657" s="110" t="e">
        <f>O637</f>
        <v>#DIV/0!</v>
      </c>
      <c r="P657" s="110"/>
      <c r="Q657" s="110" t="e">
        <f t="shared" ref="Q657:S657" si="714">Q637</f>
        <v>#DIV/0!</v>
      </c>
      <c r="R657" s="110" t="e">
        <f t="shared" si="714"/>
        <v>#DIV/0!</v>
      </c>
      <c r="S657" s="110" t="e">
        <f t="shared" si="714"/>
        <v>#DIV/0!</v>
      </c>
      <c r="T657" s="110" t="e">
        <f>T637</f>
        <v>#DIV/0!</v>
      </c>
    </row>
    <row r="658" spans="2:20" x14ac:dyDescent="0.2">
      <c r="B658" s="14" t="s">
        <v>762</v>
      </c>
      <c r="F658" s="111">
        <f>F619+F620+F621+F622+F627+F632</f>
        <v>8.6601103980013902E-2</v>
      </c>
      <c r="G658" s="111">
        <f>G619+G620+G621+G622+G627+G632</f>
        <v>8.2591551911977479E-2</v>
      </c>
      <c r="H658" s="111">
        <f>H619+H620+H621+H622+H627+H632</f>
        <v>8.4254323521493535E-2</v>
      </c>
      <c r="I658" s="111">
        <f>+I621+I622</f>
        <v>5.7332578259428842E-2</v>
      </c>
      <c r="J658" s="111">
        <f>+J621+J622</f>
        <v>5.7332578259428842E-2</v>
      </c>
      <c r="L658" s="111">
        <f>+L621+L622</f>
        <v>5.7332578259428835E-2</v>
      </c>
      <c r="M658" s="111">
        <f>+M621+M622</f>
        <v>4.6627557614202772E-2</v>
      </c>
      <c r="N658" s="111"/>
      <c r="O658" s="111" t="e">
        <f>O619+O620+O621+O622+O627+O632</f>
        <v>#DIV/0!</v>
      </c>
      <c r="P658" s="111"/>
      <c r="Q658" s="111" t="e">
        <f t="shared" ref="Q658:R658" si="715">Q619+Q620+Q621+Q622+Q627+Q632</f>
        <v>#DIV/0!</v>
      </c>
      <c r="R658" s="111" t="e">
        <f t="shared" si="715"/>
        <v>#DIV/0!</v>
      </c>
      <c r="S658" s="111" t="e">
        <f>S621+S622</f>
        <v>#DIV/0!</v>
      </c>
      <c r="T658" s="111" t="e">
        <f>T619+T620+T630+T631</f>
        <v>#DIV/0!</v>
      </c>
    </row>
    <row r="659" spans="2:20" x14ac:dyDescent="0.2">
      <c r="B659" s="14" t="s">
        <v>882</v>
      </c>
      <c r="F659" s="110">
        <v>0</v>
      </c>
      <c r="G659" s="110">
        <v>0</v>
      </c>
      <c r="H659" s="110">
        <v>0</v>
      </c>
      <c r="I659" s="110">
        <f>I619+I620+I627+I632</f>
        <v>4.3268399578654222</v>
      </c>
      <c r="J659" s="110">
        <f>J619+J620+J627+J632</f>
        <v>5.0059811860338925</v>
      </c>
      <c r="L659" s="110">
        <f>L619+L620+L627+L632</f>
        <v>6.2502950911530819</v>
      </c>
      <c r="M659" s="110">
        <f>M619+M620+M627+M632</f>
        <v>7.3923524102257634</v>
      </c>
      <c r="N659" s="110"/>
      <c r="O659" s="110">
        <v>0</v>
      </c>
      <c r="P659" s="110"/>
      <c r="Q659" s="110">
        <v>0</v>
      </c>
      <c r="R659" s="110">
        <v>0</v>
      </c>
      <c r="S659" s="110" t="e">
        <f>S619+S620+S627+S632</f>
        <v>#DIV/0!</v>
      </c>
      <c r="T659" s="110">
        <v>0</v>
      </c>
    </row>
    <row r="660" spans="2:20" x14ac:dyDescent="0.2">
      <c r="B660" s="26"/>
      <c r="G660" s="26"/>
      <c r="H660" s="26"/>
      <c r="I660" s="111"/>
      <c r="J660" s="26"/>
      <c r="L660" s="26"/>
      <c r="M660" s="26"/>
    </row>
  </sheetData>
  <phoneticPr fontId="0" type="noConversion"/>
  <conditionalFormatting sqref="AI602:AI620 AI628:AI638 AI378:AI379 AI447:AI488 AI351 AI357:AI364 AI4:AI340 AI389:AI443 AI491:AI594">
    <cfRule type="containsText" dxfId="58" priority="70" operator="containsText" text="err">
      <formula>NOT(ISERROR(SEARCH("err",AI4)))</formula>
    </cfRule>
    <cfRule type="cellIs" dxfId="57" priority="71" operator="equal">
      <formula>"""err"""</formula>
    </cfRule>
  </conditionalFormatting>
  <conditionalFormatting sqref="AI595:AI601">
    <cfRule type="containsText" dxfId="56" priority="68" operator="containsText" text="err">
      <formula>NOT(ISERROR(SEARCH("err",AI595)))</formula>
    </cfRule>
    <cfRule type="cellIs" dxfId="55" priority="69" operator="equal">
      <formula>"""err"""</formula>
    </cfRule>
  </conditionalFormatting>
  <conditionalFormatting sqref="AI621:AI627">
    <cfRule type="containsText" dxfId="54" priority="64" operator="containsText" text="err">
      <formula>NOT(ISERROR(SEARCH("err",AI621)))</formula>
    </cfRule>
    <cfRule type="cellIs" dxfId="53" priority="65" operator="equal">
      <formula>"""err"""</formula>
    </cfRule>
  </conditionalFormatting>
  <conditionalFormatting sqref="AI377 AI365:AI367">
    <cfRule type="containsText" dxfId="52" priority="62" operator="containsText" text="err">
      <formula>NOT(ISERROR(SEARCH("err",AI365)))</formula>
    </cfRule>
    <cfRule type="cellIs" dxfId="51" priority="63" operator="equal">
      <formula>"""err"""</formula>
    </cfRule>
  </conditionalFormatting>
  <conditionalFormatting sqref="AI370:AI372">
    <cfRule type="containsText" dxfId="50" priority="60" operator="containsText" text="err">
      <formula>NOT(ISERROR(SEARCH("err",AI370)))</formula>
    </cfRule>
    <cfRule type="cellIs" dxfId="49" priority="61" operator="equal">
      <formula>"""err"""</formula>
    </cfRule>
  </conditionalFormatting>
  <conditionalFormatting sqref="AI381">
    <cfRule type="containsText" dxfId="48" priority="56" operator="containsText" text="err">
      <formula>NOT(ISERROR(SEARCH("err",AI381)))</formula>
    </cfRule>
    <cfRule type="cellIs" dxfId="47" priority="57" operator="equal">
      <formula>"""err"""</formula>
    </cfRule>
  </conditionalFormatting>
  <conditionalFormatting sqref="AI445:AI446">
    <cfRule type="containsText" dxfId="46" priority="54" operator="containsText" text="err">
      <formula>NOT(ISERROR(SEARCH("err",AI445)))</formula>
    </cfRule>
    <cfRule type="cellIs" dxfId="45" priority="55" operator="equal">
      <formula>"""err"""</formula>
    </cfRule>
  </conditionalFormatting>
  <conditionalFormatting sqref="AI489:AI490">
    <cfRule type="containsText" dxfId="44" priority="52" operator="containsText" text="err">
      <formula>NOT(ISERROR(SEARCH("err",AI489)))</formula>
    </cfRule>
    <cfRule type="cellIs" dxfId="43" priority="53" operator="equal">
      <formula>"""err"""</formula>
    </cfRule>
  </conditionalFormatting>
  <conditionalFormatting sqref="AI1">
    <cfRule type="cellIs" dxfId="42" priority="51" operator="equal">
      <formula>"err"</formula>
    </cfRule>
  </conditionalFormatting>
  <conditionalFormatting sqref="AI350">
    <cfRule type="containsText" dxfId="41" priority="49" operator="containsText" text="err">
      <formula>NOT(ISERROR(SEARCH("err",AI350)))</formula>
    </cfRule>
    <cfRule type="cellIs" dxfId="40" priority="50" operator="equal">
      <formula>"""err"""</formula>
    </cfRule>
  </conditionalFormatting>
  <conditionalFormatting sqref="AI356">
    <cfRule type="containsText" dxfId="39" priority="43" operator="containsText" text="err">
      <formula>NOT(ISERROR(SEARCH("err",AI356)))</formula>
    </cfRule>
    <cfRule type="cellIs" dxfId="38" priority="44" operator="equal">
      <formula>"""err"""</formula>
    </cfRule>
  </conditionalFormatting>
  <conditionalFormatting sqref="AI353">
    <cfRule type="containsText" dxfId="37" priority="39" operator="containsText" text="err">
      <formula>NOT(ISERROR(SEARCH("err",AI353)))</formula>
    </cfRule>
    <cfRule type="cellIs" dxfId="36" priority="40" operator="equal">
      <formula>"""err"""</formula>
    </cfRule>
  </conditionalFormatting>
  <conditionalFormatting sqref="AI354">
    <cfRule type="containsText" dxfId="35" priority="41" operator="containsText" text="err">
      <formula>NOT(ISERROR(SEARCH("err",AI354)))</formula>
    </cfRule>
    <cfRule type="cellIs" dxfId="34" priority="42" operator="equal">
      <formula>"""err"""</formula>
    </cfRule>
  </conditionalFormatting>
  <conditionalFormatting sqref="AI352">
    <cfRule type="containsText" dxfId="33" priority="37" operator="containsText" text="err">
      <formula>NOT(ISERROR(SEARCH("err",AI352)))</formula>
    </cfRule>
    <cfRule type="cellIs" dxfId="32" priority="38" operator="equal">
      <formula>"""err"""</formula>
    </cfRule>
  </conditionalFormatting>
  <conditionalFormatting sqref="AI375:AI376">
    <cfRule type="containsText" dxfId="31" priority="33" operator="containsText" text="err">
      <formula>NOT(ISERROR(SEARCH("err",AI375)))</formula>
    </cfRule>
    <cfRule type="cellIs" dxfId="30" priority="34" operator="equal">
      <formula>"""err"""</formula>
    </cfRule>
  </conditionalFormatting>
  <conditionalFormatting sqref="AI374">
    <cfRule type="containsText" dxfId="29" priority="31" operator="containsText" text="err">
      <formula>NOT(ISERROR(SEARCH("err",AI374)))</formula>
    </cfRule>
    <cfRule type="cellIs" dxfId="28" priority="32" operator="equal">
      <formula>"""err"""</formula>
    </cfRule>
  </conditionalFormatting>
  <conditionalFormatting sqref="AI373">
    <cfRule type="containsText" dxfId="27" priority="29" operator="containsText" text="err">
      <formula>NOT(ISERROR(SEARCH("err",AI373)))</formula>
    </cfRule>
    <cfRule type="cellIs" dxfId="26" priority="30" operator="equal">
      <formula>"""err"""</formula>
    </cfRule>
  </conditionalFormatting>
  <conditionalFormatting sqref="AI388">
    <cfRule type="containsText" dxfId="25" priority="27" operator="containsText" text="err">
      <formula>NOT(ISERROR(SEARCH("err",AI388)))</formula>
    </cfRule>
    <cfRule type="cellIs" dxfId="24" priority="28" operator="equal">
      <formula>"""err"""</formula>
    </cfRule>
  </conditionalFormatting>
  <conditionalFormatting sqref="AI387">
    <cfRule type="containsText" dxfId="23" priority="25" operator="containsText" text="err">
      <formula>NOT(ISERROR(SEARCH("err",AI387)))</formula>
    </cfRule>
    <cfRule type="cellIs" dxfId="22" priority="26" operator="equal">
      <formula>"""err"""</formula>
    </cfRule>
  </conditionalFormatting>
  <conditionalFormatting sqref="AI386">
    <cfRule type="containsText" dxfId="21" priority="23" operator="containsText" text="err">
      <formula>NOT(ISERROR(SEARCH("err",AI386)))</formula>
    </cfRule>
    <cfRule type="cellIs" dxfId="20" priority="24" operator="equal">
      <formula>"""err"""</formula>
    </cfRule>
  </conditionalFormatting>
  <conditionalFormatting sqref="AI385">
    <cfRule type="containsText" dxfId="19" priority="21" operator="containsText" text="err">
      <formula>NOT(ISERROR(SEARCH("err",AI385)))</formula>
    </cfRule>
    <cfRule type="cellIs" dxfId="18" priority="22" operator="equal">
      <formula>"""err"""</formula>
    </cfRule>
  </conditionalFormatting>
  <conditionalFormatting sqref="AI384">
    <cfRule type="containsText" dxfId="17" priority="19" operator="containsText" text="err">
      <formula>NOT(ISERROR(SEARCH("err",AI384)))</formula>
    </cfRule>
    <cfRule type="cellIs" dxfId="16" priority="20" operator="equal">
      <formula>"""err"""</formula>
    </cfRule>
  </conditionalFormatting>
  <conditionalFormatting sqref="AI383">
    <cfRule type="containsText" dxfId="15" priority="17" operator="containsText" text="err">
      <formula>NOT(ISERROR(SEARCH("err",AI383)))</formula>
    </cfRule>
    <cfRule type="cellIs" dxfId="14" priority="18" operator="equal">
      <formula>"""err"""</formula>
    </cfRule>
  </conditionalFormatting>
  <conditionalFormatting sqref="AI382">
    <cfRule type="containsText" dxfId="13" priority="15" operator="containsText" text="err">
      <formula>NOT(ISERROR(SEARCH("err",AI382)))</formula>
    </cfRule>
    <cfRule type="cellIs" dxfId="12" priority="16" operator="equal">
      <formula>"""err"""</formula>
    </cfRule>
  </conditionalFormatting>
  <conditionalFormatting sqref="AI341:AI349">
    <cfRule type="containsText" dxfId="11" priority="13" operator="containsText" text="err">
      <formula>NOT(ISERROR(SEARCH("err",AI341)))</formula>
    </cfRule>
    <cfRule type="cellIs" dxfId="10" priority="14" operator="equal">
      <formula>"""err"""</formula>
    </cfRule>
  </conditionalFormatting>
  <conditionalFormatting sqref="AI444">
    <cfRule type="containsText" dxfId="9" priority="9" operator="containsText" text="err">
      <formula>NOT(ISERROR(SEARCH("err",AI444)))</formula>
    </cfRule>
    <cfRule type="cellIs" dxfId="8" priority="10" operator="equal">
      <formula>"""err"""</formula>
    </cfRule>
  </conditionalFormatting>
  <conditionalFormatting sqref="AI380">
    <cfRule type="containsText" dxfId="5" priority="5" operator="containsText" text="err">
      <formula>NOT(ISERROR(SEARCH("err",AI380)))</formula>
    </cfRule>
    <cfRule type="cellIs" dxfId="4" priority="6" operator="equal">
      <formula>"""err"""</formula>
    </cfRule>
  </conditionalFormatting>
  <conditionalFormatting sqref="AI368:AI369">
    <cfRule type="containsText" dxfId="3" priority="3" operator="containsText" text="err">
      <formula>NOT(ISERROR(SEARCH("err",AI368)))</formula>
    </cfRule>
    <cfRule type="cellIs" dxfId="2" priority="4" operator="equal">
      <formula>"""err"""</formula>
    </cfRule>
  </conditionalFormatting>
  <conditionalFormatting sqref="AI355">
    <cfRule type="containsText" dxfId="1" priority="1" operator="containsText" text="err">
      <formula>NOT(ISERROR(SEARCH("err",AI355)))</formula>
    </cfRule>
    <cfRule type="cellIs" dxfId="0" priority="2" operator="equal">
      <formula>"""err"""</formula>
    </cfRule>
  </conditionalFormatting>
  <printOptions horizontalCentered="1"/>
  <pageMargins left="0.25" right="0.25" top="1.25" bottom="0.5" header="0.5" footer="0.2"/>
  <pageSetup scale="60" pageOrder="overThenDown" orientation="landscape" r:id="rId1"/>
  <headerFooter alignWithMargins="0">
    <oddHeader>&amp;C&amp;"Times New Roman,Bold"CLARK ENERGY COOPERATIVE
Cost of Service Study
Class Allocation
12 Months Ended December 31, 2024</oddHeader>
    <oddFooter>&amp;RExhibit JW-5
Page &amp;P of &amp;N</oddFooter>
  </headerFooter>
  <rowBreaks count="18" manualBreakCount="18">
    <brk id="42" max="12" man="1"/>
    <brk id="80" max="12" man="1"/>
    <brk id="118" max="12" man="1"/>
    <brk id="156" max="12" man="1"/>
    <brk id="194" max="12" man="1"/>
    <brk id="232" max="12" man="1"/>
    <brk id="270" max="12" man="1"/>
    <brk id="308" max="12" man="1"/>
    <brk id="332" max="12" man="1"/>
    <brk id="404" max="12" man="1"/>
    <brk id="444" max="12" man="1"/>
    <brk id="488" max="12" man="1"/>
    <brk id="507" max="12" man="1"/>
    <brk id="545" max="12" man="1"/>
    <brk id="563" max="12" man="1"/>
    <brk id="588" max="12" man="1"/>
    <brk id="614" max="12" man="1"/>
    <brk id="640" max="12" man="1"/>
  </rowBreaks>
  <colBreaks count="4" manualBreakCount="4">
    <brk id="9" max="651" man="1"/>
    <brk id="16" max="651" man="1"/>
    <brk id="20" max="568" man="1"/>
    <brk id="26" max="568" man="1"/>
  </colBreaks>
  <ignoredErrors>
    <ignoredError sqref="G422:L422 N452:P452 N459:O459 F466:L466 N473 N480 N487 N499 N506 L554:L557 I549:I561 F594:I594 I600:I605 F620:I620 I626:I631 L626:L629 G657:I658 L550 J559 L594 L620 L657:L658 E521 K476 F506:L506 F499:L499 E487:L487 E480:L480 F473:L473 F459:L459 F452:L452 L559" formula="1"/>
    <ignoredError sqref="O549:O553 O558:O562 O565:O576 O584:O586 O579:O581 O593:O596 O599:O611 O619 O621:O622 O625:O637 O643:O646 P643 O651:O652 O657:O658" evalError="1"/>
    <ignoredError sqref="O620" evalError="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A211"/>
  <sheetViews>
    <sheetView view="pageBreakPreview" zoomScale="85" zoomScaleNormal="75" zoomScaleSheetLayoutView="85" workbookViewId="0">
      <selection activeCell="N25" sqref="N25:R25"/>
    </sheetView>
  </sheetViews>
  <sheetFormatPr defaultRowHeight="12.75" x14ac:dyDescent="0.2"/>
  <cols>
    <col min="1" max="1" width="39.5703125" style="14" customWidth="1"/>
    <col min="2" max="2" width="10.28515625" style="27" customWidth="1"/>
    <col min="3" max="6" width="12.5703125" style="14" bestFit="1" customWidth="1"/>
    <col min="7" max="7" width="13.140625" style="14" bestFit="1" customWidth="1"/>
    <col min="8" max="8" width="14.5703125" style="14" bestFit="1" customWidth="1"/>
    <col min="9" max="11" width="12.5703125" style="14" bestFit="1" customWidth="1"/>
    <col min="12" max="12" width="16.85546875" style="14" customWidth="1"/>
    <col min="13" max="14" width="12.5703125" style="14" bestFit="1" customWidth="1"/>
    <col min="15" max="15" width="14.28515625" style="14" bestFit="1" customWidth="1"/>
    <col min="16" max="16" width="17.85546875" style="14" customWidth="1"/>
    <col min="17" max="17" width="17.28515625" style="14" customWidth="1"/>
    <col min="18" max="20" width="15" style="14" bestFit="1" customWidth="1"/>
    <col min="21" max="21" width="9.140625" style="14"/>
    <col min="22" max="22" width="11.85546875" style="14" bestFit="1" customWidth="1"/>
    <col min="23" max="25" width="9.140625" style="14"/>
    <col min="26" max="26" width="15.28515625" style="14" bestFit="1" customWidth="1"/>
    <col min="27" max="16384" width="9.140625" style="14"/>
  </cols>
  <sheetData>
    <row r="1" spans="1:27" x14ac:dyDescent="0.2">
      <c r="A1" s="13" t="str">
        <f>'Summary of Returns'!A1</f>
        <v>CLARK ENERGY COOPERATIVE</v>
      </c>
    </row>
    <row r="2" spans="1:27" x14ac:dyDescent="0.2">
      <c r="A2" s="14" t="s">
        <v>677</v>
      </c>
    </row>
    <row r="3" spans="1:27" x14ac:dyDescent="0.2">
      <c r="C3" s="112"/>
      <c r="D3" s="26"/>
      <c r="E3" s="26"/>
      <c r="F3" s="21" t="s">
        <v>723</v>
      </c>
      <c r="G3" s="21" t="s">
        <v>685</v>
      </c>
      <c r="H3" s="26"/>
      <c r="I3" s="26"/>
      <c r="J3" s="26"/>
      <c r="K3" s="26"/>
      <c r="M3" s="112"/>
      <c r="N3" s="26"/>
      <c r="O3" s="26"/>
      <c r="Q3" s="21"/>
      <c r="R3" s="21"/>
    </row>
    <row r="4" spans="1:27" x14ac:dyDescent="0.2">
      <c r="A4" s="27"/>
      <c r="C4" s="26"/>
      <c r="D4" s="26"/>
      <c r="E4" s="26"/>
      <c r="F4" s="21" t="s">
        <v>684</v>
      </c>
      <c r="G4" s="21" t="s">
        <v>684</v>
      </c>
      <c r="H4" s="21" t="s">
        <v>694</v>
      </c>
      <c r="I4" s="21" t="s">
        <v>685</v>
      </c>
      <c r="J4" s="21" t="s">
        <v>687</v>
      </c>
      <c r="K4" s="21" t="s">
        <v>688</v>
      </c>
      <c r="M4" s="26"/>
      <c r="N4" s="26"/>
      <c r="O4" s="26"/>
      <c r="P4" s="27"/>
      <c r="Q4" s="21"/>
      <c r="R4" s="21"/>
      <c r="T4" s="27"/>
    </row>
    <row r="5" spans="1:27" s="21" customFormat="1" x14ac:dyDescent="0.2">
      <c r="B5" s="55"/>
      <c r="C5" s="21" t="s">
        <v>580</v>
      </c>
      <c r="F5" s="21" t="s">
        <v>724</v>
      </c>
      <c r="G5" s="21" t="s">
        <v>12</v>
      </c>
      <c r="H5" s="21" t="s">
        <v>695</v>
      </c>
      <c r="I5" s="21" t="s">
        <v>644</v>
      </c>
      <c r="J5" s="21" t="s">
        <v>644</v>
      </c>
      <c r="K5" s="21" t="s">
        <v>644</v>
      </c>
      <c r="L5" s="14"/>
      <c r="N5" s="21" t="str">
        <f>C5</f>
        <v>Average</v>
      </c>
      <c r="P5" s="26" t="s">
        <v>907</v>
      </c>
      <c r="R5" s="21" t="s">
        <v>907</v>
      </c>
    </row>
    <row r="6" spans="1:27" s="21" customFormat="1" x14ac:dyDescent="0.2">
      <c r="A6" s="113" t="s">
        <v>863</v>
      </c>
      <c r="B6" s="114" t="s">
        <v>872</v>
      </c>
      <c r="C6" s="20" t="s">
        <v>582</v>
      </c>
      <c r="D6" s="20" t="s">
        <v>951</v>
      </c>
      <c r="E6" s="20" t="s">
        <v>348</v>
      </c>
      <c r="F6" s="20" t="s">
        <v>10</v>
      </c>
      <c r="G6" s="20" t="s">
        <v>683</v>
      </c>
      <c r="H6" s="20" t="s">
        <v>696</v>
      </c>
      <c r="I6" s="20" t="s">
        <v>686</v>
      </c>
      <c r="J6" s="20" t="s">
        <v>686</v>
      </c>
      <c r="K6" s="20" t="s">
        <v>686</v>
      </c>
      <c r="L6" s="113"/>
      <c r="M6" s="113"/>
      <c r="N6" s="20" t="str">
        <f>C6</f>
        <v>Customers</v>
      </c>
      <c r="O6" s="20" t="str">
        <f>D6</f>
        <v>kWh</v>
      </c>
      <c r="P6" s="20" t="s">
        <v>866</v>
      </c>
      <c r="Q6" s="20" t="str">
        <f>E6</f>
        <v>Revenue</v>
      </c>
      <c r="R6" s="20" t="s">
        <v>908</v>
      </c>
    </row>
    <row r="7" spans="1:27" x14ac:dyDescent="0.2">
      <c r="A7" s="27"/>
      <c r="C7" s="47"/>
      <c r="D7" s="47"/>
      <c r="E7" s="47"/>
      <c r="G7" s="47"/>
      <c r="H7" s="47"/>
      <c r="I7" s="47"/>
      <c r="J7" s="47"/>
      <c r="K7" s="47"/>
      <c r="L7" s="27"/>
      <c r="N7" s="47"/>
      <c r="O7" s="47"/>
      <c r="P7" s="47"/>
      <c r="Q7" s="47"/>
      <c r="R7" s="47"/>
    </row>
    <row r="8" spans="1:27" x14ac:dyDescent="0.2">
      <c r="A8" s="115" t="str">
        <f>'Summary of Returns'!B11</f>
        <v>Residential</v>
      </c>
      <c r="B8" s="116" t="str">
        <f>'Summary of Returns'!C11</f>
        <v>R</v>
      </c>
      <c r="C8" s="117">
        <f>O38</f>
        <v>25695</v>
      </c>
      <c r="D8" s="117">
        <f>O39</f>
        <v>321373036</v>
      </c>
      <c r="E8" s="119">
        <v>42005561.815520003</v>
      </c>
      <c r="F8" s="33">
        <f>O46</f>
        <v>2449046.9990434945</v>
      </c>
      <c r="G8" s="33">
        <f>P46</f>
        <v>332432.6543209877</v>
      </c>
      <c r="H8" s="118">
        <f>Q42</f>
        <v>143645.61678263411</v>
      </c>
      <c r="I8" s="117">
        <f>R44</f>
        <v>838723.52253593772</v>
      </c>
      <c r="J8" s="117">
        <f>S44</f>
        <v>192337.97959017416</v>
      </c>
      <c r="K8" s="117">
        <f>T44</f>
        <v>646385.54294576356</v>
      </c>
      <c r="L8" s="115"/>
      <c r="N8" s="117">
        <f>C8</f>
        <v>25695</v>
      </c>
      <c r="O8" s="117">
        <f>D8</f>
        <v>321373036</v>
      </c>
      <c r="P8" s="63">
        <f>D8/$D$25</f>
        <v>0.7392420820840746</v>
      </c>
      <c r="Q8" s="119">
        <f>E8</f>
        <v>42005561.815520003</v>
      </c>
      <c r="R8" s="63">
        <f>E8/$E$25</f>
        <v>0.74174116005083623</v>
      </c>
      <c r="W8" s="21"/>
      <c r="X8" s="21"/>
      <c r="Y8" s="21"/>
      <c r="Z8" s="21"/>
      <c r="AA8" s="21"/>
    </row>
    <row r="9" spans="1:27" x14ac:dyDescent="0.2">
      <c r="A9" s="115" t="str">
        <f>'Summary of Returns'!B12</f>
        <v>Resid TOU</v>
      </c>
      <c r="B9" s="116" t="str">
        <f>'Summary of Returns'!C12</f>
        <v>D</v>
      </c>
      <c r="C9" s="117">
        <f>O48</f>
        <v>1</v>
      </c>
      <c r="D9" s="117">
        <f>O49</f>
        <v>327183</v>
      </c>
      <c r="E9" s="119">
        <v>24044</v>
      </c>
      <c r="F9" s="33">
        <f>O56</f>
        <v>2479.4821357455767</v>
      </c>
      <c r="G9" s="33">
        <f>P56</f>
        <v>650.55555555555554</v>
      </c>
      <c r="H9" s="118">
        <f>Q52</f>
        <v>281.10792611520884</v>
      </c>
      <c r="I9" s="117">
        <f>R54</f>
        <v>632.85281209607797</v>
      </c>
      <c r="J9" s="117">
        <f>S54</f>
        <v>9.7070823842121907</v>
      </c>
      <c r="K9" s="117">
        <f>T54</f>
        <v>623.14572971186578</v>
      </c>
      <c r="L9" s="115"/>
      <c r="N9" s="117">
        <f>C9</f>
        <v>1</v>
      </c>
      <c r="O9" s="117">
        <f>D9</f>
        <v>327183</v>
      </c>
      <c r="P9" s="63">
        <f>D9/$D$25</f>
        <v>7.5260651967862604E-4</v>
      </c>
      <c r="Q9" s="119">
        <f>E9</f>
        <v>24044</v>
      </c>
      <c r="R9" s="63">
        <f>E9/$E$25</f>
        <v>4.245729299036046E-4</v>
      </c>
      <c r="W9" s="21"/>
      <c r="X9" s="21"/>
      <c r="Y9" s="21"/>
      <c r="Z9" s="21"/>
      <c r="AA9" s="21"/>
    </row>
    <row r="10" spans="1:27" x14ac:dyDescent="0.2">
      <c r="A10" s="115" t="str">
        <f>'Summary of Returns'!B13</f>
        <v>General Power Service &lt; 50kW</v>
      </c>
      <c r="B10" s="116" t="str">
        <f>'Summary of Returns'!C13</f>
        <v>C</v>
      </c>
      <c r="C10" s="117">
        <f>O58</f>
        <v>2032</v>
      </c>
      <c r="D10" s="117">
        <f>O59</f>
        <v>32071501</v>
      </c>
      <c r="E10" s="119">
        <v>4669689.5269399993</v>
      </c>
      <c r="F10" s="33">
        <f>O66</f>
        <v>191325.10090384915</v>
      </c>
      <c r="G10" s="33">
        <f>P66</f>
        <v>19831.292270531401</v>
      </c>
      <c r="H10" s="118">
        <f>Q62</f>
        <v>11402.993055555555</v>
      </c>
      <c r="I10" s="117">
        <f>R64</f>
        <v>88009.546415770616</v>
      </c>
      <c r="J10" s="117">
        <f>S64</f>
        <v>24326.06182795699</v>
      </c>
      <c r="K10" s="117">
        <f>T64</f>
        <v>63683.484587813626</v>
      </c>
      <c r="L10" s="115"/>
      <c r="N10" s="117">
        <f>C10</f>
        <v>2032</v>
      </c>
      <c r="O10" s="117">
        <f>D10</f>
        <v>32071501</v>
      </c>
      <c r="P10" s="63">
        <f>D10/$D$25</f>
        <v>7.3772845008694132E-2</v>
      </c>
      <c r="Q10" s="119">
        <f>E10</f>
        <v>4669689.5269399993</v>
      </c>
      <c r="R10" s="63">
        <f>E10/$E$25</f>
        <v>8.2458150232619071E-2</v>
      </c>
      <c r="W10" s="21"/>
      <c r="X10" s="21"/>
      <c r="Y10" s="21"/>
      <c r="Z10" s="21"/>
      <c r="AA10" s="21"/>
    </row>
    <row r="11" spans="1:27" x14ac:dyDescent="0.2">
      <c r="A11" s="115" t="str">
        <f>'Summary of Returns'!B14</f>
        <v>Public Facilities</v>
      </c>
      <c r="B11" s="116" t="str">
        <f>'Summary of Returns'!C14</f>
        <v>E</v>
      </c>
      <c r="C11" s="117">
        <f>O68</f>
        <v>314</v>
      </c>
      <c r="D11" s="117">
        <f>O69</f>
        <v>3649587</v>
      </c>
      <c r="E11" s="119">
        <v>522504.48239999998</v>
      </c>
      <c r="F11" s="33">
        <f>O76</f>
        <v>21799.631433803064</v>
      </c>
      <c r="G11" s="33">
        <f>P76</f>
        <v>2788.8888888888887</v>
      </c>
      <c r="H11" s="118">
        <f>Q72</f>
        <v>1603.6111111111111</v>
      </c>
      <c r="I11" s="117">
        <f>R74</f>
        <v>9401.0910558275718</v>
      </c>
      <c r="J11" s="117">
        <f>S74</f>
        <v>2740.4686599942393</v>
      </c>
      <c r="K11" s="117">
        <f>T74</f>
        <v>6660.6223958333321</v>
      </c>
      <c r="L11" s="115"/>
      <c r="N11" s="117">
        <f>C11</f>
        <v>314</v>
      </c>
      <c r="O11" s="117">
        <f>D11</f>
        <v>3649587</v>
      </c>
      <c r="P11" s="63">
        <f>D11/$D$25</f>
        <v>8.3950051510450052E-3</v>
      </c>
      <c r="Q11" s="119">
        <f>E11</f>
        <v>522504.48239999998</v>
      </c>
      <c r="R11" s="63">
        <f>E11/$E$25</f>
        <v>9.2264705947568797E-3</v>
      </c>
      <c r="W11" s="21"/>
      <c r="X11" s="21"/>
      <c r="Y11" s="21"/>
      <c r="Z11" s="21"/>
      <c r="AA11" s="21"/>
    </row>
    <row r="12" spans="1:27" x14ac:dyDescent="0.2">
      <c r="A12" s="115" t="str">
        <f>'Summary of Returns'!B15</f>
        <v>General Power Service 50-500kW</v>
      </c>
      <c r="B12" s="116" t="str">
        <f>'Summary of Returns'!C15</f>
        <v>L</v>
      </c>
      <c r="C12" s="117">
        <f>O78</f>
        <v>119</v>
      </c>
      <c r="D12" s="117">
        <f>O79</f>
        <v>42496124</v>
      </c>
      <c r="E12" s="119">
        <v>5150171.1242999993</v>
      </c>
      <c r="F12" s="33">
        <f>O86</f>
        <v>154813.58300000001</v>
      </c>
      <c r="G12" s="33">
        <f>P86</f>
        <v>13707.6</v>
      </c>
      <c r="H12" s="118">
        <f>Q82</f>
        <v>9945.6807665781889</v>
      </c>
      <c r="I12" s="117">
        <f>R84</f>
        <v>87940.197944919186</v>
      </c>
      <c r="J12" s="117">
        <f>S84</f>
        <v>23044.391125823808</v>
      </c>
      <c r="K12" s="117">
        <f>T84</f>
        <v>64895.806819095378</v>
      </c>
      <c r="L12" s="115"/>
      <c r="N12" s="117">
        <f>C12</f>
        <v>119</v>
      </c>
      <c r="O12" s="117">
        <f>D12</f>
        <v>42496124</v>
      </c>
      <c r="P12" s="63">
        <f>D12/$D$25</f>
        <v>9.7752205901502617E-2</v>
      </c>
      <c r="Q12" s="119">
        <f>E12</f>
        <v>5150171.1242999993</v>
      </c>
      <c r="R12" s="63">
        <f>E12/$E$25</f>
        <v>9.0942573770961252E-2</v>
      </c>
      <c r="W12" s="21"/>
      <c r="X12" s="21"/>
      <c r="Y12" s="21"/>
      <c r="Z12" s="21"/>
      <c r="AA12" s="21"/>
    </row>
    <row r="13" spans="1:27" x14ac:dyDescent="0.2">
      <c r="A13" s="115" t="str">
        <f>'Summary of Returns'!B16</f>
        <v>General Power Service 1000-5000kW</v>
      </c>
      <c r="B13" s="116" t="str">
        <f>'Summary of Returns'!C16</f>
        <v>M</v>
      </c>
      <c r="C13" s="117">
        <f>O88</f>
        <v>0</v>
      </c>
      <c r="D13" s="117">
        <f>O89</f>
        <v>0</v>
      </c>
      <c r="E13" s="119">
        <v>0</v>
      </c>
      <c r="F13" s="33">
        <f>O96</f>
        <v>0</v>
      </c>
      <c r="G13" s="33">
        <f>P96</f>
        <v>0</v>
      </c>
      <c r="H13" s="118">
        <f>Q92</f>
        <v>0</v>
      </c>
      <c r="I13" s="117">
        <f>R94</f>
        <v>0</v>
      </c>
      <c r="J13" s="117">
        <f>S94</f>
        <v>0</v>
      </c>
      <c r="K13" s="117">
        <f>T94</f>
        <v>0</v>
      </c>
      <c r="L13" s="115"/>
      <c r="N13" s="117">
        <f>C13</f>
        <v>0</v>
      </c>
      <c r="O13" s="117">
        <f>D13</f>
        <v>0</v>
      </c>
      <c r="P13" s="63">
        <f>D13/$D$25</f>
        <v>0</v>
      </c>
      <c r="Q13" s="119">
        <f>E13</f>
        <v>0</v>
      </c>
      <c r="R13" s="63">
        <f>E13/$E$25</f>
        <v>0</v>
      </c>
      <c r="W13" s="21"/>
      <c r="X13" s="21"/>
      <c r="Y13" s="21"/>
      <c r="Z13" s="21"/>
      <c r="AA13" s="21"/>
    </row>
    <row r="14" spans="1:27" x14ac:dyDescent="0.2">
      <c r="A14" s="115" t="str">
        <f>'Summary of Returns'!B17</f>
        <v>General Power Service 500+kW</v>
      </c>
      <c r="B14" s="116" t="str">
        <f>'Summary of Returns'!C17</f>
        <v>P</v>
      </c>
      <c r="C14" s="117">
        <f>O98</f>
        <v>8</v>
      </c>
      <c r="D14" s="117">
        <f>O99</f>
        <v>21237280</v>
      </c>
      <c r="E14" s="119">
        <v>2213581.8679999998</v>
      </c>
      <c r="F14" s="33">
        <f>O106</f>
        <v>69479.34</v>
      </c>
      <c r="G14" s="33">
        <f>P106</f>
        <v>6373.58</v>
      </c>
      <c r="H14" s="118">
        <f>Q102</f>
        <v>6373.58</v>
      </c>
      <c r="I14" s="117">
        <f>R104</f>
        <v>55583.472000000002</v>
      </c>
      <c r="J14" s="117">
        <f>S104</f>
        <v>14417.536</v>
      </c>
      <c r="K14" s="117">
        <f>T104</f>
        <v>41165.936000000002</v>
      </c>
      <c r="L14" s="115"/>
      <c r="N14" s="117">
        <f>C14</f>
        <v>8</v>
      </c>
      <c r="O14" s="117">
        <f>D14</f>
        <v>21237280</v>
      </c>
      <c r="P14" s="63">
        <f>D14/$D$25</f>
        <v>4.8851301529237431E-2</v>
      </c>
      <c r="Q14" s="119">
        <f>E14</f>
        <v>2213581.8679999998</v>
      </c>
      <c r="R14" s="63">
        <f>E14/$E$25</f>
        <v>3.9087794846042842E-2</v>
      </c>
      <c r="W14" s="21"/>
      <c r="X14" s="21"/>
      <c r="Y14" s="21"/>
      <c r="Z14" s="21"/>
      <c r="AA14" s="21"/>
    </row>
    <row r="15" spans="1:27" x14ac:dyDescent="0.2">
      <c r="A15" s="115" t="str">
        <f>'Summary of Returns'!B18</f>
        <v>Large Industrial Rate</v>
      </c>
      <c r="B15" s="116" t="str">
        <f>'Summary of Returns'!C18</f>
        <v>B-1</v>
      </c>
      <c r="C15" s="117">
        <f>O108</f>
        <v>1</v>
      </c>
      <c r="D15" s="117">
        <f>O109</f>
        <v>9599778</v>
      </c>
      <c r="E15" s="119">
        <v>857825.64365600003</v>
      </c>
      <c r="F15" s="33">
        <f>O116</f>
        <v>19939.05</v>
      </c>
      <c r="G15" s="33">
        <f>P116</f>
        <v>1694.7</v>
      </c>
      <c r="H15" s="118">
        <f>Q112</f>
        <v>1694.7</v>
      </c>
      <c r="I15" s="117">
        <f>R114</f>
        <v>15951.240000000002</v>
      </c>
      <c r="J15" s="117">
        <f>S114</f>
        <v>3961.8560000000007</v>
      </c>
      <c r="K15" s="117">
        <f>T114</f>
        <v>11989.384000000002</v>
      </c>
      <c r="L15" s="115"/>
      <c r="N15" s="117">
        <f>C15</f>
        <v>1</v>
      </c>
      <c r="O15" s="117">
        <f>D15</f>
        <v>9599778</v>
      </c>
      <c r="P15" s="63">
        <f>D15/$D$25</f>
        <v>2.2082001541239737E-2</v>
      </c>
      <c r="Q15" s="119">
        <f>E15</f>
        <v>857825.64365600003</v>
      </c>
      <c r="R15" s="63">
        <f>E15/$E$25</f>
        <v>1.5147627136644212E-2</v>
      </c>
      <c r="W15" s="21"/>
      <c r="X15" s="21"/>
      <c r="Y15" s="21"/>
      <c r="Z15" s="21"/>
      <c r="AA15" s="21"/>
    </row>
    <row r="16" spans="1:27" x14ac:dyDescent="0.2">
      <c r="A16" s="115" t="str">
        <f>'Summary of Returns'!B19</f>
        <v>Lighting</v>
      </c>
      <c r="B16" s="116" t="str">
        <f>'Summary of Returns'!C19</f>
        <v>S,T,O</v>
      </c>
      <c r="C16" s="117">
        <f>O118</f>
        <v>9988</v>
      </c>
      <c r="D16" s="117">
        <f>O119</f>
        <v>3978657</v>
      </c>
      <c r="E16" s="119">
        <v>1187646.0499999998</v>
      </c>
      <c r="F16" s="33">
        <f>O126</f>
        <v>10909.789714541732</v>
      </c>
      <c r="G16" s="33">
        <f>P126</f>
        <v>987.41964285714289</v>
      </c>
      <c r="H16" s="118">
        <f>Q122</f>
        <v>987.41964285714289</v>
      </c>
      <c r="I16" s="117">
        <f>R124</f>
        <v>5395.0776881720431</v>
      </c>
      <c r="J16" s="117">
        <f>S124</f>
        <v>0</v>
      </c>
      <c r="K16" s="117">
        <f>T124</f>
        <v>5395.0776881720431</v>
      </c>
      <c r="L16" s="115"/>
      <c r="N16" s="117">
        <f>C16</f>
        <v>9988</v>
      </c>
      <c r="O16" s="117">
        <f>D16</f>
        <v>3978657</v>
      </c>
      <c r="P16" s="63">
        <f>D16/$D$25</f>
        <v>9.1519522645278125E-3</v>
      </c>
      <c r="Q16" s="119">
        <f>E16</f>
        <v>1187646.0499999998</v>
      </c>
      <c r="R16" s="63">
        <f>E16/$E$25</f>
        <v>2.0971650438235852E-2</v>
      </c>
      <c r="W16" s="21"/>
      <c r="X16" s="21"/>
      <c r="Y16" s="21"/>
      <c r="Z16" s="21"/>
      <c r="AA16" s="21"/>
    </row>
    <row r="17" spans="1:27" hidden="1" x14ac:dyDescent="0.2">
      <c r="A17" s="115" t="str">
        <f>'Summary of Returns'!B21</f>
        <v>N/A</v>
      </c>
      <c r="B17" s="116" t="str">
        <f>'Summary of Returns'!C21</f>
        <v>n/a</v>
      </c>
      <c r="C17" s="117">
        <f>O128</f>
        <v>0</v>
      </c>
      <c r="D17" s="117">
        <f>O129</f>
        <v>0</v>
      </c>
      <c r="E17" s="119">
        <v>0</v>
      </c>
      <c r="F17" s="33">
        <f>O136</f>
        <v>0</v>
      </c>
      <c r="G17" s="33">
        <f>P136</f>
        <v>0</v>
      </c>
      <c r="H17" s="118">
        <f>Q132</f>
        <v>0</v>
      </c>
      <c r="I17" s="117">
        <f>R134</f>
        <v>0</v>
      </c>
      <c r="J17" s="117">
        <f>S134</f>
        <v>0</v>
      </c>
      <c r="K17" s="117">
        <f>T134</f>
        <v>0</v>
      </c>
      <c r="L17" s="115"/>
      <c r="N17" s="117">
        <f>C17</f>
        <v>0</v>
      </c>
      <c r="O17" s="117">
        <f>D17</f>
        <v>0</v>
      </c>
      <c r="P17" s="63">
        <f>D17/$D$25</f>
        <v>0</v>
      </c>
      <c r="Q17" s="119">
        <f>E17</f>
        <v>0</v>
      </c>
      <c r="R17" s="63">
        <f>E17/$E$25</f>
        <v>0</v>
      </c>
      <c r="W17" s="21"/>
      <c r="X17" s="21"/>
      <c r="Y17" s="21"/>
      <c r="Z17" s="21"/>
      <c r="AA17" s="21"/>
    </row>
    <row r="18" spans="1:27" hidden="1" x14ac:dyDescent="0.2">
      <c r="A18" s="115">
        <f>'Summary of Returns'!B22</f>
        <v>0</v>
      </c>
      <c r="B18" s="116">
        <f>'Summary of Returns'!C22</f>
        <v>0</v>
      </c>
      <c r="C18" s="117">
        <v>0</v>
      </c>
      <c r="D18" s="117">
        <f>O139</f>
        <v>0</v>
      </c>
      <c r="E18" s="117">
        <v>0</v>
      </c>
      <c r="F18" s="33">
        <f>O146</f>
        <v>0</v>
      </c>
      <c r="G18" s="33">
        <f>P146</f>
        <v>0</v>
      </c>
      <c r="H18" s="117">
        <f>Q142</f>
        <v>0</v>
      </c>
      <c r="I18" s="117">
        <f>R144</f>
        <v>0</v>
      </c>
      <c r="J18" s="117">
        <f>S144</f>
        <v>0</v>
      </c>
      <c r="K18" s="117">
        <f>T144</f>
        <v>0</v>
      </c>
      <c r="L18" s="115"/>
      <c r="N18" s="117">
        <f>C18</f>
        <v>0</v>
      </c>
      <c r="O18" s="117">
        <f>D18</f>
        <v>0</v>
      </c>
      <c r="P18" s="117">
        <f>D18/$D$25</f>
        <v>0</v>
      </c>
      <c r="Q18" s="119">
        <f>E18</f>
        <v>0</v>
      </c>
      <c r="R18" s="117">
        <f>E18/$E$25</f>
        <v>0</v>
      </c>
      <c r="W18" s="21"/>
      <c r="X18" s="21"/>
      <c r="Y18" s="21"/>
      <c r="Z18" s="21"/>
      <c r="AA18" s="21"/>
    </row>
    <row r="19" spans="1:27" hidden="1" x14ac:dyDescent="0.2">
      <c r="A19" s="115">
        <f>'Summary of Returns'!B23</f>
        <v>0</v>
      </c>
      <c r="B19" s="116">
        <f>'Summary of Returns'!C23</f>
        <v>0</v>
      </c>
      <c r="C19" s="117">
        <v>0</v>
      </c>
      <c r="D19" s="117">
        <f>O149</f>
        <v>0</v>
      </c>
      <c r="E19" s="117">
        <v>0</v>
      </c>
      <c r="F19" s="33">
        <f>O156</f>
        <v>0</v>
      </c>
      <c r="G19" s="33">
        <f>P156</f>
        <v>0</v>
      </c>
      <c r="H19" s="33">
        <f>Q152</f>
        <v>0</v>
      </c>
      <c r="I19" s="117">
        <f>R154</f>
        <v>0</v>
      </c>
      <c r="J19" s="117">
        <f>S154</f>
        <v>0</v>
      </c>
      <c r="K19" s="117">
        <f>T154</f>
        <v>0</v>
      </c>
      <c r="L19" s="115"/>
      <c r="N19" s="117">
        <f>C19</f>
        <v>0</v>
      </c>
      <c r="O19" s="117">
        <f>D19</f>
        <v>0</v>
      </c>
      <c r="P19" s="117">
        <f>D19/$D$25</f>
        <v>0</v>
      </c>
      <c r="Q19" s="119">
        <f>E19</f>
        <v>0</v>
      </c>
      <c r="R19" s="117">
        <f>E19/$E$25</f>
        <v>0</v>
      </c>
      <c r="W19" s="21"/>
      <c r="X19" s="21"/>
      <c r="Y19" s="21"/>
      <c r="Z19" s="21"/>
      <c r="AA19" s="21"/>
    </row>
    <row r="20" spans="1:27" hidden="1" x14ac:dyDescent="0.2">
      <c r="A20" s="115">
        <f>'Summary of Returns'!B24</f>
        <v>0</v>
      </c>
      <c r="B20" s="116">
        <f>'Summary of Returns'!C24</f>
        <v>0</v>
      </c>
      <c r="C20" s="117">
        <v>0</v>
      </c>
      <c r="D20" s="117">
        <f>O159</f>
        <v>0</v>
      </c>
      <c r="E20" s="117">
        <v>0</v>
      </c>
      <c r="F20" s="33">
        <f>O166</f>
        <v>0</v>
      </c>
      <c r="G20" s="33">
        <f>P166</f>
        <v>0</v>
      </c>
      <c r="H20" s="118">
        <f>Q162</f>
        <v>0</v>
      </c>
      <c r="I20" s="117">
        <f>R164</f>
        <v>0</v>
      </c>
      <c r="J20" s="117">
        <f>S164</f>
        <v>0</v>
      </c>
      <c r="K20" s="117">
        <f>T164</f>
        <v>0</v>
      </c>
      <c r="L20" s="115"/>
      <c r="N20" s="117">
        <f>C20</f>
        <v>0</v>
      </c>
      <c r="O20" s="117">
        <f>D20</f>
        <v>0</v>
      </c>
      <c r="P20" s="117">
        <f>D20/$D$25</f>
        <v>0</v>
      </c>
      <c r="Q20" s="119">
        <f>E20</f>
        <v>0</v>
      </c>
      <c r="R20" s="117">
        <f>E20/$E$25</f>
        <v>0</v>
      </c>
      <c r="W20" s="21"/>
      <c r="X20" s="21"/>
      <c r="Y20" s="21"/>
      <c r="Z20" s="21"/>
      <c r="AA20" s="21"/>
    </row>
    <row r="21" spans="1:27" hidden="1" x14ac:dyDescent="0.2">
      <c r="A21" s="115">
        <f>'Summary of Returns'!B25</f>
        <v>0</v>
      </c>
      <c r="B21" s="116">
        <f>'Summary of Returns'!C25</f>
        <v>0</v>
      </c>
      <c r="C21" s="117">
        <v>0</v>
      </c>
      <c r="D21" s="117">
        <f>O169</f>
        <v>0</v>
      </c>
      <c r="E21" s="117"/>
      <c r="F21" s="33">
        <f>O176</f>
        <v>0</v>
      </c>
      <c r="G21" s="33">
        <f>P176</f>
        <v>0</v>
      </c>
      <c r="H21" s="118">
        <f>Q172</f>
        <v>0</v>
      </c>
      <c r="I21" s="117">
        <f>R174</f>
        <v>0</v>
      </c>
      <c r="J21" s="117">
        <f>S174</f>
        <v>0</v>
      </c>
      <c r="K21" s="117">
        <f>T174</f>
        <v>0</v>
      </c>
      <c r="L21" s="115"/>
      <c r="N21" s="117">
        <f>C21</f>
        <v>0</v>
      </c>
      <c r="O21" s="117">
        <f>D21</f>
        <v>0</v>
      </c>
      <c r="P21" s="117">
        <f>D21/$D$25</f>
        <v>0</v>
      </c>
      <c r="Q21" s="117">
        <f>E21</f>
        <v>0</v>
      </c>
      <c r="R21" s="117">
        <f>E21/$E$25</f>
        <v>0</v>
      </c>
      <c r="W21" s="21"/>
      <c r="X21" s="21"/>
      <c r="Y21" s="21"/>
      <c r="Z21" s="21"/>
      <c r="AA21" s="21"/>
    </row>
    <row r="22" spans="1:27" hidden="1" x14ac:dyDescent="0.2">
      <c r="A22" s="115">
        <f>'Summary of Returns'!B26</f>
        <v>0</v>
      </c>
      <c r="B22" s="116">
        <f>'Summary of Returns'!C26</f>
        <v>0</v>
      </c>
      <c r="C22" s="117">
        <v>0</v>
      </c>
      <c r="D22" s="117">
        <f>O179</f>
        <v>0</v>
      </c>
      <c r="E22" s="117"/>
      <c r="F22" s="33">
        <f>O186</f>
        <v>0</v>
      </c>
      <c r="G22" s="33">
        <f>P186</f>
        <v>0</v>
      </c>
      <c r="H22" s="118">
        <f>Q182</f>
        <v>0</v>
      </c>
      <c r="I22" s="117">
        <f>R184</f>
        <v>0</v>
      </c>
      <c r="J22" s="117">
        <f>S184</f>
        <v>0</v>
      </c>
      <c r="K22" s="117">
        <f>T184</f>
        <v>0</v>
      </c>
      <c r="L22" s="115"/>
      <c r="N22" s="117">
        <f>C22</f>
        <v>0</v>
      </c>
      <c r="O22" s="117">
        <f>D22</f>
        <v>0</v>
      </c>
      <c r="P22" s="117">
        <f>D22/$D$25</f>
        <v>0</v>
      </c>
      <c r="Q22" s="117">
        <f>E22</f>
        <v>0</v>
      </c>
      <c r="R22" s="117">
        <f>E22/$E$25</f>
        <v>0</v>
      </c>
      <c r="W22" s="21"/>
      <c r="X22" s="21"/>
      <c r="Y22" s="21"/>
      <c r="Z22" s="21"/>
      <c r="AA22" s="21"/>
    </row>
    <row r="23" spans="1:27" hidden="1" x14ac:dyDescent="0.2">
      <c r="A23" s="115">
        <f>'Summary of Returns'!B27</f>
        <v>0</v>
      </c>
      <c r="B23" s="116">
        <f>'Summary of Returns'!C27</f>
        <v>0</v>
      </c>
      <c r="C23" s="117">
        <v>0</v>
      </c>
      <c r="D23" s="117">
        <f>O189</f>
        <v>0</v>
      </c>
      <c r="E23" s="117"/>
      <c r="F23" s="33">
        <f>O196</f>
        <v>0</v>
      </c>
      <c r="G23" s="33">
        <f>P196</f>
        <v>0</v>
      </c>
      <c r="H23" s="118">
        <f>Q192</f>
        <v>0</v>
      </c>
      <c r="I23" s="117">
        <f>R194</f>
        <v>0</v>
      </c>
      <c r="J23" s="117">
        <f>S194</f>
        <v>0</v>
      </c>
      <c r="K23" s="117">
        <f>T194</f>
        <v>0</v>
      </c>
      <c r="L23" s="115"/>
      <c r="N23" s="117">
        <f>C23</f>
        <v>0</v>
      </c>
      <c r="O23" s="117">
        <f>D23</f>
        <v>0</v>
      </c>
      <c r="P23" s="117">
        <f>D23/$D$25</f>
        <v>0</v>
      </c>
      <c r="Q23" s="117">
        <f>E23</f>
        <v>0</v>
      </c>
      <c r="R23" s="117">
        <f>E23/$E$25</f>
        <v>0</v>
      </c>
      <c r="W23" s="21"/>
      <c r="X23" s="21"/>
      <c r="Y23" s="21"/>
      <c r="Z23" s="21"/>
      <c r="AA23" s="21"/>
    </row>
    <row r="24" spans="1:27" x14ac:dyDescent="0.2">
      <c r="A24" s="30"/>
      <c r="C24" s="117"/>
      <c r="D24" s="117"/>
      <c r="E24" s="117"/>
      <c r="F24" s="33"/>
      <c r="G24" s="33"/>
      <c r="H24" s="33"/>
      <c r="I24" s="33"/>
      <c r="J24" s="33"/>
      <c r="K24" s="33"/>
      <c r="L24" s="30"/>
      <c r="N24" s="117"/>
      <c r="O24" s="117"/>
      <c r="P24" s="117"/>
      <c r="Q24" s="117"/>
      <c r="R24" s="63"/>
    </row>
    <row r="25" spans="1:27" x14ac:dyDescent="0.2">
      <c r="A25" s="24" t="s">
        <v>0</v>
      </c>
      <c r="B25" s="121"/>
      <c r="C25" s="122">
        <f t="shared" ref="C25:K25" si="0">SUM(C8:C24)</f>
        <v>38158</v>
      </c>
      <c r="D25" s="122">
        <f t="shared" si="0"/>
        <v>434733146</v>
      </c>
      <c r="E25" s="123">
        <f t="shared" si="0"/>
        <v>56631024.510816008</v>
      </c>
      <c r="F25" s="124">
        <f t="shared" si="0"/>
        <v>2919792.9762314339</v>
      </c>
      <c r="G25" s="124">
        <f t="shared" si="0"/>
        <v>378466.69067882071</v>
      </c>
      <c r="H25" s="124">
        <f t="shared" si="0"/>
        <v>175934.70928485133</v>
      </c>
      <c r="I25" s="124">
        <f t="shared" si="0"/>
        <v>1101637.0004527234</v>
      </c>
      <c r="J25" s="124">
        <f t="shared" si="0"/>
        <v>260838.00028633341</v>
      </c>
      <c r="K25" s="124">
        <f t="shared" si="0"/>
        <v>840799.00016638974</v>
      </c>
      <c r="L25" s="24"/>
      <c r="M25" s="177"/>
      <c r="N25" s="122">
        <f>C25</f>
        <v>38158</v>
      </c>
      <c r="O25" s="122">
        <f>D25</f>
        <v>434733146</v>
      </c>
      <c r="P25" s="125">
        <f>D25/$D$25</f>
        <v>1</v>
      </c>
      <c r="Q25" s="123">
        <f>E25</f>
        <v>56631024.510816008</v>
      </c>
      <c r="R25" s="125">
        <f>E25/$E$25</f>
        <v>1</v>
      </c>
      <c r="W25" s="21"/>
      <c r="X25" s="21"/>
      <c r="Y25" s="21"/>
      <c r="Z25" s="21"/>
      <c r="AA25" s="21"/>
    </row>
    <row r="26" spans="1:27" x14ac:dyDescent="0.2">
      <c r="A26" s="30" t="s">
        <v>1168</v>
      </c>
      <c r="C26" s="117">
        <f>C25-C15-C16-C17</f>
        <v>28169</v>
      </c>
      <c r="D26" s="117"/>
      <c r="E26" s="119"/>
      <c r="F26" s="33"/>
      <c r="G26" s="33"/>
      <c r="H26" s="33"/>
      <c r="I26" s="33"/>
      <c r="J26" s="33"/>
      <c r="K26" s="33"/>
      <c r="L26" s="47"/>
      <c r="N26" s="117">
        <f>C26</f>
        <v>28169</v>
      </c>
      <c r="O26" s="117"/>
      <c r="P26" s="119"/>
      <c r="Q26" s="47"/>
      <c r="R26" s="120"/>
    </row>
    <row r="27" spans="1:27" x14ac:dyDescent="0.2">
      <c r="A27" s="30"/>
      <c r="C27" s="117"/>
      <c r="D27" s="117"/>
      <c r="E27" s="119"/>
      <c r="F27" s="33"/>
      <c r="G27" s="33"/>
      <c r="H27" s="33"/>
      <c r="I27" s="33"/>
      <c r="J27" s="33"/>
      <c r="K27" s="33"/>
      <c r="L27" s="47"/>
      <c r="M27" s="117"/>
      <c r="N27" s="117"/>
      <c r="O27" s="119"/>
      <c r="P27" s="47"/>
      <c r="Q27" s="120"/>
      <c r="R27" s="120"/>
    </row>
    <row r="28" spans="1:27" x14ac:dyDescent="0.2">
      <c r="C28" s="47">
        <v>28347</v>
      </c>
      <c r="D28" s="117">
        <v>434732946</v>
      </c>
      <c r="E28" s="119">
        <v>56421579</v>
      </c>
      <c r="F28" s="117" t="s">
        <v>1181</v>
      </c>
      <c r="G28" s="232">
        <v>2024</v>
      </c>
      <c r="H28" s="33"/>
      <c r="I28" s="33"/>
      <c r="J28" s="33"/>
      <c r="K28" s="33"/>
      <c r="L28" s="47"/>
      <c r="M28" s="117"/>
      <c r="N28" s="117"/>
      <c r="O28" s="119"/>
      <c r="Q28" s="33"/>
    </row>
    <row r="29" spans="1:27" x14ac:dyDescent="0.2">
      <c r="C29" s="117">
        <f>C26-C28</f>
        <v>-178</v>
      </c>
      <c r="D29" s="117">
        <f>D25-D28</f>
        <v>200</v>
      </c>
      <c r="E29" s="117">
        <f>E25-E28</f>
        <v>209445.51081600785</v>
      </c>
      <c r="F29" s="117" t="s">
        <v>1182</v>
      </c>
      <c r="G29" s="33"/>
      <c r="H29" s="33"/>
      <c r="I29" s="33"/>
      <c r="J29" s="33"/>
      <c r="K29" s="33"/>
      <c r="L29" s="47"/>
      <c r="M29" s="117"/>
      <c r="N29" s="117"/>
      <c r="O29" s="117"/>
      <c r="Q29" s="33"/>
    </row>
    <row r="30" spans="1:27" x14ac:dyDescent="0.2">
      <c r="C30" s="63">
        <f>C29/C28</f>
        <v>-6.2793240907327054E-3</v>
      </c>
      <c r="D30" s="63">
        <f>D29/D28</f>
        <v>4.6005254913438281E-7</v>
      </c>
      <c r="E30" s="63">
        <f>E29/E28</f>
        <v>3.7121525935317735E-3</v>
      </c>
      <c r="F30" s="47" t="s">
        <v>1182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33"/>
    </row>
    <row r="31" spans="1:27" x14ac:dyDescent="0.2"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U31" s="115"/>
      <c r="W31" s="115"/>
    </row>
    <row r="32" spans="1:27" x14ac:dyDescent="0.2">
      <c r="A32" s="13" t="str">
        <f>A1</f>
        <v>CLARK ENERGY COOPERATIVE</v>
      </c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126"/>
      <c r="Q32" s="126"/>
      <c r="U32" s="115"/>
      <c r="W32" s="115"/>
    </row>
    <row r="33" spans="1:23" x14ac:dyDescent="0.2">
      <c r="A33" s="14" t="s">
        <v>677</v>
      </c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1"/>
      <c r="P33" s="126"/>
      <c r="Q33" s="126"/>
      <c r="U33" s="115"/>
      <c r="W33" s="115"/>
    </row>
    <row r="34" spans="1:23" ht="30.75" customHeight="1" x14ac:dyDescent="0.2">
      <c r="C34" s="184">
        <f>C205</f>
        <v>-4.4339685700833797E-8</v>
      </c>
      <c r="D34" s="184">
        <f t="shared" ref="D34:N34" si="1">D205</f>
        <v>1.6523516387678683E-4</v>
      </c>
      <c r="E34" s="184">
        <f t="shared" si="1"/>
        <v>4.1514707845635712E-5</v>
      </c>
      <c r="F34" s="184">
        <f t="shared" si="1"/>
        <v>-1.0944277164526284E-4</v>
      </c>
      <c r="G34" s="184">
        <f t="shared" si="1"/>
        <v>-1.4000908413436264E-4</v>
      </c>
      <c r="H34" s="184">
        <f t="shared" si="1"/>
        <v>-1.3949384447187185E-4</v>
      </c>
      <c r="I34" s="184">
        <f t="shared" si="1"/>
        <v>-1.4491195906884968E-4</v>
      </c>
      <c r="J34" s="184">
        <f t="shared" si="1"/>
        <v>-1.9276340026408434E-6</v>
      </c>
      <c r="K34" s="184">
        <f t="shared" si="1"/>
        <v>-1.1191325029358268E-5</v>
      </c>
      <c r="L34" s="184">
        <f t="shared" si="1"/>
        <v>-2.4432665668427944E-8</v>
      </c>
      <c r="M34" s="184">
        <f t="shared" si="1"/>
        <v>-1.1154191452078521E-4</v>
      </c>
      <c r="N34" s="184">
        <f t="shared" si="1"/>
        <v>-8.8586239144206047E-7</v>
      </c>
      <c r="O34" s="212"/>
      <c r="P34" s="47"/>
      <c r="Q34" s="127" t="s">
        <v>694</v>
      </c>
    </row>
    <row r="35" spans="1:23" x14ac:dyDescent="0.2">
      <c r="C35" s="184">
        <f>C205</f>
        <v>-4.4339685700833797E-8</v>
      </c>
      <c r="D35" s="184">
        <f t="shared" ref="D35:N35" si="2">D205</f>
        <v>1.6523516387678683E-4</v>
      </c>
      <c r="E35" s="184">
        <f t="shared" si="2"/>
        <v>4.1514707845635712E-5</v>
      </c>
      <c r="F35" s="184">
        <f t="shared" si="2"/>
        <v>-1.0944277164526284E-4</v>
      </c>
      <c r="G35" s="184">
        <f t="shared" si="2"/>
        <v>-1.4000908413436264E-4</v>
      </c>
      <c r="H35" s="184">
        <f t="shared" si="2"/>
        <v>-1.3949384447187185E-4</v>
      </c>
      <c r="I35" s="184">
        <f t="shared" si="2"/>
        <v>-1.4491195906884968E-4</v>
      </c>
      <c r="J35" s="184">
        <f t="shared" si="2"/>
        <v>-1.9276340026408434E-6</v>
      </c>
      <c r="K35" s="184">
        <f t="shared" si="2"/>
        <v>-1.1191325029358268E-5</v>
      </c>
      <c r="L35" s="184">
        <f t="shared" si="2"/>
        <v>-2.4432665668427944E-8</v>
      </c>
      <c r="M35" s="184">
        <f t="shared" si="2"/>
        <v>-1.1154191452078521E-4</v>
      </c>
      <c r="N35" s="184">
        <f t="shared" si="2"/>
        <v>-8.8586239144206047E-7</v>
      </c>
      <c r="O35" s="47"/>
      <c r="P35" s="21" t="s">
        <v>689</v>
      </c>
      <c r="Q35" s="128" t="s">
        <v>695</v>
      </c>
      <c r="R35" s="21" t="s">
        <v>685</v>
      </c>
      <c r="S35" s="21" t="s">
        <v>687</v>
      </c>
      <c r="T35" s="21" t="s">
        <v>688</v>
      </c>
    </row>
    <row r="36" spans="1:23" s="133" customFormat="1" ht="15" x14ac:dyDescent="0.35">
      <c r="A36" s="129" t="s">
        <v>871</v>
      </c>
      <c r="B36" s="130" t="s">
        <v>872</v>
      </c>
      <c r="C36" s="131" t="s">
        <v>1028</v>
      </c>
      <c r="D36" s="131" t="s">
        <v>1029</v>
      </c>
      <c r="E36" s="131" t="s">
        <v>1030</v>
      </c>
      <c r="F36" s="131" t="s">
        <v>1031</v>
      </c>
      <c r="G36" s="131" t="s">
        <v>1032</v>
      </c>
      <c r="H36" s="131" t="s">
        <v>1033</v>
      </c>
      <c r="I36" s="131" t="s">
        <v>1034</v>
      </c>
      <c r="J36" s="131" t="s">
        <v>1035</v>
      </c>
      <c r="K36" s="131" t="s">
        <v>1036</v>
      </c>
      <c r="L36" s="131" t="s">
        <v>1037</v>
      </c>
      <c r="M36" s="131" t="s">
        <v>1038</v>
      </c>
      <c r="N36" s="131" t="s">
        <v>1039</v>
      </c>
      <c r="O36" s="132" t="s">
        <v>0</v>
      </c>
      <c r="P36" s="132" t="s">
        <v>683</v>
      </c>
      <c r="Q36" s="132" t="s">
        <v>696</v>
      </c>
      <c r="R36" s="132" t="s">
        <v>690</v>
      </c>
      <c r="S36" s="132" t="s">
        <v>690</v>
      </c>
      <c r="T36" s="132" t="s">
        <v>690</v>
      </c>
    </row>
    <row r="37" spans="1:23" x14ac:dyDescent="0.2"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33"/>
    </row>
    <row r="38" spans="1:23" x14ac:dyDescent="0.2">
      <c r="A38" s="15" t="str">
        <f>A8</f>
        <v>Residential</v>
      </c>
      <c r="B38" s="55" t="str">
        <f>B8</f>
        <v>R</v>
      </c>
      <c r="C38" s="47">
        <v>25559</v>
      </c>
      <c r="D38" s="47">
        <v>25632.731471535983</v>
      </c>
      <c r="E38" s="47">
        <v>25566.537056928035</v>
      </c>
      <c r="F38" s="47">
        <v>25582.268528464017</v>
      </c>
      <c r="G38" s="47">
        <v>25649.268528464017</v>
      </c>
      <c r="H38" s="47">
        <v>25690.999999999996</v>
      </c>
      <c r="I38" s="47">
        <v>25692.268528464017</v>
      </c>
      <c r="J38" s="47">
        <v>25767</v>
      </c>
      <c r="K38" s="47">
        <v>25768.268528464017</v>
      </c>
      <c r="L38" s="47">
        <v>25798</v>
      </c>
      <c r="M38" s="47">
        <v>25817</v>
      </c>
      <c r="N38" s="47">
        <v>25811</v>
      </c>
      <c r="O38" s="47">
        <f>ROUND(SUM(C38:N38)/12,0)</f>
        <v>25695</v>
      </c>
      <c r="P38" s="47"/>
      <c r="Q38" s="33"/>
    </row>
    <row r="39" spans="1:23" x14ac:dyDescent="0.2">
      <c r="A39" s="14" t="s">
        <v>1049</v>
      </c>
      <c r="C39" s="47">
        <v>36533128</v>
      </c>
      <c r="D39" s="47">
        <v>43083272</v>
      </c>
      <c r="E39" s="47">
        <v>26224613</v>
      </c>
      <c r="F39" s="47">
        <v>22323081</v>
      </c>
      <c r="G39" s="47">
        <v>19792652</v>
      </c>
      <c r="H39" s="47">
        <v>22454753</v>
      </c>
      <c r="I39" s="47">
        <v>27158849</v>
      </c>
      <c r="J39" s="47">
        <v>28955314</v>
      </c>
      <c r="K39" s="47">
        <v>25646435</v>
      </c>
      <c r="L39" s="47">
        <v>19716989</v>
      </c>
      <c r="M39" s="47">
        <v>19751055</v>
      </c>
      <c r="N39" s="47">
        <v>29732895</v>
      </c>
      <c r="O39" s="47">
        <f>SUM(C39:N39)</f>
        <v>321373036</v>
      </c>
      <c r="P39" s="126"/>
      <c r="Q39" s="126"/>
      <c r="U39" s="115"/>
      <c r="W39" s="115"/>
    </row>
    <row r="40" spans="1:23" x14ac:dyDescent="0.2">
      <c r="A40" s="14" t="s">
        <v>680</v>
      </c>
      <c r="C40" s="47">
        <f>C39/744</f>
        <v>49103.666666666664</v>
      </c>
      <c r="D40" s="47">
        <f>D39/720</f>
        <v>59837.87777777778</v>
      </c>
      <c r="E40" s="47">
        <f t="shared" ref="E40:N40" si="3">E39/744</f>
        <v>35248.135752688169</v>
      </c>
      <c r="F40" s="47">
        <f>F39/720</f>
        <v>31004.279166666667</v>
      </c>
      <c r="G40" s="47">
        <f t="shared" si="3"/>
        <v>26603.026881720431</v>
      </c>
      <c r="H40" s="45">
        <f>H39/744</f>
        <v>30181.119623655915</v>
      </c>
      <c r="I40" s="45">
        <f>I39/672</f>
        <v>40414.953869047618</v>
      </c>
      <c r="J40" s="47">
        <f t="shared" si="3"/>
        <v>38918.432795698922</v>
      </c>
      <c r="K40" s="47">
        <f>K39/720</f>
        <v>35620.048611111109</v>
      </c>
      <c r="L40" s="47">
        <f t="shared" si="3"/>
        <v>26501.329301075268</v>
      </c>
      <c r="M40" s="47">
        <f>M39/720</f>
        <v>27432.020833333332</v>
      </c>
      <c r="N40" s="47">
        <f t="shared" si="3"/>
        <v>39963.568548387098</v>
      </c>
      <c r="O40" s="47">
        <f>O39/8760</f>
        <v>36686.419634703198</v>
      </c>
      <c r="P40" s="47"/>
      <c r="Q40" s="47"/>
    </row>
    <row r="41" spans="1:23" x14ac:dyDescent="0.2">
      <c r="A41" s="14" t="s">
        <v>756</v>
      </c>
      <c r="C41" s="63">
        <v>0.59086536144895696</v>
      </c>
      <c r="D41" s="63">
        <v>0.41656598452513183</v>
      </c>
      <c r="E41" s="63">
        <v>0.37333055090220102</v>
      </c>
      <c r="F41" s="63">
        <v>0.43271466665335589</v>
      </c>
      <c r="G41" s="63">
        <v>0.45915984743756605</v>
      </c>
      <c r="H41" s="63">
        <v>0.5017188946454384</v>
      </c>
      <c r="I41" s="63">
        <v>0.54736484876490121</v>
      </c>
      <c r="J41" s="63">
        <v>0.48820171806562929</v>
      </c>
      <c r="K41" s="63">
        <v>0.46530600389243476</v>
      </c>
      <c r="L41" s="63">
        <v>0.44964639502752035</v>
      </c>
      <c r="M41" s="63">
        <v>0.5418412568420109</v>
      </c>
      <c r="N41" s="63">
        <v>0.49135156047750445</v>
      </c>
      <c r="O41" s="63"/>
      <c r="Q41" s="33"/>
    </row>
    <row r="42" spans="1:23" x14ac:dyDescent="0.2">
      <c r="A42" s="14" t="s">
        <v>757</v>
      </c>
      <c r="C42" s="47">
        <f>C40/C41</f>
        <v>83104.662873199384</v>
      </c>
      <c r="D42" s="47">
        <f t="shared" ref="D42:N42" si="4">D40/D41</f>
        <v>143645.61678263411</v>
      </c>
      <c r="E42" s="47">
        <f t="shared" si="4"/>
        <v>94415.353009568978</v>
      </c>
      <c r="F42" s="47">
        <f t="shared" si="4"/>
        <v>71650.631596233681</v>
      </c>
      <c r="G42" s="47">
        <f t="shared" si="4"/>
        <v>57938.487065417365</v>
      </c>
      <c r="H42" s="47">
        <f t="shared" si="4"/>
        <v>60155.437528388728</v>
      </c>
      <c r="I42" s="47">
        <f t="shared" si="4"/>
        <v>73835.493748350389</v>
      </c>
      <c r="J42" s="47">
        <f t="shared" si="4"/>
        <v>79717.934934565492</v>
      </c>
      <c r="K42" s="47">
        <f t="shared" si="4"/>
        <v>76551.878362062635</v>
      </c>
      <c r="L42" s="47">
        <f t="shared" si="4"/>
        <v>58938.155835661193</v>
      </c>
      <c r="M42" s="47">
        <f t="shared" si="4"/>
        <v>50627.412525236912</v>
      </c>
      <c r="N42" s="47">
        <f t="shared" si="4"/>
        <v>81333.960778611901</v>
      </c>
      <c r="O42" s="47">
        <f>SUM(C42:N42)</f>
        <v>931915.02503993083</v>
      </c>
      <c r="Q42" s="33">
        <f>MAX(C42:N42)</f>
        <v>143645.61678263411</v>
      </c>
    </row>
    <row r="43" spans="1:23" x14ac:dyDescent="0.2">
      <c r="A43" s="14" t="s">
        <v>681</v>
      </c>
      <c r="C43" s="63">
        <v>0.9</v>
      </c>
      <c r="D43" s="63">
        <v>0.9</v>
      </c>
      <c r="E43" s="63">
        <v>0.9</v>
      </c>
      <c r="F43" s="63">
        <v>0.9</v>
      </c>
      <c r="G43" s="63">
        <v>0.9</v>
      </c>
      <c r="H43" s="63">
        <v>0.9</v>
      </c>
      <c r="I43" s="63">
        <v>0.9</v>
      </c>
      <c r="J43" s="63">
        <v>0.9</v>
      </c>
      <c r="K43" s="63">
        <v>0.9</v>
      </c>
      <c r="L43" s="63">
        <v>0.9</v>
      </c>
      <c r="M43" s="63">
        <v>0.9</v>
      </c>
      <c r="N43" s="63">
        <v>0.9</v>
      </c>
      <c r="O43" s="63"/>
      <c r="P43" s="47"/>
      <c r="Q43" s="33"/>
    </row>
    <row r="44" spans="1:23" x14ac:dyDescent="0.2">
      <c r="A44" s="14" t="s">
        <v>682</v>
      </c>
      <c r="C44" s="47">
        <f>C42*C43</f>
        <v>74794.196585879443</v>
      </c>
      <c r="D44" s="47">
        <f t="shared" ref="D44:N44" si="5">D42*D43</f>
        <v>129281.05510437071</v>
      </c>
      <c r="E44" s="47">
        <f t="shared" si="5"/>
        <v>84973.817708612085</v>
      </c>
      <c r="F44" s="47">
        <f t="shared" si="5"/>
        <v>64485.568436610316</v>
      </c>
      <c r="G44" s="47">
        <f t="shared" si="5"/>
        <v>52144.638358875629</v>
      </c>
      <c r="H44" s="47">
        <f t="shared" si="5"/>
        <v>54139.893775549855</v>
      </c>
      <c r="I44" s="47">
        <f t="shared" si="5"/>
        <v>66451.944373515347</v>
      </c>
      <c r="J44" s="47">
        <f t="shared" si="5"/>
        <v>71746.14144110895</v>
      </c>
      <c r="K44" s="47">
        <f t="shared" si="5"/>
        <v>68896.690525856378</v>
      </c>
      <c r="L44" s="47">
        <f t="shared" si="5"/>
        <v>53044.340252095077</v>
      </c>
      <c r="M44" s="47">
        <f t="shared" si="5"/>
        <v>45564.671272713225</v>
      </c>
      <c r="N44" s="47">
        <f t="shared" si="5"/>
        <v>73200.564700750707</v>
      </c>
      <c r="O44" s="47">
        <f>SUM(C44:N44)</f>
        <v>838723.52253593772</v>
      </c>
      <c r="P44" s="47"/>
      <c r="Q44" s="33"/>
      <c r="R44" s="33">
        <f>O44</f>
        <v>838723.52253593772</v>
      </c>
      <c r="S44" s="33">
        <f>H44+I44+J44</f>
        <v>192337.97959017416</v>
      </c>
      <c r="T44" s="33">
        <f>R44-S44</f>
        <v>646385.54294576356</v>
      </c>
    </row>
    <row r="45" spans="1:23" x14ac:dyDescent="0.2">
      <c r="A45" s="14" t="s">
        <v>758</v>
      </c>
      <c r="C45" s="63">
        <v>0.18</v>
      </c>
      <c r="D45" s="63">
        <v>0.18</v>
      </c>
      <c r="E45" s="63">
        <v>0.18</v>
      </c>
      <c r="F45" s="63">
        <v>0.18</v>
      </c>
      <c r="G45" s="63">
        <v>0.18</v>
      </c>
      <c r="H45" s="63">
        <v>0.18</v>
      </c>
      <c r="I45" s="63">
        <v>0.18</v>
      </c>
      <c r="J45" s="63">
        <v>0.18</v>
      </c>
      <c r="K45" s="63">
        <v>0.18</v>
      </c>
      <c r="L45" s="63">
        <v>0.18</v>
      </c>
      <c r="M45" s="63">
        <v>0.18</v>
      </c>
      <c r="N45" s="63">
        <v>0.18</v>
      </c>
      <c r="O45" s="63"/>
      <c r="P45" s="126"/>
      <c r="Q45" s="126"/>
      <c r="U45" s="115"/>
      <c r="W45" s="115"/>
    </row>
    <row r="46" spans="1:23" x14ac:dyDescent="0.2">
      <c r="A46" s="14" t="s">
        <v>759</v>
      </c>
      <c r="C46" s="47">
        <f>C40/C45</f>
        <v>272798.14814814815</v>
      </c>
      <c r="D46" s="47">
        <f t="shared" ref="D46:N46" si="6">D40/D45</f>
        <v>332432.6543209877</v>
      </c>
      <c r="E46" s="47">
        <f t="shared" si="6"/>
        <v>195822.97640382318</v>
      </c>
      <c r="F46" s="47">
        <f t="shared" si="6"/>
        <v>172245.99537037036</v>
      </c>
      <c r="G46" s="47">
        <f t="shared" si="6"/>
        <v>147794.59378733573</v>
      </c>
      <c r="H46" s="47">
        <f t="shared" si="6"/>
        <v>167672.88679808844</v>
      </c>
      <c r="I46" s="47">
        <f t="shared" si="6"/>
        <v>224527.52149470901</v>
      </c>
      <c r="J46" s="47">
        <f t="shared" si="6"/>
        <v>216213.5155316607</v>
      </c>
      <c r="K46" s="47">
        <f t="shared" si="6"/>
        <v>197889.15895061727</v>
      </c>
      <c r="L46" s="47">
        <f t="shared" si="6"/>
        <v>147229.60722819594</v>
      </c>
      <c r="M46" s="47">
        <f t="shared" si="6"/>
        <v>152400.11574074073</v>
      </c>
      <c r="N46" s="47">
        <f t="shared" si="6"/>
        <v>222019.82526881722</v>
      </c>
      <c r="O46" s="47">
        <f>SUM(C46:N46)</f>
        <v>2449046.9990434945</v>
      </c>
      <c r="P46" s="47">
        <f>MAX(C46:N46)</f>
        <v>332432.6543209877</v>
      </c>
      <c r="Q46" s="47"/>
    </row>
    <row r="47" spans="1:23" x14ac:dyDescent="0.2"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1:23" x14ac:dyDescent="0.2">
      <c r="A48" s="15" t="str">
        <f>A9</f>
        <v>Resid TOU</v>
      </c>
      <c r="B48" s="55" t="str">
        <f>B9</f>
        <v>D</v>
      </c>
      <c r="C48" s="47">
        <v>1</v>
      </c>
      <c r="D48" s="47">
        <v>1</v>
      </c>
      <c r="E48" s="47">
        <v>1</v>
      </c>
      <c r="F48" s="47">
        <v>1</v>
      </c>
      <c r="G48" s="47">
        <v>1</v>
      </c>
      <c r="H48" s="47">
        <v>1</v>
      </c>
      <c r="I48" s="47">
        <v>1</v>
      </c>
      <c r="J48" s="47">
        <v>1</v>
      </c>
      <c r="K48" s="47">
        <v>1</v>
      </c>
      <c r="L48" s="47">
        <v>1</v>
      </c>
      <c r="M48" s="47">
        <v>1</v>
      </c>
      <c r="N48" s="47">
        <v>1</v>
      </c>
      <c r="O48" s="47">
        <f>ROUND(SUM(C48:N48)/12,0)</f>
        <v>1</v>
      </c>
      <c r="P48" s="47"/>
      <c r="Q48" s="33"/>
    </row>
    <row r="49" spans="1:23" x14ac:dyDescent="0.2">
      <c r="A49" s="14" t="s">
        <v>1049</v>
      </c>
      <c r="C49" s="47">
        <v>71784</v>
      </c>
      <c r="D49" s="47">
        <v>84312</v>
      </c>
      <c r="E49" s="47">
        <v>48693</v>
      </c>
      <c r="F49" s="47">
        <v>38132</v>
      </c>
      <c r="G49" s="47">
        <v>15150</v>
      </c>
      <c r="H49" s="47">
        <v>2435</v>
      </c>
      <c r="I49" s="47">
        <v>1920</v>
      </c>
      <c r="J49" s="47">
        <v>1159</v>
      </c>
      <c r="K49" s="47">
        <v>732</v>
      </c>
      <c r="L49" s="47">
        <v>3800</v>
      </c>
      <c r="M49" s="47">
        <v>16730</v>
      </c>
      <c r="N49" s="47">
        <v>42336</v>
      </c>
      <c r="O49" s="47">
        <f>SUM(C49:N49)</f>
        <v>327183</v>
      </c>
      <c r="P49" s="126"/>
      <c r="Q49" s="126"/>
      <c r="U49" s="115"/>
      <c r="W49" s="115"/>
    </row>
    <row r="50" spans="1:23" x14ac:dyDescent="0.2">
      <c r="A50" s="14" t="s">
        <v>680</v>
      </c>
      <c r="C50" s="47">
        <f>C49/744</f>
        <v>96.483870967741936</v>
      </c>
      <c r="D50" s="47">
        <f>D49/720</f>
        <v>117.1</v>
      </c>
      <c r="E50" s="47">
        <f t="shared" ref="E50" si="7">E49/744</f>
        <v>65.447580645161295</v>
      </c>
      <c r="F50" s="47">
        <f>F49/720</f>
        <v>52.961111111111109</v>
      </c>
      <c r="G50" s="47">
        <f t="shared" ref="G50" si="8">G49/744</f>
        <v>20.362903225806452</v>
      </c>
      <c r="H50" s="45">
        <f>H49/744</f>
        <v>3.2728494623655915</v>
      </c>
      <c r="I50" s="45">
        <f>I49/672</f>
        <v>2.8571428571428572</v>
      </c>
      <c r="J50" s="47">
        <f t="shared" ref="J50" si="9">J49/744</f>
        <v>1.5577956989247312</v>
      </c>
      <c r="K50" s="47">
        <f>K49/720</f>
        <v>1.0166666666666666</v>
      </c>
      <c r="L50" s="47">
        <f t="shared" ref="L50" si="10">L49/744</f>
        <v>5.10752688172043</v>
      </c>
      <c r="M50" s="47">
        <f>M49/720</f>
        <v>23.236111111111111</v>
      </c>
      <c r="N50" s="47">
        <f t="shared" ref="N50" si="11">N49/744</f>
        <v>56.903225806451616</v>
      </c>
      <c r="O50" s="47">
        <f>O49/8760</f>
        <v>37.349657534246575</v>
      </c>
      <c r="P50" s="47"/>
      <c r="Q50" s="47"/>
    </row>
    <row r="51" spans="1:23" x14ac:dyDescent="0.2">
      <c r="A51" s="14" t="s">
        <v>756</v>
      </c>
      <c r="C51" s="63">
        <f>C41</f>
        <v>0.59086536144895696</v>
      </c>
      <c r="D51" s="63">
        <f t="shared" ref="D51:N51" si="12">D41</f>
        <v>0.41656598452513183</v>
      </c>
      <c r="E51" s="63">
        <f t="shared" si="12"/>
        <v>0.37333055090220102</v>
      </c>
      <c r="F51" s="63">
        <f t="shared" si="12"/>
        <v>0.43271466665335589</v>
      </c>
      <c r="G51" s="63">
        <f t="shared" si="12"/>
        <v>0.45915984743756605</v>
      </c>
      <c r="H51" s="63">
        <f t="shared" si="12"/>
        <v>0.5017188946454384</v>
      </c>
      <c r="I51" s="63">
        <f t="shared" si="12"/>
        <v>0.54736484876490121</v>
      </c>
      <c r="J51" s="63">
        <f t="shared" si="12"/>
        <v>0.48820171806562929</v>
      </c>
      <c r="K51" s="63">
        <f t="shared" si="12"/>
        <v>0.46530600389243476</v>
      </c>
      <c r="L51" s="63">
        <f t="shared" si="12"/>
        <v>0.44964639502752035</v>
      </c>
      <c r="M51" s="63">
        <f t="shared" si="12"/>
        <v>0.5418412568420109</v>
      </c>
      <c r="N51" s="63">
        <f t="shared" si="12"/>
        <v>0.49135156047750445</v>
      </c>
      <c r="O51" s="63"/>
      <c r="Q51" s="33"/>
    </row>
    <row r="52" spans="1:23" x14ac:dyDescent="0.2">
      <c r="A52" s="14" t="s">
        <v>757</v>
      </c>
      <c r="C52" s="47">
        <f>C50/C51</f>
        <v>163.29248127041694</v>
      </c>
      <c r="D52" s="47">
        <f t="shared" ref="D52:N52" si="13">D50/D51</f>
        <v>281.10792611520884</v>
      </c>
      <c r="E52" s="47">
        <f t="shared" si="13"/>
        <v>175.30732614033019</v>
      </c>
      <c r="F52" s="47">
        <f t="shared" si="13"/>
        <v>122.39268782062756</v>
      </c>
      <c r="G52" s="47">
        <f t="shared" si="13"/>
        <v>44.348179265773638</v>
      </c>
      <c r="H52" s="47">
        <f t="shared" si="13"/>
        <v>6.5232732856881812</v>
      </c>
      <c r="I52" s="47">
        <f t="shared" si="13"/>
        <v>5.2198142858275309</v>
      </c>
      <c r="J52" s="47">
        <f t="shared" si="13"/>
        <v>3.1908853272722726</v>
      </c>
      <c r="K52" s="47">
        <f t="shared" si="13"/>
        <v>2.1849420771748531</v>
      </c>
      <c r="L52" s="47">
        <f t="shared" si="13"/>
        <v>11.358985501057619</v>
      </c>
      <c r="M52" s="47">
        <f t="shared" si="13"/>
        <v>42.883613637206395</v>
      </c>
      <c r="N52" s="47">
        <f t="shared" si="13"/>
        <v>115.80959619045886</v>
      </c>
      <c r="O52" s="47">
        <f>SUM(C52:N52)</f>
        <v>973.61971091704288</v>
      </c>
      <c r="Q52" s="33">
        <f>MAX(C52:N52)</f>
        <v>281.10792611520884</v>
      </c>
    </row>
    <row r="53" spans="1:23" x14ac:dyDescent="0.2">
      <c r="A53" s="14" t="s">
        <v>681</v>
      </c>
      <c r="C53" s="63">
        <v>0.65</v>
      </c>
      <c r="D53" s="63">
        <f>C53</f>
        <v>0.65</v>
      </c>
      <c r="E53" s="63">
        <f t="shared" ref="E53:N53" si="14">D53</f>
        <v>0.65</v>
      </c>
      <c r="F53" s="63">
        <f t="shared" si="14"/>
        <v>0.65</v>
      </c>
      <c r="G53" s="63">
        <f t="shared" si="14"/>
        <v>0.65</v>
      </c>
      <c r="H53" s="63">
        <f t="shared" si="14"/>
        <v>0.65</v>
      </c>
      <c r="I53" s="63">
        <f t="shared" si="14"/>
        <v>0.65</v>
      </c>
      <c r="J53" s="63">
        <f t="shared" si="14"/>
        <v>0.65</v>
      </c>
      <c r="K53" s="63">
        <f t="shared" si="14"/>
        <v>0.65</v>
      </c>
      <c r="L53" s="63">
        <f t="shared" si="14"/>
        <v>0.65</v>
      </c>
      <c r="M53" s="63">
        <f t="shared" si="14"/>
        <v>0.65</v>
      </c>
      <c r="N53" s="63">
        <f t="shared" si="14"/>
        <v>0.65</v>
      </c>
      <c r="O53" s="63"/>
      <c r="P53" s="47"/>
      <c r="Q53" s="33"/>
    </row>
    <row r="54" spans="1:23" x14ac:dyDescent="0.2">
      <c r="A54" s="14" t="s">
        <v>682</v>
      </c>
      <c r="C54" s="47">
        <f>C52*C53</f>
        <v>106.14011282577101</v>
      </c>
      <c r="D54" s="47">
        <f t="shared" ref="D54:N54" si="15">D52*D53</f>
        <v>182.72015197488577</v>
      </c>
      <c r="E54" s="47">
        <f t="shared" si="15"/>
        <v>113.94976199121463</v>
      </c>
      <c r="F54" s="47">
        <f t="shared" si="15"/>
        <v>79.55524708340792</v>
      </c>
      <c r="G54" s="47">
        <f t="shared" si="15"/>
        <v>28.826316522752865</v>
      </c>
      <c r="H54" s="47">
        <f t="shared" si="15"/>
        <v>4.2401276356973181</v>
      </c>
      <c r="I54" s="47">
        <f t="shared" si="15"/>
        <v>3.3928792857878953</v>
      </c>
      <c r="J54" s="47">
        <f t="shared" si="15"/>
        <v>2.0740754627269773</v>
      </c>
      <c r="K54" s="47">
        <f t="shared" si="15"/>
        <v>1.4202123501636545</v>
      </c>
      <c r="L54" s="47">
        <f t="shared" si="15"/>
        <v>7.3833405756874528</v>
      </c>
      <c r="M54" s="47">
        <f t="shared" si="15"/>
        <v>27.874348864184157</v>
      </c>
      <c r="N54" s="47">
        <f t="shared" si="15"/>
        <v>75.276237523798258</v>
      </c>
      <c r="O54" s="47">
        <f>SUM(C54:N54)</f>
        <v>632.85281209607797</v>
      </c>
      <c r="P54" s="47"/>
      <c r="Q54" s="33"/>
      <c r="R54" s="33">
        <f>O54</f>
        <v>632.85281209607797</v>
      </c>
      <c r="S54" s="33">
        <f>H54+I54+J54</f>
        <v>9.7070823842121907</v>
      </c>
      <c r="T54" s="33">
        <f>R54-S54</f>
        <v>623.14572971186578</v>
      </c>
    </row>
    <row r="55" spans="1:23" x14ac:dyDescent="0.2">
      <c r="A55" s="14" t="s">
        <v>758</v>
      </c>
      <c r="C55" s="63">
        <v>0.18</v>
      </c>
      <c r="D55" s="63">
        <v>0.18</v>
      </c>
      <c r="E55" s="63">
        <v>0.18</v>
      </c>
      <c r="F55" s="63">
        <v>0.18</v>
      </c>
      <c r="G55" s="63">
        <v>0.18</v>
      </c>
      <c r="H55" s="63">
        <v>0.18</v>
      </c>
      <c r="I55" s="63">
        <v>0.18</v>
      </c>
      <c r="J55" s="63">
        <v>0.18</v>
      </c>
      <c r="K55" s="63">
        <v>0.18</v>
      </c>
      <c r="L55" s="63">
        <v>0.18</v>
      </c>
      <c r="M55" s="63">
        <v>0.18</v>
      </c>
      <c r="N55" s="63">
        <v>0.18</v>
      </c>
      <c r="O55" s="63"/>
      <c r="P55" s="126"/>
      <c r="Q55" s="126"/>
      <c r="U55" s="115"/>
      <c r="W55" s="115"/>
    </row>
    <row r="56" spans="1:23" x14ac:dyDescent="0.2">
      <c r="A56" s="14" t="s">
        <v>759</v>
      </c>
      <c r="C56" s="47">
        <f>C50/C55</f>
        <v>536.02150537634407</v>
      </c>
      <c r="D56" s="47">
        <f t="shared" ref="D56:N56" si="16">D50/D55</f>
        <v>650.55555555555554</v>
      </c>
      <c r="E56" s="47">
        <f t="shared" si="16"/>
        <v>363.5976702508961</v>
      </c>
      <c r="F56" s="47">
        <f t="shared" si="16"/>
        <v>294.22839506172841</v>
      </c>
      <c r="G56" s="47">
        <f t="shared" si="16"/>
        <v>113.12724014336918</v>
      </c>
      <c r="H56" s="47">
        <f t="shared" si="16"/>
        <v>18.182497013142175</v>
      </c>
      <c r="I56" s="47">
        <f t="shared" si="16"/>
        <v>15.873015873015873</v>
      </c>
      <c r="J56" s="47">
        <f t="shared" si="16"/>
        <v>8.6544205495818414</v>
      </c>
      <c r="K56" s="47">
        <f t="shared" si="16"/>
        <v>5.6481481481481479</v>
      </c>
      <c r="L56" s="47">
        <f t="shared" si="16"/>
        <v>28.37514934289128</v>
      </c>
      <c r="M56" s="47">
        <f t="shared" si="16"/>
        <v>129.08950617283952</v>
      </c>
      <c r="N56" s="47">
        <f t="shared" si="16"/>
        <v>316.12903225806457</v>
      </c>
      <c r="O56" s="47">
        <f>SUM(C56:N56)</f>
        <v>2479.4821357455767</v>
      </c>
      <c r="P56" s="47">
        <f>MAX(C56:N56)</f>
        <v>650.55555555555554</v>
      </c>
      <c r="Q56" s="47"/>
    </row>
    <row r="57" spans="1:23" x14ac:dyDescent="0.2"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U57" s="115"/>
      <c r="W57" s="115"/>
    </row>
    <row r="58" spans="1:23" x14ac:dyDescent="0.2">
      <c r="A58" s="15" t="str">
        <f>A10</f>
        <v>General Power Service &lt; 50kW</v>
      </c>
      <c r="B58" s="55" t="str">
        <f>B10</f>
        <v>C</v>
      </c>
      <c r="C58" s="47">
        <v>1983</v>
      </c>
      <c r="D58" s="47">
        <v>1999</v>
      </c>
      <c r="E58" s="47">
        <v>1996.0000000000002</v>
      </c>
      <c r="F58" s="47">
        <v>2017</v>
      </c>
      <c r="G58" s="47">
        <v>2016</v>
      </c>
      <c r="H58" s="47">
        <v>2033</v>
      </c>
      <c r="I58" s="47">
        <v>2056</v>
      </c>
      <c r="J58" s="47">
        <v>2048</v>
      </c>
      <c r="K58" s="47">
        <v>2049</v>
      </c>
      <c r="L58" s="47">
        <v>2063</v>
      </c>
      <c r="M58" s="47">
        <v>2069</v>
      </c>
      <c r="N58" s="47">
        <v>2054</v>
      </c>
      <c r="O58" s="47">
        <f>ROUND(SUM(C58:N58)/12,0)</f>
        <v>2032</v>
      </c>
      <c r="P58" s="47"/>
      <c r="Q58" s="33"/>
    </row>
    <row r="59" spans="1:23" x14ac:dyDescent="0.2">
      <c r="A59" s="14" t="s">
        <v>1049</v>
      </c>
      <c r="C59" s="47">
        <v>2624432</v>
      </c>
      <c r="D59" s="47">
        <v>3284062</v>
      </c>
      <c r="E59" s="47">
        <v>2430828</v>
      </c>
      <c r="F59" s="47">
        <v>2255986</v>
      </c>
      <c r="G59" s="47">
        <v>2365892</v>
      </c>
      <c r="H59" s="47">
        <v>2557796</v>
      </c>
      <c r="I59" s="47">
        <v>2852136</v>
      </c>
      <c r="J59" s="47">
        <v>3333777</v>
      </c>
      <c r="K59" s="47">
        <v>2927069</v>
      </c>
      <c r="L59" s="47">
        <v>2577372</v>
      </c>
      <c r="M59" s="47">
        <v>2406811</v>
      </c>
      <c r="N59" s="47">
        <v>2455340</v>
      </c>
      <c r="O59" s="47">
        <f>SUM(C59:N59)</f>
        <v>32071501</v>
      </c>
      <c r="P59" s="126"/>
      <c r="Q59" s="126"/>
      <c r="U59" s="115"/>
      <c r="W59" s="115"/>
    </row>
    <row r="60" spans="1:23" x14ac:dyDescent="0.2">
      <c r="A60" s="14" t="s">
        <v>680</v>
      </c>
      <c r="C60" s="47">
        <f>C59/744</f>
        <v>3527.4623655913979</v>
      </c>
      <c r="D60" s="47">
        <f>D59/720</f>
        <v>4561.1972222222221</v>
      </c>
      <c r="E60" s="47">
        <f t="shared" ref="E60" si="17">E59/744</f>
        <v>3267.2419354838707</v>
      </c>
      <c r="F60" s="47">
        <f>F59/720</f>
        <v>3133.3138888888889</v>
      </c>
      <c r="G60" s="47">
        <f t="shared" ref="G60" si="18">G59/744</f>
        <v>3179.9623655913979</v>
      </c>
      <c r="H60" s="45">
        <f>H59/744</f>
        <v>3437.8978494623657</v>
      </c>
      <c r="I60" s="45">
        <f>I59/672</f>
        <v>4244.25</v>
      </c>
      <c r="J60" s="47">
        <f t="shared" ref="J60" si="19">J59/744</f>
        <v>4480.8830645161288</v>
      </c>
      <c r="K60" s="47">
        <f>K59/720</f>
        <v>4065.3736111111111</v>
      </c>
      <c r="L60" s="47">
        <f t="shared" ref="L60" si="20">L59/744</f>
        <v>3464.2096774193546</v>
      </c>
      <c r="M60" s="47">
        <f>M59/720</f>
        <v>3342.7930555555554</v>
      </c>
      <c r="N60" s="47">
        <f t="shared" ref="N60" si="21">N59/744</f>
        <v>3300.1881720430106</v>
      </c>
      <c r="O60" s="47">
        <f>O59/8760</f>
        <v>3661.1302511415524</v>
      </c>
      <c r="P60" s="47"/>
      <c r="Q60" s="47"/>
    </row>
    <row r="61" spans="1:23" x14ac:dyDescent="0.2">
      <c r="A61" s="14" t="s">
        <v>756</v>
      </c>
      <c r="C61" s="63">
        <v>0.4</v>
      </c>
      <c r="D61" s="63">
        <f>C61</f>
        <v>0.4</v>
      </c>
      <c r="E61" s="63">
        <f t="shared" ref="E61:N61" si="22">D61</f>
        <v>0.4</v>
      </c>
      <c r="F61" s="63">
        <f t="shared" si="22"/>
        <v>0.4</v>
      </c>
      <c r="G61" s="63">
        <f t="shared" si="22"/>
        <v>0.4</v>
      </c>
      <c r="H61" s="63">
        <f t="shared" si="22"/>
        <v>0.4</v>
      </c>
      <c r="I61" s="63">
        <f t="shared" si="22"/>
        <v>0.4</v>
      </c>
      <c r="J61" s="63">
        <f t="shared" si="22"/>
        <v>0.4</v>
      </c>
      <c r="K61" s="63">
        <f t="shared" si="22"/>
        <v>0.4</v>
      </c>
      <c r="L61" s="63">
        <f t="shared" si="22"/>
        <v>0.4</v>
      </c>
      <c r="M61" s="63">
        <f t="shared" si="22"/>
        <v>0.4</v>
      </c>
      <c r="N61" s="63">
        <f t="shared" si="22"/>
        <v>0.4</v>
      </c>
      <c r="O61" s="63"/>
      <c r="Q61" s="33"/>
    </row>
    <row r="62" spans="1:23" x14ac:dyDescent="0.2">
      <c r="A62" s="14" t="s">
        <v>757</v>
      </c>
      <c r="C62" s="47">
        <f>C60/C61</f>
        <v>8818.6559139784949</v>
      </c>
      <c r="D62" s="47">
        <f t="shared" ref="D62:N62" si="23">D60/D61</f>
        <v>11402.993055555555</v>
      </c>
      <c r="E62" s="47">
        <f t="shared" si="23"/>
        <v>8168.1048387096762</v>
      </c>
      <c r="F62" s="47">
        <f t="shared" si="23"/>
        <v>7833.2847222222217</v>
      </c>
      <c r="G62" s="47">
        <f t="shared" si="23"/>
        <v>7949.905913978494</v>
      </c>
      <c r="H62" s="47">
        <f t="shared" si="23"/>
        <v>8594.7446236559135</v>
      </c>
      <c r="I62" s="47">
        <f t="shared" si="23"/>
        <v>10610.625</v>
      </c>
      <c r="J62" s="47">
        <f t="shared" si="23"/>
        <v>11202.207661290322</v>
      </c>
      <c r="K62" s="47">
        <f t="shared" si="23"/>
        <v>10163.434027777777</v>
      </c>
      <c r="L62" s="47">
        <f t="shared" si="23"/>
        <v>8660.5241935483864</v>
      </c>
      <c r="M62" s="47">
        <f t="shared" si="23"/>
        <v>8356.9826388888887</v>
      </c>
      <c r="N62" s="47">
        <f t="shared" si="23"/>
        <v>8250.4704301075253</v>
      </c>
      <c r="O62" s="47">
        <f>SUM(C62:N62)</f>
        <v>110011.93301971325</v>
      </c>
      <c r="Q62" s="33">
        <f>MAX(C62:N62)</f>
        <v>11402.993055555555</v>
      </c>
    </row>
    <row r="63" spans="1:23" x14ac:dyDescent="0.2">
      <c r="A63" s="14" t="s">
        <v>681</v>
      </c>
      <c r="C63" s="63">
        <f>C43-0.1</f>
        <v>0.8</v>
      </c>
      <c r="D63" s="63">
        <f t="shared" ref="D63:N63" si="24">D43-0.1</f>
        <v>0.8</v>
      </c>
      <c r="E63" s="63">
        <f t="shared" si="24"/>
        <v>0.8</v>
      </c>
      <c r="F63" s="63">
        <f t="shared" si="24"/>
        <v>0.8</v>
      </c>
      <c r="G63" s="63">
        <f t="shared" si="24"/>
        <v>0.8</v>
      </c>
      <c r="H63" s="63">
        <f t="shared" si="24"/>
        <v>0.8</v>
      </c>
      <c r="I63" s="63">
        <f t="shared" si="24"/>
        <v>0.8</v>
      </c>
      <c r="J63" s="63">
        <f t="shared" si="24"/>
        <v>0.8</v>
      </c>
      <c r="K63" s="63">
        <f t="shared" si="24"/>
        <v>0.8</v>
      </c>
      <c r="L63" s="63">
        <f t="shared" si="24"/>
        <v>0.8</v>
      </c>
      <c r="M63" s="63">
        <f t="shared" si="24"/>
        <v>0.8</v>
      </c>
      <c r="N63" s="63">
        <f t="shared" si="24"/>
        <v>0.8</v>
      </c>
      <c r="O63" s="63"/>
      <c r="P63" s="47"/>
      <c r="Q63" s="33"/>
    </row>
    <row r="64" spans="1:23" x14ac:dyDescent="0.2">
      <c r="A64" s="14" t="s">
        <v>682</v>
      </c>
      <c r="C64" s="47">
        <f>C62*C63</f>
        <v>7054.9247311827967</v>
      </c>
      <c r="D64" s="47">
        <f t="shared" ref="D64:N64" si="25">D62*D63</f>
        <v>9122.3944444444442</v>
      </c>
      <c r="E64" s="47">
        <f t="shared" si="25"/>
        <v>6534.4838709677415</v>
      </c>
      <c r="F64" s="47">
        <f t="shared" si="25"/>
        <v>6266.6277777777777</v>
      </c>
      <c r="G64" s="47">
        <f t="shared" si="25"/>
        <v>6359.9247311827958</v>
      </c>
      <c r="H64" s="47">
        <f t="shared" si="25"/>
        <v>6875.7956989247314</v>
      </c>
      <c r="I64" s="47">
        <f t="shared" si="25"/>
        <v>8488.5</v>
      </c>
      <c r="J64" s="47">
        <f t="shared" si="25"/>
        <v>8961.7661290322576</v>
      </c>
      <c r="K64" s="47">
        <f t="shared" si="25"/>
        <v>8130.7472222222223</v>
      </c>
      <c r="L64" s="47">
        <f t="shared" si="25"/>
        <v>6928.4193548387093</v>
      </c>
      <c r="M64" s="47">
        <f t="shared" si="25"/>
        <v>6685.5861111111117</v>
      </c>
      <c r="N64" s="47">
        <f t="shared" si="25"/>
        <v>6600.3763440860203</v>
      </c>
      <c r="O64" s="47">
        <f>SUM(C64:N64)</f>
        <v>88009.546415770616</v>
      </c>
      <c r="P64" s="47"/>
      <c r="Q64" s="33"/>
      <c r="R64" s="33">
        <f>O64</f>
        <v>88009.546415770616</v>
      </c>
      <c r="S64" s="33">
        <f>H64+I64+J64</f>
        <v>24326.06182795699</v>
      </c>
      <c r="T64" s="33">
        <f>R64-S64</f>
        <v>63683.484587813626</v>
      </c>
    </row>
    <row r="65" spans="1:23" x14ac:dyDescent="0.2">
      <c r="A65" s="14" t="s">
        <v>758</v>
      </c>
      <c r="C65" s="63">
        <v>0.23</v>
      </c>
      <c r="D65" s="63">
        <f>C65</f>
        <v>0.23</v>
      </c>
      <c r="E65" s="63">
        <f t="shared" ref="E65:N65" si="26">D65</f>
        <v>0.23</v>
      </c>
      <c r="F65" s="63">
        <f t="shared" si="26"/>
        <v>0.23</v>
      </c>
      <c r="G65" s="63">
        <f t="shared" si="26"/>
        <v>0.23</v>
      </c>
      <c r="H65" s="63">
        <f t="shared" si="26"/>
        <v>0.23</v>
      </c>
      <c r="I65" s="63">
        <f t="shared" si="26"/>
        <v>0.23</v>
      </c>
      <c r="J65" s="63">
        <f t="shared" si="26"/>
        <v>0.23</v>
      </c>
      <c r="K65" s="63">
        <f t="shared" si="26"/>
        <v>0.23</v>
      </c>
      <c r="L65" s="63">
        <f t="shared" si="26"/>
        <v>0.23</v>
      </c>
      <c r="M65" s="63">
        <f t="shared" si="26"/>
        <v>0.23</v>
      </c>
      <c r="N65" s="63">
        <f t="shared" si="26"/>
        <v>0.23</v>
      </c>
      <c r="O65" s="63"/>
      <c r="P65" s="126"/>
      <c r="Q65" s="126"/>
      <c r="U65" s="115"/>
      <c r="W65" s="115"/>
    </row>
    <row r="66" spans="1:23" x14ac:dyDescent="0.2">
      <c r="A66" s="14" t="s">
        <v>759</v>
      </c>
      <c r="C66" s="47">
        <f>C60/C65</f>
        <v>15336.792893875643</v>
      </c>
      <c r="D66" s="47">
        <f t="shared" ref="D66:N66" si="27">D60/D65</f>
        <v>19831.292270531401</v>
      </c>
      <c r="E66" s="47">
        <f t="shared" si="27"/>
        <v>14205.39971949509</v>
      </c>
      <c r="F66" s="47">
        <f t="shared" si="27"/>
        <v>13623.103864734299</v>
      </c>
      <c r="G66" s="47">
        <f t="shared" si="27"/>
        <v>13825.923328658251</v>
      </c>
      <c r="H66" s="47">
        <f t="shared" si="27"/>
        <v>14947.381954184199</v>
      </c>
      <c r="I66" s="47">
        <f t="shared" si="27"/>
        <v>18453.260869565216</v>
      </c>
      <c r="J66" s="47">
        <f t="shared" si="27"/>
        <v>19482.100280504907</v>
      </c>
      <c r="K66" s="47">
        <f t="shared" si="27"/>
        <v>17675.537439613527</v>
      </c>
      <c r="L66" s="47">
        <f t="shared" si="27"/>
        <v>15061.781206171107</v>
      </c>
      <c r="M66" s="47">
        <f t="shared" si="27"/>
        <v>14533.882850241545</v>
      </c>
      <c r="N66" s="47">
        <f t="shared" si="27"/>
        <v>14348.644226273958</v>
      </c>
      <c r="O66" s="47">
        <f>SUM(C66:N66)</f>
        <v>191325.10090384915</v>
      </c>
      <c r="P66" s="47">
        <f>MAX(C66:N66)</f>
        <v>19831.292270531401</v>
      </c>
      <c r="Q66" s="47"/>
    </row>
    <row r="67" spans="1:23" x14ac:dyDescent="0.2">
      <c r="C67" s="45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33"/>
    </row>
    <row r="68" spans="1:23" x14ac:dyDescent="0.2">
      <c r="A68" s="15" t="str">
        <f>A11</f>
        <v>Public Facilities</v>
      </c>
      <c r="B68" s="55" t="str">
        <f>B11</f>
        <v>E</v>
      </c>
      <c r="C68" s="47">
        <v>311.99999999999994</v>
      </c>
      <c r="D68" s="47">
        <v>309</v>
      </c>
      <c r="E68" s="47">
        <v>309</v>
      </c>
      <c r="F68" s="47">
        <v>314</v>
      </c>
      <c r="G68" s="47">
        <v>315</v>
      </c>
      <c r="H68" s="47">
        <v>321</v>
      </c>
      <c r="I68" s="47">
        <v>318.99999999999994</v>
      </c>
      <c r="J68" s="47">
        <v>318</v>
      </c>
      <c r="K68" s="47">
        <v>315</v>
      </c>
      <c r="L68" s="47">
        <v>311.99999999999994</v>
      </c>
      <c r="M68" s="47">
        <v>311.99999999999994</v>
      </c>
      <c r="N68" s="47">
        <v>313</v>
      </c>
      <c r="O68" s="47">
        <f>ROUND(SUM(C68:N68)/12,0)</f>
        <v>314</v>
      </c>
      <c r="P68" s="47"/>
      <c r="Q68" s="33"/>
    </row>
    <row r="69" spans="1:23" x14ac:dyDescent="0.2">
      <c r="A69" s="14" t="s">
        <v>1049</v>
      </c>
      <c r="C69" s="47">
        <v>378941</v>
      </c>
      <c r="D69" s="47">
        <v>461840</v>
      </c>
      <c r="E69" s="47">
        <v>280562</v>
      </c>
      <c r="F69" s="47">
        <v>227496</v>
      </c>
      <c r="G69" s="47">
        <v>212215</v>
      </c>
      <c r="H69" s="47">
        <v>272077</v>
      </c>
      <c r="I69" s="47">
        <v>377365</v>
      </c>
      <c r="J69" s="47">
        <v>397544</v>
      </c>
      <c r="K69" s="47">
        <v>323625</v>
      </c>
      <c r="L69" s="47">
        <v>221258</v>
      </c>
      <c r="M69" s="47">
        <v>197058</v>
      </c>
      <c r="N69" s="47">
        <v>299606</v>
      </c>
      <c r="O69" s="47">
        <f>SUM(C69:N69)</f>
        <v>3649587</v>
      </c>
      <c r="P69" s="126"/>
      <c r="Q69" s="126"/>
      <c r="U69" s="115"/>
      <c r="W69" s="115"/>
    </row>
    <row r="70" spans="1:23" x14ac:dyDescent="0.2">
      <c r="A70" s="14" t="s">
        <v>680</v>
      </c>
      <c r="C70" s="47">
        <f>C69/744</f>
        <v>509.3293010752688</v>
      </c>
      <c r="D70" s="47">
        <f>D69/720</f>
        <v>641.44444444444446</v>
      </c>
      <c r="E70" s="47">
        <f t="shared" ref="E70" si="28">E69/744</f>
        <v>377.09946236559142</v>
      </c>
      <c r="F70" s="47">
        <f>F69/720</f>
        <v>315.96666666666664</v>
      </c>
      <c r="G70" s="47">
        <f t="shared" ref="G70" si="29">G69/744</f>
        <v>285.23521505376345</v>
      </c>
      <c r="H70" s="47">
        <f>H69/744</f>
        <v>365.69489247311827</v>
      </c>
      <c r="I70" s="47">
        <f>I69/672</f>
        <v>561.55505952380952</v>
      </c>
      <c r="J70" s="47">
        <f t="shared" ref="J70" si="30">J69/744</f>
        <v>534.33333333333337</v>
      </c>
      <c r="K70" s="47">
        <f>K69/720</f>
        <v>449.47916666666669</v>
      </c>
      <c r="L70" s="47">
        <f t="shared" ref="L70" si="31">L69/744</f>
        <v>297.38978494623655</v>
      </c>
      <c r="M70" s="47">
        <f>M69/720</f>
        <v>273.69166666666666</v>
      </c>
      <c r="N70" s="47">
        <f t="shared" ref="N70" si="32">N69/744</f>
        <v>402.69623655913978</v>
      </c>
      <c r="O70" s="47">
        <f>O69/8760</f>
        <v>416.61952054794523</v>
      </c>
      <c r="P70" s="47"/>
      <c r="Q70" s="47"/>
    </row>
    <row r="71" spans="1:23" x14ac:dyDescent="0.2">
      <c r="A71" s="14" t="s">
        <v>756</v>
      </c>
      <c r="C71" s="63">
        <v>0.4</v>
      </c>
      <c r="D71" s="63">
        <f>C71</f>
        <v>0.4</v>
      </c>
      <c r="E71" s="63">
        <f t="shared" ref="E71" si="33">D71</f>
        <v>0.4</v>
      </c>
      <c r="F71" s="63">
        <f t="shared" ref="F71" si="34">E71</f>
        <v>0.4</v>
      </c>
      <c r="G71" s="63">
        <f t="shared" ref="G71" si="35">F71</f>
        <v>0.4</v>
      </c>
      <c r="H71" s="63">
        <f t="shared" ref="H71" si="36">G71</f>
        <v>0.4</v>
      </c>
      <c r="I71" s="63">
        <f t="shared" ref="I71" si="37">H71</f>
        <v>0.4</v>
      </c>
      <c r="J71" s="63">
        <f t="shared" ref="J71" si="38">I71</f>
        <v>0.4</v>
      </c>
      <c r="K71" s="63">
        <f t="shared" ref="K71" si="39">J71</f>
        <v>0.4</v>
      </c>
      <c r="L71" s="63">
        <f t="shared" ref="L71" si="40">K71</f>
        <v>0.4</v>
      </c>
      <c r="M71" s="63">
        <f t="shared" ref="M71" si="41">L71</f>
        <v>0.4</v>
      </c>
      <c r="N71" s="63">
        <f t="shared" ref="N71" si="42">M71</f>
        <v>0.4</v>
      </c>
      <c r="O71" s="63"/>
      <c r="Q71" s="33"/>
    </row>
    <row r="72" spans="1:23" x14ac:dyDescent="0.2">
      <c r="A72" s="14" t="s">
        <v>757</v>
      </c>
      <c r="C72" s="47">
        <f>C70/C71</f>
        <v>1273.323252688172</v>
      </c>
      <c r="D72" s="47">
        <f t="shared" ref="D72:N72" si="43">D70/D71</f>
        <v>1603.6111111111111</v>
      </c>
      <c r="E72" s="47">
        <f t="shared" si="43"/>
        <v>942.7486559139785</v>
      </c>
      <c r="F72" s="47">
        <f t="shared" si="43"/>
        <v>789.91666666666652</v>
      </c>
      <c r="G72" s="47">
        <f t="shared" si="43"/>
        <v>713.08803763440858</v>
      </c>
      <c r="H72" s="47">
        <f t="shared" si="43"/>
        <v>914.23723118279565</v>
      </c>
      <c r="I72" s="47">
        <f t="shared" si="43"/>
        <v>1403.8876488095236</v>
      </c>
      <c r="J72" s="47">
        <f t="shared" si="43"/>
        <v>1335.8333333333333</v>
      </c>
      <c r="K72" s="47">
        <f t="shared" si="43"/>
        <v>1123.6979166666667</v>
      </c>
      <c r="L72" s="47">
        <f t="shared" si="43"/>
        <v>743.47446236559131</v>
      </c>
      <c r="M72" s="47">
        <f t="shared" si="43"/>
        <v>684.22916666666663</v>
      </c>
      <c r="N72" s="47">
        <f t="shared" si="43"/>
        <v>1006.7405913978494</v>
      </c>
      <c r="O72" s="47">
        <f>SUM(C72:N72)</f>
        <v>12534.788074436763</v>
      </c>
      <c r="Q72" s="33">
        <f>MAX(C72:N72)</f>
        <v>1603.6111111111111</v>
      </c>
    </row>
    <row r="73" spans="1:23" x14ac:dyDescent="0.2">
      <c r="A73" s="14" t="s">
        <v>681</v>
      </c>
      <c r="C73" s="63">
        <f>C63-0.05</f>
        <v>0.75</v>
      </c>
      <c r="D73" s="63">
        <f t="shared" ref="D73:N73" si="44">D63-0.05</f>
        <v>0.75</v>
      </c>
      <c r="E73" s="63">
        <f t="shared" si="44"/>
        <v>0.75</v>
      </c>
      <c r="F73" s="63">
        <f t="shared" si="44"/>
        <v>0.75</v>
      </c>
      <c r="G73" s="63">
        <f t="shared" si="44"/>
        <v>0.75</v>
      </c>
      <c r="H73" s="63">
        <f t="shared" si="44"/>
        <v>0.75</v>
      </c>
      <c r="I73" s="63">
        <f t="shared" si="44"/>
        <v>0.75</v>
      </c>
      <c r="J73" s="63">
        <f t="shared" si="44"/>
        <v>0.75</v>
      </c>
      <c r="K73" s="63">
        <f t="shared" si="44"/>
        <v>0.75</v>
      </c>
      <c r="L73" s="63">
        <f t="shared" si="44"/>
        <v>0.75</v>
      </c>
      <c r="M73" s="63">
        <f t="shared" si="44"/>
        <v>0.75</v>
      </c>
      <c r="N73" s="63">
        <f t="shared" si="44"/>
        <v>0.75</v>
      </c>
      <c r="O73" s="63"/>
      <c r="P73" s="47"/>
      <c r="Q73" s="33"/>
    </row>
    <row r="74" spans="1:23" x14ac:dyDescent="0.2">
      <c r="A74" s="14" t="s">
        <v>682</v>
      </c>
      <c r="C74" s="47">
        <f>C72*C73</f>
        <v>954.99243951612902</v>
      </c>
      <c r="D74" s="47">
        <f t="shared" ref="D74:N74" si="45">D72*D73</f>
        <v>1202.7083333333333</v>
      </c>
      <c r="E74" s="47">
        <f t="shared" si="45"/>
        <v>707.0614919354839</v>
      </c>
      <c r="F74" s="47">
        <f t="shared" si="45"/>
        <v>592.43749999999989</v>
      </c>
      <c r="G74" s="47">
        <f t="shared" si="45"/>
        <v>534.81602822580646</v>
      </c>
      <c r="H74" s="47">
        <f t="shared" si="45"/>
        <v>685.67792338709671</v>
      </c>
      <c r="I74" s="47">
        <f t="shared" si="45"/>
        <v>1052.9157366071427</v>
      </c>
      <c r="J74" s="47">
        <f t="shared" si="45"/>
        <v>1001.875</v>
      </c>
      <c r="K74" s="47">
        <f t="shared" si="45"/>
        <v>842.7734375</v>
      </c>
      <c r="L74" s="47">
        <f t="shared" si="45"/>
        <v>557.60584677419342</v>
      </c>
      <c r="M74" s="47">
        <f t="shared" si="45"/>
        <v>513.171875</v>
      </c>
      <c r="N74" s="47">
        <f t="shared" si="45"/>
        <v>755.05544354838707</v>
      </c>
      <c r="O74" s="47">
        <f>SUM(C74:N74)</f>
        <v>9401.0910558275718</v>
      </c>
      <c r="P74" s="47"/>
      <c r="Q74" s="33"/>
      <c r="R74" s="33">
        <f>O74</f>
        <v>9401.0910558275718</v>
      </c>
      <c r="S74" s="33">
        <f>H74+I74+J74</f>
        <v>2740.4686599942393</v>
      </c>
      <c r="T74" s="33">
        <f>R74-S74</f>
        <v>6660.6223958333321</v>
      </c>
    </row>
    <row r="75" spans="1:23" x14ac:dyDescent="0.2">
      <c r="A75" s="14" t="s">
        <v>758</v>
      </c>
      <c r="C75" s="63">
        <v>0.23</v>
      </c>
      <c r="D75" s="63">
        <f>C75</f>
        <v>0.23</v>
      </c>
      <c r="E75" s="63">
        <f t="shared" ref="E75" si="46">D75</f>
        <v>0.23</v>
      </c>
      <c r="F75" s="63">
        <f t="shared" ref="F75" si="47">E75</f>
        <v>0.23</v>
      </c>
      <c r="G75" s="63">
        <f t="shared" ref="G75" si="48">F75</f>
        <v>0.23</v>
      </c>
      <c r="H75" s="63">
        <f t="shared" ref="H75" si="49">G75</f>
        <v>0.23</v>
      </c>
      <c r="I75" s="63">
        <f t="shared" ref="I75" si="50">H75</f>
        <v>0.23</v>
      </c>
      <c r="J75" s="63">
        <f t="shared" ref="J75" si="51">I75</f>
        <v>0.23</v>
      </c>
      <c r="K75" s="63">
        <f t="shared" ref="K75" si="52">J75</f>
        <v>0.23</v>
      </c>
      <c r="L75" s="63">
        <f t="shared" ref="L75" si="53">K75</f>
        <v>0.23</v>
      </c>
      <c r="M75" s="63">
        <f t="shared" ref="M75" si="54">L75</f>
        <v>0.23</v>
      </c>
      <c r="N75" s="63">
        <f t="shared" ref="N75" si="55">M75</f>
        <v>0.23</v>
      </c>
      <c r="O75" s="63"/>
      <c r="P75" s="126"/>
      <c r="Q75" s="126"/>
      <c r="U75" s="115"/>
      <c r="W75" s="115"/>
    </row>
    <row r="76" spans="1:23" x14ac:dyDescent="0.2">
      <c r="A76" s="14" t="s">
        <v>759</v>
      </c>
      <c r="C76" s="47">
        <f>C70/C75</f>
        <v>2214.4752220663859</v>
      </c>
      <c r="D76" s="47">
        <f t="shared" ref="D76:N76" si="56">D70/D75</f>
        <v>2788.8888888888887</v>
      </c>
      <c r="E76" s="47">
        <f t="shared" si="56"/>
        <v>1639.5628798503974</v>
      </c>
      <c r="F76" s="47">
        <f t="shared" si="56"/>
        <v>1373.7681159420288</v>
      </c>
      <c r="G76" s="47">
        <f t="shared" si="56"/>
        <v>1240.1531089294062</v>
      </c>
      <c r="H76" s="47">
        <f t="shared" si="56"/>
        <v>1589.9777933613836</v>
      </c>
      <c r="I76" s="47">
        <f t="shared" si="56"/>
        <v>2441.5437370600412</v>
      </c>
      <c r="J76" s="47">
        <f t="shared" si="56"/>
        <v>2323.1884057971015</v>
      </c>
      <c r="K76" s="47">
        <f t="shared" si="56"/>
        <v>1954.2572463768115</v>
      </c>
      <c r="L76" s="47">
        <f t="shared" si="56"/>
        <v>1292.999064983637</v>
      </c>
      <c r="M76" s="47">
        <f t="shared" si="56"/>
        <v>1189.963768115942</v>
      </c>
      <c r="N76" s="47">
        <f t="shared" si="56"/>
        <v>1750.8532024310425</v>
      </c>
      <c r="O76" s="47">
        <f>SUM(C76:N76)</f>
        <v>21799.631433803064</v>
      </c>
      <c r="P76" s="47">
        <f>MAX(C76:N76)</f>
        <v>2788.8888888888887</v>
      </c>
      <c r="Q76" s="47"/>
    </row>
    <row r="77" spans="1:23" x14ac:dyDescent="0.2">
      <c r="C77" s="45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</row>
    <row r="78" spans="1:23" x14ac:dyDescent="0.2">
      <c r="A78" s="209" t="str">
        <f>A12</f>
        <v>General Power Service 50-500kW</v>
      </c>
      <c r="B78" s="55" t="str">
        <f>B12</f>
        <v>L</v>
      </c>
      <c r="C78" s="47">
        <v>119.00000000000001</v>
      </c>
      <c r="D78" s="47">
        <v>119.00000000000001</v>
      </c>
      <c r="E78" s="47">
        <v>120.00000000000001</v>
      </c>
      <c r="F78" s="47">
        <v>118</v>
      </c>
      <c r="G78" s="47">
        <v>119.00000000000001</v>
      </c>
      <c r="H78" s="47">
        <v>120.00000000000001</v>
      </c>
      <c r="I78" s="47">
        <v>119.00000000000001</v>
      </c>
      <c r="J78" s="47">
        <v>120.00000000000001</v>
      </c>
      <c r="K78" s="47">
        <v>121.00000000000001</v>
      </c>
      <c r="L78" s="47">
        <v>120.00000000000001</v>
      </c>
      <c r="M78" s="47">
        <v>118</v>
      </c>
      <c r="N78" s="47">
        <v>119.00000000000001</v>
      </c>
      <c r="O78" s="47">
        <f>ROUND(SUM(C78:N78)/12,0)</f>
        <v>119</v>
      </c>
      <c r="P78" s="47"/>
      <c r="Q78" s="33"/>
    </row>
    <row r="79" spans="1:23" x14ac:dyDescent="0.2">
      <c r="A79" s="14" t="s">
        <v>1049</v>
      </c>
      <c r="C79" s="47">
        <v>3445347</v>
      </c>
      <c r="D79" s="47">
        <v>3900940</v>
      </c>
      <c r="E79" s="47">
        <v>3256831</v>
      </c>
      <c r="F79" s="47">
        <v>3256035</v>
      </c>
      <c r="G79" s="47">
        <v>3127430</v>
      </c>
      <c r="H79" s="47">
        <v>3492557</v>
      </c>
      <c r="I79" s="47">
        <v>3814760</v>
      </c>
      <c r="J79" s="47">
        <v>4217179</v>
      </c>
      <c r="K79" s="47">
        <v>4044368</v>
      </c>
      <c r="L79" s="47">
        <v>3479985</v>
      </c>
      <c r="M79" s="47">
        <v>3403225</v>
      </c>
      <c r="N79" s="47">
        <v>3057467</v>
      </c>
      <c r="O79" s="47">
        <f>SUM(C79:N79)</f>
        <v>42496124</v>
      </c>
      <c r="P79" s="126"/>
      <c r="Q79" s="126"/>
      <c r="U79" s="115"/>
      <c r="W79" s="115"/>
    </row>
    <row r="80" spans="1:23" x14ac:dyDescent="0.2">
      <c r="A80" s="14" t="s">
        <v>680</v>
      </c>
      <c r="C80" s="47">
        <f>C79/744</f>
        <v>4630.8427419354839</v>
      </c>
      <c r="D80" s="47">
        <f t="shared" ref="D80:N80" si="57">D79/744</f>
        <v>5243.1989247311831</v>
      </c>
      <c r="E80" s="47">
        <f t="shared" si="57"/>
        <v>4377.4610215053763</v>
      </c>
      <c r="F80" s="47">
        <f t="shared" si="57"/>
        <v>4376.3911290322585</v>
      </c>
      <c r="G80" s="47">
        <f t="shared" si="57"/>
        <v>4203.5349462365593</v>
      </c>
      <c r="H80" s="47">
        <f t="shared" si="57"/>
        <v>4694.2970430107525</v>
      </c>
      <c r="I80" s="47">
        <f t="shared" si="57"/>
        <v>5127.3655913978491</v>
      </c>
      <c r="J80" s="47">
        <f t="shared" si="57"/>
        <v>5668.2513440860212</v>
      </c>
      <c r="K80" s="47">
        <f t="shared" si="57"/>
        <v>5435.9784946236559</v>
      </c>
      <c r="L80" s="47">
        <f t="shared" si="57"/>
        <v>4677.3991935483873</v>
      </c>
      <c r="M80" s="47">
        <f t="shared" si="57"/>
        <v>4574.2271505376348</v>
      </c>
      <c r="N80" s="47">
        <f t="shared" si="57"/>
        <v>4109.4986559139788</v>
      </c>
      <c r="O80" s="47">
        <f>O79/8760</f>
        <v>4851.1557077625566</v>
      </c>
      <c r="P80" s="47"/>
      <c r="Q80" s="47"/>
    </row>
    <row r="81" spans="1:23" x14ac:dyDescent="0.2">
      <c r="A81" s="14" t="s">
        <v>756</v>
      </c>
      <c r="C81" s="63">
        <f>C85+0.15</f>
        <v>0.51564384574181277</v>
      </c>
      <c r="D81" s="63">
        <f t="shared" ref="D81:N81" si="58">D85+0.15</f>
        <v>0.56546403581105342</v>
      </c>
      <c r="E81" s="63">
        <f t="shared" si="58"/>
        <v>0.52433553431521218</v>
      </c>
      <c r="F81" s="63">
        <f t="shared" si="58"/>
        <v>0.50688380287293988</v>
      </c>
      <c r="G81" s="63">
        <f t="shared" si="58"/>
        <v>0.49207814683128159</v>
      </c>
      <c r="H81" s="63">
        <f t="shared" si="58"/>
        <v>0.51481244068565102</v>
      </c>
      <c r="I81" s="63">
        <f t="shared" si="58"/>
        <v>0.52555166645287921</v>
      </c>
      <c r="J81" s="63">
        <f t="shared" si="58"/>
        <v>0.57077091970045679</v>
      </c>
      <c r="K81" s="63">
        <f t="shared" si="58"/>
        <v>0.54656675819426126</v>
      </c>
      <c r="L81" s="63">
        <f t="shared" si="58"/>
        <v>0.50080555342584754</v>
      </c>
      <c r="M81" s="63">
        <f t="shared" si="58"/>
        <v>0.49223369723754917</v>
      </c>
      <c r="N81" s="63">
        <f t="shared" si="58"/>
        <v>0.46893169340902574</v>
      </c>
      <c r="O81" s="63"/>
      <c r="Q81" s="33"/>
    </row>
    <row r="82" spans="1:23" x14ac:dyDescent="0.2">
      <c r="A82" s="14" t="s">
        <v>757</v>
      </c>
      <c r="C82" s="47">
        <f>C80/C81</f>
        <v>8980.7001095368178</v>
      </c>
      <c r="D82" s="47">
        <f t="shared" ref="D82:N82" si="59">D80/D81</f>
        <v>9272.3826674684715</v>
      </c>
      <c r="E82" s="47">
        <f t="shared" si="59"/>
        <v>8348.5873739653889</v>
      </c>
      <c r="F82" s="47">
        <f t="shared" si="59"/>
        <v>8633.9139349640736</v>
      </c>
      <c r="G82" s="47">
        <f t="shared" si="59"/>
        <v>8542.4133815026362</v>
      </c>
      <c r="H82" s="47">
        <f t="shared" si="59"/>
        <v>9118.4607674955769</v>
      </c>
      <c r="I82" s="47">
        <f t="shared" si="59"/>
        <v>9756.1589443795765</v>
      </c>
      <c r="J82" s="47">
        <f t="shared" si="59"/>
        <v>9930.8691954046044</v>
      </c>
      <c r="K82" s="47">
        <f t="shared" si="59"/>
        <v>9945.6807665781889</v>
      </c>
      <c r="L82" s="47">
        <f t="shared" si="59"/>
        <v>9339.7510501866927</v>
      </c>
      <c r="M82" s="47">
        <f t="shared" si="59"/>
        <v>9292.7956298167428</v>
      </c>
      <c r="N82" s="47">
        <f t="shared" si="59"/>
        <v>8763.5336098502266</v>
      </c>
      <c r="O82" s="47">
        <f>SUM(C82:N82)</f>
        <v>109925.24743114899</v>
      </c>
      <c r="Q82" s="33">
        <f>MAX(C82:N82)</f>
        <v>9945.6807665781889</v>
      </c>
    </row>
    <row r="83" spans="1:23" x14ac:dyDescent="0.2">
      <c r="A83" s="14" t="s">
        <v>681</v>
      </c>
      <c r="C83" s="63">
        <v>0.8</v>
      </c>
      <c r="D83" s="63">
        <f>C83</f>
        <v>0.8</v>
      </c>
      <c r="E83" s="63">
        <f t="shared" ref="E83:N83" si="60">D83</f>
        <v>0.8</v>
      </c>
      <c r="F83" s="63">
        <f t="shared" si="60"/>
        <v>0.8</v>
      </c>
      <c r="G83" s="63">
        <f t="shared" si="60"/>
        <v>0.8</v>
      </c>
      <c r="H83" s="63">
        <f t="shared" si="60"/>
        <v>0.8</v>
      </c>
      <c r="I83" s="63">
        <f t="shared" si="60"/>
        <v>0.8</v>
      </c>
      <c r="J83" s="63">
        <f t="shared" si="60"/>
        <v>0.8</v>
      </c>
      <c r="K83" s="63">
        <f t="shared" si="60"/>
        <v>0.8</v>
      </c>
      <c r="L83" s="63">
        <f t="shared" si="60"/>
        <v>0.8</v>
      </c>
      <c r="M83" s="63">
        <f t="shared" si="60"/>
        <v>0.8</v>
      </c>
      <c r="N83" s="63">
        <f t="shared" si="60"/>
        <v>0.8</v>
      </c>
      <c r="O83" s="63"/>
      <c r="P83" s="47"/>
      <c r="Q83" s="33"/>
    </row>
    <row r="84" spans="1:23" x14ac:dyDescent="0.2">
      <c r="A84" s="14" t="s">
        <v>682</v>
      </c>
      <c r="C84" s="47">
        <f>C82*C83</f>
        <v>7184.5600876294548</v>
      </c>
      <c r="D84" s="47">
        <f t="shared" ref="D84:N84" si="61">D82*D83</f>
        <v>7417.9061339747777</v>
      </c>
      <c r="E84" s="47">
        <f t="shared" si="61"/>
        <v>6678.8698991723113</v>
      </c>
      <c r="F84" s="47">
        <f t="shared" si="61"/>
        <v>6907.1311479712595</v>
      </c>
      <c r="G84" s="47">
        <f t="shared" si="61"/>
        <v>6833.9307052021095</v>
      </c>
      <c r="H84" s="47">
        <f t="shared" si="61"/>
        <v>7294.7686139964617</v>
      </c>
      <c r="I84" s="47">
        <f t="shared" si="61"/>
        <v>7804.9271555036612</v>
      </c>
      <c r="J84" s="47">
        <f t="shared" si="61"/>
        <v>7944.6953563236839</v>
      </c>
      <c r="K84" s="47">
        <f t="shared" si="61"/>
        <v>7956.5446132625511</v>
      </c>
      <c r="L84" s="47">
        <f t="shared" si="61"/>
        <v>7471.8008401493544</v>
      </c>
      <c r="M84" s="47">
        <f t="shared" si="61"/>
        <v>7434.2365038533944</v>
      </c>
      <c r="N84" s="47">
        <f t="shared" si="61"/>
        <v>7010.8268878801819</v>
      </c>
      <c r="O84" s="47">
        <f>SUM(C84:N84)</f>
        <v>87940.197944919186</v>
      </c>
      <c r="P84" s="47"/>
      <c r="Q84" s="33"/>
      <c r="R84" s="33">
        <f>O84</f>
        <v>87940.197944919186</v>
      </c>
      <c r="S84" s="33">
        <f>H84+I84+J84</f>
        <v>23044.391125823808</v>
      </c>
      <c r="T84" s="33">
        <f>R84-S84</f>
        <v>64895.806819095378</v>
      </c>
    </row>
    <row r="85" spans="1:23" x14ac:dyDescent="0.2">
      <c r="A85" s="14" t="s">
        <v>758</v>
      </c>
      <c r="C85" s="63">
        <f t="shared" ref="C85:N85" si="62">C80/C86</f>
        <v>0.36564384574181275</v>
      </c>
      <c r="D85" s="63">
        <f t="shared" si="62"/>
        <v>0.41546403581105346</v>
      </c>
      <c r="E85" s="63">
        <f t="shared" si="62"/>
        <v>0.37433553431521221</v>
      </c>
      <c r="F85" s="63">
        <f t="shared" si="62"/>
        <v>0.35688380287293986</v>
      </c>
      <c r="G85" s="63">
        <f t="shared" si="62"/>
        <v>0.34207814683128163</v>
      </c>
      <c r="H85" s="63">
        <f t="shared" si="62"/>
        <v>0.36481244068565105</v>
      </c>
      <c r="I85" s="63">
        <f t="shared" si="62"/>
        <v>0.37555166645287918</v>
      </c>
      <c r="J85" s="63">
        <f t="shared" si="62"/>
        <v>0.42077091970045682</v>
      </c>
      <c r="K85" s="63">
        <f t="shared" si="62"/>
        <v>0.39656675819426129</v>
      </c>
      <c r="L85" s="63">
        <f t="shared" si="62"/>
        <v>0.35080555342584757</v>
      </c>
      <c r="M85" s="63">
        <f t="shared" si="62"/>
        <v>0.34223369723754921</v>
      </c>
      <c r="N85" s="63">
        <f t="shared" si="62"/>
        <v>0.31893169340902577</v>
      </c>
      <c r="O85" s="63"/>
      <c r="P85" s="126"/>
      <c r="Q85" s="126"/>
      <c r="U85" s="115"/>
      <c r="W85" s="115"/>
    </row>
    <row r="86" spans="1:23" x14ac:dyDescent="0.2">
      <c r="A86" s="14" t="s">
        <v>759</v>
      </c>
      <c r="C86" s="47">
        <v>12664.9</v>
      </c>
      <c r="D86" s="47">
        <v>12620.102999999999</v>
      </c>
      <c r="E86" s="47">
        <v>11693.95</v>
      </c>
      <c r="F86" s="47">
        <v>12262.79</v>
      </c>
      <c r="G86" s="47">
        <v>12288.23</v>
      </c>
      <c r="H86" s="47">
        <v>12867.7</v>
      </c>
      <c r="I86" s="47">
        <v>13652.89</v>
      </c>
      <c r="J86" s="47">
        <v>13471.11</v>
      </c>
      <c r="K86" s="47">
        <v>13707.6</v>
      </c>
      <c r="L86" s="47">
        <v>13333.31</v>
      </c>
      <c r="M86" s="47">
        <v>13365.8</v>
      </c>
      <c r="N86" s="47">
        <v>12885.2</v>
      </c>
      <c r="O86" s="47">
        <f>SUM(C86:N86)</f>
        <v>154813.58300000001</v>
      </c>
      <c r="P86" s="47">
        <f>MAX(C86:N86)</f>
        <v>13707.6</v>
      </c>
      <c r="Q86" s="47"/>
    </row>
    <row r="87" spans="1:23" x14ac:dyDescent="0.2">
      <c r="H87" s="134"/>
    </row>
    <row r="88" spans="1:23" hidden="1" x14ac:dyDescent="0.2">
      <c r="A88" s="209" t="str">
        <f>A13</f>
        <v>General Power Service 1000-5000kW</v>
      </c>
      <c r="B88" s="55" t="str">
        <f>B13</f>
        <v>M</v>
      </c>
      <c r="C88" s="47">
        <v>0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>ROUND(SUM(C88:N88)/12,0)</f>
        <v>0</v>
      </c>
      <c r="P88" s="47"/>
      <c r="Q88" s="33"/>
    </row>
    <row r="89" spans="1:23" hidden="1" x14ac:dyDescent="0.2">
      <c r="A89" s="14" t="s">
        <v>1049</v>
      </c>
      <c r="C89" s="47">
        <v>0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ref="O89:O95" si="63">ROUND(SUM(C89:N89)/12,0)</f>
        <v>0</v>
      </c>
      <c r="P89" s="126"/>
      <c r="Q89" s="126"/>
      <c r="U89" s="115"/>
      <c r="W89" s="115"/>
    </row>
    <row r="90" spans="1:23" hidden="1" x14ac:dyDescent="0.2">
      <c r="A90" s="14" t="s">
        <v>680</v>
      </c>
      <c r="C90" s="47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63"/>
        <v>0</v>
      </c>
      <c r="P90" s="47"/>
      <c r="Q90" s="47"/>
    </row>
    <row r="91" spans="1:23" hidden="1" x14ac:dyDescent="0.2">
      <c r="A91" s="14" t="s">
        <v>756</v>
      </c>
      <c r="C91" s="47">
        <v>0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63"/>
        <v>0</v>
      </c>
      <c r="Q91" s="33"/>
    </row>
    <row r="92" spans="1:23" hidden="1" x14ac:dyDescent="0.2">
      <c r="A92" s="14" t="s">
        <v>757</v>
      </c>
      <c r="C92" s="47">
        <v>0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63"/>
        <v>0</v>
      </c>
      <c r="Q92" s="33">
        <f>MAX(C92:N92)</f>
        <v>0</v>
      </c>
    </row>
    <row r="93" spans="1:23" hidden="1" x14ac:dyDescent="0.2">
      <c r="A93" s="14" t="s">
        <v>681</v>
      </c>
      <c r="C93" s="47">
        <v>0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63"/>
        <v>0</v>
      </c>
      <c r="P93" s="47"/>
      <c r="Q93" s="33"/>
    </row>
    <row r="94" spans="1:23" hidden="1" x14ac:dyDescent="0.2">
      <c r="A94" s="14" t="s">
        <v>682</v>
      </c>
      <c r="C94" s="47">
        <v>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63"/>
        <v>0</v>
      </c>
      <c r="P94" s="47"/>
      <c r="Q94" s="33"/>
      <c r="R94" s="33">
        <f>O94</f>
        <v>0</v>
      </c>
      <c r="S94" s="33">
        <f>H94+I94+J94</f>
        <v>0</v>
      </c>
      <c r="T94" s="33">
        <f>R94-S94</f>
        <v>0</v>
      </c>
    </row>
    <row r="95" spans="1:23" hidden="1" x14ac:dyDescent="0.2">
      <c r="A95" s="14" t="s">
        <v>758</v>
      </c>
      <c r="C95" s="47">
        <v>0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63"/>
        <v>0</v>
      </c>
      <c r="P95" s="126"/>
      <c r="Q95" s="126"/>
      <c r="U95" s="115"/>
      <c r="W95" s="115"/>
    </row>
    <row r="96" spans="1:23" hidden="1" x14ac:dyDescent="0.2">
      <c r="A96" s="14" t="s">
        <v>759</v>
      </c>
      <c r="C96" s="47">
        <v>0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>SUM(C96:N96)</f>
        <v>0</v>
      </c>
      <c r="P96" s="47">
        <f>MAX(C96:N96)</f>
        <v>0</v>
      </c>
      <c r="Q96" s="47"/>
    </row>
    <row r="97" spans="1:23" ht="16.5" hidden="1" customHeight="1" x14ac:dyDescent="0.2">
      <c r="C97" s="47"/>
      <c r="H97" s="134"/>
      <c r="M97" s="47"/>
    </row>
    <row r="98" spans="1:23" ht="14.25" customHeight="1" x14ac:dyDescent="0.2">
      <c r="A98" s="209" t="str">
        <f>A14</f>
        <v>General Power Service 500+kW</v>
      </c>
      <c r="B98" s="197" t="str">
        <f>B14</f>
        <v>P</v>
      </c>
      <c r="C98" s="47">
        <v>8</v>
      </c>
      <c r="D98" s="47">
        <v>8</v>
      </c>
      <c r="E98" s="47">
        <v>8</v>
      </c>
      <c r="F98" s="47">
        <v>8</v>
      </c>
      <c r="G98" s="47">
        <v>8</v>
      </c>
      <c r="H98" s="47">
        <v>8</v>
      </c>
      <c r="I98" s="47">
        <v>8</v>
      </c>
      <c r="J98" s="47">
        <v>8</v>
      </c>
      <c r="K98" s="47">
        <v>8</v>
      </c>
      <c r="L98" s="47">
        <v>8</v>
      </c>
      <c r="M98" s="47">
        <v>8</v>
      </c>
      <c r="N98" s="47">
        <v>8</v>
      </c>
      <c r="O98" s="47">
        <f>ROUND(SUM(C98:N98)/12,0)</f>
        <v>8</v>
      </c>
      <c r="P98" s="47"/>
      <c r="Q98" s="33"/>
    </row>
    <row r="99" spans="1:23" x14ac:dyDescent="0.2">
      <c r="A99" s="14" t="s">
        <v>1049</v>
      </c>
      <c r="C99" s="47">
        <v>1270960</v>
      </c>
      <c r="D99" s="47">
        <v>1515820</v>
      </c>
      <c r="E99" s="47">
        <v>1078920</v>
      </c>
      <c r="F99" s="47">
        <v>1881160</v>
      </c>
      <c r="G99" s="47">
        <v>1733560</v>
      </c>
      <c r="H99" s="47">
        <v>1631260</v>
      </c>
      <c r="I99" s="47">
        <v>1946400</v>
      </c>
      <c r="J99" s="47">
        <v>2151940</v>
      </c>
      <c r="K99" s="47">
        <v>2194160</v>
      </c>
      <c r="L99" s="47">
        <v>1910220</v>
      </c>
      <c r="M99" s="47">
        <v>2147040</v>
      </c>
      <c r="N99" s="47">
        <v>1775840</v>
      </c>
      <c r="O99" s="47">
        <f>SUM(C99:N99)</f>
        <v>21237280</v>
      </c>
      <c r="P99" s="126"/>
      <c r="Q99" s="126"/>
      <c r="U99" s="115"/>
      <c r="W99" s="115"/>
    </row>
    <row r="100" spans="1:23" x14ac:dyDescent="0.2">
      <c r="A100" s="14" t="s">
        <v>680</v>
      </c>
      <c r="C100" s="45">
        <f>C99/744</f>
        <v>1708.2795698924731</v>
      </c>
      <c r="D100" s="45">
        <f t="shared" ref="D100" si="64">D99/744</f>
        <v>2037.3924731182797</v>
      </c>
      <c r="E100" s="45">
        <f t="shared" ref="E100" si="65">E99/744</f>
        <v>1450.1612903225807</v>
      </c>
      <c r="F100" s="45">
        <f t="shared" ref="F100" si="66">F99/744</f>
        <v>2528.4408602150538</v>
      </c>
      <c r="G100" s="45">
        <f t="shared" ref="G100" si="67">G99/744</f>
        <v>2330.0537634408602</v>
      </c>
      <c r="H100" s="45">
        <f t="shared" ref="H100" si="68">H99/744</f>
        <v>2192.5537634408602</v>
      </c>
      <c r="I100" s="45">
        <f t="shared" ref="I100" si="69">I99/744</f>
        <v>2616.1290322580644</v>
      </c>
      <c r="J100" s="45">
        <f t="shared" ref="J100" si="70">J99/744</f>
        <v>2892.3924731182797</v>
      </c>
      <c r="K100" s="45">
        <f t="shared" ref="K100" si="71">K99/744</f>
        <v>2949.1397849462364</v>
      </c>
      <c r="L100" s="45">
        <f t="shared" ref="L100" si="72">L99/744</f>
        <v>2567.5</v>
      </c>
      <c r="M100" s="45">
        <f t="shared" ref="M100" si="73">M99/744</f>
        <v>2885.8064516129034</v>
      </c>
      <c r="N100" s="45">
        <f t="shared" ref="N100" si="74">N99/744</f>
        <v>2386.8817204301076</v>
      </c>
      <c r="O100" s="47">
        <f>O99/8760</f>
        <v>2424.3470319634703</v>
      </c>
      <c r="P100" s="47"/>
      <c r="Q100" s="47"/>
    </row>
    <row r="101" spans="1:23" x14ac:dyDescent="0.2">
      <c r="A101" s="14" t="s">
        <v>756</v>
      </c>
      <c r="C101" s="63">
        <f>C105</f>
        <v>0.3125911855463912</v>
      </c>
      <c r="D101" s="63">
        <f t="shared" ref="D101:N101" si="75">D105</f>
        <v>0.41537730954190477</v>
      </c>
      <c r="E101" s="63">
        <f t="shared" si="75"/>
        <v>0.30177743586851891</v>
      </c>
      <c r="F101" s="63">
        <f t="shared" si="75"/>
        <v>0.44592448122083239</v>
      </c>
      <c r="G101" s="63">
        <f t="shared" si="75"/>
        <v>0.39475241520911403</v>
      </c>
      <c r="H101" s="63">
        <f t="shared" si="75"/>
        <v>0.37939232330196643</v>
      </c>
      <c r="I101" s="63">
        <f t="shared" si="75"/>
        <v>0.43527428452124922</v>
      </c>
      <c r="J101" s="63">
        <f t="shared" si="75"/>
        <v>0.46408222593153303</v>
      </c>
      <c r="K101" s="63">
        <f t="shared" si="75"/>
        <v>0.46271322944816518</v>
      </c>
      <c r="L101" s="63">
        <f t="shared" si="75"/>
        <v>0.40319667831893291</v>
      </c>
      <c r="M101" s="63">
        <f t="shared" si="75"/>
        <v>0.47831706818263847</v>
      </c>
      <c r="N101" s="63">
        <f t="shared" si="75"/>
        <v>0.40218198675111294</v>
      </c>
      <c r="O101" s="63"/>
      <c r="Q101" s="33"/>
    </row>
    <row r="102" spans="1:23" x14ac:dyDescent="0.2">
      <c r="A102" s="14" t="s">
        <v>757</v>
      </c>
      <c r="C102" s="47">
        <f>C106</f>
        <v>5464.9</v>
      </c>
      <c r="D102" s="47">
        <f t="shared" ref="D102:N102" si="76">D106</f>
        <v>4904.92</v>
      </c>
      <c r="E102" s="47">
        <f t="shared" si="76"/>
        <v>4805.3999999999996</v>
      </c>
      <c r="F102" s="47">
        <f t="shared" si="76"/>
        <v>5670.11</v>
      </c>
      <c r="G102" s="47">
        <f t="shared" si="76"/>
        <v>5902.57</v>
      </c>
      <c r="H102" s="47">
        <f t="shared" si="76"/>
        <v>5779.12</v>
      </c>
      <c r="I102" s="47">
        <f t="shared" si="76"/>
        <v>6010.3</v>
      </c>
      <c r="J102" s="47">
        <f t="shared" si="76"/>
        <v>6232.5</v>
      </c>
      <c r="K102" s="47">
        <f t="shared" si="76"/>
        <v>6373.58</v>
      </c>
      <c r="L102" s="47">
        <f t="shared" si="76"/>
        <v>6367.86</v>
      </c>
      <c r="M102" s="47">
        <f t="shared" si="76"/>
        <v>6033.25</v>
      </c>
      <c r="N102" s="47">
        <f t="shared" si="76"/>
        <v>5934.83</v>
      </c>
      <c r="O102" s="47">
        <f>SUM(C102:N102)</f>
        <v>69479.34</v>
      </c>
      <c r="P102" s="47"/>
      <c r="Q102" s="47">
        <f>MAX(C102:N102)</f>
        <v>6373.58</v>
      </c>
    </row>
    <row r="103" spans="1:23" x14ac:dyDescent="0.2">
      <c r="A103" s="14" t="s">
        <v>681</v>
      </c>
      <c r="C103" s="63">
        <v>0.8</v>
      </c>
      <c r="D103" s="63">
        <f>C103</f>
        <v>0.8</v>
      </c>
      <c r="E103" s="63">
        <f t="shared" ref="E103:N103" si="77">D103</f>
        <v>0.8</v>
      </c>
      <c r="F103" s="63">
        <f t="shared" si="77"/>
        <v>0.8</v>
      </c>
      <c r="G103" s="63">
        <f t="shared" si="77"/>
        <v>0.8</v>
      </c>
      <c r="H103" s="63">
        <f t="shared" si="77"/>
        <v>0.8</v>
      </c>
      <c r="I103" s="63">
        <f t="shared" si="77"/>
        <v>0.8</v>
      </c>
      <c r="J103" s="63">
        <f t="shared" si="77"/>
        <v>0.8</v>
      </c>
      <c r="K103" s="63">
        <f t="shared" si="77"/>
        <v>0.8</v>
      </c>
      <c r="L103" s="63">
        <f t="shared" si="77"/>
        <v>0.8</v>
      </c>
      <c r="M103" s="63">
        <f t="shared" si="77"/>
        <v>0.8</v>
      </c>
      <c r="N103" s="63">
        <f t="shared" si="77"/>
        <v>0.8</v>
      </c>
      <c r="O103" s="63"/>
      <c r="P103" s="47"/>
      <c r="Q103" s="33"/>
    </row>
    <row r="104" spans="1:23" x14ac:dyDescent="0.2">
      <c r="A104" s="14" t="s">
        <v>682</v>
      </c>
      <c r="C104" s="47">
        <f>C102*C103</f>
        <v>4371.92</v>
      </c>
      <c r="D104" s="47">
        <f t="shared" ref="D104" si="78">D102*D103</f>
        <v>3923.9360000000001</v>
      </c>
      <c r="E104" s="47">
        <f t="shared" ref="E104" si="79">E102*E103</f>
        <v>3844.3199999999997</v>
      </c>
      <c r="F104" s="47">
        <f t="shared" ref="F104" si="80">F102*F103</f>
        <v>4536.0879999999997</v>
      </c>
      <c r="G104" s="47">
        <f t="shared" ref="G104" si="81">G102*G103</f>
        <v>4722.0559999999996</v>
      </c>
      <c r="H104" s="47">
        <f t="shared" ref="H104" si="82">H102*H103</f>
        <v>4623.2960000000003</v>
      </c>
      <c r="I104" s="47">
        <f t="shared" ref="I104" si="83">I102*I103</f>
        <v>4808.2400000000007</v>
      </c>
      <c r="J104" s="47">
        <f t="shared" ref="J104" si="84">J102*J103</f>
        <v>4986</v>
      </c>
      <c r="K104" s="47">
        <f t="shared" ref="K104" si="85">K102*K103</f>
        <v>5098.8640000000005</v>
      </c>
      <c r="L104" s="47">
        <f t="shared" ref="L104" si="86">L102*L103</f>
        <v>5094.2880000000005</v>
      </c>
      <c r="M104" s="47">
        <f t="shared" ref="M104" si="87">M102*M103</f>
        <v>4826.6000000000004</v>
      </c>
      <c r="N104" s="47">
        <f t="shared" ref="N104" si="88">N102*N103</f>
        <v>4747.8640000000005</v>
      </c>
      <c r="O104" s="47">
        <f>SUM(C104:N104)</f>
        <v>55583.472000000002</v>
      </c>
      <c r="P104" s="47"/>
      <c r="Q104" s="33"/>
      <c r="R104" s="33">
        <f>O104</f>
        <v>55583.472000000002</v>
      </c>
      <c r="S104" s="33">
        <f>H104+I104+J104</f>
        <v>14417.536</v>
      </c>
      <c r="T104" s="33">
        <f>R104-S104</f>
        <v>41165.936000000002</v>
      </c>
    </row>
    <row r="105" spans="1:23" x14ac:dyDescent="0.2">
      <c r="A105" s="14" t="s">
        <v>758</v>
      </c>
      <c r="C105" s="63">
        <f t="shared" ref="C105:N105" si="89">C100/C106</f>
        <v>0.3125911855463912</v>
      </c>
      <c r="D105" s="63">
        <f t="shared" si="89"/>
        <v>0.41537730954190477</v>
      </c>
      <c r="E105" s="63">
        <f t="shared" si="89"/>
        <v>0.30177743586851891</v>
      </c>
      <c r="F105" s="63">
        <f t="shared" si="89"/>
        <v>0.44592448122083239</v>
      </c>
      <c r="G105" s="63">
        <f t="shared" si="89"/>
        <v>0.39475241520911403</v>
      </c>
      <c r="H105" s="63">
        <f t="shared" si="89"/>
        <v>0.37939232330196643</v>
      </c>
      <c r="I105" s="63">
        <f t="shared" si="89"/>
        <v>0.43527428452124922</v>
      </c>
      <c r="J105" s="63">
        <f t="shared" si="89"/>
        <v>0.46408222593153303</v>
      </c>
      <c r="K105" s="63">
        <f t="shared" si="89"/>
        <v>0.46271322944816518</v>
      </c>
      <c r="L105" s="63">
        <f t="shared" si="89"/>
        <v>0.40319667831893291</v>
      </c>
      <c r="M105" s="63">
        <f t="shared" si="89"/>
        <v>0.47831706818263847</v>
      </c>
      <c r="N105" s="63">
        <f t="shared" si="89"/>
        <v>0.40218198675111294</v>
      </c>
      <c r="O105" s="63"/>
      <c r="P105" s="126"/>
      <c r="Q105" s="126"/>
      <c r="U105" s="115"/>
      <c r="W105" s="115"/>
    </row>
    <row r="106" spans="1:23" x14ac:dyDescent="0.2">
      <c r="A106" s="14" t="s">
        <v>759</v>
      </c>
      <c r="C106" s="47">
        <v>5464.9</v>
      </c>
      <c r="D106" s="47">
        <v>4904.92</v>
      </c>
      <c r="E106" s="47">
        <v>4805.3999999999996</v>
      </c>
      <c r="F106" s="47">
        <v>5670.11</v>
      </c>
      <c r="G106" s="47">
        <v>5902.57</v>
      </c>
      <c r="H106" s="47">
        <v>5779.12</v>
      </c>
      <c r="I106" s="47">
        <v>6010.3</v>
      </c>
      <c r="J106" s="47">
        <v>6232.5</v>
      </c>
      <c r="K106" s="47">
        <v>6373.58</v>
      </c>
      <c r="L106" s="47">
        <v>6367.86</v>
      </c>
      <c r="M106" s="47">
        <v>6033.25</v>
      </c>
      <c r="N106" s="47">
        <v>5934.83</v>
      </c>
      <c r="O106" s="47">
        <f>SUM(C106:N106)</f>
        <v>69479.34</v>
      </c>
      <c r="P106" s="47">
        <f>MAX(C106:N106)</f>
        <v>6373.58</v>
      </c>
      <c r="Q106" s="47"/>
    </row>
    <row r="108" spans="1:23" x14ac:dyDescent="0.2">
      <c r="A108" s="15" t="str">
        <f>A15</f>
        <v>Large Industrial Rate</v>
      </c>
      <c r="B108" s="55" t="str">
        <f>B15</f>
        <v>B-1</v>
      </c>
      <c r="C108" s="47">
        <v>1</v>
      </c>
      <c r="D108" s="47">
        <v>1</v>
      </c>
      <c r="E108" s="47">
        <v>1</v>
      </c>
      <c r="F108" s="47">
        <v>1</v>
      </c>
      <c r="G108" s="47">
        <v>1</v>
      </c>
      <c r="H108" s="47">
        <v>1</v>
      </c>
      <c r="I108" s="47">
        <v>1</v>
      </c>
      <c r="J108" s="47">
        <v>1</v>
      </c>
      <c r="K108" s="47">
        <v>1</v>
      </c>
      <c r="L108" s="47">
        <v>1</v>
      </c>
      <c r="M108" s="47">
        <v>1</v>
      </c>
      <c r="N108" s="47">
        <v>1</v>
      </c>
      <c r="O108" s="47">
        <f>ROUND(SUM(C108:N108)/12,0)</f>
        <v>1</v>
      </c>
      <c r="P108" s="47"/>
      <c r="Q108" s="33"/>
    </row>
    <row r="109" spans="1:23" x14ac:dyDescent="0.2">
      <c r="A109" s="14" t="s">
        <v>1049</v>
      </c>
      <c r="C109" s="47">
        <v>539608</v>
      </c>
      <c r="D109" s="47">
        <v>583736</v>
      </c>
      <c r="E109" s="47">
        <v>688271</v>
      </c>
      <c r="F109" s="47">
        <v>959957</v>
      </c>
      <c r="G109" s="47">
        <v>584903</v>
      </c>
      <c r="H109" s="47">
        <v>973619</v>
      </c>
      <c r="I109" s="47">
        <v>906443</v>
      </c>
      <c r="J109" s="47">
        <v>1011925</v>
      </c>
      <c r="K109" s="47">
        <v>1080415</v>
      </c>
      <c r="L109" s="47">
        <v>733226</v>
      </c>
      <c r="M109" s="47">
        <v>1062247</v>
      </c>
      <c r="N109" s="47">
        <v>475428</v>
      </c>
      <c r="O109" s="47">
        <f>SUM(C109:N109)</f>
        <v>9599778</v>
      </c>
      <c r="P109" s="126"/>
      <c r="Q109" s="126"/>
      <c r="U109" s="115"/>
      <c r="W109" s="115"/>
    </row>
    <row r="110" spans="1:23" x14ac:dyDescent="0.2">
      <c r="A110" s="14" t="s">
        <v>680</v>
      </c>
      <c r="C110" s="45">
        <f>C109/744</f>
        <v>725.27956989247309</v>
      </c>
      <c r="D110" s="45">
        <f t="shared" ref="D110:N110" si="90">D109/744</f>
        <v>784.5913978494624</v>
      </c>
      <c r="E110" s="45">
        <f t="shared" si="90"/>
        <v>925.09543010752691</v>
      </c>
      <c r="F110" s="45">
        <f t="shared" si="90"/>
        <v>1290.2647849462367</v>
      </c>
      <c r="G110" s="45">
        <f t="shared" si="90"/>
        <v>786.15994623655911</v>
      </c>
      <c r="H110" s="45">
        <f t="shared" si="90"/>
        <v>1308.627688172043</v>
      </c>
      <c r="I110" s="45">
        <f t="shared" si="90"/>
        <v>1218.3373655913979</v>
      </c>
      <c r="J110" s="45">
        <f t="shared" si="90"/>
        <v>1360.114247311828</v>
      </c>
      <c r="K110" s="45">
        <f t="shared" si="90"/>
        <v>1452.1706989247311</v>
      </c>
      <c r="L110" s="45">
        <f t="shared" si="90"/>
        <v>985.51881720430106</v>
      </c>
      <c r="M110" s="45">
        <f t="shared" si="90"/>
        <v>1427.7513440860216</v>
      </c>
      <c r="N110" s="45">
        <f t="shared" si="90"/>
        <v>639.01612903225805</v>
      </c>
      <c r="O110" s="47">
        <f>O109/8760</f>
        <v>1095.8650684931506</v>
      </c>
      <c r="P110" s="47"/>
      <c r="Q110" s="47"/>
    </row>
    <row r="111" spans="1:23" x14ac:dyDescent="0.2">
      <c r="A111" s="14" t="s">
        <v>756</v>
      </c>
      <c r="C111" s="63">
        <f>C115+0.15</f>
        <v>0.59078421439530882</v>
      </c>
      <c r="D111" s="63">
        <f t="shared" ref="D111:N111" si="91">D115+0.15</f>
        <v>0.63064850758990809</v>
      </c>
      <c r="E111" s="63">
        <f t="shared" si="91"/>
        <v>0.71522681899181695</v>
      </c>
      <c r="F111" s="63">
        <f t="shared" si="91"/>
        <v>0.91539963751600884</v>
      </c>
      <c r="G111" s="63">
        <f t="shared" si="91"/>
        <v>0.61941648130870042</v>
      </c>
      <c r="H111" s="63">
        <f t="shared" si="91"/>
        <v>0.93991928831024052</v>
      </c>
      <c r="I111" s="63">
        <f t="shared" si="91"/>
        <v>0.88946186306834063</v>
      </c>
      <c r="J111" s="63">
        <f t="shared" si="91"/>
        <v>0.9752819965971069</v>
      </c>
      <c r="K111" s="63">
        <f t="shared" si="91"/>
        <v>1.0235124057413643</v>
      </c>
      <c r="L111" s="63">
        <f t="shared" si="91"/>
        <v>0.73960144612880707</v>
      </c>
      <c r="M111" s="63">
        <f t="shared" si="91"/>
        <v>0.99248028800732968</v>
      </c>
      <c r="N111" s="63">
        <f t="shared" si="91"/>
        <v>0.52966391325121831</v>
      </c>
      <c r="O111" s="63"/>
      <c r="Q111" s="33"/>
    </row>
    <row r="112" spans="1:23" x14ac:dyDescent="0.2">
      <c r="A112" s="14" t="s">
        <v>757</v>
      </c>
      <c r="C112" s="47">
        <f>C116</f>
        <v>1645.43</v>
      </c>
      <c r="D112" s="47">
        <f t="shared" ref="D112:N112" si="92">D116</f>
        <v>1632.36</v>
      </c>
      <c r="E112" s="47">
        <f t="shared" si="92"/>
        <v>1636.68</v>
      </c>
      <c r="F112" s="47">
        <f t="shared" si="92"/>
        <v>1685.74</v>
      </c>
      <c r="G112" s="47">
        <f t="shared" si="92"/>
        <v>1674.76</v>
      </c>
      <c r="H112" s="47">
        <f t="shared" si="92"/>
        <v>1656.66</v>
      </c>
      <c r="I112" s="47">
        <f t="shared" si="92"/>
        <v>1647.6</v>
      </c>
      <c r="J112" s="47">
        <f t="shared" si="92"/>
        <v>1648.06</v>
      </c>
      <c r="K112" s="47">
        <f t="shared" si="92"/>
        <v>1662.45</v>
      </c>
      <c r="L112" s="47">
        <f t="shared" si="92"/>
        <v>1671.5</v>
      </c>
      <c r="M112" s="47">
        <f t="shared" si="92"/>
        <v>1694.7</v>
      </c>
      <c r="N112" s="47">
        <f t="shared" si="92"/>
        <v>1683.11</v>
      </c>
      <c r="O112" s="47">
        <f>SUM(C112:N112)</f>
        <v>19939.05</v>
      </c>
      <c r="Q112" s="33">
        <f>MAX(C112:N112)</f>
        <v>1694.7</v>
      </c>
    </row>
    <row r="113" spans="1:23" x14ac:dyDescent="0.2">
      <c r="A113" s="14" t="s">
        <v>681</v>
      </c>
      <c r="C113" s="63">
        <v>0.8</v>
      </c>
      <c r="D113" s="63">
        <f>C113</f>
        <v>0.8</v>
      </c>
      <c r="E113" s="63">
        <f t="shared" ref="E113" si="93">D113</f>
        <v>0.8</v>
      </c>
      <c r="F113" s="63">
        <f t="shared" ref="F113" si="94">E113</f>
        <v>0.8</v>
      </c>
      <c r="G113" s="63">
        <f t="shared" ref="G113" si="95">F113</f>
        <v>0.8</v>
      </c>
      <c r="H113" s="63">
        <f t="shared" ref="H113" si="96">G113</f>
        <v>0.8</v>
      </c>
      <c r="I113" s="63">
        <f t="shared" ref="I113" si="97">H113</f>
        <v>0.8</v>
      </c>
      <c r="J113" s="63">
        <f t="shared" ref="J113" si="98">I113</f>
        <v>0.8</v>
      </c>
      <c r="K113" s="63">
        <f t="shared" ref="K113" si="99">J113</f>
        <v>0.8</v>
      </c>
      <c r="L113" s="63">
        <f t="shared" ref="L113" si="100">K113</f>
        <v>0.8</v>
      </c>
      <c r="M113" s="63">
        <f t="shared" ref="M113" si="101">L113</f>
        <v>0.8</v>
      </c>
      <c r="N113" s="63">
        <f t="shared" ref="N113" si="102">M113</f>
        <v>0.8</v>
      </c>
      <c r="O113" s="63"/>
      <c r="P113" s="47"/>
      <c r="Q113" s="33"/>
    </row>
    <row r="114" spans="1:23" x14ac:dyDescent="0.2">
      <c r="A114" s="14" t="s">
        <v>682</v>
      </c>
      <c r="C114" s="47">
        <f>C112*C113</f>
        <v>1316.3440000000001</v>
      </c>
      <c r="D114" s="47">
        <f t="shared" ref="D114:N114" si="103">D112*D113</f>
        <v>1305.8879999999999</v>
      </c>
      <c r="E114" s="47">
        <f t="shared" si="103"/>
        <v>1309.3440000000001</v>
      </c>
      <c r="F114" s="47">
        <f t="shared" si="103"/>
        <v>1348.5920000000001</v>
      </c>
      <c r="G114" s="47">
        <f t="shared" si="103"/>
        <v>1339.808</v>
      </c>
      <c r="H114" s="47">
        <f t="shared" si="103"/>
        <v>1325.3280000000002</v>
      </c>
      <c r="I114" s="47">
        <f t="shared" si="103"/>
        <v>1318.08</v>
      </c>
      <c r="J114" s="47">
        <f t="shared" si="103"/>
        <v>1318.4480000000001</v>
      </c>
      <c r="K114" s="47">
        <f t="shared" si="103"/>
        <v>1329.96</v>
      </c>
      <c r="L114" s="47">
        <f t="shared" si="103"/>
        <v>1337.2</v>
      </c>
      <c r="M114" s="47">
        <f t="shared" si="103"/>
        <v>1355.7600000000002</v>
      </c>
      <c r="N114" s="47">
        <f t="shared" si="103"/>
        <v>1346.4880000000001</v>
      </c>
      <c r="O114" s="47">
        <f>SUM(C114:N114)</f>
        <v>15951.240000000002</v>
      </c>
      <c r="P114" s="47"/>
      <c r="Q114" s="33"/>
      <c r="R114" s="33">
        <f>O114</f>
        <v>15951.240000000002</v>
      </c>
      <c r="S114" s="33">
        <f>H114+I114+J114</f>
        <v>3961.8560000000007</v>
      </c>
      <c r="T114" s="33">
        <f>R114-S114</f>
        <v>11989.384000000002</v>
      </c>
    </row>
    <row r="115" spans="1:23" x14ac:dyDescent="0.2">
      <c r="A115" s="14" t="s">
        <v>758</v>
      </c>
      <c r="C115" s="63">
        <f t="shared" ref="C115:N115" si="104">C110/C116</f>
        <v>0.44078421439530885</v>
      </c>
      <c r="D115" s="63">
        <f t="shared" si="104"/>
        <v>0.48064850758990812</v>
      </c>
      <c r="E115" s="63">
        <f t="shared" si="104"/>
        <v>0.56522681899181693</v>
      </c>
      <c r="F115" s="63">
        <f t="shared" si="104"/>
        <v>0.76539963751600881</v>
      </c>
      <c r="G115" s="63">
        <f t="shared" si="104"/>
        <v>0.4694164813087004</v>
      </c>
      <c r="H115" s="63">
        <f t="shared" si="104"/>
        <v>0.7899192883102405</v>
      </c>
      <c r="I115" s="63">
        <f t="shared" si="104"/>
        <v>0.73946186306834061</v>
      </c>
      <c r="J115" s="63">
        <f t="shared" si="104"/>
        <v>0.82528199659710688</v>
      </c>
      <c r="K115" s="63">
        <f t="shared" si="104"/>
        <v>0.87351240574136435</v>
      </c>
      <c r="L115" s="63">
        <f t="shared" si="104"/>
        <v>0.58960144612880705</v>
      </c>
      <c r="M115" s="63">
        <f t="shared" si="104"/>
        <v>0.84248028800732966</v>
      </c>
      <c r="N115" s="63">
        <f t="shared" si="104"/>
        <v>0.37966391325121834</v>
      </c>
      <c r="O115" s="63"/>
      <c r="P115" s="126"/>
      <c r="Q115" s="126"/>
      <c r="U115" s="115"/>
      <c r="W115" s="115"/>
    </row>
    <row r="116" spans="1:23" x14ac:dyDescent="0.2">
      <c r="A116" s="14" t="s">
        <v>759</v>
      </c>
      <c r="C116" s="47">
        <v>1645.43</v>
      </c>
      <c r="D116" s="47">
        <v>1632.36</v>
      </c>
      <c r="E116" s="47">
        <v>1636.68</v>
      </c>
      <c r="F116" s="47">
        <v>1685.74</v>
      </c>
      <c r="G116" s="47">
        <v>1674.76</v>
      </c>
      <c r="H116" s="47">
        <v>1656.66</v>
      </c>
      <c r="I116" s="47">
        <v>1647.6</v>
      </c>
      <c r="J116" s="47">
        <v>1648.06</v>
      </c>
      <c r="K116" s="47">
        <v>1662.45</v>
      </c>
      <c r="L116" s="47">
        <v>1671.5</v>
      </c>
      <c r="M116" s="47">
        <v>1694.7</v>
      </c>
      <c r="N116" s="47">
        <v>1683.11</v>
      </c>
      <c r="O116" s="47">
        <f>SUM(C116:N116)</f>
        <v>19939.05</v>
      </c>
      <c r="P116" s="47">
        <f>MAX(C116:N116)</f>
        <v>1694.7</v>
      </c>
      <c r="Q116" s="47"/>
    </row>
    <row r="118" spans="1:23" x14ac:dyDescent="0.2">
      <c r="A118" s="15" t="str">
        <f>A16</f>
        <v>Lighting</v>
      </c>
      <c r="B118" s="55" t="str">
        <f>B16</f>
        <v>S,T,O</v>
      </c>
      <c r="C118" s="47">
        <v>9944.1956521739121</v>
      </c>
      <c r="D118" s="47">
        <v>9967.2991718426492</v>
      </c>
      <c r="E118" s="47">
        <v>9926.2991718426492</v>
      </c>
      <c r="F118" s="47">
        <v>9976.1956521739121</v>
      </c>
      <c r="G118" s="47">
        <v>10013.195652173912</v>
      </c>
      <c r="H118" s="47">
        <v>9995.1956521739121</v>
      </c>
      <c r="I118" s="47">
        <v>10007.195652173914</v>
      </c>
      <c r="J118" s="47">
        <v>10021.195652173914</v>
      </c>
      <c r="K118" s="47">
        <v>10015.195652173912</v>
      </c>
      <c r="L118" s="47">
        <v>9974.8501908396956</v>
      </c>
      <c r="M118" s="47">
        <v>10035.850190839696</v>
      </c>
      <c r="N118" s="47">
        <v>9976.8501908396938</v>
      </c>
      <c r="O118" s="47">
        <f>ROUND(SUM(C118:N118)/12,0)</f>
        <v>9988</v>
      </c>
      <c r="P118" s="47"/>
      <c r="Q118" s="33"/>
    </row>
    <row r="119" spans="1:23" x14ac:dyDescent="0.2">
      <c r="A119" s="14" t="s">
        <v>679</v>
      </c>
      <c r="C119" s="47">
        <v>335143</v>
      </c>
      <c r="D119" s="47">
        <v>334941</v>
      </c>
      <c r="E119" s="47">
        <v>332625</v>
      </c>
      <c r="F119" s="47">
        <v>333105</v>
      </c>
      <c r="G119" s="47">
        <v>333613</v>
      </c>
      <c r="H119" s="47">
        <v>332990</v>
      </c>
      <c r="I119" s="47">
        <v>331773</v>
      </c>
      <c r="J119" s="47">
        <v>331961</v>
      </c>
      <c r="K119" s="47">
        <v>330368</v>
      </c>
      <c r="L119" s="47">
        <v>327718</v>
      </c>
      <c r="M119" s="47">
        <v>328716</v>
      </c>
      <c r="N119" s="47">
        <v>325704</v>
      </c>
      <c r="O119" s="47">
        <f>SUM(C119:N119)</f>
        <v>3978657</v>
      </c>
      <c r="P119" s="126"/>
      <c r="Q119" s="126"/>
      <c r="U119" s="115"/>
      <c r="W119" s="115"/>
    </row>
    <row r="120" spans="1:23" x14ac:dyDescent="0.2">
      <c r="A120" s="14" t="s">
        <v>680</v>
      </c>
      <c r="C120" s="47">
        <f>C119/744</f>
        <v>450.46102150537632</v>
      </c>
      <c r="D120" s="45">
        <f>D119/720</f>
        <v>465.19583333333333</v>
      </c>
      <c r="E120" s="47">
        <f t="shared" ref="E120" si="105">E119/744</f>
        <v>447.07661290322579</v>
      </c>
      <c r="F120" s="47">
        <f>F119/720</f>
        <v>462.64583333333331</v>
      </c>
      <c r="G120" s="47">
        <f t="shared" ref="G120" si="106">G119/744</f>
        <v>448.40456989247309</v>
      </c>
      <c r="H120" s="45">
        <f>H119/744</f>
        <v>447.56720430107526</v>
      </c>
      <c r="I120" s="45">
        <f>I119/672</f>
        <v>493.70982142857144</v>
      </c>
      <c r="J120" s="47">
        <f t="shared" ref="J120" si="107">J119/744</f>
        <v>446.18413978494624</v>
      </c>
      <c r="K120" s="47">
        <f>K119/720</f>
        <v>458.84444444444443</v>
      </c>
      <c r="L120" s="47">
        <f t="shared" ref="L120" si="108">L119/744</f>
        <v>440.48118279569894</v>
      </c>
      <c r="M120" s="47">
        <f>M119/720</f>
        <v>456.55</v>
      </c>
      <c r="N120" s="47">
        <f t="shared" ref="N120" si="109">N119/744</f>
        <v>437.77419354838707</v>
      </c>
      <c r="O120" s="47">
        <f>O119/8760</f>
        <v>454.18458904109588</v>
      </c>
      <c r="P120" s="47"/>
      <c r="Q120" s="47"/>
    </row>
    <row r="121" spans="1:23" x14ac:dyDescent="0.2">
      <c r="A121" s="14" t="s">
        <v>756</v>
      </c>
      <c r="C121" s="63">
        <v>0.5</v>
      </c>
      <c r="D121" s="63">
        <v>0.5</v>
      </c>
      <c r="E121" s="63">
        <v>0.5</v>
      </c>
      <c r="F121" s="63">
        <v>0.5</v>
      </c>
      <c r="G121" s="63">
        <v>0.5</v>
      </c>
      <c r="H121" s="63">
        <v>0.5</v>
      </c>
      <c r="I121" s="63">
        <v>0.5</v>
      </c>
      <c r="J121" s="63">
        <v>0.5</v>
      </c>
      <c r="K121" s="63">
        <v>0.5</v>
      </c>
      <c r="L121" s="63">
        <v>0.5</v>
      </c>
      <c r="M121" s="63">
        <v>0.5</v>
      </c>
      <c r="N121" s="63">
        <v>0.5</v>
      </c>
      <c r="O121" s="63"/>
      <c r="Q121" s="33"/>
    </row>
    <row r="122" spans="1:23" x14ac:dyDescent="0.2">
      <c r="A122" s="14" t="s">
        <v>757</v>
      </c>
      <c r="C122" s="47">
        <f>C120/C121</f>
        <v>900.92204301075265</v>
      </c>
      <c r="D122" s="47">
        <f t="shared" ref="D122:N122" si="110">D120/D121</f>
        <v>930.39166666666665</v>
      </c>
      <c r="E122" s="47">
        <f t="shared" si="110"/>
        <v>894.15322580645159</v>
      </c>
      <c r="F122" s="47">
        <f t="shared" si="110"/>
        <v>925.29166666666663</v>
      </c>
      <c r="G122" s="47">
        <f t="shared" si="110"/>
        <v>896.80913978494618</v>
      </c>
      <c r="H122" s="47">
        <f t="shared" si="110"/>
        <v>895.13440860215053</v>
      </c>
      <c r="I122" s="47">
        <f t="shared" si="110"/>
        <v>987.41964285714289</v>
      </c>
      <c r="J122" s="47">
        <f t="shared" si="110"/>
        <v>892.36827956989248</v>
      </c>
      <c r="K122" s="47">
        <f t="shared" si="110"/>
        <v>917.68888888888887</v>
      </c>
      <c r="L122" s="47">
        <f t="shared" si="110"/>
        <v>880.96236559139788</v>
      </c>
      <c r="M122" s="47">
        <f t="shared" si="110"/>
        <v>913.1</v>
      </c>
      <c r="N122" s="47">
        <f t="shared" si="110"/>
        <v>875.54838709677415</v>
      </c>
      <c r="O122" s="47">
        <f>SUM(C122:N122)</f>
        <v>10909.789714541732</v>
      </c>
      <c r="Q122" s="33">
        <f>MAX(C122:N122)</f>
        <v>987.41964285714289</v>
      </c>
    </row>
    <row r="123" spans="1:23" x14ac:dyDescent="0.2">
      <c r="A123" s="14" t="s">
        <v>681</v>
      </c>
      <c r="C123" s="63">
        <v>1</v>
      </c>
      <c r="D123" s="63">
        <v>1</v>
      </c>
      <c r="E123" s="63">
        <v>1</v>
      </c>
      <c r="F123" s="63">
        <v>0</v>
      </c>
      <c r="G123" s="63">
        <v>0</v>
      </c>
      <c r="H123" s="63">
        <v>0</v>
      </c>
      <c r="I123" s="63">
        <v>0</v>
      </c>
      <c r="J123" s="63">
        <v>0</v>
      </c>
      <c r="K123" s="63">
        <v>0</v>
      </c>
      <c r="L123" s="63">
        <v>1</v>
      </c>
      <c r="M123" s="63">
        <v>1</v>
      </c>
      <c r="N123" s="63">
        <v>1</v>
      </c>
      <c r="O123" s="63"/>
      <c r="P123" s="47"/>
      <c r="Q123" s="33"/>
    </row>
    <row r="124" spans="1:23" x14ac:dyDescent="0.2">
      <c r="A124" s="14" t="s">
        <v>682</v>
      </c>
      <c r="C124" s="47">
        <f t="shared" ref="C124:N124" si="111">C122*C123</f>
        <v>900.92204301075265</v>
      </c>
      <c r="D124" s="47">
        <f t="shared" si="111"/>
        <v>930.39166666666665</v>
      </c>
      <c r="E124" s="47">
        <f t="shared" si="111"/>
        <v>894.15322580645159</v>
      </c>
      <c r="F124" s="47">
        <f t="shared" si="111"/>
        <v>0</v>
      </c>
      <c r="G124" s="47">
        <f t="shared" si="111"/>
        <v>0</v>
      </c>
      <c r="H124" s="47">
        <f t="shared" si="111"/>
        <v>0</v>
      </c>
      <c r="I124" s="47">
        <f t="shared" si="111"/>
        <v>0</v>
      </c>
      <c r="J124" s="47">
        <f t="shared" si="111"/>
        <v>0</v>
      </c>
      <c r="K124" s="47">
        <f t="shared" si="111"/>
        <v>0</v>
      </c>
      <c r="L124" s="47">
        <f t="shared" si="111"/>
        <v>880.96236559139788</v>
      </c>
      <c r="M124" s="47">
        <f t="shared" si="111"/>
        <v>913.1</v>
      </c>
      <c r="N124" s="47">
        <f t="shared" si="111"/>
        <v>875.54838709677415</v>
      </c>
      <c r="O124" s="47">
        <f>SUM(C124:N124)</f>
        <v>5395.0776881720431</v>
      </c>
      <c r="P124" s="47"/>
      <c r="Q124" s="33"/>
      <c r="R124" s="33">
        <f>O124</f>
        <v>5395.0776881720431</v>
      </c>
      <c r="S124" s="33">
        <f>H124+I124+J124</f>
        <v>0</v>
      </c>
      <c r="T124" s="33">
        <f>R124-S124</f>
        <v>5395.0776881720431</v>
      </c>
    </row>
    <row r="125" spans="1:23" x14ac:dyDescent="0.2">
      <c r="A125" s="14" t="s">
        <v>758</v>
      </c>
      <c r="C125" s="63">
        <v>0.5</v>
      </c>
      <c r="D125" s="63">
        <v>0.5</v>
      </c>
      <c r="E125" s="63">
        <v>0.5</v>
      </c>
      <c r="F125" s="63">
        <v>0.5</v>
      </c>
      <c r="G125" s="63">
        <v>0.5</v>
      </c>
      <c r="H125" s="63">
        <v>0.5</v>
      </c>
      <c r="I125" s="63">
        <v>0.5</v>
      </c>
      <c r="J125" s="63">
        <v>0.5</v>
      </c>
      <c r="K125" s="63">
        <v>0.5</v>
      </c>
      <c r="L125" s="63">
        <v>0.5</v>
      </c>
      <c r="M125" s="63">
        <v>0.5</v>
      </c>
      <c r="N125" s="63">
        <v>0.5</v>
      </c>
      <c r="O125" s="63"/>
      <c r="P125" s="126"/>
      <c r="Q125" s="126"/>
      <c r="U125" s="115"/>
      <c r="W125" s="115"/>
    </row>
    <row r="126" spans="1:23" x14ac:dyDescent="0.2">
      <c r="A126" s="14" t="s">
        <v>759</v>
      </c>
      <c r="C126" s="47">
        <f>C120/C125</f>
        <v>900.92204301075265</v>
      </c>
      <c r="D126" s="47">
        <f t="shared" ref="D126:N126" si="112">D120/D125</f>
        <v>930.39166666666665</v>
      </c>
      <c r="E126" s="47">
        <f t="shared" si="112"/>
        <v>894.15322580645159</v>
      </c>
      <c r="F126" s="47">
        <f t="shared" si="112"/>
        <v>925.29166666666663</v>
      </c>
      <c r="G126" s="47">
        <f t="shared" si="112"/>
        <v>896.80913978494618</v>
      </c>
      <c r="H126" s="47">
        <f t="shared" si="112"/>
        <v>895.13440860215053</v>
      </c>
      <c r="I126" s="47">
        <f t="shared" si="112"/>
        <v>987.41964285714289</v>
      </c>
      <c r="J126" s="47">
        <f t="shared" si="112"/>
        <v>892.36827956989248</v>
      </c>
      <c r="K126" s="47">
        <f t="shared" si="112"/>
        <v>917.68888888888887</v>
      </c>
      <c r="L126" s="47">
        <f t="shared" si="112"/>
        <v>880.96236559139788</v>
      </c>
      <c r="M126" s="47">
        <f t="shared" si="112"/>
        <v>913.1</v>
      </c>
      <c r="N126" s="47">
        <f t="shared" si="112"/>
        <v>875.54838709677415</v>
      </c>
      <c r="O126" s="47">
        <f>SUM(C126:N126)</f>
        <v>10909.789714541732</v>
      </c>
      <c r="P126" s="47">
        <f>MAX(C126:N126)</f>
        <v>987.41964285714289</v>
      </c>
      <c r="Q126" s="47"/>
    </row>
    <row r="128" spans="1:23" hidden="1" x14ac:dyDescent="0.2">
      <c r="A128" s="15" t="str">
        <f>A17</f>
        <v>N/A</v>
      </c>
      <c r="B128" s="55" t="str">
        <f>B17</f>
        <v>n/a</v>
      </c>
      <c r="C128" s="47">
        <v>0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f>ROUND(SUM(C128:N128)/12,0)</f>
        <v>0</v>
      </c>
      <c r="P128" s="47"/>
      <c r="Q128" s="33"/>
    </row>
    <row r="129" spans="1:23" hidden="1" x14ac:dyDescent="0.2">
      <c r="A129" s="14" t="s">
        <v>679</v>
      </c>
      <c r="C129" s="47">
        <v>0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>SUM(C129:N129)</f>
        <v>0</v>
      </c>
      <c r="P129" s="126"/>
      <c r="Q129" s="126"/>
      <c r="U129" s="115"/>
      <c r="W129" s="115"/>
    </row>
    <row r="130" spans="1:23" hidden="1" x14ac:dyDescent="0.2">
      <c r="A130" s="14" t="s">
        <v>680</v>
      </c>
      <c r="C130" s="47">
        <f>C129/744</f>
        <v>0</v>
      </c>
      <c r="D130" s="45">
        <f>D129/720</f>
        <v>0</v>
      </c>
      <c r="E130" s="47">
        <f t="shared" ref="E130:N130" si="113">E129/744</f>
        <v>0</v>
      </c>
      <c r="F130" s="47">
        <f>F129/720</f>
        <v>0</v>
      </c>
      <c r="G130" s="47">
        <f t="shared" si="113"/>
        <v>0</v>
      </c>
      <c r="H130" s="45">
        <f>H129/744</f>
        <v>0</v>
      </c>
      <c r="I130" s="45">
        <f>I129/672</f>
        <v>0</v>
      </c>
      <c r="J130" s="47">
        <f t="shared" si="113"/>
        <v>0</v>
      </c>
      <c r="K130" s="47">
        <f>K129/720</f>
        <v>0</v>
      </c>
      <c r="L130" s="47">
        <f t="shared" si="113"/>
        <v>0</v>
      </c>
      <c r="M130" s="47">
        <f>M129/720</f>
        <v>0</v>
      </c>
      <c r="N130" s="47">
        <f t="shared" si="113"/>
        <v>0</v>
      </c>
      <c r="O130" s="47">
        <f>O129/8760</f>
        <v>0</v>
      </c>
      <c r="P130" s="47"/>
      <c r="Q130" s="47"/>
    </row>
    <row r="131" spans="1:23" hidden="1" x14ac:dyDescent="0.2">
      <c r="A131" s="14" t="s">
        <v>756</v>
      </c>
      <c r="C131" s="63">
        <v>0.5</v>
      </c>
      <c r="D131" s="63">
        <v>0.5</v>
      </c>
      <c r="E131" s="63">
        <v>0.5</v>
      </c>
      <c r="F131" s="63">
        <v>0.5</v>
      </c>
      <c r="G131" s="63">
        <v>0.5</v>
      </c>
      <c r="H131" s="63">
        <v>0.5</v>
      </c>
      <c r="I131" s="63">
        <v>0.5</v>
      </c>
      <c r="J131" s="63">
        <v>0.5</v>
      </c>
      <c r="K131" s="63">
        <v>0.5</v>
      </c>
      <c r="L131" s="63">
        <v>0.5</v>
      </c>
      <c r="M131" s="63">
        <v>0.5</v>
      </c>
      <c r="N131" s="63">
        <v>0.5</v>
      </c>
      <c r="O131" s="63"/>
      <c r="Q131" s="33"/>
    </row>
    <row r="132" spans="1:23" hidden="1" x14ac:dyDescent="0.2">
      <c r="A132" s="14" t="s">
        <v>757</v>
      </c>
      <c r="C132" s="47"/>
      <c r="D132" s="47"/>
      <c r="E132" s="47"/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/>
      <c r="L132" s="47"/>
      <c r="M132" s="47"/>
      <c r="N132" s="47"/>
      <c r="O132" s="47">
        <f>SUM(C132:N132)</f>
        <v>0</v>
      </c>
      <c r="Q132" s="33">
        <f>MAX(C132:N132)</f>
        <v>0</v>
      </c>
    </row>
    <row r="133" spans="1:23" hidden="1" x14ac:dyDescent="0.2">
      <c r="A133" s="14" t="s">
        <v>681</v>
      </c>
      <c r="C133" s="63">
        <v>1</v>
      </c>
      <c r="D133" s="63">
        <v>1</v>
      </c>
      <c r="E133" s="63">
        <v>1</v>
      </c>
      <c r="F133" s="63">
        <v>0</v>
      </c>
      <c r="G133" s="63">
        <v>0</v>
      </c>
      <c r="H133" s="63">
        <v>0</v>
      </c>
      <c r="I133" s="63">
        <v>0</v>
      </c>
      <c r="J133" s="63">
        <v>0</v>
      </c>
      <c r="K133" s="63">
        <v>0</v>
      </c>
      <c r="L133" s="63">
        <v>1</v>
      </c>
      <c r="M133" s="63">
        <v>1</v>
      </c>
      <c r="N133" s="63">
        <v>1</v>
      </c>
      <c r="O133" s="63"/>
      <c r="P133" s="47"/>
      <c r="Q133" s="33"/>
    </row>
    <row r="134" spans="1:23" hidden="1" x14ac:dyDescent="0.2">
      <c r="A134" s="14" t="s">
        <v>682</v>
      </c>
      <c r="C134" s="47">
        <f t="shared" ref="C134:N134" si="114">C132*C133</f>
        <v>0</v>
      </c>
      <c r="D134" s="47">
        <f t="shared" si="114"/>
        <v>0</v>
      </c>
      <c r="E134" s="47">
        <f t="shared" si="114"/>
        <v>0</v>
      </c>
      <c r="F134" s="47">
        <f t="shared" si="114"/>
        <v>0</v>
      </c>
      <c r="G134" s="47">
        <f t="shared" si="114"/>
        <v>0</v>
      </c>
      <c r="H134" s="47">
        <f t="shared" si="114"/>
        <v>0</v>
      </c>
      <c r="I134" s="47">
        <f t="shared" si="114"/>
        <v>0</v>
      </c>
      <c r="J134" s="47">
        <f t="shared" si="114"/>
        <v>0</v>
      </c>
      <c r="K134" s="47">
        <f t="shared" si="114"/>
        <v>0</v>
      </c>
      <c r="L134" s="47">
        <f t="shared" si="114"/>
        <v>0</v>
      </c>
      <c r="M134" s="47">
        <f t="shared" si="114"/>
        <v>0</v>
      </c>
      <c r="N134" s="47">
        <f t="shared" si="114"/>
        <v>0</v>
      </c>
      <c r="O134" s="47">
        <f>SUM(C134:N134)</f>
        <v>0</v>
      </c>
      <c r="P134" s="47"/>
      <c r="Q134" s="33"/>
      <c r="R134" s="33">
        <f>O134</f>
        <v>0</v>
      </c>
      <c r="S134" s="33">
        <f>H134+I134+J134</f>
        <v>0</v>
      </c>
      <c r="T134" s="33">
        <f>R134-S134</f>
        <v>0</v>
      </c>
    </row>
    <row r="135" spans="1:23" hidden="1" x14ac:dyDescent="0.2">
      <c r="A135" s="14" t="s">
        <v>758</v>
      </c>
      <c r="C135" s="63">
        <v>0.5</v>
      </c>
      <c r="D135" s="63">
        <v>0.5</v>
      </c>
      <c r="E135" s="63">
        <v>0.5</v>
      </c>
      <c r="F135" s="63">
        <v>0.5</v>
      </c>
      <c r="G135" s="63">
        <v>0.5</v>
      </c>
      <c r="H135" s="63">
        <v>0.5</v>
      </c>
      <c r="I135" s="63">
        <v>0.5</v>
      </c>
      <c r="J135" s="63">
        <v>0.5</v>
      </c>
      <c r="K135" s="63">
        <v>0.5</v>
      </c>
      <c r="L135" s="63">
        <v>0.5</v>
      </c>
      <c r="M135" s="63">
        <v>0.5</v>
      </c>
      <c r="N135" s="63">
        <v>0.5</v>
      </c>
      <c r="O135" s="63"/>
      <c r="P135" s="126"/>
      <c r="Q135" s="126"/>
      <c r="U135" s="115"/>
      <c r="W135" s="115"/>
    </row>
    <row r="136" spans="1:23" hidden="1" x14ac:dyDescent="0.2">
      <c r="A136" s="14" t="s">
        <v>759</v>
      </c>
      <c r="C136" s="47">
        <f>C130/C135</f>
        <v>0</v>
      </c>
      <c r="D136" s="47">
        <f t="shared" ref="D136:N136" si="115">D130/D135</f>
        <v>0</v>
      </c>
      <c r="E136" s="47">
        <f t="shared" si="115"/>
        <v>0</v>
      </c>
      <c r="F136" s="47">
        <f t="shared" si="115"/>
        <v>0</v>
      </c>
      <c r="G136" s="47">
        <f t="shared" si="115"/>
        <v>0</v>
      </c>
      <c r="H136" s="47">
        <f t="shared" si="115"/>
        <v>0</v>
      </c>
      <c r="I136" s="47">
        <f t="shared" si="115"/>
        <v>0</v>
      </c>
      <c r="J136" s="47">
        <f t="shared" si="115"/>
        <v>0</v>
      </c>
      <c r="K136" s="47">
        <f t="shared" si="115"/>
        <v>0</v>
      </c>
      <c r="L136" s="47">
        <f t="shared" si="115"/>
        <v>0</v>
      </c>
      <c r="M136" s="47">
        <f t="shared" si="115"/>
        <v>0</v>
      </c>
      <c r="N136" s="47">
        <f t="shared" si="115"/>
        <v>0</v>
      </c>
      <c r="O136" s="47">
        <f>SUM(C136:N136)</f>
        <v>0</v>
      </c>
      <c r="P136" s="47">
        <f>MAX(C136:N136)</f>
        <v>0</v>
      </c>
      <c r="Q136" s="47"/>
    </row>
    <row r="137" spans="1:23" hidden="1" x14ac:dyDescent="0.2">
      <c r="L137" s="47"/>
    </row>
    <row r="138" spans="1:23" hidden="1" x14ac:dyDescent="0.2">
      <c r="A138" s="15">
        <f>A18</f>
        <v>0</v>
      </c>
      <c r="B138" s="55">
        <f>B18</f>
        <v>0</v>
      </c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33"/>
    </row>
    <row r="139" spans="1:23" hidden="1" x14ac:dyDescent="0.2">
      <c r="A139" s="14" t="s">
        <v>679</v>
      </c>
      <c r="C139" s="47">
        <v>0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f>SUM(C139:N139)</f>
        <v>0</v>
      </c>
      <c r="P139" s="126"/>
      <c r="Q139" s="126"/>
      <c r="U139" s="115"/>
      <c r="W139" s="115"/>
    </row>
    <row r="140" spans="1:23" hidden="1" x14ac:dyDescent="0.2">
      <c r="A140" s="14" t="s">
        <v>680</v>
      </c>
      <c r="C140" s="47">
        <f>C139/744</f>
        <v>0</v>
      </c>
      <c r="D140" s="45">
        <f>D139/720</f>
        <v>0</v>
      </c>
      <c r="E140" s="47">
        <f t="shared" ref="E140:N140" si="116">E139/744</f>
        <v>0</v>
      </c>
      <c r="F140" s="47">
        <f>F139/720</f>
        <v>0</v>
      </c>
      <c r="G140" s="47">
        <f t="shared" si="116"/>
        <v>0</v>
      </c>
      <c r="H140" s="45">
        <f>H139/744</f>
        <v>0</v>
      </c>
      <c r="I140" s="45">
        <f>I139/672</f>
        <v>0</v>
      </c>
      <c r="J140" s="47">
        <f t="shared" si="116"/>
        <v>0</v>
      </c>
      <c r="K140" s="47">
        <f>K139/720</f>
        <v>0</v>
      </c>
      <c r="L140" s="47">
        <f t="shared" si="116"/>
        <v>0</v>
      </c>
      <c r="M140" s="47">
        <f>M139/720</f>
        <v>0</v>
      </c>
      <c r="N140" s="47">
        <f t="shared" si="116"/>
        <v>0</v>
      </c>
      <c r="O140" s="47">
        <f>O139/8760</f>
        <v>0</v>
      </c>
      <c r="P140" s="47"/>
      <c r="Q140" s="47"/>
    </row>
    <row r="141" spans="1:23" hidden="1" x14ac:dyDescent="0.2">
      <c r="A141" s="14" t="s">
        <v>756</v>
      </c>
      <c r="C141" s="63">
        <v>0</v>
      </c>
      <c r="D141" s="63">
        <v>0</v>
      </c>
      <c r="E141" s="63">
        <v>0</v>
      </c>
      <c r="F141" s="63">
        <v>0.25</v>
      </c>
      <c r="G141" s="63">
        <v>0.25</v>
      </c>
      <c r="H141" s="63">
        <v>0.25</v>
      </c>
      <c r="I141" s="63">
        <v>0.25</v>
      </c>
      <c r="J141" s="63">
        <v>0</v>
      </c>
      <c r="K141" s="63">
        <v>0</v>
      </c>
      <c r="L141" s="63">
        <v>0</v>
      </c>
      <c r="M141" s="63">
        <v>0</v>
      </c>
      <c r="N141" s="63">
        <v>0</v>
      </c>
      <c r="O141" s="63"/>
      <c r="Q141" s="33"/>
    </row>
    <row r="142" spans="1:23" hidden="1" x14ac:dyDescent="0.2">
      <c r="A142" s="14" t="s">
        <v>757</v>
      </c>
      <c r="C142" s="47"/>
      <c r="D142" s="47"/>
      <c r="E142" s="47"/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/>
      <c r="L142" s="47"/>
      <c r="M142" s="47"/>
      <c r="N142" s="47"/>
      <c r="O142" s="47">
        <f>SUM(C142:N142)</f>
        <v>0</v>
      </c>
      <c r="Q142" s="33">
        <f>MAX(C142:N142)</f>
        <v>0</v>
      </c>
    </row>
    <row r="143" spans="1:23" hidden="1" x14ac:dyDescent="0.2">
      <c r="A143" s="14" t="s">
        <v>681</v>
      </c>
      <c r="C143" s="63">
        <v>1</v>
      </c>
      <c r="D143" s="63">
        <v>1</v>
      </c>
      <c r="E143" s="63">
        <v>1</v>
      </c>
      <c r="F143" s="63">
        <v>0</v>
      </c>
      <c r="G143" s="63">
        <v>0</v>
      </c>
      <c r="H143" s="63">
        <v>0</v>
      </c>
      <c r="I143" s="63">
        <v>0</v>
      </c>
      <c r="J143" s="63">
        <v>0</v>
      </c>
      <c r="K143" s="63">
        <v>0</v>
      </c>
      <c r="L143" s="63">
        <v>1</v>
      </c>
      <c r="M143" s="63">
        <v>1</v>
      </c>
      <c r="N143" s="63">
        <v>1</v>
      </c>
      <c r="O143" s="63"/>
      <c r="P143" s="47"/>
      <c r="Q143" s="33"/>
    </row>
    <row r="144" spans="1:23" hidden="1" x14ac:dyDescent="0.2">
      <c r="A144" s="14" t="s">
        <v>682</v>
      </c>
      <c r="C144" s="47">
        <f t="shared" ref="C144:N144" si="117">C142*C143</f>
        <v>0</v>
      </c>
      <c r="D144" s="47">
        <f t="shared" si="117"/>
        <v>0</v>
      </c>
      <c r="E144" s="47">
        <f t="shared" si="117"/>
        <v>0</v>
      </c>
      <c r="F144" s="47">
        <f t="shared" si="117"/>
        <v>0</v>
      </c>
      <c r="G144" s="47">
        <f t="shared" si="117"/>
        <v>0</v>
      </c>
      <c r="H144" s="47">
        <f t="shared" si="117"/>
        <v>0</v>
      </c>
      <c r="I144" s="47">
        <f t="shared" si="117"/>
        <v>0</v>
      </c>
      <c r="J144" s="47">
        <f t="shared" si="117"/>
        <v>0</v>
      </c>
      <c r="K144" s="47">
        <f t="shared" si="117"/>
        <v>0</v>
      </c>
      <c r="L144" s="47">
        <f t="shared" si="117"/>
        <v>0</v>
      </c>
      <c r="M144" s="47">
        <f t="shared" si="117"/>
        <v>0</v>
      </c>
      <c r="N144" s="47">
        <f t="shared" si="117"/>
        <v>0</v>
      </c>
      <c r="O144" s="47">
        <f>SUM(C144:N144)</f>
        <v>0</v>
      </c>
      <c r="P144" s="47"/>
      <c r="Q144" s="33"/>
      <c r="R144" s="33">
        <f>O144</f>
        <v>0</v>
      </c>
      <c r="S144" s="33">
        <f>H144+I144+J144</f>
        <v>0</v>
      </c>
      <c r="T144" s="33">
        <f>R144-S144</f>
        <v>0</v>
      </c>
    </row>
    <row r="145" spans="1:23" hidden="1" x14ac:dyDescent="0.2">
      <c r="A145" s="14" t="s">
        <v>758</v>
      </c>
      <c r="C145" s="63">
        <v>0.65</v>
      </c>
      <c r="D145" s="63">
        <v>0.65</v>
      </c>
      <c r="E145" s="63">
        <v>0.65</v>
      </c>
      <c r="F145" s="63">
        <v>0.65</v>
      </c>
      <c r="G145" s="63">
        <v>0.65</v>
      </c>
      <c r="H145" s="63">
        <v>0.65</v>
      </c>
      <c r="I145" s="63">
        <v>0.65</v>
      </c>
      <c r="J145" s="63">
        <v>0.65</v>
      </c>
      <c r="K145" s="63">
        <v>0.65</v>
      </c>
      <c r="L145" s="63">
        <v>0.65</v>
      </c>
      <c r="M145" s="63">
        <v>0.65</v>
      </c>
      <c r="N145" s="63">
        <v>0.65</v>
      </c>
      <c r="O145" s="63"/>
      <c r="P145" s="126"/>
      <c r="Q145" s="126"/>
      <c r="U145" s="115"/>
      <c r="W145" s="115"/>
    </row>
    <row r="146" spans="1:23" hidden="1" x14ac:dyDescent="0.2">
      <c r="A146" s="14" t="s">
        <v>759</v>
      </c>
      <c r="C146" s="47">
        <f>C140/C145</f>
        <v>0</v>
      </c>
      <c r="D146" s="47">
        <f t="shared" ref="D146:N146" si="118">D140/D145</f>
        <v>0</v>
      </c>
      <c r="E146" s="47">
        <f t="shared" si="118"/>
        <v>0</v>
      </c>
      <c r="F146" s="47">
        <f t="shared" si="118"/>
        <v>0</v>
      </c>
      <c r="G146" s="47">
        <f t="shared" si="118"/>
        <v>0</v>
      </c>
      <c r="H146" s="47">
        <f t="shared" si="118"/>
        <v>0</v>
      </c>
      <c r="I146" s="47">
        <f t="shared" si="118"/>
        <v>0</v>
      </c>
      <c r="J146" s="47">
        <f t="shared" si="118"/>
        <v>0</v>
      </c>
      <c r="K146" s="47">
        <f t="shared" si="118"/>
        <v>0</v>
      </c>
      <c r="L146" s="47">
        <f t="shared" si="118"/>
        <v>0</v>
      </c>
      <c r="M146" s="47">
        <f t="shared" si="118"/>
        <v>0</v>
      </c>
      <c r="N146" s="47">
        <f t="shared" si="118"/>
        <v>0</v>
      </c>
      <c r="O146" s="47">
        <f>SUM(C146:N146)</f>
        <v>0</v>
      </c>
      <c r="P146" s="47">
        <f>MAX(C146:N146)</f>
        <v>0</v>
      </c>
      <c r="Q146" s="47"/>
    </row>
    <row r="147" spans="1:23" hidden="1" x14ac:dyDescent="0.2"/>
    <row r="148" spans="1:23" hidden="1" x14ac:dyDescent="0.2">
      <c r="A148" s="15">
        <f>A19</f>
        <v>0</v>
      </c>
      <c r="B148" s="55">
        <f>B19</f>
        <v>0</v>
      </c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33"/>
    </row>
    <row r="149" spans="1:23" hidden="1" x14ac:dyDescent="0.2">
      <c r="A149" s="14" t="s">
        <v>679</v>
      </c>
      <c r="C149" s="47">
        <v>0</v>
      </c>
      <c r="D149" s="47">
        <v>0</v>
      </c>
      <c r="E149" s="47">
        <v>0</v>
      </c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0</v>
      </c>
      <c r="L149" s="47">
        <v>0</v>
      </c>
      <c r="M149" s="47">
        <v>0</v>
      </c>
      <c r="N149" s="47">
        <v>0</v>
      </c>
      <c r="O149" s="47">
        <f>SUM(C149:N149)</f>
        <v>0</v>
      </c>
      <c r="P149" s="126"/>
      <c r="Q149" s="126"/>
      <c r="U149" s="115"/>
      <c r="W149" s="115"/>
    </row>
    <row r="150" spans="1:23" hidden="1" x14ac:dyDescent="0.2">
      <c r="A150" s="14" t="s">
        <v>680</v>
      </c>
      <c r="C150" s="47">
        <f>C149/744</f>
        <v>0</v>
      </c>
      <c r="D150" s="45">
        <f>D149/720</f>
        <v>0</v>
      </c>
      <c r="E150" s="47">
        <f t="shared" ref="E150:N150" si="119">E149/744</f>
        <v>0</v>
      </c>
      <c r="F150" s="47">
        <f>F149/720</f>
        <v>0</v>
      </c>
      <c r="G150" s="47">
        <f t="shared" si="119"/>
        <v>0</v>
      </c>
      <c r="H150" s="45">
        <f>H149/744</f>
        <v>0</v>
      </c>
      <c r="I150" s="45">
        <f>I149/672</f>
        <v>0</v>
      </c>
      <c r="J150" s="47">
        <f t="shared" si="119"/>
        <v>0</v>
      </c>
      <c r="K150" s="47">
        <f>K149/720</f>
        <v>0</v>
      </c>
      <c r="L150" s="47">
        <f t="shared" si="119"/>
        <v>0</v>
      </c>
      <c r="M150" s="47">
        <f>M149/720</f>
        <v>0</v>
      </c>
      <c r="N150" s="47">
        <f t="shared" si="119"/>
        <v>0</v>
      </c>
      <c r="O150" s="47">
        <f>O149/8760</f>
        <v>0</v>
      </c>
      <c r="P150" s="47"/>
      <c r="Q150" s="47"/>
    </row>
    <row r="151" spans="1:23" hidden="1" x14ac:dyDescent="0.2">
      <c r="A151" s="14" t="s">
        <v>756</v>
      </c>
      <c r="C151" s="63">
        <v>0</v>
      </c>
      <c r="D151" s="63">
        <v>0</v>
      </c>
      <c r="E151" s="63">
        <v>0</v>
      </c>
      <c r="F151" s="63">
        <v>0.25</v>
      </c>
      <c r="G151" s="63">
        <v>0.25</v>
      </c>
      <c r="H151" s="63">
        <v>0.25</v>
      </c>
      <c r="I151" s="63">
        <v>0.25</v>
      </c>
      <c r="J151" s="63">
        <v>0</v>
      </c>
      <c r="K151" s="63">
        <v>0</v>
      </c>
      <c r="L151" s="63">
        <v>0</v>
      </c>
      <c r="M151" s="63">
        <v>0</v>
      </c>
      <c r="N151" s="63">
        <v>0</v>
      </c>
      <c r="O151" s="63"/>
      <c r="Q151" s="33"/>
    </row>
    <row r="152" spans="1:23" hidden="1" x14ac:dyDescent="0.2">
      <c r="A152" s="14" t="s">
        <v>757</v>
      </c>
      <c r="C152" s="47"/>
      <c r="D152" s="47"/>
      <c r="E152" s="47"/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7"/>
      <c r="L152" s="47"/>
      <c r="M152" s="47"/>
      <c r="N152" s="47"/>
      <c r="O152" s="47">
        <f>SUM(C152:N152)</f>
        <v>0</v>
      </c>
      <c r="Q152" s="33">
        <f>MAX(C152:N152)</f>
        <v>0</v>
      </c>
    </row>
    <row r="153" spans="1:23" hidden="1" x14ac:dyDescent="0.2">
      <c r="A153" s="14" t="s">
        <v>681</v>
      </c>
      <c r="C153" s="63">
        <v>1</v>
      </c>
      <c r="D153" s="63">
        <v>1</v>
      </c>
      <c r="E153" s="63">
        <v>1</v>
      </c>
      <c r="F153" s="63">
        <v>0</v>
      </c>
      <c r="G153" s="63">
        <v>0</v>
      </c>
      <c r="H153" s="63">
        <v>0</v>
      </c>
      <c r="I153" s="63">
        <v>0</v>
      </c>
      <c r="J153" s="63">
        <v>0</v>
      </c>
      <c r="K153" s="63">
        <v>0</v>
      </c>
      <c r="L153" s="63">
        <v>1</v>
      </c>
      <c r="M153" s="63">
        <v>1</v>
      </c>
      <c r="N153" s="63">
        <v>1</v>
      </c>
      <c r="O153" s="63"/>
      <c r="P153" s="47"/>
      <c r="Q153" s="33"/>
    </row>
    <row r="154" spans="1:23" hidden="1" x14ac:dyDescent="0.2">
      <c r="A154" s="14" t="s">
        <v>682</v>
      </c>
      <c r="C154" s="47">
        <f t="shared" ref="C154:N154" si="120">C152*C153</f>
        <v>0</v>
      </c>
      <c r="D154" s="47">
        <f t="shared" si="120"/>
        <v>0</v>
      </c>
      <c r="E154" s="47">
        <f t="shared" si="120"/>
        <v>0</v>
      </c>
      <c r="F154" s="47">
        <f t="shared" si="120"/>
        <v>0</v>
      </c>
      <c r="G154" s="47">
        <f t="shared" si="120"/>
        <v>0</v>
      </c>
      <c r="H154" s="47">
        <f t="shared" si="120"/>
        <v>0</v>
      </c>
      <c r="I154" s="47">
        <f t="shared" si="120"/>
        <v>0</v>
      </c>
      <c r="J154" s="47">
        <f t="shared" si="120"/>
        <v>0</v>
      </c>
      <c r="K154" s="47">
        <f t="shared" si="120"/>
        <v>0</v>
      </c>
      <c r="L154" s="47">
        <f t="shared" si="120"/>
        <v>0</v>
      </c>
      <c r="M154" s="47">
        <f t="shared" si="120"/>
        <v>0</v>
      </c>
      <c r="N154" s="47">
        <f t="shared" si="120"/>
        <v>0</v>
      </c>
      <c r="O154" s="47">
        <f>SUM(C154:N154)</f>
        <v>0</v>
      </c>
      <c r="P154" s="47"/>
      <c r="Q154" s="33"/>
      <c r="R154" s="33">
        <f>O154</f>
        <v>0</v>
      </c>
      <c r="S154" s="33">
        <f>H154+I154+J154</f>
        <v>0</v>
      </c>
      <c r="T154" s="33">
        <f>R154-S154</f>
        <v>0</v>
      </c>
    </row>
    <row r="155" spans="1:23" hidden="1" x14ac:dyDescent="0.2">
      <c r="A155" s="14" t="s">
        <v>758</v>
      </c>
      <c r="C155" s="63">
        <v>0.65</v>
      </c>
      <c r="D155" s="63">
        <v>0.65</v>
      </c>
      <c r="E155" s="63">
        <v>0.65</v>
      </c>
      <c r="F155" s="63">
        <v>0.65</v>
      </c>
      <c r="G155" s="63">
        <v>0.65</v>
      </c>
      <c r="H155" s="63">
        <v>0.65</v>
      </c>
      <c r="I155" s="63">
        <v>0.65</v>
      </c>
      <c r="J155" s="63">
        <v>0.65</v>
      </c>
      <c r="K155" s="63">
        <v>0.65</v>
      </c>
      <c r="L155" s="63">
        <v>0.65</v>
      </c>
      <c r="M155" s="63">
        <v>0.65</v>
      </c>
      <c r="N155" s="63">
        <v>0.65</v>
      </c>
      <c r="O155" s="63"/>
      <c r="P155" s="126"/>
      <c r="Q155" s="126"/>
      <c r="U155" s="115"/>
      <c r="W155" s="115"/>
    </row>
    <row r="156" spans="1:23" hidden="1" x14ac:dyDescent="0.2">
      <c r="A156" s="14" t="s">
        <v>759</v>
      </c>
      <c r="C156" s="47">
        <f>C150/C155</f>
        <v>0</v>
      </c>
      <c r="D156" s="47">
        <f t="shared" ref="D156:N156" si="121">D150/D155</f>
        <v>0</v>
      </c>
      <c r="E156" s="47">
        <f t="shared" si="121"/>
        <v>0</v>
      </c>
      <c r="F156" s="47">
        <f t="shared" si="121"/>
        <v>0</v>
      </c>
      <c r="G156" s="47">
        <f t="shared" si="121"/>
        <v>0</v>
      </c>
      <c r="H156" s="47">
        <f t="shared" si="121"/>
        <v>0</v>
      </c>
      <c r="I156" s="47">
        <f t="shared" si="121"/>
        <v>0</v>
      </c>
      <c r="J156" s="47">
        <f t="shared" si="121"/>
        <v>0</v>
      </c>
      <c r="K156" s="47">
        <f t="shared" si="121"/>
        <v>0</v>
      </c>
      <c r="L156" s="47">
        <f t="shared" si="121"/>
        <v>0</v>
      </c>
      <c r="M156" s="47">
        <f t="shared" si="121"/>
        <v>0</v>
      </c>
      <c r="N156" s="47">
        <f t="shared" si="121"/>
        <v>0</v>
      </c>
      <c r="O156" s="47">
        <f>SUM(C156:N156)</f>
        <v>0</v>
      </c>
      <c r="P156" s="47">
        <f>MAX(C156:N156)</f>
        <v>0</v>
      </c>
      <c r="Q156" s="47"/>
    </row>
    <row r="157" spans="1:23" hidden="1" x14ac:dyDescent="0.2"/>
    <row r="158" spans="1:23" hidden="1" x14ac:dyDescent="0.2">
      <c r="A158" s="15">
        <f>A20</f>
        <v>0</v>
      </c>
      <c r="B158" s="55">
        <f>B20</f>
        <v>0</v>
      </c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33"/>
    </row>
    <row r="159" spans="1:23" hidden="1" x14ac:dyDescent="0.2">
      <c r="A159" s="14" t="s">
        <v>679</v>
      </c>
      <c r="C159" s="47">
        <v>0</v>
      </c>
      <c r="D159" s="47">
        <v>0</v>
      </c>
      <c r="E159" s="47">
        <v>0</v>
      </c>
      <c r="F159" s="47">
        <v>0</v>
      </c>
      <c r="G159" s="47">
        <v>0</v>
      </c>
      <c r="H159" s="47">
        <v>0</v>
      </c>
      <c r="I159" s="47">
        <v>0</v>
      </c>
      <c r="J159" s="47">
        <v>0</v>
      </c>
      <c r="K159" s="47">
        <v>0</v>
      </c>
      <c r="L159" s="47">
        <v>0</v>
      </c>
      <c r="M159" s="47">
        <v>0</v>
      </c>
      <c r="N159" s="47">
        <v>0</v>
      </c>
      <c r="O159" s="47">
        <f>SUM(C159:N159)</f>
        <v>0</v>
      </c>
      <c r="P159" s="126"/>
      <c r="Q159" s="126"/>
      <c r="U159" s="115"/>
      <c r="W159" s="115"/>
    </row>
    <row r="160" spans="1:23" hidden="1" x14ac:dyDescent="0.2">
      <c r="A160" s="14" t="s">
        <v>680</v>
      </c>
      <c r="C160" s="47">
        <f>C159/744</f>
        <v>0</v>
      </c>
      <c r="D160" s="45">
        <f>D159/720</f>
        <v>0</v>
      </c>
      <c r="E160" s="47">
        <f t="shared" ref="E160:N160" si="122">E159/744</f>
        <v>0</v>
      </c>
      <c r="F160" s="47">
        <f>F159/720</f>
        <v>0</v>
      </c>
      <c r="G160" s="47">
        <f t="shared" si="122"/>
        <v>0</v>
      </c>
      <c r="H160" s="45">
        <f>H159/744</f>
        <v>0</v>
      </c>
      <c r="I160" s="45">
        <f>I159/672</f>
        <v>0</v>
      </c>
      <c r="J160" s="47">
        <f t="shared" si="122"/>
        <v>0</v>
      </c>
      <c r="K160" s="47">
        <f>K159/720</f>
        <v>0</v>
      </c>
      <c r="L160" s="47">
        <f t="shared" si="122"/>
        <v>0</v>
      </c>
      <c r="M160" s="47">
        <f>M159/720</f>
        <v>0</v>
      </c>
      <c r="N160" s="47">
        <f t="shared" si="122"/>
        <v>0</v>
      </c>
      <c r="O160" s="47">
        <f>O159/8760</f>
        <v>0</v>
      </c>
      <c r="P160" s="47"/>
      <c r="Q160" s="47"/>
    </row>
    <row r="161" spans="1:23" hidden="1" x14ac:dyDescent="0.2">
      <c r="A161" s="14" t="s">
        <v>756</v>
      </c>
      <c r="C161" s="63">
        <v>0</v>
      </c>
      <c r="D161" s="63">
        <v>0</v>
      </c>
      <c r="E161" s="63">
        <v>0</v>
      </c>
      <c r="F161" s="63">
        <v>0.25</v>
      </c>
      <c r="G161" s="63">
        <v>0.25</v>
      </c>
      <c r="H161" s="63">
        <v>0.25</v>
      </c>
      <c r="I161" s="63">
        <v>0.25</v>
      </c>
      <c r="J161" s="63">
        <v>0</v>
      </c>
      <c r="K161" s="63">
        <v>0</v>
      </c>
      <c r="L161" s="63">
        <v>0</v>
      </c>
      <c r="M161" s="63">
        <v>0</v>
      </c>
      <c r="N161" s="63">
        <v>0</v>
      </c>
      <c r="O161" s="63"/>
      <c r="Q161" s="33"/>
    </row>
    <row r="162" spans="1:23" hidden="1" x14ac:dyDescent="0.2">
      <c r="A162" s="14" t="s">
        <v>757</v>
      </c>
      <c r="C162" s="47"/>
      <c r="D162" s="47"/>
      <c r="E162" s="47"/>
      <c r="F162" s="47">
        <v>0</v>
      </c>
      <c r="G162" s="47">
        <v>0</v>
      </c>
      <c r="H162" s="47">
        <v>0</v>
      </c>
      <c r="I162" s="47">
        <v>0</v>
      </c>
      <c r="J162" s="47">
        <v>0</v>
      </c>
      <c r="K162" s="47"/>
      <c r="L162" s="47"/>
      <c r="M162" s="47"/>
      <c r="N162" s="47"/>
      <c r="O162" s="47">
        <f>SUM(C162:N162)</f>
        <v>0</v>
      </c>
      <c r="Q162" s="33">
        <f>MAX(C162:N162)</f>
        <v>0</v>
      </c>
    </row>
    <row r="163" spans="1:23" hidden="1" x14ac:dyDescent="0.2">
      <c r="A163" s="14" t="s">
        <v>681</v>
      </c>
      <c r="C163" s="63">
        <v>1</v>
      </c>
      <c r="D163" s="63">
        <v>1</v>
      </c>
      <c r="E163" s="63">
        <v>1</v>
      </c>
      <c r="F163" s="63">
        <v>0</v>
      </c>
      <c r="G163" s="63">
        <v>0</v>
      </c>
      <c r="H163" s="63">
        <v>0</v>
      </c>
      <c r="I163" s="63">
        <v>0</v>
      </c>
      <c r="J163" s="63">
        <v>0</v>
      </c>
      <c r="K163" s="63">
        <v>0</v>
      </c>
      <c r="L163" s="63">
        <v>1</v>
      </c>
      <c r="M163" s="63">
        <v>1</v>
      </c>
      <c r="N163" s="63">
        <v>1</v>
      </c>
      <c r="O163" s="63"/>
      <c r="P163" s="47"/>
      <c r="Q163" s="33"/>
    </row>
    <row r="164" spans="1:23" hidden="1" x14ac:dyDescent="0.2">
      <c r="A164" s="14" t="s">
        <v>682</v>
      </c>
      <c r="C164" s="47">
        <f t="shared" ref="C164:N164" si="123">C162*C163</f>
        <v>0</v>
      </c>
      <c r="D164" s="47">
        <f t="shared" si="123"/>
        <v>0</v>
      </c>
      <c r="E164" s="47">
        <f t="shared" si="123"/>
        <v>0</v>
      </c>
      <c r="F164" s="47">
        <f t="shared" si="123"/>
        <v>0</v>
      </c>
      <c r="G164" s="47">
        <f t="shared" si="123"/>
        <v>0</v>
      </c>
      <c r="H164" s="47">
        <f t="shared" si="123"/>
        <v>0</v>
      </c>
      <c r="I164" s="47">
        <f t="shared" si="123"/>
        <v>0</v>
      </c>
      <c r="J164" s="47">
        <f t="shared" si="123"/>
        <v>0</v>
      </c>
      <c r="K164" s="47">
        <f t="shared" si="123"/>
        <v>0</v>
      </c>
      <c r="L164" s="47">
        <f t="shared" si="123"/>
        <v>0</v>
      </c>
      <c r="M164" s="47">
        <f t="shared" si="123"/>
        <v>0</v>
      </c>
      <c r="N164" s="47">
        <f t="shared" si="123"/>
        <v>0</v>
      </c>
      <c r="O164" s="47">
        <f>SUM(C164:N164)</f>
        <v>0</v>
      </c>
      <c r="P164" s="47"/>
      <c r="Q164" s="33"/>
      <c r="R164" s="33">
        <f>O164</f>
        <v>0</v>
      </c>
      <c r="S164" s="33">
        <f>H164+I164+J164</f>
        <v>0</v>
      </c>
      <c r="T164" s="33">
        <f>R164-S164</f>
        <v>0</v>
      </c>
    </row>
    <row r="165" spans="1:23" hidden="1" x14ac:dyDescent="0.2">
      <c r="A165" s="14" t="s">
        <v>758</v>
      </c>
      <c r="C165" s="63">
        <v>0.65</v>
      </c>
      <c r="D165" s="63">
        <v>0.65</v>
      </c>
      <c r="E165" s="63">
        <v>0.65</v>
      </c>
      <c r="F165" s="63">
        <v>0.65</v>
      </c>
      <c r="G165" s="63">
        <v>0.65</v>
      </c>
      <c r="H165" s="63">
        <v>0.65</v>
      </c>
      <c r="I165" s="63">
        <v>0.65</v>
      </c>
      <c r="J165" s="63">
        <v>0.65</v>
      </c>
      <c r="K165" s="63">
        <v>0.65</v>
      </c>
      <c r="L165" s="63">
        <v>0.65</v>
      </c>
      <c r="M165" s="63">
        <v>0.65</v>
      </c>
      <c r="N165" s="63">
        <v>0.65</v>
      </c>
      <c r="O165" s="63"/>
      <c r="P165" s="126"/>
      <c r="Q165" s="126"/>
      <c r="U165" s="115"/>
      <c r="W165" s="115"/>
    </row>
    <row r="166" spans="1:23" hidden="1" x14ac:dyDescent="0.2">
      <c r="A166" s="14" t="s">
        <v>759</v>
      </c>
      <c r="C166" s="47">
        <f>C160/C165</f>
        <v>0</v>
      </c>
      <c r="D166" s="47">
        <f t="shared" ref="D166:N166" si="124">D160/D165</f>
        <v>0</v>
      </c>
      <c r="E166" s="47">
        <f t="shared" si="124"/>
        <v>0</v>
      </c>
      <c r="F166" s="47">
        <f t="shared" si="124"/>
        <v>0</v>
      </c>
      <c r="G166" s="47">
        <f t="shared" si="124"/>
        <v>0</v>
      </c>
      <c r="H166" s="47">
        <f t="shared" si="124"/>
        <v>0</v>
      </c>
      <c r="I166" s="47">
        <f t="shared" si="124"/>
        <v>0</v>
      </c>
      <c r="J166" s="47">
        <f t="shared" si="124"/>
        <v>0</v>
      </c>
      <c r="K166" s="47">
        <f t="shared" si="124"/>
        <v>0</v>
      </c>
      <c r="L166" s="47">
        <f t="shared" si="124"/>
        <v>0</v>
      </c>
      <c r="M166" s="47">
        <f t="shared" si="124"/>
        <v>0</v>
      </c>
      <c r="N166" s="47">
        <f t="shared" si="124"/>
        <v>0</v>
      </c>
      <c r="O166" s="47">
        <f>SUM(C166:N166)</f>
        <v>0</v>
      </c>
      <c r="P166" s="47">
        <f>MAX(C166:N166)</f>
        <v>0</v>
      </c>
      <c r="Q166" s="47"/>
    </row>
    <row r="167" spans="1:23" ht="15.75" hidden="1" customHeight="1" x14ac:dyDescent="0.2"/>
    <row r="168" spans="1:23" hidden="1" x14ac:dyDescent="0.2">
      <c r="A168" s="15">
        <f>A21</f>
        <v>0</v>
      </c>
      <c r="B168" s="55">
        <f>B21</f>
        <v>0</v>
      </c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33"/>
    </row>
    <row r="169" spans="1:23" hidden="1" x14ac:dyDescent="0.2">
      <c r="A169" s="14" t="s">
        <v>679</v>
      </c>
      <c r="C169" s="47">
        <v>0</v>
      </c>
      <c r="D169" s="47"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0</v>
      </c>
      <c r="L169" s="47">
        <v>0</v>
      </c>
      <c r="M169" s="47">
        <v>0</v>
      </c>
      <c r="N169" s="47">
        <v>0</v>
      </c>
      <c r="O169" s="47">
        <f>SUM(C169:N169)</f>
        <v>0</v>
      </c>
      <c r="P169" s="126"/>
      <c r="Q169" s="126"/>
      <c r="U169" s="115"/>
      <c r="W169" s="115"/>
    </row>
    <row r="170" spans="1:23" hidden="1" x14ac:dyDescent="0.2">
      <c r="A170" s="14" t="s">
        <v>680</v>
      </c>
      <c r="C170" s="47">
        <f>C169/744</f>
        <v>0</v>
      </c>
      <c r="D170" s="45">
        <f>D169/720</f>
        <v>0</v>
      </c>
      <c r="E170" s="47">
        <f t="shared" ref="E170:N170" si="125">E169/744</f>
        <v>0</v>
      </c>
      <c r="F170" s="47">
        <f>F169/720</f>
        <v>0</v>
      </c>
      <c r="G170" s="47">
        <f t="shared" si="125"/>
        <v>0</v>
      </c>
      <c r="H170" s="45">
        <f>H169/744</f>
        <v>0</v>
      </c>
      <c r="I170" s="45">
        <f>I169/672</f>
        <v>0</v>
      </c>
      <c r="J170" s="47">
        <f t="shared" si="125"/>
        <v>0</v>
      </c>
      <c r="K170" s="47">
        <f>K169/720</f>
        <v>0</v>
      </c>
      <c r="L170" s="47">
        <f t="shared" si="125"/>
        <v>0</v>
      </c>
      <c r="M170" s="47">
        <f>M169/720</f>
        <v>0</v>
      </c>
      <c r="N170" s="47">
        <f t="shared" si="125"/>
        <v>0</v>
      </c>
      <c r="O170" s="47">
        <f>O169/8760</f>
        <v>0</v>
      </c>
      <c r="P170" s="47"/>
      <c r="Q170" s="47"/>
    </row>
    <row r="171" spans="1:23" hidden="1" x14ac:dyDescent="0.2">
      <c r="A171" s="14" t="s">
        <v>756</v>
      </c>
      <c r="C171" s="63">
        <v>0</v>
      </c>
      <c r="D171" s="63">
        <v>0</v>
      </c>
      <c r="E171" s="63">
        <v>0</v>
      </c>
      <c r="F171" s="63">
        <v>0.25</v>
      </c>
      <c r="G171" s="63">
        <v>0.25</v>
      </c>
      <c r="H171" s="63">
        <v>0.25</v>
      </c>
      <c r="I171" s="63">
        <v>0.25</v>
      </c>
      <c r="J171" s="63">
        <v>0</v>
      </c>
      <c r="K171" s="63">
        <v>0</v>
      </c>
      <c r="L171" s="63">
        <v>0</v>
      </c>
      <c r="M171" s="63">
        <v>0</v>
      </c>
      <c r="N171" s="63">
        <v>0</v>
      </c>
      <c r="O171" s="63"/>
      <c r="Q171" s="33"/>
    </row>
    <row r="172" spans="1:23" hidden="1" x14ac:dyDescent="0.2">
      <c r="A172" s="14" t="s">
        <v>757</v>
      </c>
      <c r="C172" s="47"/>
      <c r="D172" s="47"/>
      <c r="E172" s="47"/>
      <c r="F172" s="47">
        <v>0</v>
      </c>
      <c r="G172" s="47">
        <v>0</v>
      </c>
      <c r="H172" s="47">
        <v>0</v>
      </c>
      <c r="I172" s="47">
        <v>0</v>
      </c>
      <c r="J172" s="47">
        <v>0</v>
      </c>
      <c r="K172" s="47"/>
      <c r="L172" s="47"/>
      <c r="M172" s="47"/>
      <c r="N172" s="47"/>
      <c r="O172" s="47">
        <f>SUM(C172:N172)</f>
        <v>0</v>
      </c>
      <c r="Q172" s="33">
        <f>MAX(C172:N172)</f>
        <v>0</v>
      </c>
    </row>
    <row r="173" spans="1:23" hidden="1" x14ac:dyDescent="0.2">
      <c r="A173" s="14" t="s">
        <v>681</v>
      </c>
      <c r="C173" s="63">
        <v>1</v>
      </c>
      <c r="D173" s="63">
        <v>1</v>
      </c>
      <c r="E173" s="63">
        <v>1</v>
      </c>
      <c r="F173" s="63">
        <v>0</v>
      </c>
      <c r="G173" s="63">
        <v>0</v>
      </c>
      <c r="H173" s="63">
        <v>0</v>
      </c>
      <c r="I173" s="63">
        <v>0</v>
      </c>
      <c r="J173" s="63">
        <v>0</v>
      </c>
      <c r="K173" s="63">
        <v>0</v>
      </c>
      <c r="L173" s="63">
        <v>1</v>
      </c>
      <c r="M173" s="63">
        <v>1</v>
      </c>
      <c r="N173" s="63">
        <v>1</v>
      </c>
      <c r="O173" s="63"/>
      <c r="P173" s="47"/>
      <c r="Q173" s="33"/>
    </row>
    <row r="174" spans="1:23" hidden="1" x14ac:dyDescent="0.2">
      <c r="A174" s="14" t="s">
        <v>682</v>
      </c>
      <c r="C174" s="47">
        <f t="shared" ref="C174:N174" si="126">C172*C173</f>
        <v>0</v>
      </c>
      <c r="D174" s="47">
        <f t="shared" si="126"/>
        <v>0</v>
      </c>
      <c r="E174" s="47">
        <f t="shared" si="126"/>
        <v>0</v>
      </c>
      <c r="F174" s="47">
        <f t="shared" si="126"/>
        <v>0</v>
      </c>
      <c r="G174" s="47">
        <f t="shared" si="126"/>
        <v>0</v>
      </c>
      <c r="H174" s="47">
        <f t="shared" si="126"/>
        <v>0</v>
      </c>
      <c r="I174" s="47">
        <f t="shared" si="126"/>
        <v>0</v>
      </c>
      <c r="J174" s="47">
        <f t="shared" si="126"/>
        <v>0</v>
      </c>
      <c r="K174" s="47">
        <f t="shared" si="126"/>
        <v>0</v>
      </c>
      <c r="L174" s="47">
        <f t="shared" si="126"/>
        <v>0</v>
      </c>
      <c r="M174" s="47">
        <f t="shared" si="126"/>
        <v>0</v>
      </c>
      <c r="N174" s="47">
        <f t="shared" si="126"/>
        <v>0</v>
      </c>
      <c r="O174" s="47">
        <f>SUM(C174:N174)</f>
        <v>0</v>
      </c>
      <c r="P174" s="47"/>
      <c r="Q174" s="33"/>
      <c r="R174" s="33">
        <f>O174</f>
        <v>0</v>
      </c>
      <c r="S174" s="33">
        <f>H174+I174+J174</f>
        <v>0</v>
      </c>
      <c r="T174" s="33">
        <f>R174-S174</f>
        <v>0</v>
      </c>
    </row>
    <row r="175" spans="1:23" hidden="1" x14ac:dyDescent="0.2">
      <c r="A175" s="14" t="s">
        <v>758</v>
      </c>
      <c r="C175" s="63">
        <v>0.65</v>
      </c>
      <c r="D175" s="63">
        <v>0.65</v>
      </c>
      <c r="E175" s="63">
        <v>0.65</v>
      </c>
      <c r="F175" s="63">
        <v>0.65</v>
      </c>
      <c r="G175" s="63">
        <v>0.65</v>
      </c>
      <c r="H175" s="63">
        <v>0.65</v>
      </c>
      <c r="I175" s="63">
        <v>0.65</v>
      </c>
      <c r="J175" s="63">
        <v>0.65</v>
      </c>
      <c r="K175" s="63">
        <v>0.65</v>
      </c>
      <c r="L175" s="63">
        <v>0.65</v>
      </c>
      <c r="M175" s="63">
        <v>0.65</v>
      </c>
      <c r="N175" s="63">
        <v>0.65</v>
      </c>
      <c r="O175" s="63"/>
      <c r="P175" s="126"/>
      <c r="Q175" s="126"/>
      <c r="U175" s="115"/>
      <c r="W175" s="115"/>
    </row>
    <row r="176" spans="1:23" hidden="1" x14ac:dyDescent="0.2">
      <c r="A176" s="14" t="s">
        <v>759</v>
      </c>
      <c r="C176" s="47">
        <f>C170/C175</f>
        <v>0</v>
      </c>
      <c r="D176" s="47">
        <f t="shared" ref="D176:N176" si="127">D170/D175</f>
        <v>0</v>
      </c>
      <c r="E176" s="47">
        <f t="shared" si="127"/>
        <v>0</v>
      </c>
      <c r="F176" s="47">
        <f t="shared" si="127"/>
        <v>0</v>
      </c>
      <c r="G176" s="47">
        <f t="shared" si="127"/>
        <v>0</v>
      </c>
      <c r="H176" s="47">
        <f t="shared" si="127"/>
        <v>0</v>
      </c>
      <c r="I176" s="47">
        <f t="shared" si="127"/>
        <v>0</v>
      </c>
      <c r="J176" s="47">
        <f t="shared" si="127"/>
        <v>0</v>
      </c>
      <c r="K176" s="47">
        <f t="shared" si="127"/>
        <v>0</v>
      </c>
      <c r="L176" s="47">
        <f t="shared" si="127"/>
        <v>0</v>
      </c>
      <c r="M176" s="47">
        <f t="shared" si="127"/>
        <v>0</v>
      </c>
      <c r="N176" s="47">
        <f t="shared" si="127"/>
        <v>0</v>
      </c>
      <c r="O176" s="47">
        <f>SUM(C176:N176)</f>
        <v>0</v>
      </c>
      <c r="P176" s="47">
        <f>MAX(C176:N176)</f>
        <v>0</v>
      </c>
      <c r="Q176" s="47"/>
    </row>
    <row r="177" spans="1:23" hidden="1" x14ac:dyDescent="0.2"/>
    <row r="178" spans="1:23" hidden="1" x14ac:dyDescent="0.2">
      <c r="A178" s="15">
        <f>A22</f>
        <v>0</v>
      </c>
      <c r="B178" s="55">
        <f>B22</f>
        <v>0</v>
      </c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33"/>
    </row>
    <row r="179" spans="1:23" hidden="1" x14ac:dyDescent="0.2">
      <c r="A179" s="14" t="s">
        <v>679</v>
      </c>
      <c r="C179" s="47">
        <v>0</v>
      </c>
      <c r="D179" s="47">
        <v>0</v>
      </c>
      <c r="E179" s="47">
        <v>0</v>
      </c>
      <c r="F179" s="47">
        <v>0</v>
      </c>
      <c r="G179" s="47">
        <v>0</v>
      </c>
      <c r="H179" s="47">
        <v>0</v>
      </c>
      <c r="I179" s="47">
        <v>0</v>
      </c>
      <c r="J179" s="47">
        <v>0</v>
      </c>
      <c r="K179" s="47">
        <v>0</v>
      </c>
      <c r="L179" s="47">
        <v>0</v>
      </c>
      <c r="M179" s="47">
        <v>0</v>
      </c>
      <c r="N179" s="47">
        <v>0</v>
      </c>
      <c r="O179" s="47">
        <f>SUM(C179:N179)</f>
        <v>0</v>
      </c>
      <c r="P179" s="126"/>
      <c r="Q179" s="126"/>
      <c r="U179" s="115"/>
      <c r="W179" s="115"/>
    </row>
    <row r="180" spans="1:23" hidden="1" x14ac:dyDescent="0.2">
      <c r="A180" s="14" t="s">
        <v>680</v>
      </c>
      <c r="C180" s="47">
        <f>C179/744</f>
        <v>0</v>
      </c>
      <c r="D180" s="45">
        <f>D179/720</f>
        <v>0</v>
      </c>
      <c r="E180" s="47">
        <f t="shared" ref="E180:N180" si="128">E179/744</f>
        <v>0</v>
      </c>
      <c r="F180" s="47">
        <f>F179/720</f>
        <v>0</v>
      </c>
      <c r="G180" s="47">
        <f t="shared" si="128"/>
        <v>0</v>
      </c>
      <c r="H180" s="45">
        <f>H179/744</f>
        <v>0</v>
      </c>
      <c r="I180" s="45">
        <f>I179/672</f>
        <v>0</v>
      </c>
      <c r="J180" s="47">
        <f t="shared" si="128"/>
        <v>0</v>
      </c>
      <c r="K180" s="47">
        <f>K179/720</f>
        <v>0</v>
      </c>
      <c r="L180" s="47">
        <f t="shared" si="128"/>
        <v>0</v>
      </c>
      <c r="M180" s="47">
        <f>M179/720</f>
        <v>0</v>
      </c>
      <c r="N180" s="47">
        <f t="shared" si="128"/>
        <v>0</v>
      </c>
      <c r="O180" s="47">
        <f>O179/8760</f>
        <v>0</v>
      </c>
      <c r="P180" s="47"/>
      <c r="Q180" s="47"/>
    </row>
    <row r="181" spans="1:23" hidden="1" x14ac:dyDescent="0.2">
      <c r="A181" s="14" t="s">
        <v>756</v>
      </c>
      <c r="C181" s="63">
        <v>0</v>
      </c>
      <c r="D181" s="63">
        <v>0</v>
      </c>
      <c r="E181" s="63">
        <v>0</v>
      </c>
      <c r="F181" s="63">
        <v>0.25</v>
      </c>
      <c r="G181" s="63">
        <v>0.25</v>
      </c>
      <c r="H181" s="63">
        <v>0.25</v>
      </c>
      <c r="I181" s="63">
        <v>0.25</v>
      </c>
      <c r="J181" s="63">
        <v>0</v>
      </c>
      <c r="K181" s="63">
        <v>0</v>
      </c>
      <c r="L181" s="63">
        <v>0</v>
      </c>
      <c r="M181" s="63">
        <v>0</v>
      </c>
      <c r="N181" s="63">
        <v>0</v>
      </c>
      <c r="O181" s="63"/>
      <c r="Q181" s="33"/>
    </row>
    <row r="182" spans="1:23" hidden="1" x14ac:dyDescent="0.2">
      <c r="A182" s="14" t="s">
        <v>757</v>
      </c>
      <c r="C182" s="47"/>
      <c r="D182" s="47"/>
      <c r="E182" s="47"/>
      <c r="F182" s="47">
        <v>0</v>
      </c>
      <c r="G182" s="47">
        <v>0</v>
      </c>
      <c r="H182" s="47">
        <v>0</v>
      </c>
      <c r="I182" s="47">
        <v>0</v>
      </c>
      <c r="J182" s="47">
        <v>0</v>
      </c>
      <c r="K182" s="47"/>
      <c r="L182" s="47"/>
      <c r="M182" s="47"/>
      <c r="N182" s="47"/>
      <c r="O182" s="47">
        <f>SUM(C182:N182)</f>
        <v>0</v>
      </c>
      <c r="Q182" s="33">
        <f>MAX(C182:N182)</f>
        <v>0</v>
      </c>
    </row>
    <row r="183" spans="1:23" hidden="1" x14ac:dyDescent="0.2">
      <c r="A183" s="14" t="s">
        <v>681</v>
      </c>
      <c r="C183" s="63">
        <v>1</v>
      </c>
      <c r="D183" s="63">
        <v>1</v>
      </c>
      <c r="E183" s="63">
        <v>1</v>
      </c>
      <c r="F183" s="63">
        <v>0</v>
      </c>
      <c r="G183" s="63">
        <v>0</v>
      </c>
      <c r="H183" s="63">
        <v>0</v>
      </c>
      <c r="I183" s="63">
        <v>0</v>
      </c>
      <c r="J183" s="63">
        <v>0</v>
      </c>
      <c r="K183" s="63">
        <v>0</v>
      </c>
      <c r="L183" s="63">
        <v>1</v>
      </c>
      <c r="M183" s="63">
        <v>1</v>
      </c>
      <c r="N183" s="63">
        <v>1</v>
      </c>
      <c r="O183" s="63"/>
      <c r="P183" s="47"/>
      <c r="Q183" s="33"/>
    </row>
    <row r="184" spans="1:23" hidden="1" x14ac:dyDescent="0.2">
      <c r="A184" s="14" t="s">
        <v>682</v>
      </c>
      <c r="C184" s="47">
        <f t="shared" ref="C184:N184" si="129">C182*C183</f>
        <v>0</v>
      </c>
      <c r="D184" s="47">
        <f t="shared" si="129"/>
        <v>0</v>
      </c>
      <c r="E184" s="47">
        <f t="shared" si="129"/>
        <v>0</v>
      </c>
      <c r="F184" s="47">
        <f t="shared" si="129"/>
        <v>0</v>
      </c>
      <c r="G184" s="47">
        <f t="shared" si="129"/>
        <v>0</v>
      </c>
      <c r="H184" s="47">
        <f t="shared" si="129"/>
        <v>0</v>
      </c>
      <c r="I184" s="47">
        <f t="shared" si="129"/>
        <v>0</v>
      </c>
      <c r="J184" s="47">
        <f t="shared" si="129"/>
        <v>0</v>
      </c>
      <c r="K184" s="47">
        <f t="shared" si="129"/>
        <v>0</v>
      </c>
      <c r="L184" s="47">
        <f t="shared" si="129"/>
        <v>0</v>
      </c>
      <c r="M184" s="47">
        <f t="shared" si="129"/>
        <v>0</v>
      </c>
      <c r="N184" s="47">
        <f t="shared" si="129"/>
        <v>0</v>
      </c>
      <c r="O184" s="47">
        <f>SUM(C184:N184)</f>
        <v>0</v>
      </c>
      <c r="P184" s="47"/>
      <c r="Q184" s="33"/>
      <c r="R184" s="33">
        <f>O184</f>
        <v>0</v>
      </c>
      <c r="S184" s="33">
        <f>H184+I184+J184</f>
        <v>0</v>
      </c>
      <c r="T184" s="33">
        <f>R184-S184</f>
        <v>0</v>
      </c>
    </row>
    <row r="185" spans="1:23" hidden="1" x14ac:dyDescent="0.2">
      <c r="A185" s="14" t="s">
        <v>758</v>
      </c>
      <c r="C185" s="63">
        <v>0.65</v>
      </c>
      <c r="D185" s="63">
        <v>0.65</v>
      </c>
      <c r="E185" s="63">
        <v>0.65</v>
      </c>
      <c r="F185" s="63">
        <v>0.65</v>
      </c>
      <c r="G185" s="63">
        <v>0.65</v>
      </c>
      <c r="H185" s="63">
        <v>0.65</v>
      </c>
      <c r="I185" s="63">
        <v>0.65</v>
      </c>
      <c r="J185" s="63">
        <v>0.65</v>
      </c>
      <c r="K185" s="63">
        <v>0.65</v>
      </c>
      <c r="L185" s="63">
        <v>0.65</v>
      </c>
      <c r="M185" s="63">
        <v>0.65</v>
      </c>
      <c r="N185" s="63">
        <v>0.65</v>
      </c>
      <c r="O185" s="63"/>
      <c r="P185" s="126"/>
      <c r="Q185" s="126"/>
      <c r="U185" s="115"/>
      <c r="W185" s="115"/>
    </row>
    <row r="186" spans="1:23" hidden="1" x14ac:dyDescent="0.2">
      <c r="A186" s="14" t="s">
        <v>759</v>
      </c>
      <c r="C186" s="47">
        <f>C180/C185</f>
        <v>0</v>
      </c>
      <c r="D186" s="47">
        <f t="shared" ref="D186:N186" si="130">D180/D185</f>
        <v>0</v>
      </c>
      <c r="E186" s="47">
        <f t="shared" si="130"/>
        <v>0</v>
      </c>
      <c r="F186" s="47">
        <f t="shared" si="130"/>
        <v>0</v>
      </c>
      <c r="G186" s="47">
        <f t="shared" si="130"/>
        <v>0</v>
      </c>
      <c r="H186" s="47">
        <f t="shared" si="130"/>
        <v>0</v>
      </c>
      <c r="I186" s="47">
        <f t="shared" si="130"/>
        <v>0</v>
      </c>
      <c r="J186" s="47">
        <f t="shared" si="130"/>
        <v>0</v>
      </c>
      <c r="K186" s="47">
        <f t="shared" si="130"/>
        <v>0</v>
      </c>
      <c r="L186" s="47">
        <f t="shared" si="130"/>
        <v>0</v>
      </c>
      <c r="M186" s="47">
        <f t="shared" si="130"/>
        <v>0</v>
      </c>
      <c r="N186" s="47">
        <f t="shared" si="130"/>
        <v>0</v>
      </c>
      <c r="O186" s="47">
        <f>SUM(C186:N186)</f>
        <v>0</v>
      </c>
      <c r="P186" s="47">
        <f>MAX(C186:N186)</f>
        <v>0</v>
      </c>
      <c r="Q186" s="47"/>
    </row>
    <row r="187" spans="1:23" hidden="1" x14ac:dyDescent="0.2"/>
    <row r="188" spans="1:23" hidden="1" x14ac:dyDescent="0.2">
      <c r="A188" s="15">
        <f>A23</f>
        <v>0</v>
      </c>
      <c r="B188" s="55">
        <f>B23</f>
        <v>0</v>
      </c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33"/>
    </row>
    <row r="189" spans="1:23" hidden="1" x14ac:dyDescent="0.2">
      <c r="A189" s="14" t="s">
        <v>679</v>
      </c>
      <c r="C189" s="47">
        <v>0</v>
      </c>
      <c r="D189" s="47">
        <v>0</v>
      </c>
      <c r="E189" s="47">
        <v>0</v>
      </c>
      <c r="F189" s="47">
        <v>0</v>
      </c>
      <c r="G189" s="47">
        <v>0</v>
      </c>
      <c r="H189" s="47">
        <v>0</v>
      </c>
      <c r="I189" s="47">
        <v>0</v>
      </c>
      <c r="J189" s="47">
        <v>0</v>
      </c>
      <c r="K189" s="47">
        <v>0</v>
      </c>
      <c r="L189" s="47">
        <v>0</v>
      </c>
      <c r="M189" s="47">
        <v>0</v>
      </c>
      <c r="N189" s="47">
        <v>0</v>
      </c>
      <c r="O189" s="47">
        <f>SUM(C189:N189)</f>
        <v>0</v>
      </c>
      <c r="P189" s="126"/>
      <c r="Q189" s="126"/>
      <c r="U189" s="115"/>
      <c r="W189" s="115"/>
    </row>
    <row r="190" spans="1:23" hidden="1" x14ac:dyDescent="0.2">
      <c r="A190" s="14" t="s">
        <v>680</v>
      </c>
      <c r="C190" s="47">
        <f>C189/744</f>
        <v>0</v>
      </c>
      <c r="D190" s="45">
        <f>D189/720</f>
        <v>0</v>
      </c>
      <c r="E190" s="47">
        <f t="shared" ref="E190:N190" si="131">E189/744</f>
        <v>0</v>
      </c>
      <c r="F190" s="47">
        <f>F189/720</f>
        <v>0</v>
      </c>
      <c r="G190" s="47">
        <f t="shared" si="131"/>
        <v>0</v>
      </c>
      <c r="H190" s="45">
        <f>H189/744</f>
        <v>0</v>
      </c>
      <c r="I190" s="45">
        <f>I189/672</f>
        <v>0</v>
      </c>
      <c r="J190" s="47">
        <f t="shared" si="131"/>
        <v>0</v>
      </c>
      <c r="K190" s="47">
        <f>K189/720</f>
        <v>0</v>
      </c>
      <c r="L190" s="47">
        <f t="shared" si="131"/>
        <v>0</v>
      </c>
      <c r="M190" s="47">
        <f>M189/720</f>
        <v>0</v>
      </c>
      <c r="N190" s="47">
        <f t="shared" si="131"/>
        <v>0</v>
      </c>
      <c r="O190" s="47">
        <f>O189/8760</f>
        <v>0</v>
      </c>
      <c r="P190" s="47"/>
      <c r="Q190" s="47"/>
    </row>
    <row r="191" spans="1:23" hidden="1" x14ac:dyDescent="0.2">
      <c r="A191" s="14" t="s">
        <v>756</v>
      </c>
      <c r="C191" s="63">
        <v>0</v>
      </c>
      <c r="D191" s="63">
        <v>0</v>
      </c>
      <c r="E191" s="63">
        <v>0</v>
      </c>
      <c r="F191" s="63">
        <v>0.25</v>
      </c>
      <c r="G191" s="63">
        <v>0.25</v>
      </c>
      <c r="H191" s="63">
        <v>0.25</v>
      </c>
      <c r="I191" s="63">
        <v>0.25</v>
      </c>
      <c r="J191" s="63">
        <v>0</v>
      </c>
      <c r="K191" s="63">
        <v>0</v>
      </c>
      <c r="L191" s="63">
        <v>0</v>
      </c>
      <c r="M191" s="63">
        <v>0</v>
      </c>
      <c r="N191" s="63">
        <v>0</v>
      </c>
      <c r="O191" s="63"/>
      <c r="Q191" s="33"/>
    </row>
    <row r="192" spans="1:23" hidden="1" x14ac:dyDescent="0.2">
      <c r="A192" s="14" t="s">
        <v>757</v>
      </c>
      <c r="C192" s="47"/>
      <c r="D192" s="47"/>
      <c r="E192" s="47"/>
      <c r="F192" s="47">
        <v>0</v>
      </c>
      <c r="G192" s="47">
        <v>0</v>
      </c>
      <c r="H192" s="47">
        <v>0</v>
      </c>
      <c r="I192" s="47">
        <v>0</v>
      </c>
      <c r="J192" s="47">
        <v>0</v>
      </c>
      <c r="K192" s="47"/>
      <c r="L192" s="47"/>
      <c r="M192" s="47"/>
      <c r="N192" s="47"/>
      <c r="O192" s="47">
        <f>SUM(C192:N192)</f>
        <v>0</v>
      </c>
      <c r="Q192" s="33">
        <f>MAX(C192:N192)</f>
        <v>0</v>
      </c>
    </row>
    <row r="193" spans="1:23" hidden="1" x14ac:dyDescent="0.2">
      <c r="A193" s="14" t="s">
        <v>681</v>
      </c>
      <c r="C193" s="63">
        <v>1</v>
      </c>
      <c r="D193" s="63">
        <v>1</v>
      </c>
      <c r="E193" s="63">
        <v>1</v>
      </c>
      <c r="F193" s="63">
        <v>0</v>
      </c>
      <c r="G193" s="63">
        <v>0</v>
      </c>
      <c r="H193" s="63">
        <v>0</v>
      </c>
      <c r="I193" s="63">
        <v>0</v>
      </c>
      <c r="J193" s="63">
        <v>0</v>
      </c>
      <c r="K193" s="63">
        <v>0</v>
      </c>
      <c r="L193" s="63">
        <v>1</v>
      </c>
      <c r="M193" s="63">
        <v>1</v>
      </c>
      <c r="N193" s="63">
        <v>1</v>
      </c>
      <c r="O193" s="63"/>
      <c r="P193" s="47"/>
      <c r="Q193" s="33"/>
    </row>
    <row r="194" spans="1:23" hidden="1" x14ac:dyDescent="0.2">
      <c r="A194" s="14" t="s">
        <v>682</v>
      </c>
      <c r="C194" s="47">
        <f t="shared" ref="C194:N194" si="132">C192*C193</f>
        <v>0</v>
      </c>
      <c r="D194" s="47">
        <f t="shared" si="132"/>
        <v>0</v>
      </c>
      <c r="E194" s="47">
        <f t="shared" si="132"/>
        <v>0</v>
      </c>
      <c r="F194" s="47">
        <f t="shared" si="132"/>
        <v>0</v>
      </c>
      <c r="G194" s="47">
        <f t="shared" si="132"/>
        <v>0</v>
      </c>
      <c r="H194" s="47">
        <f t="shared" si="132"/>
        <v>0</v>
      </c>
      <c r="I194" s="47">
        <f t="shared" si="132"/>
        <v>0</v>
      </c>
      <c r="J194" s="47">
        <f t="shared" si="132"/>
        <v>0</v>
      </c>
      <c r="K194" s="47">
        <f t="shared" si="132"/>
        <v>0</v>
      </c>
      <c r="L194" s="47">
        <f t="shared" si="132"/>
        <v>0</v>
      </c>
      <c r="M194" s="47">
        <f t="shared" si="132"/>
        <v>0</v>
      </c>
      <c r="N194" s="47">
        <f t="shared" si="132"/>
        <v>0</v>
      </c>
      <c r="O194" s="47">
        <f>SUM(C194:N194)</f>
        <v>0</v>
      </c>
      <c r="P194" s="47"/>
      <c r="Q194" s="33"/>
      <c r="R194" s="33">
        <f>O194</f>
        <v>0</v>
      </c>
      <c r="S194" s="33">
        <f>H194+I194+J194</f>
        <v>0</v>
      </c>
      <c r="T194" s="33">
        <f>R194-S194</f>
        <v>0</v>
      </c>
    </row>
    <row r="195" spans="1:23" hidden="1" x14ac:dyDescent="0.2">
      <c r="A195" s="14" t="s">
        <v>758</v>
      </c>
      <c r="C195" s="63">
        <v>0.65</v>
      </c>
      <c r="D195" s="63">
        <v>0.65</v>
      </c>
      <c r="E195" s="63">
        <v>0.65</v>
      </c>
      <c r="F195" s="63">
        <v>0.65</v>
      </c>
      <c r="G195" s="63">
        <v>0.65</v>
      </c>
      <c r="H195" s="63">
        <v>0.65</v>
      </c>
      <c r="I195" s="63">
        <v>0.65</v>
      </c>
      <c r="J195" s="63">
        <v>0.65</v>
      </c>
      <c r="K195" s="63">
        <v>0.65</v>
      </c>
      <c r="L195" s="63">
        <v>0.65</v>
      </c>
      <c r="M195" s="63">
        <v>0.65</v>
      </c>
      <c r="N195" s="63">
        <v>0.65</v>
      </c>
      <c r="O195" s="63"/>
      <c r="P195" s="126"/>
      <c r="Q195" s="126"/>
      <c r="U195" s="115"/>
      <c r="W195" s="115"/>
    </row>
    <row r="196" spans="1:23" ht="1.5" customHeight="1" x14ac:dyDescent="0.2">
      <c r="A196" s="14" t="s">
        <v>759</v>
      </c>
      <c r="C196" s="47">
        <f>C190/C195</f>
        <v>0</v>
      </c>
      <c r="D196" s="47">
        <f t="shared" ref="D196:N196" si="133">D190/D195</f>
        <v>0</v>
      </c>
      <c r="E196" s="47">
        <f t="shared" si="133"/>
        <v>0</v>
      </c>
      <c r="F196" s="47">
        <f t="shared" si="133"/>
        <v>0</v>
      </c>
      <c r="G196" s="47">
        <f t="shared" si="133"/>
        <v>0</v>
      </c>
      <c r="H196" s="47">
        <f t="shared" si="133"/>
        <v>0</v>
      </c>
      <c r="I196" s="47">
        <f t="shared" si="133"/>
        <v>0</v>
      </c>
      <c r="J196" s="47">
        <f t="shared" si="133"/>
        <v>0</v>
      </c>
      <c r="K196" s="47">
        <f t="shared" si="133"/>
        <v>0</v>
      </c>
      <c r="L196" s="47">
        <f t="shared" si="133"/>
        <v>0</v>
      </c>
      <c r="M196" s="47">
        <f t="shared" si="133"/>
        <v>0</v>
      </c>
      <c r="N196" s="47">
        <f t="shared" si="133"/>
        <v>0</v>
      </c>
      <c r="O196" s="47">
        <f>SUM(C196:N196)</f>
        <v>0</v>
      </c>
      <c r="P196" s="47">
        <f>MAX(C196:N196)</f>
        <v>0</v>
      </c>
      <c r="Q196" s="47"/>
    </row>
    <row r="197" spans="1:23" x14ac:dyDescent="0.2"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</row>
    <row r="198" spans="1:23" x14ac:dyDescent="0.2">
      <c r="A198" s="14" t="s">
        <v>743</v>
      </c>
      <c r="C198" s="47">
        <f>C39+C49+C59+C69+C79+C89+C99+C109+C119+C129+C139+C149+C159+C169+C179+C189</f>
        <v>45199343</v>
      </c>
      <c r="D198" s="47">
        <f t="shared" ref="D198:N198" si="134">D39+D49+D59+D69+D79+D89+D99+D109+D119+D129+D139+D149+D159+D169+D179+D189</f>
        <v>53248923</v>
      </c>
      <c r="E198" s="47">
        <f t="shared" si="134"/>
        <v>34341343</v>
      </c>
      <c r="F198" s="47">
        <f t="shared" si="134"/>
        <v>31274952</v>
      </c>
      <c r="G198" s="47">
        <f t="shared" si="134"/>
        <v>28165415</v>
      </c>
      <c r="H198" s="47">
        <f t="shared" si="134"/>
        <v>31717487</v>
      </c>
      <c r="I198" s="47">
        <f t="shared" si="134"/>
        <v>37389646</v>
      </c>
      <c r="J198" s="47">
        <f t="shared" si="134"/>
        <v>40400799</v>
      </c>
      <c r="K198" s="47">
        <f t="shared" si="134"/>
        <v>36547172</v>
      </c>
      <c r="L198" s="47">
        <f t="shared" si="134"/>
        <v>28970568</v>
      </c>
      <c r="M198" s="47">
        <f t="shared" si="134"/>
        <v>29312882</v>
      </c>
      <c r="N198" s="47">
        <f t="shared" si="134"/>
        <v>38164616</v>
      </c>
      <c r="O198" s="47">
        <f>SUM(C198:N198)</f>
        <v>434733146</v>
      </c>
      <c r="P198" s="47"/>
      <c r="Q198" s="47"/>
    </row>
    <row r="199" spans="1:23" x14ac:dyDescent="0.2"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1:23" x14ac:dyDescent="0.2">
      <c r="A200" s="14" t="s">
        <v>715</v>
      </c>
      <c r="C200" s="47">
        <f>'Purchased Power'!C6</f>
        <v>96684</v>
      </c>
      <c r="D200" s="47">
        <f>'Purchased Power'!D6</f>
        <v>153367</v>
      </c>
      <c r="E200" s="47">
        <f>'Purchased Power'!E6</f>
        <v>105056</v>
      </c>
      <c r="F200" s="47">
        <f>'Purchased Power'!F6</f>
        <v>84216</v>
      </c>
      <c r="G200" s="47">
        <f>'Purchased Power'!G6</f>
        <v>71964</v>
      </c>
      <c r="H200" s="47">
        <f>'Purchased Power'!H6</f>
        <v>74949</v>
      </c>
      <c r="I200" s="47">
        <f>'Purchased Power'!I6</f>
        <v>89928</v>
      </c>
      <c r="J200" s="47">
        <f>'Purchased Power'!J6</f>
        <v>95961</v>
      </c>
      <c r="K200" s="47">
        <f>'Purchased Power'!K6</f>
        <v>92257</v>
      </c>
      <c r="L200" s="47">
        <f>'Purchased Power'!L6</f>
        <v>75322</v>
      </c>
      <c r="M200" s="47">
        <f>'Purchased Power'!M6</f>
        <v>67321</v>
      </c>
      <c r="N200" s="47">
        <f>'Purchased Power'!N6</f>
        <v>94612</v>
      </c>
      <c r="O200" s="47">
        <f>SUM(C200:N200)</f>
        <v>1101637</v>
      </c>
      <c r="P200" s="47"/>
      <c r="Q200" s="47"/>
      <c r="R200" s="47"/>
      <c r="S200" s="47"/>
    </row>
    <row r="201" spans="1:23" x14ac:dyDescent="0.2">
      <c r="A201" s="14" t="s">
        <v>867</v>
      </c>
      <c r="C201" s="47">
        <f>'Purchased Power'!C7</f>
        <v>44030958</v>
      </c>
      <c r="D201" s="47">
        <f>'Purchased Power'!D7</f>
        <v>57697821</v>
      </c>
      <c r="E201" s="47">
        <f>'Purchased Power'!E7</f>
        <v>39302830</v>
      </c>
      <c r="F201" s="47">
        <f>'Purchased Power'!F7</f>
        <v>35792477</v>
      </c>
      <c r="G201" s="47">
        <f>'Purchased Power'!G7</f>
        <v>29894829</v>
      </c>
      <c r="H201" s="47">
        <f>'Purchased Power'!H7</f>
        <v>30965301</v>
      </c>
      <c r="I201" s="47">
        <f>'Purchased Power'!I7</f>
        <v>38553659</v>
      </c>
      <c r="J201" s="47">
        <f>'Purchased Power'!J7</f>
        <v>42836835</v>
      </c>
      <c r="K201" s="47">
        <f>'Purchased Power'!K7</f>
        <v>40358371</v>
      </c>
      <c r="L201" s="47">
        <f>'Purchased Power'!L7</f>
        <v>31215324</v>
      </c>
      <c r="M201" s="47">
        <f>'Purchased Power'!M7</f>
        <v>30380390</v>
      </c>
      <c r="N201" s="47">
        <f>'Purchased Power'!N7</f>
        <v>33731182</v>
      </c>
      <c r="O201" s="47">
        <f>SUM(C201:N201)</f>
        <v>454759977</v>
      </c>
      <c r="P201" s="120">
        <f>O198/O201</f>
        <v>0.95596175562301078</v>
      </c>
      <c r="Q201" s="47"/>
      <c r="R201" s="47"/>
      <c r="S201" s="47"/>
    </row>
    <row r="202" spans="1:23" x14ac:dyDescent="0.2">
      <c r="P202" s="120"/>
    </row>
    <row r="203" spans="1:23" x14ac:dyDescent="0.2">
      <c r="A203" s="14" t="s">
        <v>716</v>
      </c>
      <c r="C203" s="33">
        <f>(C44+C54+C64+C74+C84+C94+C104+C114+C124+C134+C144+C154+C164+C174+C184+C194)</f>
        <v>96684.00000004434</v>
      </c>
      <c r="D203" s="33">
        <f t="shared" ref="D203:N203" si="135">(D44+D54+D64+D74+D84+D94+D104+D114+D124+D134+D144+D154+D164+D174+D184+D194)</f>
        <v>153366.99983476484</v>
      </c>
      <c r="E203" s="33">
        <f t="shared" si="135"/>
        <v>105055.99995848529</v>
      </c>
      <c r="F203" s="33">
        <f t="shared" si="135"/>
        <v>84216.000109442772</v>
      </c>
      <c r="G203" s="33">
        <f t="shared" si="135"/>
        <v>71964.000140009084</v>
      </c>
      <c r="H203" s="33">
        <f t="shared" si="135"/>
        <v>74949.000139493844</v>
      </c>
      <c r="I203" s="33">
        <f t="shared" si="135"/>
        <v>89928.000144911959</v>
      </c>
      <c r="J203" s="33">
        <f t="shared" si="135"/>
        <v>95961.000001927634</v>
      </c>
      <c r="K203" s="33">
        <f t="shared" si="135"/>
        <v>92257.000011191325</v>
      </c>
      <c r="L203" s="33">
        <f t="shared" si="135"/>
        <v>75322.000000024433</v>
      </c>
      <c r="M203" s="33">
        <f t="shared" si="135"/>
        <v>67321.000111541915</v>
      </c>
      <c r="N203" s="33">
        <f t="shared" si="135"/>
        <v>94612.000000885862</v>
      </c>
      <c r="O203" s="33">
        <f>SUM(C203:N203)</f>
        <v>1101637.0004527234</v>
      </c>
      <c r="P203" s="120">
        <f>O203/O200</f>
        <v>1.000000000410955</v>
      </c>
    </row>
    <row r="205" spans="1:23" x14ac:dyDescent="0.2">
      <c r="A205" s="14" t="s">
        <v>717</v>
      </c>
      <c r="C205" s="33">
        <f>C200-C203</f>
        <v>-4.4339685700833797E-8</v>
      </c>
      <c r="D205" s="33">
        <f t="shared" ref="D205:O205" si="136">D200-D203</f>
        <v>1.6523516387678683E-4</v>
      </c>
      <c r="E205" s="33">
        <f t="shared" si="136"/>
        <v>4.1514707845635712E-5</v>
      </c>
      <c r="F205" s="33">
        <f t="shared" si="136"/>
        <v>-1.0944277164526284E-4</v>
      </c>
      <c r="G205" s="33">
        <f t="shared" si="136"/>
        <v>-1.4000908413436264E-4</v>
      </c>
      <c r="H205" s="33">
        <f t="shared" si="136"/>
        <v>-1.3949384447187185E-4</v>
      </c>
      <c r="I205" s="33">
        <f t="shared" si="136"/>
        <v>-1.4491195906884968E-4</v>
      </c>
      <c r="J205" s="33">
        <f t="shared" si="136"/>
        <v>-1.9276340026408434E-6</v>
      </c>
      <c r="K205" s="33">
        <f t="shared" si="136"/>
        <v>-1.1191325029358268E-5</v>
      </c>
      <c r="L205" s="33">
        <f t="shared" si="136"/>
        <v>-2.4432665668427944E-8</v>
      </c>
      <c r="M205" s="33">
        <f t="shared" si="136"/>
        <v>-1.1154191452078521E-4</v>
      </c>
      <c r="N205" s="33">
        <f t="shared" si="136"/>
        <v>-8.8586239144206047E-7</v>
      </c>
      <c r="O205" s="33">
        <f t="shared" si="136"/>
        <v>-4.5272335410118103E-4</v>
      </c>
    </row>
    <row r="207" spans="1:23" x14ac:dyDescent="0.2"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</row>
    <row r="208" spans="1:23" x14ac:dyDescent="0.2"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</row>
    <row r="209" spans="3:15" x14ac:dyDescent="0.2"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</row>
    <row r="210" spans="3:15" x14ac:dyDescent="0.2"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</row>
    <row r="211" spans="3:15" x14ac:dyDescent="0.2"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</row>
  </sheetData>
  <printOptions horizontalCentered="1"/>
  <pageMargins left="0.25" right="0.25" top="1" bottom="0.32" header="0.5" footer="0.25"/>
  <pageSetup scale="66" fitToWidth="2" fitToHeight="5" pageOrder="overThenDown" orientation="landscape" r:id="rId1"/>
  <headerFooter alignWithMargins="0">
    <oddFooter>&amp;RExhibit JW-6
Page &amp;P of &amp;N</oddFooter>
  </headerFooter>
  <rowBreaks count="3" manualBreakCount="3">
    <brk id="30" max="19" man="1"/>
    <brk id="67" max="19" man="1"/>
    <brk id="126" max="19" man="1"/>
  </rowBreaks>
  <colBreaks count="1" manualBreakCount="1">
    <brk id="11" max="218" man="1"/>
  </colBreaks>
  <ignoredErrors>
    <ignoredError sqref="D40:M40 C52:N52 D50:M50 D60:M60 D70:M70 D130:M130 D140:M140 D150:M150 D160:M160 D170:M170 D180:M180 D190:M19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R68"/>
  <sheetViews>
    <sheetView view="pageBreakPreview" topLeftCell="A27" zoomScaleNormal="100" zoomScaleSheetLayoutView="100" workbookViewId="0">
      <selection activeCell="J60" sqref="J60"/>
    </sheetView>
  </sheetViews>
  <sheetFormatPr defaultRowHeight="12.75" x14ac:dyDescent="0.2"/>
  <cols>
    <col min="1" max="1" width="5.7109375" style="14" customWidth="1"/>
    <col min="2" max="2" width="28.85546875" style="14" customWidth="1"/>
    <col min="3" max="13" width="11.28515625" style="14" bestFit="1" customWidth="1"/>
    <col min="14" max="14" width="12.28515625" style="14" bestFit="1" customWidth="1"/>
    <col min="15" max="15" width="14" style="14" bestFit="1" customWidth="1"/>
    <col min="16" max="16" width="14.5703125" style="14" bestFit="1" customWidth="1"/>
    <col min="17" max="17" width="12.85546875" style="14" bestFit="1" customWidth="1"/>
    <col min="18" max="16384" width="9.140625" style="14"/>
  </cols>
  <sheetData>
    <row r="1" spans="1:18" x14ac:dyDescent="0.2">
      <c r="A1" s="13" t="str">
        <f>'Summary of Returns'!A1</f>
        <v>CLARK ENERGY COOPERATIVE</v>
      </c>
    </row>
    <row r="2" spans="1:18" x14ac:dyDescent="0.2">
      <c r="A2" s="13" t="s">
        <v>96</v>
      </c>
      <c r="N2" s="33"/>
    </row>
    <row r="3" spans="1:18" ht="25.5" customHeight="1" x14ac:dyDescent="0.2"/>
    <row r="4" spans="1:18" x14ac:dyDescent="0.2">
      <c r="A4" s="59" t="s">
        <v>959</v>
      </c>
      <c r="B4" s="59" t="s">
        <v>960</v>
      </c>
      <c r="C4" s="198" t="s">
        <v>1028</v>
      </c>
      <c r="D4" s="198" t="s">
        <v>1029</v>
      </c>
      <c r="E4" s="198" t="s">
        <v>1030</v>
      </c>
      <c r="F4" s="198" t="s">
        <v>1031</v>
      </c>
      <c r="G4" s="198" t="s">
        <v>1032</v>
      </c>
      <c r="H4" s="198" t="s">
        <v>1033</v>
      </c>
      <c r="I4" s="198" t="s">
        <v>1034</v>
      </c>
      <c r="J4" s="198" t="s">
        <v>1035</v>
      </c>
      <c r="K4" s="198" t="s">
        <v>1036</v>
      </c>
      <c r="L4" s="198" t="s">
        <v>1037</v>
      </c>
      <c r="M4" s="198" t="s">
        <v>1038</v>
      </c>
      <c r="N4" s="198" t="s">
        <v>1039</v>
      </c>
      <c r="O4" s="59" t="s">
        <v>862</v>
      </c>
      <c r="P4" s="55"/>
      <c r="R4" s="27"/>
    </row>
    <row r="5" spans="1:18" x14ac:dyDescent="0.2">
      <c r="A5" s="27">
        <v>1</v>
      </c>
      <c r="B5" s="214" t="s">
        <v>0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55"/>
      <c r="P5" s="55"/>
      <c r="R5" s="27"/>
    </row>
    <row r="6" spans="1:18" x14ac:dyDescent="0.2">
      <c r="A6" s="27">
        <f>A5+1</f>
        <v>2</v>
      </c>
      <c r="B6" s="30" t="s">
        <v>962</v>
      </c>
      <c r="C6" s="147">
        <v>96684</v>
      </c>
      <c r="D6" s="147">
        <v>153367</v>
      </c>
      <c r="E6" s="147">
        <v>105056</v>
      </c>
      <c r="F6" s="147">
        <v>84216</v>
      </c>
      <c r="G6" s="147">
        <v>71964</v>
      </c>
      <c r="H6" s="147">
        <v>74949</v>
      </c>
      <c r="I6" s="147">
        <v>89928</v>
      </c>
      <c r="J6" s="147">
        <v>95961</v>
      </c>
      <c r="K6" s="147">
        <v>92257</v>
      </c>
      <c r="L6" s="147">
        <v>75322</v>
      </c>
      <c r="M6" s="147">
        <v>67321</v>
      </c>
      <c r="N6" s="147">
        <v>94612</v>
      </c>
      <c r="O6" s="147">
        <f>SUM(C6:N6)</f>
        <v>1101637</v>
      </c>
      <c r="P6" s="55"/>
      <c r="R6" s="135"/>
    </row>
    <row r="7" spans="1:18" x14ac:dyDescent="0.2">
      <c r="A7" s="27">
        <f t="shared" ref="A7:A66" si="0">A6+1</f>
        <v>3</v>
      </c>
      <c r="B7" s="30" t="s">
        <v>961</v>
      </c>
      <c r="C7" s="147">
        <v>44030958</v>
      </c>
      <c r="D7" s="147">
        <v>57697821</v>
      </c>
      <c r="E7" s="147">
        <v>39302830</v>
      </c>
      <c r="F7" s="147">
        <v>35792477</v>
      </c>
      <c r="G7" s="147">
        <v>29894829</v>
      </c>
      <c r="H7" s="147">
        <v>30965301</v>
      </c>
      <c r="I7" s="147">
        <v>38553659</v>
      </c>
      <c r="J7" s="147">
        <v>42836835</v>
      </c>
      <c r="K7" s="147">
        <v>40358371</v>
      </c>
      <c r="L7" s="147">
        <v>31215324</v>
      </c>
      <c r="M7" s="147">
        <v>30380390</v>
      </c>
      <c r="N7" s="147">
        <v>33731182</v>
      </c>
      <c r="O7" s="147">
        <f t="shared" ref="O7:O52" si="1">SUM(C7:N7)</f>
        <v>454759977</v>
      </c>
      <c r="P7" s="55"/>
      <c r="R7" s="27"/>
    </row>
    <row r="8" spans="1:18" x14ac:dyDescent="0.2">
      <c r="A8" s="27">
        <f t="shared" si="0"/>
        <v>4</v>
      </c>
      <c r="B8" s="30" t="s">
        <v>941</v>
      </c>
      <c r="C8" s="147">
        <v>631348</v>
      </c>
      <c r="D8" s="147">
        <v>1002119</v>
      </c>
      <c r="E8" s="147">
        <v>687631</v>
      </c>
      <c r="F8" s="147">
        <v>552253</v>
      </c>
      <c r="G8" s="147">
        <v>470173</v>
      </c>
      <c r="H8" s="147">
        <v>491376</v>
      </c>
      <c r="I8" s="147">
        <v>587299</v>
      </c>
      <c r="J8" s="147">
        <v>627933</v>
      </c>
      <c r="K8" s="147">
        <v>603984</v>
      </c>
      <c r="L8" s="147">
        <v>493521</v>
      </c>
      <c r="M8" s="147">
        <v>442162</v>
      </c>
      <c r="N8" s="147">
        <v>618894</v>
      </c>
      <c r="O8" s="147">
        <f t="shared" si="1"/>
        <v>7208693</v>
      </c>
      <c r="P8" s="55"/>
      <c r="R8" s="27"/>
    </row>
    <row r="9" spans="1:18" x14ac:dyDescent="0.2">
      <c r="A9" s="27">
        <f t="shared" si="0"/>
        <v>5</v>
      </c>
      <c r="B9" s="30" t="s">
        <v>942</v>
      </c>
      <c r="C9" s="147">
        <v>2045776</v>
      </c>
      <c r="D9" s="147">
        <v>2678277</v>
      </c>
      <c r="E9" s="147">
        <v>1823770</v>
      </c>
      <c r="F9" s="147">
        <v>1660247</v>
      </c>
      <c r="G9" s="147">
        <v>1390030</v>
      </c>
      <c r="H9" s="147">
        <v>1475329</v>
      </c>
      <c r="I9" s="147">
        <v>1846442</v>
      </c>
      <c r="J9" s="147">
        <v>2050895</v>
      </c>
      <c r="K9" s="147">
        <v>1933528</v>
      </c>
      <c r="L9" s="147">
        <v>1842411</v>
      </c>
      <c r="M9" s="147">
        <v>1752484</v>
      </c>
      <c r="N9" s="147">
        <v>1948590</v>
      </c>
      <c r="O9" s="147">
        <f t="shared" si="1"/>
        <v>22447779</v>
      </c>
      <c r="P9" s="55"/>
      <c r="R9" s="27"/>
    </row>
    <row r="10" spans="1:18" x14ac:dyDescent="0.2">
      <c r="A10" s="27">
        <f t="shared" si="0"/>
        <v>6</v>
      </c>
      <c r="B10" s="30" t="s">
        <v>943</v>
      </c>
      <c r="C10" s="147">
        <v>3926</v>
      </c>
      <c r="D10" s="147">
        <v>3926</v>
      </c>
      <c r="E10" s="147">
        <v>4077</v>
      </c>
      <c r="F10" s="147">
        <v>3926</v>
      </c>
      <c r="G10" s="147">
        <v>3926</v>
      </c>
      <c r="H10" s="147">
        <v>3926</v>
      </c>
      <c r="I10" s="147">
        <v>3926</v>
      </c>
      <c r="J10" s="147">
        <v>3926</v>
      </c>
      <c r="K10" s="147">
        <v>3926</v>
      </c>
      <c r="L10" s="147">
        <v>3926</v>
      </c>
      <c r="M10" s="147">
        <v>3926</v>
      </c>
      <c r="N10" s="147">
        <v>3926</v>
      </c>
      <c r="O10" s="147">
        <f t="shared" si="1"/>
        <v>47263</v>
      </c>
      <c r="P10" s="55"/>
      <c r="R10" s="27"/>
    </row>
    <row r="11" spans="1:18" x14ac:dyDescent="0.2">
      <c r="A11" s="27">
        <f t="shared" si="0"/>
        <v>7</v>
      </c>
      <c r="B11" s="30" t="s">
        <v>944</v>
      </c>
      <c r="C11" s="147">
        <v>72902</v>
      </c>
      <c r="D11" s="147">
        <v>72902</v>
      </c>
      <c r="E11" s="147">
        <v>73617</v>
      </c>
      <c r="F11" s="147">
        <v>72902</v>
      </c>
      <c r="G11" s="147">
        <v>72902</v>
      </c>
      <c r="H11" s="147">
        <v>72902</v>
      </c>
      <c r="I11" s="147">
        <v>72902</v>
      </c>
      <c r="J11" s="147">
        <v>72902</v>
      </c>
      <c r="K11" s="147">
        <v>72902</v>
      </c>
      <c r="L11" s="147">
        <v>72902</v>
      </c>
      <c r="M11" s="147">
        <v>72902</v>
      </c>
      <c r="N11" s="147">
        <v>72902</v>
      </c>
      <c r="O11" s="147">
        <f t="shared" si="1"/>
        <v>875539</v>
      </c>
      <c r="P11" s="55"/>
      <c r="R11" s="27"/>
    </row>
    <row r="12" spans="1:18" x14ac:dyDescent="0.2">
      <c r="A12" s="27">
        <f t="shared" si="0"/>
        <v>8</v>
      </c>
      <c r="B12" s="30" t="s">
        <v>950</v>
      </c>
      <c r="C12" s="147">
        <v>278273</v>
      </c>
      <c r="D12" s="147">
        <v>499662</v>
      </c>
      <c r="E12" s="147">
        <v>578144</v>
      </c>
      <c r="F12" s="147">
        <v>385127</v>
      </c>
      <c r="G12" s="147">
        <v>74737</v>
      </c>
      <c r="H12" s="147">
        <v>272495</v>
      </c>
      <c r="I12" s="147">
        <v>304578</v>
      </c>
      <c r="J12" s="147">
        <v>256591</v>
      </c>
      <c r="K12" s="147">
        <v>307533</v>
      </c>
      <c r="L12" s="147">
        <v>207894</v>
      </c>
      <c r="M12" s="147">
        <v>-138840</v>
      </c>
      <c r="N12" s="147">
        <v>-199691</v>
      </c>
      <c r="O12" s="147">
        <f t="shared" si="1"/>
        <v>2826503</v>
      </c>
      <c r="P12" s="55"/>
      <c r="R12" s="27"/>
    </row>
    <row r="13" spans="1:18" x14ac:dyDescent="0.2">
      <c r="A13" s="27">
        <f t="shared" si="0"/>
        <v>9</v>
      </c>
      <c r="B13" s="30" t="s">
        <v>949</v>
      </c>
      <c r="C13" s="147">
        <v>544175</v>
      </c>
      <c r="D13" s="147">
        <v>705691</v>
      </c>
      <c r="E13" s="147">
        <v>485123</v>
      </c>
      <c r="F13" s="147">
        <v>289304</v>
      </c>
      <c r="G13" s="147">
        <v>296842</v>
      </c>
      <c r="H13" s="147">
        <v>412137</v>
      </c>
      <c r="I13" s="147">
        <v>606800</v>
      </c>
      <c r="J13" s="147">
        <v>594014</v>
      </c>
      <c r="K13" s="147">
        <v>511328</v>
      </c>
      <c r="L13" s="147">
        <v>470932</v>
      </c>
      <c r="M13" s="147">
        <v>383315</v>
      </c>
      <c r="N13" s="147">
        <v>467019</v>
      </c>
      <c r="O13" s="147">
        <f t="shared" si="1"/>
        <v>5766680</v>
      </c>
      <c r="P13" s="55"/>
      <c r="R13" s="27"/>
    </row>
    <row r="14" spans="1:18" x14ac:dyDescent="0.2">
      <c r="A14" s="27">
        <f t="shared" si="0"/>
        <v>10</v>
      </c>
      <c r="B14" s="200" t="s">
        <v>945</v>
      </c>
      <c r="C14" s="201">
        <f>SUM(C8:C13)</f>
        <v>3576400</v>
      </c>
      <c r="D14" s="201">
        <f t="shared" ref="D14:N14" si="2">SUM(D8:D13)</f>
        <v>4962577</v>
      </c>
      <c r="E14" s="201">
        <f t="shared" si="2"/>
        <v>3652362</v>
      </c>
      <c r="F14" s="201">
        <f t="shared" si="2"/>
        <v>2963759</v>
      </c>
      <c r="G14" s="201">
        <f t="shared" si="2"/>
        <v>2308610</v>
      </c>
      <c r="H14" s="201">
        <f t="shared" si="2"/>
        <v>2728165</v>
      </c>
      <c r="I14" s="201">
        <f t="shared" si="2"/>
        <v>3421947</v>
      </c>
      <c r="J14" s="201">
        <f t="shared" si="2"/>
        <v>3606261</v>
      </c>
      <c r="K14" s="201">
        <f t="shared" si="2"/>
        <v>3433201</v>
      </c>
      <c r="L14" s="201">
        <f t="shared" si="2"/>
        <v>3091586</v>
      </c>
      <c r="M14" s="201">
        <f t="shared" si="2"/>
        <v>2515949</v>
      </c>
      <c r="N14" s="201">
        <f t="shared" si="2"/>
        <v>2911640</v>
      </c>
      <c r="O14" s="201">
        <f t="shared" si="1"/>
        <v>39172457</v>
      </c>
      <c r="P14" s="55"/>
      <c r="Q14" s="33"/>
      <c r="R14" s="135"/>
    </row>
    <row r="15" spans="1:18" x14ac:dyDescent="0.2">
      <c r="A15" s="27">
        <f t="shared" si="0"/>
        <v>11</v>
      </c>
      <c r="B15" s="30" t="s">
        <v>947</v>
      </c>
      <c r="C15" s="147">
        <v>-615</v>
      </c>
      <c r="D15" s="147">
        <v>-622</v>
      </c>
      <c r="E15" s="147">
        <v>-644</v>
      </c>
      <c r="F15" s="147">
        <v>-659</v>
      </c>
      <c r="G15" s="147">
        <v>-659</v>
      </c>
      <c r="H15" s="147">
        <v>-659</v>
      </c>
      <c r="I15" s="147">
        <v>-683</v>
      </c>
      <c r="J15" s="147">
        <v>0</v>
      </c>
      <c r="K15" s="147">
        <v>0</v>
      </c>
      <c r="L15" s="147">
        <v>0</v>
      </c>
      <c r="M15" s="147">
        <v>-732</v>
      </c>
      <c r="N15" s="147">
        <v>-761</v>
      </c>
      <c r="O15" s="147">
        <f t="shared" si="1"/>
        <v>-6034</v>
      </c>
      <c r="P15" s="55"/>
      <c r="R15" s="27"/>
    </row>
    <row r="16" spans="1:18" x14ac:dyDescent="0.2">
      <c r="A16" s="27">
        <f t="shared" si="0"/>
        <v>12</v>
      </c>
      <c r="B16" s="30" t="s">
        <v>946</v>
      </c>
      <c r="C16" s="147">
        <v>48</v>
      </c>
      <c r="D16" s="147">
        <v>48</v>
      </c>
      <c r="E16" s="147">
        <v>45</v>
      </c>
      <c r="F16" s="147">
        <v>45</v>
      </c>
      <c r="G16" s="147">
        <v>45</v>
      </c>
      <c r="H16" s="147">
        <v>45</v>
      </c>
      <c r="I16" s="147">
        <v>45</v>
      </c>
      <c r="J16" s="147">
        <v>45</v>
      </c>
      <c r="K16" s="147">
        <v>45</v>
      </c>
      <c r="L16" s="147">
        <v>45</v>
      </c>
      <c r="M16" s="147">
        <v>45</v>
      </c>
      <c r="N16" s="147">
        <v>45</v>
      </c>
      <c r="O16" s="147">
        <f t="shared" si="1"/>
        <v>546</v>
      </c>
      <c r="P16" s="55"/>
      <c r="R16" s="27"/>
    </row>
    <row r="17" spans="1:18" x14ac:dyDescent="0.2">
      <c r="A17" s="27"/>
      <c r="B17" s="30" t="s">
        <v>1193</v>
      </c>
      <c r="C17" s="147"/>
      <c r="D17" s="147"/>
      <c r="E17" s="147"/>
      <c r="F17" s="147"/>
      <c r="G17" s="147">
        <v>-5</v>
      </c>
      <c r="H17" s="147">
        <v>-9</v>
      </c>
      <c r="I17" s="147">
        <v>-18</v>
      </c>
      <c r="J17" s="147">
        <v>-15</v>
      </c>
      <c r="K17" s="147">
        <v>-19</v>
      </c>
      <c r="L17" s="147">
        <v>-21</v>
      </c>
      <c r="M17" s="147">
        <v>-19</v>
      </c>
      <c r="N17" s="147">
        <v>-25</v>
      </c>
      <c r="O17" s="147">
        <f t="shared" si="1"/>
        <v>-131</v>
      </c>
      <c r="P17" s="55"/>
      <c r="R17" s="27"/>
    </row>
    <row r="18" spans="1:18" x14ac:dyDescent="0.2">
      <c r="A18" s="27">
        <f>A16+1</f>
        <v>13</v>
      </c>
      <c r="B18" s="30" t="s">
        <v>1043</v>
      </c>
      <c r="C18" s="147">
        <v>-50</v>
      </c>
      <c r="D18" s="147">
        <v>-36</v>
      </c>
      <c r="E18" s="147">
        <v>-29</v>
      </c>
      <c r="F18" s="147">
        <v>-57</v>
      </c>
      <c r="G18" s="147">
        <v>-67</v>
      </c>
      <c r="H18" s="147">
        <v>-72</v>
      </c>
      <c r="I18" s="147">
        <v>-87</v>
      </c>
      <c r="J18" s="147">
        <v>-95</v>
      </c>
      <c r="K18" s="147">
        <v>-110</v>
      </c>
      <c r="L18" s="147">
        <v>-110</v>
      </c>
      <c r="M18" s="147">
        <v>-83</v>
      </c>
      <c r="N18" s="147">
        <v>-82</v>
      </c>
      <c r="O18" s="147">
        <f t="shared" si="1"/>
        <v>-878</v>
      </c>
      <c r="P18" s="55"/>
      <c r="R18" s="27"/>
    </row>
    <row r="19" spans="1:18" x14ac:dyDescent="0.2">
      <c r="A19" s="27"/>
      <c r="B19" s="30" t="s">
        <v>1194</v>
      </c>
      <c r="C19" s="147"/>
      <c r="D19" s="147"/>
      <c r="E19" s="147"/>
      <c r="F19" s="147"/>
      <c r="G19" s="147"/>
      <c r="H19" s="147"/>
      <c r="I19" s="147"/>
      <c r="J19" s="147"/>
      <c r="K19" s="147">
        <v>-51873</v>
      </c>
      <c r="L19" s="147"/>
      <c r="M19" s="147"/>
      <c r="N19" s="147"/>
      <c r="O19" s="147">
        <f t="shared" si="1"/>
        <v>-51873</v>
      </c>
      <c r="P19" s="55"/>
      <c r="Q19" s="33"/>
      <c r="R19" s="27"/>
    </row>
    <row r="20" spans="1:18" x14ac:dyDescent="0.2">
      <c r="A20" s="27">
        <f>A18+1</f>
        <v>14</v>
      </c>
      <c r="B20" s="200" t="s">
        <v>862</v>
      </c>
      <c r="C20" s="201">
        <f>SUM(C14:C19)</f>
        <v>3575783</v>
      </c>
      <c r="D20" s="201">
        <f t="shared" ref="D20:N20" si="3">SUM(D14:D19)</f>
        <v>4961967</v>
      </c>
      <c r="E20" s="201">
        <f t="shared" si="3"/>
        <v>3651734</v>
      </c>
      <c r="F20" s="201">
        <f t="shared" si="3"/>
        <v>2963088</v>
      </c>
      <c r="G20" s="201">
        <f t="shared" si="3"/>
        <v>2307924</v>
      </c>
      <c r="H20" s="201">
        <f t="shared" si="3"/>
        <v>2727470</v>
      </c>
      <c r="I20" s="201">
        <f t="shared" si="3"/>
        <v>3421204</v>
      </c>
      <c r="J20" s="201">
        <f t="shared" si="3"/>
        <v>3606196</v>
      </c>
      <c r="K20" s="201">
        <f t="shared" si="3"/>
        <v>3381244</v>
      </c>
      <c r="L20" s="201">
        <f t="shared" si="3"/>
        <v>3091500</v>
      </c>
      <c r="M20" s="201">
        <f t="shared" si="3"/>
        <v>2515160</v>
      </c>
      <c r="N20" s="201">
        <f t="shared" si="3"/>
        <v>2910817</v>
      </c>
      <c r="O20" s="201">
        <f t="shared" si="1"/>
        <v>39114087</v>
      </c>
      <c r="P20" s="55"/>
      <c r="Q20" s="33"/>
      <c r="R20" s="135"/>
    </row>
    <row r="21" spans="1:18" x14ac:dyDescent="0.2">
      <c r="A21" s="27">
        <f t="shared" si="0"/>
        <v>15</v>
      </c>
      <c r="B21" s="2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202"/>
      <c r="P21" s="55"/>
      <c r="R21" s="27"/>
    </row>
    <row r="22" spans="1:18" x14ac:dyDescent="0.2">
      <c r="A22" s="27">
        <f t="shared" si="0"/>
        <v>16</v>
      </c>
      <c r="B22" s="214" t="s">
        <v>1191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202"/>
      <c r="P22" s="55"/>
      <c r="R22" s="27"/>
    </row>
    <row r="23" spans="1:18" x14ac:dyDescent="0.2">
      <c r="A23" s="27">
        <f t="shared" si="0"/>
        <v>17</v>
      </c>
      <c r="B23" s="30" t="s">
        <v>962</v>
      </c>
      <c r="C23" s="147">
        <v>1000</v>
      </c>
      <c r="D23" s="147">
        <v>1346</v>
      </c>
      <c r="E23" s="147">
        <v>1490</v>
      </c>
      <c r="F23" s="147">
        <v>1635</v>
      </c>
      <c r="G23" s="147">
        <v>1000</v>
      </c>
      <c r="H23" s="147">
        <v>1470</v>
      </c>
      <c r="I23" s="147">
        <v>1000</v>
      </c>
      <c r="J23" s="147">
        <v>1305</v>
      </c>
      <c r="K23" s="147">
        <v>1403</v>
      </c>
      <c r="L23" s="147">
        <v>1327</v>
      </c>
      <c r="M23" s="147">
        <v>1653</v>
      </c>
      <c r="N23" s="147">
        <v>1278</v>
      </c>
      <c r="O23" s="147">
        <f t="shared" si="1"/>
        <v>15907</v>
      </c>
      <c r="P23" s="55"/>
      <c r="R23" s="27"/>
    </row>
    <row r="24" spans="1:18" x14ac:dyDescent="0.2">
      <c r="A24" s="27">
        <f t="shared" si="0"/>
        <v>18</v>
      </c>
      <c r="B24" s="30" t="s">
        <v>961</v>
      </c>
      <c r="C24" s="147">
        <v>539608</v>
      </c>
      <c r="D24" s="147">
        <v>583736</v>
      </c>
      <c r="E24" s="147">
        <v>688271</v>
      </c>
      <c r="F24" s="147">
        <v>959957</v>
      </c>
      <c r="G24" s="147">
        <v>584903</v>
      </c>
      <c r="H24" s="147">
        <v>973618</v>
      </c>
      <c r="I24" s="147">
        <v>906443</v>
      </c>
      <c r="J24" s="147">
        <v>1011925</v>
      </c>
      <c r="K24" s="147">
        <v>1080415</v>
      </c>
      <c r="L24" s="147">
        <v>733226</v>
      </c>
      <c r="M24" s="147">
        <v>1062247</v>
      </c>
      <c r="N24" s="147">
        <v>475428</v>
      </c>
      <c r="O24" s="147">
        <f t="shared" si="1"/>
        <v>9599777</v>
      </c>
      <c r="P24" s="55"/>
      <c r="R24" s="27"/>
    </row>
    <row r="25" spans="1:18" x14ac:dyDescent="0.2">
      <c r="A25" s="27">
        <f t="shared" si="0"/>
        <v>19</v>
      </c>
      <c r="B25" s="30" t="s">
        <v>941</v>
      </c>
      <c r="C25" s="147">
        <v>7490</v>
      </c>
      <c r="D25" s="147">
        <v>10943</v>
      </c>
      <c r="E25" s="147">
        <v>12380</v>
      </c>
      <c r="F25" s="147">
        <v>13827</v>
      </c>
      <c r="G25" s="147">
        <v>7490</v>
      </c>
      <c r="H25" s="147">
        <v>12181</v>
      </c>
      <c r="I25" s="147">
        <v>7490</v>
      </c>
      <c r="J25" s="147">
        <v>10534</v>
      </c>
      <c r="K25" s="147">
        <v>11512</v>
      </c>
      <c r="L25" s="147">
        <v>10753</v>
      </c>
      <c r="M25" s="147">
        <v>14007</v>
      </c>
      <c r="N25" s="147">
        <v>10264</v>
      </c>
      <c r="O25" s="147">
        <f t="shared" si="1"/>
        <v>128871</v>
      </c>
      <c r="P25" s="55"/>
      <c r="R25" s="27"/>
    </row>
    <row r="26" spans="1:18" x14ac:dyDescent="0.2">
      <c r="A26" s="27">
        <f t="shared" si="0"/>
        <v>20</v>
      </c>
      <c r="B26" s="30" t="s">
        <v>942</v>
      </c>
      <c r="C26" s="147">
        <v>21522</v>
      </c>
      <c r="D26" s="147">
        <v>23282</v>
      </c>
      <c r="E26" s="147">
        <v>27451</v>
      </c>
      <c r="F26" s="147">
        <v>38287</v>
      </c>
      <c r="G26" s="147">
        <v>23328</v>
      </c>
      <c r="H26" s="147">
        <v>38832</v>
      </c>
      <c r="I26" s="147">
        <v>36153</v>
      </c>
      <c r="J26" s="147">
        <v>40360</v>
      </c>
      <c r="K26" s="147">
        <v>43091</v>
      </c>
      <c r="L26" s="147">
        <v>37493</v>
      </c>
      <c r="M26" s="147">
        <v>54317</v>
      </c>
      <c r="N26" s="147">
        <v>24311</v>
      </c>
      <c r="O26" s="147">
        <f t="shared" si="1"/>
        <v>408427</v>
      </c>
      <c r="P26" s="55"/>
      <c r="R26" s="27"/>
    </row>
    <row r="27" spans="1:18" x14ac:dyDescent="0.2">
      <c r="A27" s="27">
        <f t="shared" si="0"/>
        <v>21</v>
      </c>
      <c r="B27" s="30" t="s">
        <v>943</v>
      </c>
      <c r="C27" s="147">
        <v>0</v>
      </c>
      <c r="D27" s="147">
        <v>0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f t="shared" si="1"/>
        <v>0</v>
      </c>
      <c r="P27" s="55"/>
      <c r="R27" s="27"/>
    </row>
    <row r="28" spans="1:18" x14ac:dyDescent="0.2">
      <c r="A28" s="27">
        <f t="shared" si="0"/>
        <v>22</v>
      </c>
      <c r="B28" s="30" t="s">
        <v>944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f t="shared" si="1"/>
        <v>0</v>
      </c>
      <c r="P28" s="55"/>
      <c r="R28" s="27"/>
    </row>
    <row r="29" spans="1:18" x14ac:dyDescent="0.2">
      <c r="A29" s="27">
        <f t="shared" si="0"/>
        <v>23</v>
      </c>
      <c r="B29" s="30" t="s">
        <v>950</v>
      </c>
      <c r="C29" s="147">
        <v>3410</v>
      </c>
      <c r="D29" s="147">
        <v>5055</v>
      </c>
      <c r="E29" s="147">
        <v>10124</v>
      </c>
      <c r="F29" s="147">
        <v>10329</v>
      </c>
      <c r="G29" s="147">
        <v>1462</v>
      </c>
      <c r="H29" s="147">
        <v>8568</v>
      </c>
      <c r="I29" s="147">
        <v>7161</v>
      </c>
      <c r="J29" s="147">
        <v>6061</v>
      </c>
      <c r="K29" s="147">
        <v>8233</v>
      </c>
      <c r="L29" s="147">
        <v>4883</v>
      </c>
      <c r="M29" s="147">
        <v>-4854</v>
      </c>
      <c r="N29" s="147">
        <v>-2815</v>
      </c>
      <c r="O29" s="147">
        <f t="shared" si="1"/>
        <v>57617</v>
      </c>
      <c r="P29" s="55"/>
      <c r="R29" s="27"/>
    </row>
    <row r="30" spans="1:18" x14ac:dyDescent="0.2">
      <c r="A30" s="27">
        <f t="shared" si="0"/>
        <v>24</v>
      </c>
      <c r="B30" s="30" t="s">
        <v>949</v>
      </c>
      <c r="C30" s="147">
        <v>5820</v>
      </c>
      <c r="D30" s="147">
        <v>6513</v>
      </c>
      <c r="E30" s="147">
        <v>7653</v>
      </c>
      <c r="F30" s="147">
        <v>6756</v>
      </c>
      <c r="G30" s="147">
        <v>4765</v>
      </c>
      <c r="H30" s="147">
        <v>10605</v>
      </c>
      <c r="I30" s="147">
        <v>10953</v>
      </c>
      <c r="J30" s="147">
        <v>11232</v>
      </c>
      <c r="K30" s="147">
        <v>10996</v>
      </c>
      <c r="L30" s="147">
        <v>9547</v>
      </c>
      <c r="M30" s="147">
        <v>11412</v>
      </c>
      <c r="N30" s="147">
        <v>6069</v>
      </c>
      <c r="O30" s="147">
        <f t="shared" si="1"/>
        <v>102321</v>
      </c>
      <c r="P30" s="55"/>
      <c r="R30" s="27"/>
    </row>
    <row r="31" spans="1:18" x14ac:dyDescent="0.2">
      <c r="A31" s="27">
        <f t="shared" si="0"/>
        <v>25</v>
      </c>
      <c r="B31" s="200" t="s">
        <v>945</v>
      </c>
      <c r="C31" s="201">
        <f>SUM(C25:C30)</f>
        <v>38242</v>
      </c>
      <c r="D31" s="201">
        <f t="shared" ref="D31:N31" si="4">SUM(D25:D30)</f>
        <v>45793</v>
      </c>
      <c r="E31" s="201">
        <f t="shared" si="4"/>
        <v>57608</v>
      </c>
      <c r="F31" s="201">
        <f t="shared" si="4"/>
        <v>69199</v>
      </c>
      <c r="G31" s="201">
        <f t="shared" si="4"/>
        <v>37045</v>
      </c>
      <c r="H31" s="201">
        <f t="shared" si="4"/>
        <v>70186</v>
      </c>
      <c r="I31" s="201">
        <f t="shared" si="4"/>
        <v>61757</v>
      </c>
      <c r="J31" s="201">
        <f t="shared" si="4"/>
        <v>68187</v>
      </c>
      <c r="K31" s="201">
        <f t="shared" si="4"/>
        <v>73832</v>
      </c>
      <c r="L31" s="201">
        <f t="shared" si="4"/>
        <v>62676</v>
      </c>
      <c r="M31" s="201">
        <f t="shared" si="4"/>
        <v>74882</v>
      </c>
      <c r="N31" s="201">
        <f t="shared" si="4"/>
        <v>37829</v>
      </c>
      <c r="O31" s="201">
        <f t="shared" si="1"/>
        <v>697236</v>
      </c>
      <c r="P31" s="55"/>
      <c r="R31" s="27"/>
    </row>
    <row r="32" spans="1:18" x14ac:dyDescent="0.2">
      <c r="A32" s="27">
        <f t="shared" si="0"/>
        <v>26</v>
      </c>
      <c r="B32" s="21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55"/>
      <c r="R32" s="27"/>
    </row>
    <row r="33" spans="1:18" x14ac:dyDescent="0.2">
      <c r="A33" s="27">
        <f t="shared" si="0"/>
        <v>27</v>
      </c>
      <c r="B33" s="214" t="s">
        <v>1192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55"/>
      <c r="R33" s="27"/>
    </row>
    <row r="34" spans="1:18" x14ac:dyDescent="0.2">
      <c r="A34" s="27">
        <f t="shared" si="0"/>
        <v>28</v>
      </c>
      <c r="B34" s="30" t="s">
        <v>962</v>
      </c>
      <c r="C34" s="147">
        <f t="shared" ref="C34:C41" si="5">C6-C23</f>
        <v>95684</v>
      </c>
      <c r="D34" s="147">
        <f t="shared" ref="D34:N34" si="6">D6-D23</f>
        <v>152021</v>
      </c>
      <c r="E34" s="147">
        <f t="shared" si="6"/>
        <v>103566</v>
      </c>
      <c r="F34" s="147">
        <f t="shared" si="6"/>
        <v>82581</v>
      </c>
      <c r="G34" s="147">
        <f t="shared" si="6"/>
        <v>70964</v>
      </c>
      <c r="H34" s="147">
        <f t="shared" si="6"/>
        <v>73479</v>
      </c>
      <c r="I34" s="147">
        <f t="shared" si="6"/>
        <v>88928</v>
      </c>
      <c r="J34" s="147">
        <f t="shared" si="6"/>
        <v>94656</v>
      </c>
      <c r="K34" s="147">
        <f t="shared" si="6"/>
        <v>90854</v>
      </c>
      <c r="L34" s="147">
        <f t="shared" si="6"/>
        <v>73995</v>
      </c>
      <c r="M34" s="147">
        <f t="shared" si="6"/>
        <v>65668</v>
      </c>
      <c r="N34" s="147">
        <f t="shared" si="6"/>
        <v>93334</v>
      </c>
      <c r="O34" s="147">
        <f t="shared" si="1"/>
        <v>1085730</v>
      </c>
      <c r="P34" s="55"/>
      <c r="R34" s="135"/>
    </row>
    <row r="35" spans="1:18" x14ac:dyDescent="0.2">
      <c r="A35" s="27">
        <f t="shared" si="0"/>
        <v>29</v>
      </c>
      <c r="B35" s="30" t="s">
        <v>961</v>
      </c>
      <c r="C35" s="147">
        <f t="shared" si="5"/>
        <v>43491350</v>
      </c>
      <c r="D35" s="147">
        <f t="shared" ref="D35:N35" si="7">D7-D24</f>
        <v>57114085</v>
      </c>
      <c r="E35" s="147">
        <f t="shared" si="7"/>
        <v>38614559</v>
      </c>
      <c r="F35" s="147">
        <f t="shared" si="7"/>
        <v>34832520</v>
      </c>
      <c r="G35" s="147">
        <f t="shared" si="7"/>
        <v>29309926</v>
      </c>
      <c r="H35" s="147">
        <f t="shared" si="7"/>
        <v>29991683</v>
      </c>
      <c r="I35" s="147">
        <f t="shared" si="7"/>
        <v>37647216</v>
      </c>
      <c r="J35" s="147">
        <f t="shared" si="7"/>
        <v>41824910</v>
      </c>
      <c r="K35" s="147">
        <f t="shared" si="7"/>
        <v>39277956</v>
      </c>
      <c r="L35" s="147">
        <f t="shared" si="7"/>
        <v>30482098</v>
      </c>
      <c r="M35" s="147">
        <f t="shared" si="7"/>
        <v>29318143</v>
      </c>
      <c r="N35" s="147">
        <f t="shared" si="7"/>
        <v>33255754</v>
      </c>
      <c r="O35" s="147">
        <f t="shared" si="1"/>
        <v>445160200</v>
      </c>
      <c r="P35" s="55"/>
      <c r="R35" s="27"/>
    </row>
    <row r="36" spans="1:18" x14ac:dyDescent="0.2">
      <c r="A36" s="27">
        <f t="shared" si="0"/>
        <v>30</v>
      </c>
      <c r="B36" s="30" t="s">
        <v>941</v>
      </c>
      <c r="C36" s="147">
        <f t="shared" si="5"/>
        <v>623858</v>
      </c>
      <c r="D36" s="147">
        <f t="shared" ref="D36:N36" si="8">D8-D25</f>
        <v>991176</v>
      </c>
      <c r="E36" s="147">
        <f t="shared" si="8"/>
        <v>675251</v>
      </c>
      <c r="F36" s="147">
        <f t="shared" si="8"/>
        <v>538426</v>
      </c>
      <c r="G36" s="147">
        <f t="shared" si="8"/>
        <v>462683</v>
      </c>
      <c r="H36" s="147">
        <f t="shared" si="8"/>
        <v>479195</v>
      </c>
      <c r="I36" s="147">
        <f t="shared" si="8"/>
        <v>579809</v>
      </c>
      <c r="J36" s="147">
        <f t="shared" si="8"/>
        <v>617399</v>
      </c>
      <c r="K36" s="147">
        <f t="shared" si="8"/>
        <v>592472</v>
      </c>
      <c r="L36" s="147">
        <f t="shared" si="8"/>
        <v>482768</v>
      </c>
      <c r="M36" s="147">
        <f t="shared" si="8"/>
        <v>428155</v>
      </c>
      <c r="N36" s="147">
        <f t="shared" si="8"/>
        <v>608630</v>
      </c>
      <c r="O36" s="147">
        <f t="shared" si="1"/>
        <v>7079822</v>
      </c>
      <c r="P36" s="55"/>
      <c r="R36" s="27"/>
    </row>
    <row r="37" spans="1:18" x14ac:dyDescent="0.2">
      <c r="A37" s="27">
        <f t="shared" si="0"/>
        <v>31</v>
      </c>
      <c r="B37" s="30" t="s">
        <v>942</v>
      </c>
      <c r="C37" s="147">
        <f t="shared" si="5"/>
        <v>2024254</v>
      </c>
      <c r="D37" s="147">
        <f t="shared" ref="D37:N37" si="9">D9-D26</f>
        <v>2654995</v>
      </c>
      <c r="E37" s="147">
        <f t="shared" si="9"/>
        <v>1796319</v>
      </c>
      <c r="F37" s="147">
        <f t="shared" si="9"/>
        <v>1621960</v>
      </c>
      <c r="G37" s="147">
        <f t="shared" si="9"/>
        <v>1366702</v>
      </c>
      <c r="H37" s="147">
        <f t="shared" si="9"/>
        <v>1436497</v>
      </c>
      <c r="I37" s="147">
        <f t="shared" si="9"/>
        <v>1810289</v>
      </c>
      <c r="J37" s="147">
        <f t="shared" si="9"/>
        <v>2010535</v>
      </c>
      <c r="K37" s="147">
        <f t="shared" si="9"/>
        <v>1890437</v>
      </c>
      <c r="L37" s="147">
        <f t="shared" si="9"/>
        <v>1804918</v>
      </c>
      <c r="M37" s="147">
        <f t="shared" si="9"/>
        <v>1698167</v>
      </c>
      <c r="N37" s="147">
        <f t="shared" si="9"/>
        <v>1924279</v>
      </c>
      <c r="O37" s="147">
        <f t="shared" si="1"/>
        <v>22039352</v>
      </c>
      <c r="P37" s="55"/>
      <c r="R37" s="27"/>
    </row>
    <row r="38" spans="1:18" x14ac:dyDescent="0.2">
      <c r="A38" s="27">
        <f t="shared" si="0"/>
        <v>32</v>
      </c>
      <c r="B38" s="30" t="s">
        <v>943</v>
      </c>
      <c r="C38" s="147">
        <f t="shared" si="5"/>
        <v>3926</v>
      </c>
      <c r="D38" s="147">
        <f t="shared" ref="D38:N38" si="10">D10-D27</f>
        <v>3926</v>
      </c>
      <c r="E38" s="147">
        <f t="shared" si="10"/>
        <v>4077</v>
      </c>
      <c r="F38" s="147">
        <f t="shared" si="10"/>
        <v>3926</v>
      </c>
      <c r="G38" s="147">
        <f t="shared" si="10"/>
        <v>3926</v>
      </c>
      <c r="H38" s="147">
        <f t="shared" si="10"/>
        <v>3926</v>
      </c>
      <c r="I38" s="147">
        <f t="shared" si="10"/>
        <v>3926</v>
      </c>
      <c r="J38" s="147">
        <f t="shared" si="10"/>
        <v>3926</v>
      </c>
      <c r="K38" s="147">
        <f t="shared" si="10"/>
        <v>3926</v>
      </c>
      <c r="L38" s="147">
        <f t="shared" si="10"/>
        <v>3926</v>
      </c>
      <c r="M38" s="147">
        <f t="shared" si="10"/>
        <v>3926</v>
      </c>
      <c r="N38" s="147">
        <f t="shared" si="10"/>
        <v>3926</v>
      </c>
      <c r="O38" s="147">
        <f t="shared" si="1"/>
        <v>47263</v>
      </c>
      <c r="P38" s="55"/>
      <c r="R38" s="27"/>
    </row>
    <row r="39" spans="1:18" x14ac:dyDescent="0.2">
      <c r="A39" s="27">
        <f t="shared" si="0"/>
        <v>33</v>
      </c>
      <c r="B39" s="30" t="s">
        <v>944</v>
      </c>
      <c r="C39" s="147">
        <f t="shared" si="5"/>
        <v>72902</v>
      </c>
      <c r="D39" s="147">
        <f t="shared" ref="D39:N39" si="11">D11-D28</f>
        <v>72902</v>
      </c>
      <c r="E39" s="147">
        <f t="shared" si="11"/>
        <v>73617</v>
      </c>
      <c r="F39" s="147">
        <f t="shared" si="11"/>
        <v>72902</v>
      </c>
      <c r="G39" s="147">
        <f t="shared" si="11"/>
        <v>72902</v>
      </c>
      <c r="H39" s="147">
        <f t="shared" si="11"/>
        <v>72902</v>
      </c>
      <c r="I39" s="147">
        <f t="shared" si="11"/>
        <v>72902</v>
      </c>
      <c r="J39" s="147">
        <f t="shared" si="11"/>
        <v>72902</v>
      </c>
      <c r="K39" s="147">
        <f t="shared" si="11"/>
        <v>72902</v>
      </c>
      <c r="L39" s="147">
        <f t="shared" si="11"/>
        <v>72902</v>
      </c>
      <c r="M39" s="147">
        <f t="shared" si="11"/>
        <v>72902</v>
      </c>
      <c r="N39" s="147">
        <f t="shared" si="11"/>
        <v>72902</v>
      </c>
      <c r="O39" s="147">
        <f t="shared" si="1"/>
        <v>875539</v>
      </c>
      <c r="P39" s="55"/>
      <c r="R39" s="27"/>
    </row>
    <row r="40" spans="1:18" x14ac:dyDescent="0.2">
      <c r="A40" s="27">
        <f t="shared" si="0"/>
        <v>34</v>
      </c>
      <c r="B40" s="30" t="s">
        <v>950</v>
      </c>
      <c r="C40" s="147">
        <f t="shared" si="5"/>
        <v>274863</v>
      </c>
      <c r="D40" s="147">
        <f t="shared" ref="D40:N40" si="12">D12-D29</f>
        <v>494607</v>
      </c>
      <c r="E40" s="147">
        <f t="shared" si="12"/>
        <v>568020</v>
      </c>
      <c r="F40" s="147">
        <f t="shared" si="12"/>
        <v>374798</v>
      </c>
      <c r="G40" s="147">
        <f t="shared" si="12"/>
        <v>73275</v>
      </c>
      <c r="H40" s="147">
        <f t="shared" si="12"/>
        <v>263927</v>
      </c>
      <c r="I40" s="147">
        <f t="shared" si="12"/>
        <v>297417</v>
      </c>
      <c r="J40" s="147">
        <f t="shared" si="12"/>
        <v>250530</v>
      </c>
      <c r="K40" s="147">
        <f t="shared" si="12"/>
        <v>299300</v>
      </c>
      <c r="L40" s="147">
        <f t="shared" si="12"/>
        <v>203011</v>
      </c>
      <c r="M40" s="147">
        <f t="shared" si="12"/>
        <v>-133986</v>
      </c>
      <c r="N40" s="147">
        <f t="shared" si="12"/>
        <v>-196876</v>
      </c>
      <c r="O40" s="147">
        <f t="shared" si="1"/>
        <v>2768886</v>
      </c>
      <c r="P40" s="55"/>
      <c r="R40" s="27"/>
    </row>
    <row r="41" spans="1:18" x14ac:dyDescent="0.2">
      <c r="A41" s="27">
        <f t="shared" si="0"/>
        <v>35</v>
      </c>
      <c r="B41" s="30" t="s">
        <v>949</v>
      </c>
      <c r="C41" s="147">
        <f t="shared" si="5"/>
        <v>538355</v>
      </c>
      <c r="D41" s="147">
        <f t="shared" ref="D41:N41" si="13">D13-D30</f>
        <v>699178</v>
      </c>
      <c r="E41" s="147">
        <f t="shared" si="13"/>
        <v>477470</v>
      </c>
      <c r="F41" s="147">
        <f t="shared" si="13"/>
        <v>282548</v>
      </c>
      <c r="G41" s="147">
        <f t="shared" si="13"/>
        <v>292077</v>
      </c>
      <c r="H41" s="147">
        <f t="shared" si="13"/>
        <v>401532</v>
      </c>
      <c r="I41" s="147">
        <f t="shared" si="13"/>
        <v>595847</v>
      </c>
      <c r="J41" s="147">
        <f t="shared" si="13"/>
        <v>582782</v>
      </c>
      <c r="K41" s="147">
        <f t="shared" si="13"/>
        <v>500332</v>
      </c>
      <c r="L41" s="147">
        <f t="shared" si="13"/>
        <v>461385</v>
      </c>
      <c r="M41" s="147">
        <f t="shared" si="13"/>
        <v>371903</v>
      </c>
      <c r="N41" s="147">
        <f t="shared" si="13"/>
        <v>460950</v>
      </c>
      <c r="O41" s="147">
        <f t="shared" si="1"/>
        <v>5664359</v>
      </c>
      <c r="P41" s="55"/>
      <c r="R41" s="27"/>
    </row>
    <row r="42" spans="1:18" x14ac:dyDescent="0.2">
      <c r="A42" s="27">
        <f t="shared" si="0"/>
        <v>36</v>
      </c>
      <c r="B42" s="200" t="s">
        <v>945</v>
      </c>
      <c r="C42" s="201">
        <f>SUM(C36:C41)</f>
        <v>3538158</v>
      </c>
      <c r="D42" s="201">
        <f t="shared" ref="D42:N42" si="14">SUM(D36:D41)</f>
        <v>4916784</v>
      </c>
      <c r="E42" s="201">
        <f t="shared" si="14"/>
        <v>3594754</v>
      </c>
      <c r="F42" s="201">
        <f t="shared" si="14"/>
        <v>2894560</v>
      </c>
      <c r="G42" s="201">
        <f t="shared" si="14"/>
        <v>2271565</v>
      </c>
      <c r="H42" s="201">
        <f t="shared" si="14"/>
        <v>2657979</v>
      </c>
      <c r="I42" s="201">
        <f t="shared" si="14"/>
        <v>3360190</v>
      </c>
      <c r="J42" s="201">
        <f t="shared" si="14"/>
        <v>3538074</v>
      </c>
      <c r="K42" s="201">
        <f t="shared" si="14"/>
        <v>3359369</v>
      </c>
      <c r="L42" s="201">
        <f t="shared" si="14"/>
        <v>3028910</v>
      </c>
      <c r="M42" s="201">
        <f t="shared" si="14"/>
        <v>2441067</v>
      </c>
      <c r="N42" s="201">
        <f t="shared" si="14"/>
        <v>2873811</v>
      </c>
      <c r="O42" s="201">
        <f t="shared" si="1"/>
        <v>38475221</v>
      </c>
      <c r="P42" s="55"/>
      <c r="Q42" s="33"/>
      <c r="R42" s="135"/>
    </row>
    <row r="43" spans="1:18" x14ac:dyDescent="0.2">
      <c r="A43" s="27">
        <f t="shared" si="0"/>
        <v>37</v>
      </c>
      <c r="B43" s="30" t="s">
        <v>947</v>
      </c>
      <c r="C43" s="147">
        <f>C15</f>
        <v>-615</v>
      </c>
      <c r="D43" s="147">
        <f t="shared" ref="D43:N43" si="15">D15</f>
        <v>-622</v>
      </c>
      <c r="E43" s="147">
        <f t="shared" si="15"/>
        <v>-644</v>
      </c>
      <c r="F43" s="147">
        <f t="shared" si="15"/>
        <v>-659</v>
      </c>
      <c r="G43" s="147">
        <f t="shared" si="15"/>
        <v>-659</v>
      </c>
      <c r="H43" s="147">
        <f t="shared" si="15"/>
        <v>-659</v>
      </c>
      <c r="I43" s="147">
        <f t="shared" si="15"/>
        <v>-683</v>
      </c>
      <c r="J43" s="147">
        <f t="shared" si="15"/>
        <v>0</v>
      </c>
      <c r="K43" s="147">
        <f t="shared" si="15"/>
        <v>0</v>
      </c>
      <c r="L43" s="147">
        <f t="shared" si="15"/>
        <v>0</v>
      </c>
      <c r="M43" s="147">
        <f t="shared" si="15"/>
        <v>-732</v>
      </c>
      <c r="N43" s="147">
        <f t="shared" si="15"/>
        <v>-761</v>
      </c>
      <c r="O43" s="147">
        <f t="shared" si="1"/>
        <v>-6034</v>
      </c>
      <c r="P43" s="55"/>
      <c r="R43" s="27"/>
    </row>
    <row r="44" spans="1:18" x14ac:dyDescent="0.2">
      <c r="A44" s="27">
        <f t="shared" si="0"/>
        <v>38</v>
      </c>
      <c r="B44" s="30" t="s">
        <v>946</v>
      </c>
      <c r="C44" s="147">
        <f>C16</f>
        <v>48</v>
      </c>
      <c r="D44" s="147">
        <f t="shared" ref="D44:N44" si="16">D16</f>
        <v>48</v>
      </c>
      <c r="E44" s="147">
        <f t="shared" si="16"/>
        <v>45</v>
      </c>
      <c r="F44" s="147">
        <f t="shared" si="16"/>
        <v>45</v>
      </c>
      <c r="G44" s="147">
        <f t="shared" si="16"/>
        <v>45</v>
      </c>
      <c r="H44" s="147">
        <f t="shared" si="16"/>
        <v>45</v>
      </c>
      <c r="I44" s="147">
        <f t="shared" si="16"/>
        <v>45</v>
      </c>
      <c r="J44" s="147">
        <f t="shared" si="16"/>
        <v>45</v>
      </c>
      <c r="K44" s="147">
        <f t="shared" si="16"/>
        <v>45</v>
      </c>
      <c r="L44" s="147">
        <f t="shared" si="16"/>
        <v>45</v>
      </c>
      <c r="M44" s="147">
        <f t="shared" si="16"/>
        <v>45</v>
      </c>
      <c r="N44" s="147">
        <f t="shared" si="16"/>
        <v>45</v>
      </c>
      <c r="O44" s="147">
        <f t="shared" si="1"/>
        <v>546</v>
      </c>
      <c r="P44" s="55"/>
      <c r="R44" s="27"/>
    </row>
    <row r="45" spans="1:18" x14ac:dyDescent="0.2">
      <c r="A45" s="27">
        <f t="shared" si="0"/>
        <v>39</v>
      </c>
      <c r="B45" s="30" t="s">
        <v>1043</v>
      </c>
      <c r="C45" s="147">
        <f>C18</f>
        <v>-50</v>
      </c>
      <c r="D45" s="147">
        <f t="shared" ref="D45:N45" si="17">D18</f>
        <v>-36</v>
      </c>
      <c r="E45" s="147">
        <f t="shared" si="17"/>
        <v>-29</v>
      </c>
      <c r="F45" s="147">
        <f t="shared" si="17"/>
        <v>-57</v>
      </c>
      <c r="G45" s="147">
        <f t="shared" si="17"/>
        <v>-67</v>
      </c>
      <c r="H45" s="147">
        <f t="shared" si="17"/>
        <v>-72</v>
      </c>
      <c r="I45" s="147">
        <f t="shared" si="17"/>
        <v>-87</v>
      </c>
      <c r="J45" s="147">
        <f t="shared" si="17"/>
        <v>-95</v>
      </c>
      <c r="K45" s="147">
        <f t="shared" si="17"/>
        <v>-110</v>
      </c>
      <c r="L45" s="147">
        <f t="shared" si="17"/>
        <v>-110</v>
      </c>
      <c r="M45" s="147">
        <f t="shared" si="17"/>
        <v>-83</v>
      </c>
      <c r="N45" s="147">
        <f t="shared" si="17"/>
        <v>-82</v>
      </c>
      <c r="O45" s="147">
        <f t="shared" si="1"/>
        <v>-878</v>
      </c>
      <c r="P45" s="55"/>
      <c r="R45" s="27"/>
    </row>
    <row r="46" spans="1:18" x14ac:dyDescent="0.2">
      <c r="A46" s="27">
        <f t="shared" si="0"/>
        <v>40</v>
      </c>
      <c r="B46" s="200" t="s">
        <v>862</v>
      </c>
      <c r="C46" s="201">
        <f t="shared" ref="C46:N46" si="18">C42+C43+C44+C45</f>
        <v>3537541</v>
      </c>
      <c r="D46" s="201">
        <f t="shared" si="18"/>
        <v>4916174</v>
      </c>
      <c r="E46" s="201">
        <f t="shared" si="18"/>
        <v>3594126</v>
      </c>
      <c r="F46" s="201">
        <f t="shared" si="18"/>
        <v>2893889</v>
      </c>
      <c r="G46" s="201">
        <f t="shared" si="18"/>
        <v>2270884</v>
      </c>
      <c r="H46" s="201">
        <f t="shared" si="18"/>
        <v>2657293</v>
      </c>
      <c r="I46" s="201">
        <f t="shared" si="18"/>
        <v>3359465</v>
      </c>
      <c r="J46" s="201">
        <f t="shared" si="18"/>
        <v>3538024</v>
      </c>
      <c r="K46" s="201">
        <f t="shared" si="18"/>
        <v>3359304</v>
      </c>
      <c r="L46" s="201">
        <f t="shared" si="18"/>
        <v>3028845</v>
      </c>
      <c r="M46" s="201">
        <f t="shared" si="18"/>
        <v>2440297</v>
      </c>
      <c r="N46" s="201">
        <f t="shared" si="18"/>
        <v>2873013</v>
      </c>
      <c r="O46" s="201">
        <f t="shared" si="1"/>
        <v>38468855</v>
      </c>
      <c r="P46" s="55"/>
      <c r="Q46" s="33"/>
      <c r="R46" s="135"/>
    </row>
    <row r="47" spans="1:18" x14ac:dyDescent="0.2">
      <c r="A47" s="27">
        <f t="shared" si="0"/>
        <v>41</v>
      </c>
      <c r="B47" s="21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202"/>
      <c r="P47" s="55"/>
      <c r="R47" s="27"/>
    </row>
    <row r="48" spans="1:18" x14ac:dyDescent="0.2">
      <c r="A48" s="27">
        <f t="shared" si="0"/>
        <v>42</v>
      </c>
    </row>
    <row r="49" spans="1:17" x14ac:dyDescent="0.2">
      <c r="A49" s="27">
        <f t="shared" si="0"/>
        <v>43</v>
      </c>
      <c r="B49" s="14" t="s">
        <v>1022</v>
      </c>
      <c r="C49" s="87">
        <f t="shared" ref="C49:N49" si="19">C8+C10+C11+(C13*C61)</f>
        <v>1034681</v>
      </c>
      <c r="D49" s="87">
        <f t="shared" si="19"/>
        <v>1502361.6000000001</v>
      </c>
      <c r="E49" s="87">
        <f t="shared" si="19"/>
        <v>1056398.8</v>
      </c>
      <c r="F49" s="87">
        <f t="shared" si="19"/>
        <v>802663.4</v>
      </c>
      <c r="G49" s="87">
        <f t="shared" si="19"/>
        <v>725106.2</v>
      </c>
      <c r="H49" s="87">
        <f t="shared" si="19"/>
        <v>815486.2</v>
      </c>
      <c r="I49" s="87">
        <f t="shared" si="19"/>
        <v>1028207</v>
      </c>
      <c r="J49" s="87">
        <f t="shared" si="19"/>
        <v>1061169.3999999999</v>
      </c>
      <c r="K49" s="87">
        <f t="shared" si="19"/>
        <v>987608.8</v>
      </c>
      <c r="L49" s="87">
        <f t="shared" si="19"/>
        <v>852908.2</v>
      </c>
      <c r="M49" s="87">
        <f t="shared" si="19"/>
        <v>748979</v>
      </c>
      <c r="N49" s="87">
        <f t="shared" si="19"/>
        <v>975933.39999999991</v>
      </c>
      <c r="O49" s="147">
        <f t="shared" si="1"/>
        <v>11591503.000000002</v>
      </c>
    </row>
    <row r="50" spans="1:17" x14ac:dyDescent="0.2">
      <c r="A50" s="27">
        <f t="shared" si="0"/>
        <v>44</v>
      </c>
      <c r="B50" s="14" t="s">
        <v>1023</v>
      </c>
      <c r="C50" s="87">
        <f t="shared" ref="C50:N50" si="20">C14-C49</f>
        <v>2541719</v>
      </c>
      <c r="D50" s="87">
        <f t="shared" si="20"/>
        <v>3460215.4</v>
      </c>
      <c r="E50" s="87">
        <f t="shared" si="20"/>
        <v>2595963.2000000002</v>
      </c>
      <c r="F50" s="87">
        <f t="shared" si="20"/>
        <v>2161095.6</v>
      </c>
      <c r="G50" s="87">
        <f t="shared" si="20"/>
        <v>1583503.8</v>
      </c>
      <c r="H50" s="87">
        <f t="shared" si="20"/>
        <v>1912678.8</v>
      </c>
      <c r="I50" s="87">
        <f t="shared" si="20"/>
        <v>2393740</v>
      </c>
      <c r="J50" s="87">
        <f t="shared" si="20"/>
        <v>2545091.6</v>
      </c>
      <c r="K50" s="87">
        <f t="shared" si="20"/>
        <v>2445592.2000000002</v>
      </c>
      <c r="L50" s="87">
        <f t="shared" si="20"/>
        <v>2238677.7999999998</v>
      </c>
      <c r="M50" s="87">
        <f t="shared" si="20"/>
        <v>1766970</v>
      </c>
      <c r="N50" s="87">
        <f t="shared" si="20"/>
        <v>1935706.6</v>
      </c>
      <c r="O50" s="147">
        <f t="shared" si="1"/>
        <v>27580954.000000004</v>
      </c>
    </row>
    <row r="51" spans="1:17" x14ac:dyDescent="0.2">
      <c r="A51" s="27">
        <f t="shared" si="0"/>
        <v>45</v>
      </c>
      <c r="B51" s="14" t="s">
        <v>1024</v>
      </c>
      <c r="C51" s="203">
        <f>C49+C50</f>
        <v>3576400</v>
      </c>
      <c r="D51" s="203">
        <f t="shared" ref="D51:N51" si="21">D49+D50</f>
        <v>4962577</v>
      </c>
      <c r="E51" s="203">
        <f t="shared" si="21"/>
        <v>3652362</v>
      </c>
      <c r="F51" s="203">
        <f t="shared" si="21"/>
        <v>2963759</v>
      </c>
      <c r="G51" s="203">
        <f t="shared" si="21"/>
        <v>2308610</v>
      </c>
      <c r="H51" s="203">
        <f t="shared" si="21"/>
        <v>2728165</v>
      </c>
      <c r="I51" s="203">
        <f t="shared" si="21"/>
        <v>3421947</v>
      </c>
      <c r="J51" s="203">
        <f t="shared" si="21"/>
        <v>3606261</v>
      </c>
      <c r="K51" s="203">
        <f t="shared" si="21"/>
        <v>3433201</v>
      </c>
      <c r="L51" s="203">
        <f t="shared" si="21"/>
        <v>3091586</v>
      </c>
      <c r="M51" s="203">
        <f t="shared" si="21"/>
        <v>2515949</v>
      </c>
      <c r="N51" s="203">
        <f t="shared" si="21"/>
        <v>2911640</v>
      </c>
      <c r="O51" s="147">
        <f t="shared" si="1"/>
        <v>39172457</v>
      </c>
    </row>
    <row r="52" spans="1:17" x14ac:dyDescent="0.2">
      <c r="A52" s="27">
        <f t="shared" si="0"/>
        <v>46</v>
      </c>
      <c r="B52" s="14" t="s">
        <v>930</v>
      </c>
      <c r="C52" s="87">
        <f t="shared" ref="C52:N52" si="22">C51-C14</f>
        <v>0</v>
      </c>
      <c r="D52" s="87">
        <f t="shared" si="22"/>
        <v>0</v>
      </c>
      <c r="E52" s="87">
        <f t="shared" si="22"/>
        <v>0</v>
      </c>
      <c r="F52" s="87">
        <f t="shared" si="22"/>
        <v>0</v>
      </c>
      <c r="G52" s="87">
        <f t="shared" si="22"/>
        <v>0</v>
      </c>
      <c r="H52" s="87">
        <f t="shared" si="22"/>
        <v>0</v>
      </c>
      <c r="I52" s="87">
        <f t="shared" si="22"/>
        <v>0</v>
      </c>
      <c r="J52" s="87">
        <f t="shared" si="22"/>
        <v>0</v>
      </c>
      <c r="K52" s="87">
        <f t="shared" si="22"/>
        <v>0</v>
      </c>
      <c r="L52" s="87">
        <f t="shared" si="22"/>
        <v>0</v>
      </c>
      <c r="M52" s="87">
        <f t="shared" si="22"/>
        <v>0</v>
      </c>
      <c r="N52" s="87">
        <f t="shared" si="22"/>
        <v>0</v>
      </c>
      <c r="O52" s="147">
        <f t="shared" si="1"/>
        <v>0</v>
      </c>
    </row>
    <row r="53" spans="1:17" x14ac:dyDescent="0.2">
      <c r="A53" s="27">
        <f t="shared" si="0"/>
        <v>47</v>
      </c>
      <c r="B53" s="14" t="s">
        <v>1025</v>
      </c>
      <c r="C53" s="45">
        <f>C49/C51</f>
        <v>0.28930796331506542</v>
      </c>
      <c r="D53" s="45">
        <f t="shared" ref="D53:O53" si="23">D49/D51</f>
        <v>0.3027381942889753</v>
      </c>
      <c r="E53" s="45">
        <f t="shared" si="23"/>
        <v>0.28923715666738403</v>
      </c>
      <c r="F53" s="45">
        <f t="shared" si="23"/>
        <v>0.27082613667305611</v>
      </c>
      <c r="G53" s="45">
        <f t="shared" si="23"/>
        <v>0.31408778442439389</v>
      </c>
      <c r="H53" s="45">
        <f t="shared" si="23"/>
        <v>0.29891381203116379</v>
      </c>
      <c r="I53" s="45">
        <f t="shared" si="23"/>
        <v>0.30047426216712297</v>
      </c>
      <c r="J53" s="45">
        <f t="shared" si="23"/>
        <v>0.29425751491641894</v>
      </c>
      <c r="K53" s="45">
        <f t="shared" si="23"/>
        <v>0.2876641361807829</v>
      </c>
      <c r="L53" s="45">
        <f t="shared" si="23"/>
        <v>0.27588047041227381</v>
      </c>
      <c r="M53" s="45">
        <f t="shared" si="23"/>
        <v>0.2976924413014731</v>
      </c>
      <c r="N53" s="45">
        <f t="shared" si="23"/>
        <v>0.33518340179417783</v>
      </c>
      <c r="O53" s="204">
        <f t="shared" si="23"/>
        <v>0.29590952132514953</v>
      </c>
    </row>
    <row r="54" spans="1:17" x14ac:dyDescent="0.2">
      <c r="A54" s="27">
        <f t="shared" si="0"/>
        <v>48</v>
      </c>
      <c r="B54" s="14" t="s">
        <v>1026</v>
      </c>
      <c r="C54" s="45">
        <f>C50/C51</f>
        <v>0.71069203668493452</v>
      </c>
      <c r="D54" s="45">
        <f t="shared" ref="D54:O54" si="24">D50/D51</f>
        <v>0.6972618057110247</v>
      </c>
      <c r="E54" s="45">
        <f t="shared" si="24"/>
        <v>0.71076284333261608</v>
      </c>
      <c r="F54" s="45">
        <f t="shared" si="24"/>
        <v>0.72917386332694401</v>
      </c>
      <c r="G54" s="45">
        <f t="shared" si="24"/>
        <v>0.68591221557560611</v>
      </c>
      <c r="H54" s="45">
        <f t="shared" si="24"/>
        <v>0.70108618796883626</v>
      </c>
      <c r="I54" s="45">
        <f t="shared" si="24"/>
        <v>0.69952573783287697</v>
      </c>
      <c r="J54" s="45">
        <f t="shared" si="24"/>
        <v>0.70574248508358106</v>
      </c>
      <c r="K54" s="45">
        <f t="shared" si="24"/>
        <v>0.71233586381921721</v>
      </c>
      <c r="L54" s="45">
        <f t="shared" si="24"/>
        <v>0.72411952958772607</v>
      </c>
      <c r="M54" s="45">
        <f t="shared" si="24"/>
        <v>0.7023075586985269</v>
      </c>
      <c r="N54" s="45">
        <f t="shared" si="24"/>
        <v>0.66481659820582217</v>
      </c>
      <c r="O54" s="204">
        <f t="shared" si="24"/>
        <v>0.70409047867485064</v>
      </c>
    </row>
    <row r="55" spans="1:17" x14ac:dyDescent="0.2">
      <c r="A55" s="27">
        <f t="shared" si="0"/>
        <v>49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204"/>
    </row>
    <row r="56" spans="1:17" x14ac:dyDescent="0.2">
      <c r="A56" s="27">
        <f t="shared" si="0"/>
        <v>50</v>
      </c>
      <c r="B56" s="14" t="s">
        <v>1195</v>
      </c>
      <c r="C56" s="62">
        <f>C25+C27+C28+(C30*C61)</f>
        <v>10982</v>
      </c>
      <c r="D56" s="62">
        <f t="shared" ref="D56:N56" si="25">D25+D27+D28+(D30*D61)</f>
        <v>14850.8</v>
      </c>
      <c r="E56" s="62">
        <f t="shared" si="25"/>
        <v>16971.8</v>
      </c>
      <c r="F56" s="62">
        <f t="shared" si="25"/>
        <v>17880.599999999999</v>
      </c>
      <c r="G56" s="62">
        <f t="shared" si="25"/>
        <v>10349</v>
      </c>
      <c r="H56" s="62">
        <f t="shared" si="25"/>
        <v>18544</v>
      </c>
      <c r="I56" s="62">
        <f t="shared" si="25"/>
        <v>14061.8</v>
      </c>
      <c r="J56" s="62">
        <f t="shared" si="25"/>
        <v>17273.2</v>
      </c>
      <c r="K56" s="62">
        <f t="shared" si="25"/>
        <v>18109.599999999999</v>
      </c>
      <c r="L56" s="62">
        <f t="shared" si="25"/>
        <v>16481.2</v>
      </c>
      <c r="M56" s="62">
        <f t="shared" si="25"/>
        <v>20854.2</v>
      </c>
      <c r="N56" s="62">
        <f t="shared" si="25"/>
        <v>13905.4</v>
      </c>
      <c r="O56" s="62">
        <f t="shared" ref="O56:O58" si="26">SUM(C56:N56)</f>
        <v>190263.6</v>
      </c>
    </row>
    <row r="57" spans="1:17" x14ac:dyDescent="0.2">
      <c r="A57" s="27">
        <f t="shared" si="0"/>
        <v>51</v>
      </c>
      <c r="B57" s="14" t="s">
        <v>1196</v>
      </c>
      <c r="C57" s="62">
        <f>C26+C29+(C30*C62)</f>
        <v>27260</v>
      </c>
      <c r="D57" s="62">
        <f t="shared" ref="D57:N57" si="27">D26+D29+(D30*D62)</f>
        <v>30942.2</v>
      </c>
      <c r="E57" s="62">
        <f t="shared" si="27"/>
        <v>40636.199999999997</v>
      </c>
      <c r="F57" s="62">
        <f t="shared" si="27"/>
        <v>51318.400000000001</v>
      </c>
      <c r="G57" s="62">
        <f t="shared" si="27"/>
        <v>26696</v>
      </c>
      <c r="H57" s="62">
        <f t="shared" si="27"/>
        <v>51642</v>
      </c>
      <c r="I57" s="62">
        <f t="shared" si="27"/>
        <v>47695.199999999997</v>
      </c>
      <c r="J57" s="62">
        <f t="shared" si="27"/>
        <v>50913.8</v>
      </c>
      <c r="K57" s="62">
        <f t="shared" si="27"/>
        <v>55722.400000000001</v>
      </c>
      <c r="L57" s="62">
        <f t="shared" si="27"/>
        <v>46194.8</v>
      </c>
      <c r="M57" s="62">
        <f t="shared" si="27"/>
        <v>54027.8</v>
      </c>
      <c r="N57" s="62">
        <f t="shared" si="27"/>
        <v>23923.599999999999</v>
      </c>
      <c r="O57" s="62">
        <f t="shared" si="26"/>
        <v>506972.39999999997</v>
      </c>
    </row>
    <row r="58" spans="1:17" x14ac:dyDescent="0.2">
      <c r="A58" s="27">
        <f t="shared" si="0"/>
        <v>52</v>
      </c>
      <c r="B58" s="14" t="s">
        <v>1197</v>
      </c>
      <c r="C58" s="62">
        <f>SUM(C56:C57)</f>
        <v>38242</v>
      </c>
      <c r="D58" s="62">
        <f t="shared" ref="D58:N58" si="28">SUM(D56:D57)</f>
        <v>45793</v>
      </c>
      <c r="E58" s="62">
        <f t="shared" si="28"/>
        <v>57608</v>
      </c>
      <c r="F58" s="62">
        <f t="shared" si="28"/>
        <v>69199</v>
      </c>
      <c r="G58" s="62">
        <f t="shared" si="28"/>
        <v>37045</v>
      </c>
      <c r="H58" s="62">
        <f t="shared" si="28"/>
        <v>70186</v>
      </c>
      <c r="I58" s="62">
        <f t="shared" si="28"/>
        <v>61757</v>
      </c>
      <c r="J58" s="62">
        <f t="shared" si="28"/>
        <v>68187</v>
      </c>
      <c r="K58" s="62">
        <f t="shared" si="28"/>
        <v>73832</v>
      </c>
      <c r="L58" s="62">
        <f t="shared" si="28"/>
        <v>62676</v>
      </c>
      <c r="M58" s="62">
        <f t="shared" si="28"/>
        <v>74882</v>
      </c>
      <c r="N58" s="62">
        <f t="shared" si="28"/>
        <v>37829</v>
      </c>
      <c r="O58" s="62">
        <f t="shared" si="26"/>
        <v>697236</v>
      </c>
    </row>
    <row r="59" spans="1:17" x14ac:dyDescent="0.2">
      <c r="A59" s="27">
        <f t="shared" si="0"/>
        <v>53</v>
      </c>
      <c r="B59" s="14" t="s">
        <v>930</v>
      </c>
      <c r="C59" s="62">
        <f>C58-C31</f>
        <v>0</v>
      </c>
      <c r="D59" s="62">
        <f t="shared" ref="D59:O59" si="29">D58-D31</f>
        <v>0</v>
      </c>
      <c r="E59" s="62">
        <f t="shared" si="29"/>
        <v>0</v>
      </c>
      <c r="F59" s="62">
        <f t="shared" si="29"/>
        <v>0</v>
      </c>
      <c r="G59" s="62">
        <f t="shared" si="29"/>
        <v>0</v>
      </c>
      <c r="H59" s="62">
        <f t="shared" si="29"/>
        <v>0</v>
      </c>
      <c r="I59" s="62">
        <f t="shared" si="29"/>
        <v>0</v>
      </c>
      <c r="J59" s="62">
        <f t="shared" si="29"/>
        <v>0</v>
      </c>
      <c r="K59" s="62">
        <f t="shared" si="29"/>
        <v>0</v>
      </c>
      <c r="L59" s="62">
        <f t="shared" si="29"/>
        <v>0</v>
      </c>
      <c r="M59" s="62">
        <f t="shared" si="29"/>
        <v>0</v>
      </c>
      <c r="N59" s="62">
        <f t="shared" si="29"/>
        <v>0</v>
      </c>
      <c r="O59" s="62">
        <f t="shared" si="29"/>
        <v>0</v>
      </c>
    </row>
    <row r="60" spans="1:17" x14ac:dyDescent="0.2">
      <c r="A60" s="27">
        <f t="shared" si="0"/>
        <v>54</v>
      </c>
    </row>
    <row r="61" spans="1:17" x14ac:dyDescent="0.2">
      <c r="A61" s="27">
        <f t="shared" si="0"/>
        <v>55</v>
      </c>
      <c r="B61" s="120" t="s">
        <v>1020</v>
      </c>
      <c r="C61" s="120">
        <v>0.6</v>
      </c>
      <c r="D61" s="120">
        <f>C61</f>
        <v>0.6</v>
      </c>
      <c r="E61" s="120">
        <f t="shared" ref="E61:N61" si="30">D61</f>
        <v>0.6</v>
      </c>
      <c r="F61" s="120">
        <f t="shared" si="30"/>
        <v>0.6</v>
      </c>
      <c r="G61" s="120">
        <f t="shared" si="30"/>
        <v>0.6</v>
      </c>
      <c r="H61" s="120">
        <f t="shared" si="30"/>
        <v>0.6</v>
      </c>
      <c r="I61" s="120">
        <f t="shared" si="30"/>
        <v>0.6</v>
      </c>
      <c r="J61" s="120">
        <f t="shared" si="30"/>
        <v>0.6</v>
      </c>
      <c r="K61" s="120">
        <f t="shared" si="30"/>
        <v>0.6</v>
      </c>
      <c r="L61" s="120">
        <f t="shared" si="30"/>
        <v>0.6</v>
      </c>
      <c r="M61" s="120">
        <f t="shared" si="30"/>
        <v>0.6</v>
      </c>
      <c r="N61" s="120">
        <f t="shared" si="30"/>
        <v>0.6</v>
      </c>
      <c r="O61" s="205">
        <f>N61</f>
        <v>0.6</v>
      </c>
    </row>
    <row r="62" spans="1:17" x14ac:dyDescent="0.2">
      <c r="A62" s="27">
        <f t="shared" si="0"/>
        <v>56</v>
      </c>
      <c r="B62" s="14" t="s">
        <v>1021</v>
      </c>
      <c r="C62" s="206">
        <v>0.4</v>
      </c>
      <c r="D62" s="206">
        <f>C62</f>
        <v>0.4</v>
      </c>
      <c r="E62" s="206">
        <f t="shared" ref="E62:N62" si="31">D62</f>
        <v>0.4</v>
      </c>
      <c r="F62" s="206">
        <f t="shared" si="31"/>
        <v>0.4</v>
      </c>
      <c r="G62" s="206">
        <f t="shared" si="31"/>
        <v>0.4</v>
      </c>
      <c r="H62" s="206">
        <f t="shared" si="31"/>
        <v>0.4</v>
      </c>
      <c r="I62" s="206">
        <f t="shared" si="31"/>
        <v>0.4</v>
      </c>
      <c r="J62" s="206">
        <f t="shared" si="31"/>
        <v>0.4</v>
      </c>
      <c r="K62" s="206">
        <f t="shared" si="31"/>
        <v>0.4</v>
      </c>
      <c r="L62" s="206">
        <f t="shared" si="31"/>
        <v>0.4</v>
      </c>
      <c r="M62" s="206">
        <f t="shared" si="31"/>
        <v>0.4</v>
      </c>
      <c r="N62" s="206">
        <f t="shared" si="31"/>
        <v>0.4</v>
      </c>
      <c r="O62" s="207">
        <f>N62</f>
        <v>0.4</v>
      </c>
    </row>
    <row r="63" spans="1:17" x14ac:dyDescent="0.2">
      <c r="A63" s="27">
        <f t="shared" si="0"/>
        <v>57</v>
      </c>
    </row>
    <row r="64" spans="1:17" x14ac:dyDescent="0.2">
      <c r="A64" s="27">
        <f t="shared" si="0"/>
        <v>58</v>
      </c>
      <c r="B64" s="14" t="s">
        <v>1045</v>
      </c>
      <c r="N64" s="26" t="s">
        <v>0</v>
      </c>
      <c r="O64" s="47">
        <f>O20</f>
        <v>39114087</v>
      </c>
      <c r="P64" s="26"/>
      <c r="Q64" s="26"/>
    </row>
    <row r="65" spans="1:17" x14ac:dyDescent="0.2">
      <c r="A65" s="27">
        <f t="shared" si="0"/>
        <v>59</v>
      </c>
      <c r="N65" s="26" t="s">
        <v>948</v>
      </c>
      <c r="O65" s="47">
        <v>39114087</v>
      </c>
      <c r="P65" s="22"/>
      <c r="Q65" s="22"/>
    </row>
    <row r="66" spans="1:17" x14ac:dyDescent="0.2">
      <c r="A66" s="27">
        <f t="shared" si="0"/>
        <v>60</v>
      </c>
      <c r="C66" s="33"/>
      <c r="N66" s="26" t="s">
        <v>1044</v>
      </c>
      <c r="O66" s="149">
        <f>O65-O64</f>
        <v>0</v>
      </c>
    </row>
    <row r="67" spans="1:17" x14ac:dyDescent="0.2">
      <c r="A67" s="27"/>
      <c r="C67" s="33"/>
      <c r="D67" s="120"/>
      <c r="E67" s="120"/>
      <c r="F67" s="120"/>
      <c r="G67" s="120"/>
      <c r="H67" s="120"/>
      <c r="I67" s="120"/>
      <c r="J67" s="120"/>
      <c r="K67" s="120"/>
      <c r="L67" s="120"/>
      <c r="N67" s="26"/>
      <c r="O67" s="74"/>
    </row>
    <row r="68" spans="1:17" x14ac:dyDescent="0.2">
      <c r="C68" s="33"/>
    </row>
  </sheetData>
  <phoneticPr fontId="11" type="noConversion"/>
  <printOptions horizontalCentered="1"/>
  <pageMargins left="0.45" right="0.45" top="1" bottom="0.75" header="0.55000000000000004" footer="0.3"/>
  <pageSetup scale="61" orientation="landscape" r:id="rId1"/>
  <headerFooter>
    <oddFooter>&amp;RExhibit JW-7
Page 1 of 3</oddFooter>
  </headerFooter>
  <ignoredErrors>
    <ignoredError sqref="C14 D14:N14 C31:N3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P89"/>
  <sheetViews>
    <sheetView view="pageBreakPreview" zoomScaleNormal="100" zoomScaleSheetLayoutView="100" workbookViewId="0">
      <selection activeCell="J60" sqref="J60"/>
    </sheetView>
  </sheetViews>
  <sheetFormatPr defaultRowHeight="12.75" x14ac:dyDescent="0.2"/>
  <cols>
    <col min="1" max="1" width="5.5703125" style="14" customWidth="1"/>
    <col min="2" max="2" width="35.85546875" style="27" customWidth="1"/>
    <col min="3" max="3" width="10.7109375" style="14" customWidth="1"/>
    <col min="4" max="4" width="13.28515625" style="14" customWidth="1"/>
    <col min="5" max="5" width="12.85546875" style="14" customWidth="1"/>
    <col min="6" max="6" width="14.85546875" style="14" customWidth="1"/>
    <col min="7" max="7" width="12.85546875" style="14" customWidth="1"/>
    <col min="8" max="8" width="12" style="14" bestFit="1" customWidth="1"/>
    <col min="9" max="9" width="9.140625" style="14" customWidth="1"/>
    <col min="10" max="10" width="4" style="14" customWidth="1"/>
    <col min="11" max="11" width="9.140625" style="14" customWidth="1"/>
    <col min="12" max="14" width="9.140625" style="14"/>
    <col min="15" max="15" width="9.140625" style="14" customWidth="1"/>
    <col min="16" max="16384" width="9.140625" style="14"/>
  </cols>
  <sheetData>
    <row r="1" spans="1:8" x14ac:dyDescent="0.2">
      <c r="A1" s="13" t="str">
        <f>'Summary of Returns'!A1</f>
        <v>CLARK ENERGY COOPERATIVE</v>
      </c>
    </row>
    <row r="2" spans="1:8" x14ac:dyDescent="0.2">
      <c r="A2" s="13" t="s">
        <v>678</v>
      </c>
    </row>
    <row r="4" spans="1:8" ht="62.25" customHeight="1" thickBot="1" x14ac:dyDescent="0.25">
      <c r="A4" s="59" t="s">
        <v>959</v>
      </c>
      <c r="B4" s="83" t="s">
        <v>753</v>
      </c>
      <c r="C4" s="137" t="s">
        <v>873</v>
      </c>
      <c r="D4" s="78" t="s">
        <v>874</v>
      </c>
      <c r="E4" s="78" t="s">
        <v>875</v>
      </c>
      <c r="F4" s="78" t="s">
        <v>865</v>
      </c>
      <c r="G4" s="78" t="s">
        <v>876</v>
      </c>
      <c r="H4" s="79"/>
    </row>
    <row r="5" spans="1:8" x14ac:dyDescent="0.2">
      <c r="A5" s="27"/>
      <c r="B5" s="13"/>
      <c r="C5" s="55"/>
    </row>
    <row r="6" spans="1:8" x14ac:dyDescent="0.2">
      <c r="A6" s="27">
        <v>1</v>
      </c>
      <c r="B6" s="14" t="str">
        <f>'Summary of Returns'!B11</f>
        <v>Residential</v>
      </c>
      <c r="C6" s="138" t="str">
        <f>'Summary of Returns'!C11</f>
        <v>R</v>
      </c>
      <c r="D6" s="112">
        <f>'Billing Det'!C8</f>
        <v>25695</v>
      </c>
      <c r="E6" s="139">
        <v>63</v>
      </c>
      <c r="F6" s="139">
        <f t="shared" ref="F6:F16" si="0">E6*D6</f>
        <v>1618785</v>
      </c>
      <c r="G6" s="140">
        <f t="shared" ref="G6:G11" si="1">F6/$F$32</f>
        <v>0.8891574841685328</v>
      </c>
      <c r="H6" s="140"/>
    </row>
    <row r="7" spans="1:8" x14ac:dyDescent="0.2">
      <c r="A7" s="27">
        <v>2</v>
      </c>
      <c r="B7" s="14" t="str">
        <f>'Summary of Returns'!B12</f>
        <v>Resid TOU</v>
      </c>
      <c r="C7" s="138" t="str">
        <f>'Summary of Returns'!C12</f>
        <v>D</v>
      </c>
      <c r="D7" s="112">
        <f>'Billing Det'!C9</f>
        <v>1</v>
      </c>
      <c r="E7" s="139">
        <v>63</v>
      </c>
      <c r="F7" s="139">
        <f t="shared" si="0"/>
        <v>63</v>
      </c>
      <c r="G7" s="140">
        <f t="shared" si="1"/>
        <v>3.4604299831427626E-5</v>
      </c>
      <c r="H7" s="140"/>
    </row>
    <row r="8" spans="1:8" x14ac:dyDescent="0.2">
      <c r="A8" s="27">
        <v>3</v>
      </c>
      <c r="B8" s="14" t="str">
        <f>'Summary of Returns'!B13</f>
        <v>General Power Service &lt; 50kW</v>
      </c>
      <c r="C8" s="138" t="str">
        <f>'Summary of Returns'!C13</f>
        <v>C</v>
      </c>
      <c r="D8" s="112">
        <f>'Billing Det'!C10</f>
        <v>2032</v>
      </c>
      <c r="E8" s="139">
        <f>0.87*63+0.23*103</f>
        <v>78.5</v>
      </c>
      <c r="F8" s="139">
        <f t="shared" si="0"/>
        <v>159512</v>
      </c>
      <c r="G8" s="140">
        <f t="shared" si="1"/>
        <v>8.7615890074772745E-2</v>
      </c>
      <c r="H8" s="140"/>
    </row>
    <row r="9" spans="1:8" x14ac:dyDescent="0.2">
      <c r="A9" s="27">
        <v>4</v>
      </c>
      <c r="B9" s="14" t="str">
        <f>'Summary of Returns'!B14</f>
        <v>Public Facilities</v>
      </c>
      <c r="C9" s="138" t="str">
        <f>'Summary of Returns'!C14</f>
        <v>E</v>
      </c>
      <c r="D9" s="112">
        <f>'Billing Det'!C11</f>
        <v>314</v>
      </c>
      <c r="E9" s="139">
        <f>E7</f>
        <v>63</v>
      </c>
      <c r="F9" s="139">
        <f t="shared" si="0"/>
        <v>19782</v>
      </c>
      <c r="G9" s="140">
        <f t="shared" si="1"/>
        <v>1.0865750147068275E-2</v>
      </c>
      <c r="H9" s="140"/>
    </row>
    <row r="10" spans="1:8" x14ac:dyDescent="0.2">
      <c r="A10" s="27">
        <v>5</v>
      </c>
      <c r="B10" s="14" t="str">
        <f>'Summary of Returns'!B15</f>
        <v>General Power Service 50-500kW</v>
      </c>
      <c r="C10" s="138" t="str">
        <f>'Summary of Returns'!C15</f>
        <v>L</v>
      </c>
      <c r="D10" s="112">
        <f>'Billing Det'!C12</f>
        <v>119</v>
      </c>
      <c r="E10" s="139">
        <v>173</v>
      </c>
      <c r="F10" s="139">
        <f t="shared" si="0"/>
        <v>20587</v>
      </c>
      <c r="G10" s="140">
        <f t="shared" si="1"/>
        <v>1.130791620046985E-2</v>
      </c>
      <c r="H10" s="140"/>
    </row>
    <row r="11" spans="1:8" hidden="1" x14ac:dyDescent="0.2">
      <c r="A11" s="27">
        <v>6</v>
      </c>
      <c r="B11" s="14" t="str">
        <f>'Summary of Returns'!B16</f>
        <v>General Power Service 1000-5000kW</v>
      </c>
      <c r="C11" s="138" t="str">
        <f>'Summary of Returns'!C16</f>
        <v>M</v>
      </c>
      <c r="D11" s="112">
        <f>'Billing Det'!C13</f>
        <v>0</v>
      </c>
      <c r="E11" s="139">
        <f>E12</f>
        <v>206</v>
      </c>
      <c r="F11" s="139">
        <f t="shared" si="0"/>
        <v>0</v>
      </c>
      <c r="G11" s="140">
        <f t="shared" si="1"/>
        <v>0</v>
      </c>
      <c r="H11" s="140"/>
    </row>
    <row r="12" spans="1:8" x14ac:dyDescent="0.2">
      <c r="A12" s="27">
        <v>6</v>
      </c>
      <c r="B12" s="14" t="str">
        <f>'Summary of Returns'!B17</f>
        <v>General Power Service 500+kW</v>
      </c>
      <c r="C12" s="138" t="str">
        <f>'Summary of Returns'!C17</f>
        <v>P</v>
      </c>
      <c r="D12" s="112">
        <f>'Billing Det'!C14</f>
        <v>8</v>
      </c>
      <c r="E12" s="139">
        <v>206</v>
      </c>
      <c r="F12" s="139">
        <f t="shared" si="0"/>
        <v>1648</v>
      </c>
      <c r="G12" s="140">
        <f t="shared" ref="G12:G16" si="2">F12/$F$32</f>
        <v>9.0520454162210681E-4</v>
      </c>
      <c r="H12" s="140"/>
    </row>
    <row r="13" spans="1:8" x14ac:dyDescent="0.2">
      <c r="A13" s="27">
        <v>7</v>
      </c>
      <c r="B13" s="14" t="str">
        <f>'Summary of Returns'!B18</f>
        <v>Large Industrial Rate</v>
      </c>
      <c r="C13" s="138" t="str">
        <f>'Summary of Returns'!C18</f>
        <v>B-1</v>
      </c>
      <c r="D13" s="112">
        <f>'Billing Det'!C15</f>
        <v>1</v>
      </c>
      <c r="E13" s="139">
        <f>E12</f>
        <v>206</v>
      </c>
      <c r="F13" s="139">
        <f t="shared" si="0"/>
        <v>206</v>
      </c>
      <c r="G13" s="140">
        <f t="shared" si="2"/>
        <v>1.1315056770276335E-4</v>
      </c>
      <c r="H13" s="140"/>
    </row>
    <row r="14" spans="1:8" x14ac:dyDescent="0.2">
      <c r="A14" s="27">
        <v>8</v>
      </c>
      <c r="B14" s="14" t="str">
        <f>'Summary of Returns'!B19</f>
        <v>Lighting</v>
      </c>
      <c r="C14" s="138" t="str">
        <f>'Summary of Returns'!C19</f>
        <v>S,T,O</v>
      </c>
      <c r="D14" s="112">
        <f>'Billing Det'!C16</f>
        <v>9988</v>
      </c>
      <c r="E14" s="139">
        <v>0</v>
      </c>
      <c r="F14" s="139">
        <f t="shared" si="0"/>
        <v>0</v>
      </c>
      <c r="G14" s="140">
        <f t="shared" si="2"/>
        <v>0</v>
      </c>
      <c r="H14" s="140"/>
    </row>
    <row r="15" spans="1:8" hidden="1" x14ac:dyDescent="0.2">
      <c r="A15" s="27">
        <v>10</v>
      </c>
      <c r="B15" s="14" t="str">
        <f>'Summary of Returns'!B21</f>
        <v>N/A</v>
      </c>
      <c r="C15" s="138" t="str">
        <f>'Summary of Returns'!C21</f>
        <v>n/a</v>
      </c>
      <c r="D15" s="112">
        <f>'Billing Det'!C17</f>
        <v>0</v>
      </c>
      <c r="E15" s="139">
        <v>0</v>
      </c>
      <c r="F15" s="139">
        <f t="shared" si="0"/>
        <v>0</v>
      </c>
      <c r="G15" s="140">
        <f t="shared" si="2"/>
        <v>0</v>
      </c>
      <c r="H15" s="140"/>
    </row>
    <row r="16" spans="1:8" hidden="1" x14ac:dyDescent="0.2">
      <c r="A16" s="27">
        <v>11</v>
      </c>
      <c r="B16" s="14">
        <f>'Summary of Returns'!B22</f>
        <v>0</v>
      </c>
      <c r="C16" s="138">
        <f>'Summary of Returns'!C22</f>
        <v>0</v>
      </c>
      <c r="D16" s="112">
        <f>'Billing Det'!C18</f>
        <v>0</v>
      </c>
      <c r="E16" s="139">
        <v>5</v>
      </c>
      <c r="F16" s="139">
        <f t="shared" si="0"/>
        <v>0</v>
      </c>
      <c r="G16" s="140">
        <f t="shared" si="2"/>
        <v>0</v>
      </c>
      <c r="H16" s="63"/>
    </row>
    <row r="17" spans="1:8" hidden="1" x14ac:dyDescent="0.2">
      <c r="A17" s="27"/>
      <c r="B17" s="14"/>
      <c r="C17" s="27"/>
      <c r="D17" s="47"/>
      <c r="E17" s="62"/>
      <c r="F17" s="62"/>
      <c r="G17" s="63"/>
      <c r="H17" s="63"/>
    </row>
    <row r="18" spans="1:8" hidden="1" x14ac:dyDescent="0.2">
      <c r="A18" s="27"/>
      <c r="B18" s="14"/>
      <c r="C18" s="27"/>
      <c r="D18" s="47"/>
      <c r="E18" s="126"/>
      <c r="F18" s="62"/>
      <c r="G18" s="63"/>
      <c r="H18" s="63"/>
    </row>
    <row r="19" spans="1:8" hidden="1" x14ac:dyDescent="0.2">
      <c r="A19" s="27"/>
      <c r="B19" s="14"/>
      <c r="C19" s="27"/>
      <c r="D19" s="47"/>
      <c r="E19" s="62"/>
      <c r="F19" s="62"/>
      <c r="G19" s="63"/>
      <c r="H19" s="63"/>
    </row>
    <row r="20" spans="1:8" hidden="1" x14ac:dyDescent="0.2">
      <c r="A20" s="27"/>
      <c r="B20" s="14"/>
      <c r="C20" s="27"/>
      <c r="D20" s="47"/>
      <c r="E20" s="126"/>
      <c r="F20" s="62"/>
      <c r="G20" s="63"/>
      <c r="H20" s="63"/>
    </row>
    <row r="21" spans="1:8" hidden="1" x14ac:dyDescent="0.2">
      <c r="A21" s="27"/>
      <c r="B21" s="14"/>
      <c r="C21" s="27"/>
      <c r="D21" s="47"/>
      <c r="E21" s="62"/>
      <c r="F21" s="62"/>
      <c r="G21" s="63"/>
      <c r="H21" s="63"/>
    </row>
    <row r="22" spans="1:8" hidden="1" x14ac:dyDescent="0.2">
      <c r="A22" s="27"/>
      <c r="B22" s="14"/>
      <c r="C22" s="27"/>
      <c r="D22" s="47"/>
      <c r="E22" s="126"/>
      <c r="F22" s="62"/>
      <c r="G22" s="63"/>
      <c r="H22" s="63"/>
    </row>
    <row r="23" spans="1:8" hidden="1" x14ac:dyDescent="0.2">
      <c r="A23" s="27"/>
      <c r="B23" s="14"/>
      <c r="C23" s="27"/>
      <c r="D23" s="47"/>
      <c r="E23" s="62"/>
      <c r="F23" s="62"/>
      <c r="G23" s="63"/>
      <c r="H23" s="63"/>
    </row>
    <row r="24" spans="1:8" hidden="1" x14ac:dyDescent="0.2">
      <c r="A24" s="27"/>
      <c r="B24" s="14"/>
      <c r="C24" s="27"/>
      <c r="D24" s="47"/>
      <c r="E24" s="126"/>
      <c r="F24" s="62"/>
      <c r="G24" s="63"/>
      <c r="H24" s="63"/>
    </row>
    <row r="25" spans="1:8" hidden="1" x14ac:dyDescent="0.2">
      <c r="A25" s="27"/>
      <c r="B25" s="14"/>
      <c r="C25" s="27"/>
      <c r="D25" s="47"/>
      <c r="E25" s="62"/>
      <c r="F25" s="62"/>
      <c r="G25" s="63"/>
      <c r="H25" s="63"/>
    </row>
    <row r="26" spans="1:8" hidden="1" x14ac:dyDescent="0.2">
      <c r="A26" s="27"/>
      <c r="B26" s="14"/>
      <c r="C26" s="27"/>
      <c r="D26" s="47"/>
      <c r="E26" s="126"/>
      <c r="F26" s="62"/>
      <c r="G26" s="63"/>
      <c r="H26" s="63"/>
    </row>
    <row r="27" spans="1:8" hidden="1" x14ac:dyDescent="0.2">
      <c r="A27" s="27"/>
      <c r="B27" s="14"/>
      <c r="C27" s="27"/>
      <c r="D27" s="47"/>
      <c r="E27" s="62"/>
      <c r="F27" s="62"/>
      <c r="G27" s="63"/>
      <c r="H27" s="63"/>
    </row>
    <row r="28" spans="1:8" hidden="1" x14ac:dyDescent="0.2">
      <c r="A28" s="27"/>
      <c r="B28" s="14"/>
      <c r="C28" s="27"/>
      <c r="D28" s="47"/>
      <c r="E28" s="126"/>
      <c r="F28" s="62"/>
      <c r="G28" s="63"/>
      <c r="H28" s="63"/>
    </row>
    <row r="29" spans="1:8" hidden="1" x14ac:dyDescent="0.2">
      <c r="A29" s="27"/>
      <c r="B29" s="14"/>
      <c r="C29" s="27"/>
      <c r="D29" s="47"/>
      <c r="E29" s="62"/>
      <c r="F29" s="62"/>
      <c r="G29" s="63"/>
      <c r="H29" s="63"/>
    </row>
    <row r="30" spans="1:8" hidden="1" x14ac:dyDescent="0.2">
      <c r="A30" s="27"/>
      <c r="B30" s="14"/>
      <c r="C30" s="27"/>
      <c r="D30" s="47"/>
      <c r="E30" s="126"/>
      <c r="F30" s="62"/>
      <c r="G30" s="63"/>
      <c r="H30" s="63"/>
    </row>
    <row r="31" spans="1:8" hidden="1" x14ac:dyDescent="0.2">
      <c r="A31" s="27"/>
      <c r="B31" s="14"/>
      <c r="C31" s="27"/>
      <c r="D31" s="47"/>
      <c r="E31" s="62"/>
      <c r="F31" s="62"/>
      <c r="G31" s="63"/>
      <c r="H31" s="63"/>
    </row>
    <row r="32" spans="1:8" ht="13.5" thickBot="1" x14ac:dyDescent="0.25">
      <c r="A32" s="27">
        <v>9</v>
      </c>
      <c r="B32" s="141" t="s">
        <v>0</v>
      </c>
      <c r="C32" s="142"/>
      <c r="D32" s="143">
        <f>SUM(D6:D31)</f>
        <v>38158</v>
      </c>
      <c r="E32" s="144">
        <f>F32/D32</f>
        <v>47.711698726348338</v>
      </c>
      <c r="F32" s="145">
        <f>SUM(F6:F31)</f>
        <v>1820583</v>
      </c>
      <c r="G32" s="146">
        <f>SUM(G6:G31)</f>
        <v>1</v>
      </c>
      <c r="H32" s="44"/>
    </row>
    <row r="33" spans="1:16" ht="13.5" thickTop="1" x14ac:dyDescent="0.2">
      <c r="A33" s="27"/>
      <c r="B33" s="14"/>
      <c r="C33" s="147"/>
      <c r="D33" s="47"/>
    </row>
    <row r="34" spans="1:16" x14ac:dyDescent="0.2">
      <c r="B34" s="147"/>
      <c r="C34" s="47"/>
    </row>
    <row r="35" spans="1:16" x14ac:dyDescent="0.2">
      <c r="B35" s="147"/>
      <c r="C35" s="47"/>
    </row>
    <row r="36" spans="1:16" x14ac:dyDescent="0.2">
      <c r="B36" s="148"/>
      <c r="C36" s="149"/>
    </row>
    <row r="37" spans="1:16" s="13" customFormat="1" x14ac:dyDescent="0.2">
      <c r="A37" s="14"/>
      <c r="B37" s="148"/>
      <c r="C37" s="14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x14ac:dyDescent="0.2">
      <c r="B38" s="148"/>
      <c r="C38" s="149"/>
    </row>
    <row r="39" spans="1:16" x14ac:dyDescent="0.2">
      <c r="B39" s="147"/>
      <c r="C39" s="47"/>
    </row>
    <row r="40" spans="1:16" x14ac:dyDescent="0.2">
      <c r="B40" s="147"/>
      <c r="C40" s="47"/>
    </row>
    <row r="41" spans="1:16" x14ac:dyDescent="0.2">
      <c r="B41" s="147"/>
      <c r="C41" s="47"/>
    </row>
    <row r="42" spans="1:16" x14ac:dyDescent="0.2">
      <c r="B42" s="147"/>
      <c r="C42" s="47"/>
    </row>
    <row r="43" spans="1:16" x14ac:dyDescent="0.2">
      <c r="B43" s="147"/>
      <c r="C43" s="47"/>
    </row>
    <row r="44" spans="1:16" x14ac:dyDescent="0.2">
      <c r="B44" s="147"/>
      <c r="C44" s="47"/>
    </row>
    <row r="45" spans="1:16" x14ac:dyDescent="0.2">
      <c r="B45" s="147"/>
      <c r="C45" s="47"/>
    </row>
    <row r="46" spans="1:16" x14ac:dyDescent="0.2">
      <c r="B46" s="147"/>
      <c r="C46" s="47"/>
    </row>
    <row r="47" spans="1:16" x14ac:dyDescent="0.2">
      <c r="B47" s="147"/>
      <c r="C47" s="47"/>
    </row>
    <row r="48" spans="1:16" x14ac:dyDescent="0.2">
      <c r="B48" s="147"/>
      <c r="C48" s="47"/>
    </row>
    <row r="49" spans="2:3" x14ac:dyDescent="0.2">
      <c r="B49" s="147"/>
      <c r="C49" s="47"/>
    </row>
    <row r="50" spans="2:3" x14ac:dyDescent="0.2">
      <c r="B50" s="147"/>
      <c r="C50" s="47"/>
    </row>
    <row r="51" spans="2:3" x14ac:dyDescent="0.2">
      <c r="B51" s="147"/>
      <c r="C51" s="47"/>
    </row>
    <row r="52" spans="2:3" x14ac:dyDescent="0.2">
      <c r="B52" s="147"/>
      <c r="C52" s="47"/>
    </row>
    <row r="53" spans="2:3" x14ac:dyDescent="0.2">
      <c r="B53" s="147"/>
      <c r="C53" s="47"/>
    </row>
    <row r="54" spans="2:3" x14ac:dyDescent="0.2">
      <c r="B54" s="147"/>
      <c r="C54" s="47"/>
    </row>
    <row r="55" spans="2:3" x14ac:dyDescent="0.2">
      <c r="B55" s="147"/>
      <c r="C55" s="47"/>
    </row>
    <row r="56" spans="2:3" x14ac:dyDescent="0.2">
      <c r="B56" s="147"/>
      <c r="C56" s="47"/>
    </row>
    <row r="57" spans="2:3" x14ac:dyDescent="0.2">
      <c r="B57" s="147"/>
      <c r="C57" s="47"/>
    </row>
    <row r="58" spans="2:3" x14ac:dyDescent="0.2">
      <c r="B58" s="147"/>
      <c r="C58" s="47"/>
    </row>
    <row r="59" spans="2:3" x14ac:dyDescent="0.2">
      <c r="B59" s="147"/>
      <c r="C59" s="47"/>
    </row>
    <row r="60" spans="2:3" x14ac:dyDescent="0.2">
      <c r="B60" s="147"/>
      <c r="C60" s="47"/>
    </row>
    <row r="61" spans="2:3" x14ac:dyDescent="0.2">
      <c r="B61" s="147"/>
      <c r="C61" s="47"/>
    </row>
    <row r="62" spans="2:3" x14ac:dyDescent="0.2">
      <c r="B62" s="147"/>
      <c r="C62" s="47"/>
    </row>
    <row r="63" spans="2:3" x14ac:dyDescent="0.2">
      <c r="B63" s="147"/>
      <c r="C63" s="47"/>
    </row>
    <row r="64" spans="2:3" x14ac:dyDescent="0.2">
      <c r="B64" s="147"/>
      <c r="C64" s="47"/>
    </row>
    <row r="65" spans="2:3" x14ac:dyDescent="0.2">
      <c r="B65" s="147"/>
      <c r="C65" s="47"/>
    </row>
    <row r="66" spans="2:3" x14ac:dyDescent="0.2">
      <c r="B66" s="147"/>
      <c r="C66" s="47"/>
    </row>
    <row r="67" spans="2:3" x14ac:dyDescent="0.2">
      <c r="B67" s="147"/>
      <c r="C67" s="47"/>
    </row>
    <row r="68" spans="2:3" x14ac:dyDescent="0.2">
      <c r="B68" s="147"/>
      <c r="C68" s="47"/>
    </row>
    <row r="69" spans="2:3" x14ac:dyDescent="0.2">
      <c r="B69" s="147"/>
      <c r="C69" s="47"/>
    </row>
    <row r="70" spans="2:3" x14ac:dyDescent="0.2">
      <c r="B70" s="147"/>
      <c r="C70" s="47"/>
    </row>
    <row r="71" spans="2:3" x14ac:dyDescent="0.2">
      <c r="B71" s="147"/>
      <c r="C71" s="47"/>
    </row>
    <row r="72" spans="2:3" x14ac:dyDescent="0.2">
      <c r="B72" s="147"/>
      <c r="C72" s="47"/>
    </row>
    <row r="73" spans="2:3" x14ac:dyDescent="0.2">
      <c r="B73" s="147"/>
      <c r="C73" s="47"/>
    </row>
    <row r="74" spans="2:3" x14ac:dyDescent="0.2">
      <c r="B74" s="147"/>
      <c r="C74" s="47"/>
    </row>
    <row r="75" spans="2:3" x14ac:dyDescent="0.2">
      <c r="B75" s="147"/>
      <c r="C75" s="47"/>
    </row>
    <row r="76" spans="2:3" x14ac:dyDescent="0.2">
      <c r="B76" s="147"/>
      <c r="C76" s="47"/>
    </row>
    <row r="77" spans="2:3" x14ac:dyDescent="0.2">
      <c r="B77" s="147"/>
      <c r="C77" s="47"/>
    </row>
    <row r="78" spans="2:3" x14ac:dyDescent="0.2">
      <c r="B78" s="147"/>
      <c r="C78" s="47"/>
    </row>
    <row r="79" spans="2:3" x14ac:dyDescent="0.2">
      <c r="B79" s="147"/>
      <c r="C79" s="47"/>
    </row>
    <row r="80" spans="2:3" x14ac:dyDescent="0.2">
      <c r="B80" s="147"/>
      <c r="C80" s="47"/>
    </row>
    <row r="81" spans="2:3" x14ac:dyDescent="0.2">
      <c r="B81" s="147"/>
      <c r="C81" s="47"/>
    </row>
    <row r="82" spans="2:3" x14ac:dyDescent="0.2">
      <c r="B82" s="147"/>
      <c r="C82" s="47"/>
    </row>
    <row r="83" spans="2:3" x14ac:dyDescent="0.2">
      <c r="B83" s="147"/>
      <c r="C83" s="47"/>
    </row>
    <row r="84" spans="2:3" x14ac:dyDescent="0.2">
      <c r="B84" s="147"/>
      <c r="C84" s="47"/>
    </row>
    <row r="85" spans="2:3" x14ac:dyDescent="0.2">
      <c r="B85" s="147"/>
      <c r="C85" s="47"/>
    </row>
    <row r="86" spans="2:3" x14ac:dyDescent="0.2">
      <c r="B86" s="147"/>
      <c r="C86" s="47"/>
    </row>
    <row r="87" spans="2:3" x14ac:dyDescent="0.2">
      <c r="B87" s="150"/>
    </row>
    <row r="88" spans="2:3" x14ac:dyDescent="0.2">
      <c r="B88" s="150"/>
    </row>
    <row r="89" spans="2:3" x14ac:dyDescent="0.2">
      <c r="B89" s="150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2 of 3</oddFooter>
  </headerFooter>
  <ignoredErrors>
    <ignoredError sqref="E3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G72"/>
  <sheetViews>
    <sheetView view="pageBreakPreview" zoomScaleNormal="100" zoomScaleSheetLayoutView="100" workbookViewId="0">
      <selection activeCell="J60" sqref="J60"/>
    </sheetView>
  </sheetViews>
  <sheetFormatPr defaultRowHeight="12.75" x14ac:dyDescent="0.2"/>
  <cols>
    <col min="1" max="1" width="6.7109375" style="14" customWidth="1"/>
    <col min="2" max="2" width="30.85546875" style="27" customWidth="1"/>
    <col min="3" max="3" width="8.42578125" style="26" customWidth="1"/>
    <col min="4" max="4" width="13.28515625" style="26" customWidth="1"/>
    <col min="5" max="5" width="12.85546875" style="26" customWidth="1"/>
    <col min="6" max="6" width="15.42578125" style="26" customWidth="1"/>
    <col min="7" max="7" width="11.85546875" style="14" customWidth="1"/>
    <col min="8" max="8" width="15.42578125" style="14" customWidth="1"/>
    <col min="9" max="9" width="15" style="14" customWidth="1"/>
    <col min="10" max="16384" width="9.140625" style="14"/>
  </cols>
  <sheetData>
    <row r="1" spans="1:7" x14ac:dyDescent="0.2">
      <c r="A1" s="13" t="str">
        <f>'Summary of Returns'!A1</f>
        <v>CLARK ENERGY COOPERATIVE</v>
      </c>
    </row>
    <row r="2" spans="1:7" x14ac:dyDescent="0.2">
      <c r="A2" s="13" t="s">
        <v>699</v>
      </c>
    </row>
    <row r="4" spans="1:7" ht="45.75" customHeight="1" thickBot="1" x14ac:dyDescent="0.25">
      <c r="A4" s="59" t="s">
        <v>959</v>
      </c>
      <c r="B4" s="83" t="s">
        <v>753</v>
      </c>
      <c r="C4" s="137" t="s">
        <v>760</v>
      </c>
      <c r="D4" s="78" t="s">
        <v>878</v>
      </c>
      <c r="E4" s="78" t="s">
        <v>877</v>
      </c>
      <c r="F4" s="78" t="s">
        <v>864</v>
      </c>
      <c r="G4" s="78" t="s">
        <v>754</v>
      </c>
    </row>
    <row r="5" spans="1:7" x14ac:dyDescent="0.2">
      <c r="A5" s="27"/>
      <c r="B5" s="13"/>
      <c r="C5" s="55"/>
      <c r="G5" s="26"/>
    </row>
    <row r="6" spans="1:7" x14ac:dyDescent="0.2">
      <c r="A6" s="27">
        <v>1</v>
      </c>
      <c r="B6" s="14" t="str">
        <f>'Summary of Returns'!B11</f>
        <v>Residential</v>
      </c>
      <c r="C6" s="138" t="str">
        <f>'Summary of Returns'!C11</f>
        <v>R</v>
      </c>
      <c r="D6" s="112">
        <f>'Billing Det'!C8</f>
        <v>25695</v>
      </c>
      <c r="E6" s="139">
        <v>3600.4565126903562</v>
      </c>
      <c r="F6" s="139">
        <f t="shared" ref="F6:F11" si="0">E6*D6</f>
        <v>92513730.093578711</v>
      </c>
      <c r="G6" s="140">
        <f t="shared" ref="G6:G11" si="1">F6/$F$33</f>
        <v>0.85300946939451627</v>
      </c>
    </row>
    <row r="7" spans="1:7" x14ac:dyDescent="0.2">
      <c r="A7" s="27">
        <v>2</v>
      </c>
      <c r="B7" s="14" t="str">
        <f>'Summary of Returns'!B12</f>
        <v>Resid TOU</v>
      </c>
      <c r="C7" s="138" t="str">
        <f>'Summary of Returns'!C12</f>
        <v>D</v>
      </c>
      <c r="D7" s="112">
        <f>'Billing Det'!C9</f>
        <v>1</v>
      </c>
      <c r="E7" s="139">
        <f>E6</f>
        <v>3600.4565126903562</v>
      </c>
      <c r="F7" s="139">
        <f t="shared" si="0"/>
        <v>3600.4565126903562</v>
      </c>
      <c r="G7" s="140">
        <f t="shared" si="1"/>
        <v>3.3197488592898081E-5</v>
      </c>
    </row>
    <row r="8" spans="1:7" x14ac:dyDescent="0.2">
      <c r="A8" s="27">
        <v>3</v>
      </c>
      <c r="B8" s="14" t="str">
        <f>'Summary of Returns'!B13</f>
        <v>General Power Service &lt; 50kW</v>
      </c>
      <c r="C8" s="138" t="str">
        <f>'Summary of Returns'!C13</f>
        <v>C</v>
      </c>
      <c r="D8" s="112">
        <f>'Billing Det'!C10</f>
        <v>2032</v>
      </c>
      <c r="E8" s="139">
        <f>0.87*3397+0.13*27960</f>
        <v>6590.1900000000005</v>
      </c>
      <c r="F8" s="139">
        <f t="shared" si="0"/>
        <v>13391266.080000002</v>
      </c>
      <c r="G8" s="140">
        <f t="shared" si="1"/>
        <v>0.12347223230397492</v>
      </c>
    </row>
    <row r="9" spans="1:7" x14ac:dyDescent="0.2">
      <c r="A9" s="27">
        <v>4</v>
      </c>
      <c r="B9" s="14" t="str">
        <f>'Summary of Returns'!B14</f>
        <v>Public Facilities</v>
      </c>
      <c r="C9" s="138" t="str">
        <f>'Summary of Returns'!C14</f>
        <v>E</v>
      </c>
      <c r="D9" s="112">
        <f>'Billing Det'!C11</f>
        <v>314</v>
      </c>
      <c r="E9" s="139">
        <v>4390.9199999999992</v>
      </c>
      <c r="F9" s="139">
        <f t="shared" si="0"/>
        <v>1378748.8799999997</v>
      </c>
      <c r="G9" s="140">
        <f t="shared" si="1"/>
        <v>1.2712554659372818E-2</v>
      </c>
    </row>
    <row r="10" spans="1:7" x14ac:dyDescent="0.2">
      <c r="A10" s="27">
        <v>5</v>
      </c>
      <c r="B10" s="14" t="str">
        <f>'Summary of Returns'!B15</f>
        <v>General Power Service 50-500kW</v>
      </c>
      <c r="C10" s="138" t="str">
        <f>'Summary of Returns'!C15</f>
        <v>L</v>
      </c>
      <c r="D10" s="112">
        <f>'Billing Det'!C12</f>
        <v>119</v>
      </c>
      <c r="E10" s="139">
        <v>9264.586666666668</v>
      </c>
      <c r="F10" s="139">
        <f t="shared" si="0"/>
        <v>1102485.8133333335</v>
      </c>
      <c r="G10" s="140">
        <f t="shared" si="1"/>
        <v>1.0165311005136122E-2</v>
      </c>
    </row>
    <row r="11" spans="1:7" hidden="1" x14ac:dyDescent="0.2">
      <c r="A11" s="27">
        <v>6</v>
      </c>
      <c r="B11" s="14" t="str">
        <f>'Summary of Returns'!B16</f>
        <v>General Power Service 1000-5000kW</v>
      </c>
      <c r="C11" s="138" t="str">
        <f>'Summary of Returns'!C16</f>
        <v>M</v>
      </c>
      <c r="D11" s="112">
        <f>'Billing Det'!C13</f>
        <v>0</v>
      </c>
      <c r="E11" s="139">
        <f>E10</f>
        <v>9264.586666666668</v>
      </c>
      <c r="F11" s="139">
        <f t="shared" si="0"/>
        <v>0</v>
      </c>
      <c r="G11" s="140">
        <f t="shared" si="1"/>
        <v>0</v>
      </c>
    </row>
    <row r="12" spans="1:7" x14ac:dyDescent="0.2">
      <c r="A12" s="27">
        <v>6</v>
      </c>
      <c r="B12" s="14" t="str">
        <f>'Summary of Returns'!B17</f>
        <v>General Power Service 500+kW</v>
      </c>
      <c r="C12" s="138" t="str">
        <f>'Summary of Returns'!C17</f>
        <v>P</v>
      </c>
      <c r="D12" s="112">
        <f>'Billing Det'!C14</f>
        <v>8</v>
      </c>
      <c r="E12" s="139">
        <v>7074.19</v>
      </c>
      <c r="F12" s="139">
        <f t="shared" ref="F12:F16" si="2">E12*D12</f>
        <v>56593.52</v>
      </c>
      <c r="G12" s="140">
        <f t="shared" ref="G12:G16" si="3">F12/$F$33</f>
        <v>5.2181236685124911E-4</v>
      </c>
    </row>
    <row r="13" spans="1:7" x14ac:dyDescent="0.2">
      <c r="A13" s="27">
        <v>7</v>
      </c>
      <c r="B13" s="14" t="str">
        <f>'Summary of Returns'!B18</f>
        <v>Large Industrial Rate</v>
      </c>
      <c r="C13" s="138" t="str">
        <f>'Summary of Returns'!C18</f>
        <v>B-1</v>
      </c>
      <c r="D13" s="112">
        <f>'Billing Det'!C15</f>
        <v>1</v>
      </c>
      <c r="E13" s="139">
        <f>E11</f>
        <v>9264.586666666668</v>
      </c>
      <c r="F13" s="139">
        <f t="shared" si="2"/>
        <v>9264.586666666668</v>
      </c>
      <c r="G13" s="140">
        <f t="shared" si="3"/>
        <v>8.542278155576574E-5</v>
      </c>
    </row>
    <row r="14" spans="1:7" x14ac:dyDescent="0.2">
      <c r="A14" s="27">
        <v>8</v>
      </c>
      <c r="B14" s="14" t="str">
        <f>'Summary of Returns'!B19</f>
        <v>Lighting</v>
      </c>
      <c r="C14" s="138" t="str">
        <f>'Summary of Returns'!C19</f>
        <v>S,T,O</v>
      </c>
      <c r="D14" s="112">
        <f>'Billing Det'!C16</f>
        <v>9988</v>
      </c>
      <c r="E14" s="139">
        <v>0</v>
      </c>
      <c r="F14" s="139">
        <f t="shared" si="2"/>
        <v>0</v>
      </c>
      <c r="G14" s="140">
        <f t="shared" si="3"/>
        <v>0</v>
      </c>
    </row>
    <row r="15" spans="1:7" hidden="1" x14ac:dyDescent="0.2">
      <c r="A15" s="27">
        <v>10</v>
      </c>
      <c r="B15" s="14" t="str">
        <f>'Summary of Returns'!B21</f>
        <v>N/A</v>
      </c>
      <c r="C15" s="138" t="str">
        <f>'Summary of Returns'!C21</f>
        <v>n/a</v>
      </c>
      <c r="D15" s="112">
        <f>'Billing Det'!C17</f>
        <v>0</v>
      </c>
      <c r="E15" s="139">
        <v>0</v>
      </c>
      <c r="F15" s="139">
        <f t="shared" si="2"/>
        <v>0</v>
      </c>
      <c r="G15" s="140">
        <f t="shared" si="3"/>
        <v>0</v>
      </c>
    </row>
    <row r="16" spans="1:7" hidden="1" x14ac:dyDescent="0.2">
      <c r="A16" s="27"/>
      <c r="B16" s="14">
        <f>'Summary of Returns'!B22</f>
        <v>0</v>
      </c>
      <c r="C16" s="138">
        <f>'Summary of Returns'!C22</f>
        <v>0</v>
      </c>
      <c r="D16" s="112">
        <f>'Billing Det'!C18</f>
        <v>0</v>
      </c>
      <c r="E16" s="139">
        <v>0</v>
      </c>
      <c r="F16" s="139">
        <f t="shared" si="2"/>
        <v>0</v>
      </c>
      <c r="G16" s="140">
        <f t="shared" si="3"/>
        <v>0</v>
      </c>
    </row>
    <row r="17" spans="1:7" hidden="1" x14ac:dyDescent="0.2">
      <c r="A17" s="27"/>
      <c r="B17" s="14"/>
      <c r="C17" s="27"/>
      <c r="D17" s="112"/>
      <c r="E17" s="139"/>
      <c r="F17" s="139"/>
      <c r="G17" s="140"/>
    </row>
    <row r="18" spans="1:7" hidden="1" x14ac:dyDescent="0.2">
      <c r="A18" s="27"/>
      <c r="B18" s="115"/>
      <c r="C18" s="27"/>
      <c r="D18" s="112"/>
      <c r="E18" s="139"/>
      <c r="F18" s="139"/>
      <c r="G18" s="140"/>
    </row>
    <row r="19" spans="1:7" hidden="1" x14ac:dyDescent="0.2">
      <c r="A19" s="27"/>
      <c r="B19" s="14"/>
      <c r="C19" s="27"/>
      <c r="D19" s="112"/>
      <c r="E19" s="139"/>
      <c r="F19" s="139"/>
      <c r="G19" s="140"/>
    </row>
    <row r="20" spans="1:7" hidden="1" x14ac:dyDescent="0.2">
      <c r="A20" s="27"/>
      <c r="B20" s="14"/>
      <c r="C20" s="27"/>
      <c r="D20" s="112"/>
      <c r="E20" s="139"/>
      <c r="F20" s="139"/>
      <c r="G20" s="140"/>
    </row>
    <row r="21" spans="1:7" hidden="1" x14ac:dyDescent="0.2">
      <c r="A21" s="27"/>
      <c r="B21" s="14"/>
      <c r="C21" s="27"/>
      <c r="D21" s="112"/>
      <c r="E21" s="139"/>
      <c r="F21" s="139"/>
      <c r="G21" s="140"/>
    </row>
    <row r="22" spans="1:7" hidden="1" x14ac:dyDescent="0.2">
      <c r="A22" s="27"/>
      <c r="B22" s="14"/>
      <c r="C22" s="27"/>
      <c r="D22" s="112"/>
      <c r="E22" s="139"/>
      <c r="F22" s="139"/>
      <c r="G22" s="140"/>
    </row>
    <row r="23" spans="1:7" hidden="1" x14ac:dyDescent="0.2">
      <c r="A23" s="27"/>
      <c r="B23" s="14"/>
      <c r="C23" s="27"/>
      <c r="D23" s="112"/>
      <c r="E23" s="139"/>
      <c r="F23" s="139"/>
      <c r="G23" s="140"/>
    </row>
    <row r="24" spans="1:7" hidden="1" x14ac:dyDescent="0.2">
      <c r="A24" s="27"/>
      <c r="B24" s="14"/>
      <c r="C24" s="27"/>
      <c r="D24" s="112"/>
      <c r="E24" s="139"/>
      <c r="F24" s="139"/>
      <c r="G24" s="140"/>
    </row>
    <row r="25" spans="1:7" hidden="1" x14ac:dyDescent="0.2">
      <c r="A25" s="27"/>
      <c r="B25" s="14"/>
      <c r="C25" s="27"/>
      <c r="D25" s="112"/>
      <c r="E25" s="139"/>
      <c r="F25" s="139"/>
      <c r="G25" s="140"/>
    </row>
    <row r="26" spans="1:7" hidden="1" x14ac:dyDescent="0.2">
      <c r="A26" s="27"/>
      <c r="B26" s="14"/>
      <c r="C26" s="27"/>
      <c r="D26" s="112"/>
      <c r="E26" s="139"/>
      <c r="F26" s="139"/>
      <c r="G26" s="140"/>
    </row>
    <row r="27" spans="1:7" hidden="1" x14ac:dyDescent="0.2">
      <c r="A27" s="27"/>
      <c r="B27" s="14"/>
      <c r="C27" s="27"/>
      <c r="D27" s="112"/>
      <c r="E27" s="139"/>
      <c r="F27" s="139"/>
      <c r="G27" s="140"/>
    </row>
    <row r="28" spans="1:7" hidden="1" x14ac:dyDescent="0.2">
      <c r="A28" s="27"/>
      <c r="B28" s="14"/>
      <c r="C28" s="27"/>
      <c r="D28" s="112"/>
      <c r="E28" s="139"/>
      <c r="F28" s="139"/>
      <c r="G28" s="140"/>
    </row>
    <row r="29" spans="1:7" hidden="1" x14ac:dyDescent="0.2">
      <c r="A29" s="27"/>
      <c r="B29" s="14"/>
      <c r="C29" s="27"/>
      <c r="D29" s="112"/>
      <c r="E29" s="139"/>
      <c r="F29" s="139"/>
      <c r="G29" s="140"/>
    </row>
    <row r="30" spans="1:7" hidden="1" x14ac:dyDescent="0.2">
      <c r="A30" s="27"/>
      <c r="B30" s="14"/>
      <c r="C30" s="27"/>
      <c r="D30" s="112"/>
      <c r="E30" s="139"/>
      <c r="F30" s="139"/>
      <c r="G30" s="140"/>
    </row>
    <row r="31" spans="1:7" hidden="1" x14ac:dyDescent="0.2">
      <c r="A31" s="27"/>
      <c r="B31" s="14"/>
      <c r="C31" s="27"/>
      <c r="D31" s="112"/>
      <c r="E31" s="139"/>
      <c r="F31" s="139"/>
      <c r="G31" s="140"/>
    </row>
    <row r="32" spans="1:7" hidden="1" x14ac:dyDescent="0.2">
      <c r="A32" s="27"/>
      <c r="B32" s="14"/>
      <c r="C32" s="27"/>
      <c r="D32" s="112"/>
      <c r="E32" s="139"/>
      <c r="F32" s="139"/>
      <c r="G32" s="109"/>
    </row>
    <row r="33" spans="1:7" ht="13.5" thickBot="1" x14ac:dyDescent="0.25">
      <c r="A33" s="27">
        <v>9</v>
      </c>
      <c r="B33" s="141" t="s">
        <v>0</v>
      </c>
      <c r="C33" s="142"/>
      <c r="D33" s="151">
        <f>SUM(D6:D32)</f>
        <v>38158</v>
      </c>
      <c r="E33" s="152">
        <f>F33/D33</f>
        <v>2842.2791925701399</v>
      </c>
      <c r="F33" s="153">
        <f>SUM(F6:F32)</f>
        <v>108455689.4300914</v>
      </c>
      <c r="G33" s="154">
        <f>SUM(G6:G32)</f>
        <v>0.99999999999999989</v>
      </c>
    </row>
    <row r="34" spans="1:7" ht="13.5" thickTop="1" x14ac:dyDescent="0.2">
      <c r="B34" s="148"/>
      <c r="C34" s="155"/>
    </row>
    <row r="35" spans="1:7" x14ac:dyDescent="0.2">
      <c r="B35" s="148"/>
      <c r="C35" s="155"/>
    </row>
    <row r="36" spans="1:7" x14ac:dyDescent="0.2">
      <c r="B36" s="148"/>
      <c r="C36" s="155"/>
    </row>
    <row r="37" spans="1:7" x14ac:dyDescent="0.2">
      <c r="B37" s="148"/>
      <c r="C37" s="155"/>
    </row>
    <row r="38" spans="1:7" x14ac:dyDescent="0.2">
      <c r="B38" s="148"/>
      <c r="C38" s="155"/>
    </row>
    <row r="39" spans="1:7" x14ac:dyDescent="0.2">
      <c r="B39" s="148"/>
      <c r="C39" s="155"/>
    </row>
    <row r="40" spans="1:7" x14ac:dyDescent="0.2">
      <c r="B40" s="148"/>
      <c r="C40" s="155"/>
    </row>
    <row r="41" spans="1:7" x14ac:dyDescent="0.2">
      <c r="B41" s="148"/>
      <c r="C41" s="155"/>
    </row>
    <row r="42" spans="1:7" x14ac:dyDescent="0.2">
      <c r="B42" s="148"/>
      <c r="C42" s="155"/>
    </row>
    <row r="43" spans="1:7" x14ac:dyDescent="0.2">
      <c r="B43" s="148"/>
      <c r="C43" s="155"/>
    </row>
    <row r="44" spans="1:7" x14ac:dyDescent="0.2">
      <c r="B44" s="148"/>
      <c r="C44" s="155"/>
    </row>
    <row r="45" spans="1:7" x14ac:dyDescent="0.2">
      <c r="B45" s="148"/>
      <c r="C45" s="155"/>
    </row>
    <row r="46" spans="1:7" x14ac:dyDescent="0.2">
      <c r="B46" s="148"/>
      <c r="C46" s="155"/>
    </row>
    <row r="47" spans="1:7" x14ac:dyDescent="0.2">
      <c r="B47" s="148"/>
      <c r="C47" s="155"/>
    </row>
    <row r="48" spans="1:7" x14ac:dyDescent="0.2">
      <c r="B48" s="148"/>
      <c r="C48" s="155"/>
    </row>
    <row r="49" spans="2:3" x14ac:dyDescent="0.2">
      <c r="B49" s="148"/>
      <c r="C49" s="155"/>
    </row>
    <row r="50" spans="2:3" x14ac:dyDescent="0.2">
      <c r="B50" s="148"/>
      <c r="C50" s="155"/>
    </row>
    <row r="51" spans="2:3" x14ac:dyDescent="0.2">
      <c r="B51" s="148"/>
      <c r="C51" s="155"/>
    </row>
    <row r="52" spans="2:3" x14ac:dyDescent="0.2">
      <c r="B52" s="148"/>
      <c r="C52" s="155"/>
    </row>
    <row r="53" spans="2:3" x14ac:dyDescent="0.2">
      <c r="B53" s="148"/>
      <c r="C53" s="155"/>
    </row>
    <row r="54" spans="2:3" x14ac:dyDescent="0.2">
      <c r="B54" s="148"/>
      <c r="C54" s="155"/>
    </row>
    <row r="55" spans="2:3" x14ac:dyDescent="0.2">
      <c r="B55" s="148"/>
      <c r="C55" s="155"/>
    </row>
    <row r="56" spans="2:3" x14ac:dyDescent="0.2">
      <c r="B56" s="148"/>
      <c r="C56" s="155"/>
    </row>
    <row r="57" spans="2:3" x14ac:dyDescent="0.2">
      <c r="B57" s="148"/>
      <c r="C57" s="155"/>
    </row>
    <row r="58" spans="2:3" x14ac:dyDescent="0.2">
      <c r="B58" s="148"/>
      <c r="C58" s="155"/>
    </row>
    <row r="59" spans="2:3" x14ac:dyDescent="0.2">
      <c r="B59" s="148"/>
      <c r="C59" s="155"/>
    </row>
    <row r="60" spans="2:3" x14ac:dyDescent="0.2">
      <c r="B60" s="148"/>
      <c r="C60" s="155"/>
    </row>
    <row r="61" spans="2:3" x14ac:dyDescent="0.2">
      <c r="B61" s="148"/>
      <c r="C61" s="155"/>
    </row>
    <row r="62" spans="2:3" x14ac:dyDescent="0.2">
      <c r="B62" s="148"/>
      <c r="C62" s="155"/>
    </row>
    <row r="63" spans="2:3" x14ac:dyDescent="0.2">
      <c r="B63" s="148"/>
      <c r="C63" s="155"/>
    </row>
    <row r="64" spans="2:3" x14ac:dyDescent="0.2">
      <c r="B64" s="148"/>
      <c r="C64" s="155"/>
    </row>
    <row r="65" spans="2:3" x14ac:dyDescent="0.2">
      <c r="B65" s="148"/>
      <c r="C65" s="155"/>
    </row>
    <row r="66" spans="2:3" x14ac:dyDescent="0.2">
      <c r="B66" s="148"/>
      <c r="C66" s="155"/>
    </row>
    <row r="67" spans="2:3" x14ac:dyDescent="0.2">
      <c r="B67" s="148"/>
      <c r="C67" s="155"/>
    </row>
    <row r="68" spans="2:3" x14ac:dyDescent="0.2">
      <c r="B68" s="148"/>
      <c r="C68" s="155"/>
    </row>
    <row r="69" spans="2:3" x14ac:dyDescent="0.2">
      <c r="B69" s="148"/>
      <c r="C69" s="155"/>
    </row>
    <row r="70" spans="2:3" x14ac:dyDescent="0.2">
      <c r="B70" s="148"/>
      <c r="C70" s="155"/>
    </row>
    <row r="71" spans="2:3" x14ac:dyDescent="0.2">
      <c r="B71" s="148"/>
      <c r="C71" s="155"/>
    </row>
    <row r="72" spans="2:3" x14ac:dyDescent="0.2">
      <c r="B72" s="148"/>
      <c r="C72" s="155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3 of 3</oddFooter>
  </headerFooter>
  <ignoredErrors>
    <ignoredError sqref="E3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L12"/>
  <sheetViews>
    <sheetView workbookViewId="0">
      <selection activeCell="J24" sqref="J24"/>
    </sheetView>
  </sheetViews>
  <sheetFormatPr defaultRowHeight="15" x14ac:dyDescent="0.25"/>
  <cols>
    <col min="1" max="1" width="22" bestFit="1" customWidth="1"/>
    <col min="3" max="3" width="7" bestFit="1" customWidth="1"/>
    <col min="4" max="4" width="10.42578125" bestFit="1" customWidth="1"/>
    <col min="5" max="5" width="12" bestFit="1" customWidth="1"/>
    <col min="6" max="6" width="13.7109375" bestFit="1" customWidth="1"/>
    <col min="7" max="7" width="17.5703125" bestFit="1" customWidth="1"/>
    <col min="8" max="8" width="12.85546875" customWidth="1"/>
    <col min="9" max="9" width="14" bestFit="1" customWidth="1"/>
    <col min="10" max="10" width="22.85546875" bestFit="1" customWidth="1"/>
    <col min="11" max="11" width="15.140625" bestFit="1" customWidth="1"/>
    <col min="12" max="12" width="19.28515625" bestFit="1" customWidth="1"/>
    <col min="13" max="13" width="13.7109375" bestFit="1" customWidth="1"/>
    <col min="14" max="14" width="12" bestFit="1" customWidth="1"/>
    <col min="15" max="15" width="13.7109375" bestFit="1" customWidth="1"/>
    <col min="16" max="16" width="14.140625" bestFit="1" customWidth="1"/>
    <col min="17" max="17" width="13.85546875" customWidth="1"/>
    <col min="18" max="18" width="16.28515625" bestFit="1" customWidth="1"/>
    <col min="19" max="19" width="13.7109375" bestFit="1" customWidth="1"/>
    <col min="20" max="20" width="6.7109375" bestFit="1" customWidth="1"/>
  </cols>
  <sheetData>
    <row r="1" spans="1:38" x14ac:dyDescent="0.25">
      <c r="A1" s="1"/>
      <c r="B1" s="1"/>
      <c r="C1" s="1"/>
      <c r="D1" s="1"/>
    </row>
    <row r="2" spans="1:38" ht="72" x14ac:dyDescent="0.25">
      <c r="A2" s="2"/>
      <c r="B2" s="2"/>
      <c r="C2" s="5"/>
      <c r="D2" s="6" t="s">
        <v>208</v>
      </c>
      <c r="E2" s="5" t="s">
        <v>0</v>
      </c>
      <c r="F2" s="10" t="s">
        <v>713</v>
      </c>
      <c r="G2" s="10" t="s">
        <v>722</v>
      </c>
      <c r="H2" s="10" t="s">
        <v>726</v>
      </c>
      <c r="I2" s="10" t="s">
        <v>727</v>
      </c>
      <c r="J2" s="10" t="s">
        <v>728</v>
      </c>
      <c r="K2" s="10" t="s">
        <v>729</v>
      </c>
      <c r="L2" s="10" t="s">
        <v>730</v>
      </c>
      <c r="M2" s="10" t="s">
        <v>731</v>
      </c>
      <c r="N2" s="10" t="s">
        <v>718</v>
      </c>
      <c r="O2" s="10" t="s">
        <v>719</v>
      </c>
      <c r="P2" s="10" t="s">
        <v>720</v>
      </c>
      <c r="Q2" s="10" t="s">
        <v>721</v>
      </c>
      <c r="R2" s="10" t="s">
        <v>732</v>
      </c>
      <c r="S2" s="2"/>
      <c r="T2" s="2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ht="15.75" thickBot="1" x14ac:dyDescent="0.3">
      <c r="A3" s="7" t="s">
        <v>6</v>
      </c>
      <c r="B3" s="7"/>
      <c r="C3" s="8" t="s">
        <v>7</v>
      </c>
      <c r="D3" s="8" t="s">
        <v>8</v>
      </c>
      <c r="E3" s="9" t="s">
        <v>9</v>
      </c>
      <c r="F3" s="9" t="s">
        <v>725</v>
      </c>
      <c r="G3" s="9" t="s">
        <v>737</v>
      </c>
      <c r="H3" s="9" t="s">
        <v>736</v>
      </c>
      <c r="I3" s="9" t="s">
        <v>734</v>
      </c>
      <c r="J3" s="9" t="s">
        <v>735</v>
      </c>
      <c r="K3" s="9" t="s">
        <v>714</v>
      </c>
      <c r="L3" s="9" t="s">
        <v>702</v>
      </c>
      <c r="M3" s="9" t="s">
        <v>738</v>
      </c>
      <c r="N3" s="9" t="s">
        <v>739</v>
      </c>
      <c r="O3" s="9" t="s">
        <v>740</v>
      </c>
      <c r="P3" s="9" t="s">
        <v>741</v>
      </c>
      <c r="Q3" s="9" t="s">
        <v>742</v>
      </c>
      <c r="R3" s="9" t="s">
        <v>733</v>
      </c>
      <c r="S3" s="9" t="s">
        <v>13</v>
      </c>
      <c r="T3" s="9" t="s">
        <v>14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6" spans="1:38" x14ac:dyDescent="0.25">
      <c r="A6" t="s">
        <v>11</v>
      </c>
      <c r="C6" t="s">
        <v>743</v>
      </c>
      <c r="E6">
        <v>627658396</v>
      </c>
      <c r="F6">
        <v>234442443</v>
      </c>
      <c r="G6">
        <v>29430668</v>
      </c>
      <c r="H6">
        <v>151558</v>
      </c>
      <c r="I6">
        <v>72078019</v>
      </c>
      <c r="J6">
        <v>893794</v>
      </c>
      <c r="K6">
        <v>91720927</v>
      </c>
      <c r="L6">
        <v>1679700</v>
      </c>
      <c r="M6">
        <v>1146779</v>
      </c>
      <c r="N6">
        <v>15538140</v>
      </c>
      <c r="O6">
        <v>176471400</v>
      </c>
      <c r="P6">
        <v>1286846</v>
      </c>
      <c r="Q6">
        <v>18751</v>
      </c>
      <c r="R6">
        <v>2799371</v>
      </c>
      <c r="S6">
        <f>SUM(F6:R6)</f>
        <v>627658396</v>
      </c>
      <c r="T6" s="4" t="str">
        <f>IF(ABS(E6-S6)&lt;0.01,"ok","err")</f>
        <v>ok</v>
      </c>
    </row>
    <row r="7" spans="1:38" x14ac:dyDescent="0.25">
      <c r="A7" t="s">
        <v>744</v>
      </c>
      <c r="E7" s="3">
        <v>4.253478393504951E-2</v>
      </c>
      <c r="F7" s="12">
        <v>4.9813835559603975E-2</v>
      </c>
      <c r="G7" s="12">
        <f>F7</f>
        <v>4.9813835559603975E-2</v>
      </c>
      <c r="H7" s="12">
        <f>F7</f>
        <v>4.9813835559603975E-2</v>
      </c>
      <c r="I7" s="12">
        <f>F7</f>
        <v>4.9813835559603975E-2</v>
      </c>
      <c r="J7" s="12">
        <f>F7</f>
        <v>4.9813835559603975E-2</v>
      </c>
      <c r="K7" s="12">
        <f>F7-0.01</f>
        <v>3.9813835559603973E-2</v>
      </c>
      <c r="L7" s="12">
        <f>F7-0.01</f>
        <v>3.9813835559603973E-2</v>
      </c>
      <c r="M7" s="12">
        <f>F7</f>
        <v>4.9813835559603975E-2</v>
      </c>
      <c r="N7" s="12">
        <v>1.4999999999999999E-2</v>
      </c>
      <c r="O7" s="12">
        <v>0.01</v>
      </c>
      <c r="P7" s="12">
        <f>F7</f>
        <v>4.9813835559603975E-2</v>
      </c>
      <c r="Q7" s="12">
        <f>F7</f>
        <v>4.9813835559603975E-2</v>
      </c>
      <c r="R7" s="12">
        <f>F7</f>
        <v>4.9813835559603975E-2</v>
      </c>
      <c r="S7" s="3">
        <f>AVERAGE(F7:R7)</f>
        <v>4.253478393504951E-2</v>
      </c>
      <c r="T7" s="4" t="str">
        <f>IF(ABS(E7-S7)&lt;0.001,"ok","err")</f>
        <v>ok</v>
      </c>
    </row>
    <row r="8" spans="1:38" x14ac:dyDescent="0.25">
      <c r="A8" t="s">
        <v>745</v>
      </c>
      <c r="C8" t="s">
        <v>11</v>
      </c>
      <c r="E8">
        <v>651492867.00002527</v>
      </c>
      <c r="F8">
        <f t="shared" ref="F8:R8" si="0">F6/(1-F7)</f>
        <v>246733168.48185518</v>
      </c>
      <c r="G8">
        <f t="shared" si="0"/>
        <v>30973580.863843601</v>
      </c>
      <c r="H8">
        <f t="shared" si="0"/>
        <v>159503.4801304003</v>
      </c>
      <c r="I8">
        <f t="shared" si="0"/>
        <v>75856733.866936207</v>
      </c>
      <c r="J8">
        <f t="shared" si="0"/>
        <v>940651.45699778979</v>
      </c>
      <c r="K8">
        <f t="shared" si="0"/>
        <v>95524108.133192763</v>
      </c>
      <c r="L8">
        <f t="shared" si="0"/>
        <v>1749348.2641243245</v>
      </c>
      <c r="M8">
        <f t="shared" si="0"/>
        <v>1206899.2823899784</v>
      </c>
      <c r="N8">
        <f t="shared" si="0"/>
        <v>15774761.421319798</v>
      </c>
      <c r="O8">
        <f t="shared" si="0"/>
        <v>178253939.39393941</v>
      </c>
      <c r="P8">
        <f t="shared" si="0"/>
        <v>1354309.3429042685</v>
      </c>
      <c r="Q8">
        <f t="shared" si="0"/>
        <v>19734.027606098894</v>
      </c>
      <c r="R8">
        <f t="shared" si="0"/>
        <v>2946128.9847854874</v>
      </c>
      <c r="S8">
        <f>SUM(F8:R8)</f>
        <v>651492867.00002527</v>
      </c>
      <c r="T8" s="4" t="str">
        <f>IF(ABS(E8-S8)&lt;0.01,"ok","err")</f>
        <v>ok</v>
      </c>
    </row>
    <row r="11" spans="1:38" x14ac:dyDescent="0.25">
      <c r="S11">
        <v>651492867</v>
      </c>
    </row>
    <row r="12" spans="1:38" x14ac:dyDescent="0.25">
      <c r="E12">
        <v>651492867</v>
      </c>
    </row>
  </sheetData>
  <dataConsolidate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198"/>
  <sheetViews>
    <sheetView view="pageBreakPreview" zoomScaleNormal="100" zoomScaleSheetLayoutView="100" workbookViewId="0">
      <selection activeCell="Q32" sqref="Q32"/>
    </sheetView>
  </sheetViews>
  <sheetFormatPr defaultRowHeight="12.75" x14ac:dyDescent="0.2"/>
  <cols>
    <col min="1" max="1" width="3.140625" style="14" customWidth="1"/>
    <col min="2" max="2" width="37.28515625" style="14" customWidth="1"/>
    <col min="3" max="3" width="10.42578125" style="14" bestFit="1" customWidth="1"/>
    <col min="4" max="4" width="16.85546875" style="14" bestFit="1" customWidth="1"/>
    <col min="5" max="5" width="12.7109375" style="14" bestFit="1" customWidth="1"/>
    <col min="6" max="6" width="13.28515625" style="14" customWidth="1"/>
    <col min="7" max="7" width="3.7109375" style="14" customWidth="1"/>
    <col min="8" max="8" width="14.5703125" style="14" customWidth="1"/>
    <col min="9" max="9" width="18.42578125" style="14" customWidth="1"/>
    <col min="10" max="10" width="11.28515625" style="14" customWidth="1"/>
    <col min="11" max="11" width="2.28515625" style="14" customWidth="1"/>
    <col min="12" max="12" width="6.28515625" style="27" customWidth="1"/>
    <col min="13" max="13" width="8.7109375" style="14" bestFit="1" customWidth="1"/>
    <col min="14" max="16384" width="9.140625" style="14"/>
  </cols>
  <sheetData>
    <row r="1" spans="1:13" x14ac:dyDescent="0.2">
      <c r="A1" s="13" t="str">
        <f>'Summary of Returns'!A1</f>
        <v>CLARK ENERGY COOPERATIVE</v>
      </c>
    </row>
    <row r="2" spans="1:13" x14ac:dyDescent="0.2">
      <c r="A2" s="13" t="s">
        <v>1007</v>
      </c>
    </row>
    <row r="5" spans="1:13" x14ac:dyDescent="0.2">
      <c r="A5" s="13" t="s">
        <v>995</v>
      </c>
      <c r="B5" s="15"/>
      <c r="D5" s="31"/>
      <c r="E5" s="31"/>
      <c r="F5" s="31"/>
      <c r="G5" s="31"/>
      <c r="H5" s="31"/>
      <c r="I5" s="31"/>
      <c r="J5" s="31"/>
      <c r="K5" s="31"/>
      <c r="L5" s="32"/>
      <c r="M5" s="31"/>
    </row>
    <row r="6" spans="1:13" x14ac:dyDescent="0.2">
      <c r="C6" s="227"/>
      <c r="F6" s="55" t="s">
        <v>969</v>
      </c>
      <c r="I6" s="55" t="s">
        <v>970</v>
      </c>
    </row>
    <row r="7" spans="1:13" x14ac:dyDescent="0.2">
      <c r="C7" s="194"/>
      <c r="D7" s="55"/>
      <c r="E7" s="16"/>
      <c r="F7" s="55" t="s">
        <v>971</v>
      </c>
      <c r="H7" s="55"/>
      <c r="I7" s="55"/>
      <c r="J7" s="55"/>
      <c r="K7" s="55"/>
    </row>
    <row r="8" spans="1:13" x14ac:dyDescent="0.2">
      <c r="B8" s="17" t="s">
        <v>6</v>
      </c>
      <c r="C8" s="18" t="s">
        <v>972</v>
      </c>
      <c r="D8" s="114" t="s">
        <v>973</v>
      </c>
      <c r="E8" s="19" t="s">
        <v>974</v>
      </c>
      <c r="F8" s="114" t="s">
        <v>975</v>
      </c>
      <c r="H8" s="20" t="s">
        <v>976</v>
      </c>
      <c r="I8" s="20" t="s">
        <v>977</v>
      </c>
      <c r="J8" s="20" t="s">
        <v>978</v>
      </c>
      <c r="K8" s="21"/>
    </row>
    <row r="9" spans="1:13" x14ac:dyDescent="0.2">
      <c r="B9" s="14" t="s">
        <v>1136</v>
      </c>
      <c r="C9" s="23">
        <v>66.37</v>
      </c>
      <c r="D9" s="39">
        <v>1055892.3</v>
      </c>
      <c r="E9" s="22">
        <v>502753</v>
      </c>
      <c r="F9" s="23">
        <f t="shared" ref="F9:F10" si="0">D9/E9</f>
        <v>2.1002207843613068</v>
      </c>
      <c r="G9" s="33"/>
      <c r="H9" s="23">
        <f t="shared" ref="H9:H10" si="1">F9*E9^0.5</f>
        <v>1489.1631725593622</v>
      </c>
      <c r="I9" s="23">
        <f t="shared" ref="I9:I10" si="2">E9^0.5</f>
        <v>709.0507739224322</v>
      </c>
      <c r="J9" s="23">
        <f t="shared" ref="J9:J10" si="3">C9*E9^0.5</f>
        <v>47059.699865231829</v>
      </c>
      <c r="K9" s="23"/>
    </row>
    <row r="10" spans="1:13" x14ac:dyDescent="0.2">
      <c r="B10" s="14" t="s">
        <v>1137</v>
      </c>
      <c r="C10" s="23">
        <v>66.37</v>
      </c>
      <c r="D10" s="39">
        <v>6151.98</v>
      </c>
      <c r="E10" s="22">
        <v>43539</v>
      </c>
      <c r="F10" s="23">
        <f t="shared" si="0"/>
        <v>0.14129814648935435</v>
      </c>
      <c r="G10" s="33"/>
      <c r="H10" s="23">
        <f t="shared" si="1"/>
        <v>29.483272736241101</v>
      </c>
      <c r="I10" s="23">
        <f t="shared" si="2"/>
        <v>208.66001054346756</v>
      </c>
      <c r="J10" s="23">
        <f t="shared" si="3"/>
        <v>13848.764899769943</v>
      </c>
      <c r="K10" s="23"/>
    </row>
    <row r="11" spans="1:13" x14ac:dyDescent="0.2">
      <c r="B11" s="14" t="s">
        <v>1138</v>
      </c>
      <c r="C11" s="23">
        <v>397.5</v>
      </c>
      <c r="D11" s="39">
        <v>470092.34</v>
      </c>
      <c r="E11" s="22">
        <v>447599</v>
      </c>
      <c r="F11" s="23">
        <f t="shared" ref="F11:F13" si="4">D11/E11</f>
        <v>1.050253329431031</v>
      </c>
      <c r="G11" s="33"/>
      <c r="H11" s="23">
        <f t="shared" ref="H11:H13" si="5">F11*E11^0.5</f>
        <v>702.64930457876665</v>
      </c>
      <c r="I11" s="23">
        <f t="shared" ref="I11:I13" si="6">E11^0.5</f>
        <v>669.0283999950974</v>
      </c>
      <c r="J11" s="23">
        <f t="shared" ref="J11:J13" si="7">C11*E11^0.5</f>
        <v>265938.7889980512</v>
      </c>
      <c r="K11" s="23"/>
    </row>
    <row r="12" spans="1:13" x14ac:dyDescent="0.2">
      <c r="B12" s="14" t="s">
        <v>1139</v>
      </c>
      <c r="C12" s="23">
        <v>66.37</v>
      </c>
      <c r="D12" s="39">
        <v>170.15</v>
      </c>
      <c r="E12" s="22">
        <v>1700</v>
      </c>
      <c r="F12" s="23">
        <f t="shared" si="4"/>
        <v>0.10008823529411764</v>
      </c>
      <c r="G12" s="33"/>
      <c r="H12" s="23">
        <f t="shared" si="5"/>
        <v>4.1267436599932052</v>
      </c>
      <c r="I12" s="23">
        <f t="shared" si="6"/>
        <v>41.231056256176608</v>
      </c>
      <c r="J12" s="23">
        <f t="shared" si="7"/>
        <v>2736.5052037224418</v>
      </c>
      <c r="K12" s="23"/>
    </row>
    <row r="13" spans="1:13" x14ac:dyDescent="0.2">
      <c r="B13" s="14" t="s">
        <v>1140</v>
      </c>
      <c r="C13" s="23">
        <v>105.53</v>
      </c>
      <c r="D13" s="39">
        <v>24337.040000000001</v>
      </c>
      <c r="E13" s="22">
        <v>10633</v>
      </c>
      <c r="F13" s="23">
        <f t="shared" si="4"/>
        <v>2.2888215931533904</v>
      </c>
      <c r="G13" s="33"/>
      <c r="H13" s="23">
        <f t="shared" si="5"/>
        <v>236.01513228061839</v>
      </c>
      <c r="I13" s="23">
        <f t="shared" si="6"/>
        <v>103.11643903859365</v>
      </c>
      <c r="J13" s="23">
        <f t="shared" si="7"/>
        <v>10881.877811742788</v>
      </c>
      <c r="K13" s="23"/>
    </row>
    <row r="14" spans="1:13" x14ac:dyDescent="0.2">
      <c r="B14" s="14" t="s">
        <v>1141</v>
      </c>
      <c r="C14" s="23">
        <v>105.53</v>
      </c>
      <c r="D14" s="39">
        <v>44278.74</v>
      </c>
      <c r="E14" s="22">
        <v>295068</v>
      </c>
      <c r="F14" s="23">
        <f t="shared" ref="F14" si="8">D14/E14</f>
        <v>0.15006283297409409</v>
      </c>
      <c r="G14" s="33"/>
      <c r="H14" s="23">
        <f t="shared" ref="H14" si="9">F14*E14^0.5</f>
        <v>81.51437397737493</v>
      </c>
      <c r="I14" s="23">
        <f t="shared" ref="I14" si="10">E14^0.5</f>
        <v>543.20162002703933</v>
      </c>
      <c r="J14" s="23">
        <f t="shared" ref="J14" si="11">C14*E14^0.5</f>
        <v>57324.066961453464</v>
      </c>
      <c r="K14" s="23"/>
    </row>
    <row r="15" spans="1:13" x14ac:dyDescent="0.2">
      <c r="B15" s="14" t="s">
        <v>1142</v>
      </c>
      <c r="C15" s="23">
        <v>26.251000000000001</v>
      </c>
      <c r="D15" s="39">
        <v>230547.49</v>
      </c>
      <c r="E15" s="22">
        <v>297457</v>
      </c>
      <c r="F15" s="23">
        <f t="shared" ref="F15:F26" si="12">D15/E15</f>
        <v>0.7750615719246815</v>
      </c>
      <c r="G15" s="33"/>
      <c r="H15" s="23">
        <f t="shared" ref="H15:H26" si="13">F15*E15^0.5</f>
        <v>422.71562545367277</v>
      </c>
      <c r="I15" s="23">
        <f t="shared" ref="I15:I26" si="14">E15^0.5</f>
        <v>545.39618627196137</v>
      </c>
      <c r="J15" s="23">
        <f t="shared" ref="J15:J26" si="15">C15*E15^0.5</f>
        <v>14317.195285825259</v>
      </c>
      <c r="K15" s="23"/>
    </row>
    <row r="16" spans="1:13" x14ac:dyDescent="0.2">
      <c r="B16" s="14" t="s">
        <v>1143</v>
      </c>
      <c r="C16" s="23">
        <v>211.6</v>
      </c>
      <c r="D16" s="39">
        <v>24097.66</v>
      </c>
      <c r="E16" s="22">
        <v>5343</v>
      </c>
      <c r="F16" s="23">
        <f t="shared" si="12"/>
        <v>4.5101366273629049</v>
      </c>
      <c r="G16" s="33"/>
      <c r="H16" s="23">
        <f t="shared" si="13"/>
        <v>329.67216897963647</v>
      </c>
      <c r="I16" s="23">
        <f t="shared" si="14"/>
        <v>73.095827514297966</v>
      </c>
      <c r="J16" s="23">
        <f t="shared" si="15"/>
        <v>15467.077102025449</v>
      </c>
      <c r="K16" s="23"/>
    </row>
    <row r="17" spans="2:11" x14ac:dyDescent="0.2">
      <c r="B17" s="14" t="s">
        <v>1144</v>
      </c>
      <c r="C17" s="23">
        <v>26.251000000000001</v>
      </c>
      <c r="D17" s="39">
        <v>8129.55</v>
      </c>
      <c r="E17" s="22">
        <v>62673</v>
      </c>
      <c r="F17" s="23">
        <f t="shared" si="12"/>
        <v>0.12971375233354077</v>
      </c>
      <c r="G17" s="33"/>
      <c r="H17" s="23">
        <f t="shared" si="13"/>
        <v>32.473288026978985</v>
      </c>
      <c r="I17" s="23">
        <f t="shared" si="14"/>
        <v>250.34576089880173</v>
      </c>
      <c r="J17" s="23">
        <f t="shared" si="15"/>
        <v>6571.8265693544445</v>
      </c>
      <c r="K17" s="23"/>
    </row>
    <row r="18" spans="2:11" x14ac:dyDescent="0.2">
      <c r="B18" s="14" t="s">
        <v>1145</v>
      </c>
      <c r="C18" s="23">
        <v>105.53</v>
      </c>
      <c r="D18" s="39">
        <v>1559079.12</v>
      </c>
      <c r="E18" s="22">
        <v>2793506</v>
      </c>
      <c r="F18" s="23">
        <f t="shared" si="12"/>
        <v>0.55810838423114184</v>
      </c>
      <c r="G18" s="33"/>
      <c r="H18" s="23">
        <f t="shared" si="13"/>
        <v>932.8103390034388</v>
      </c>
      <c r="I18" s="23">
        <f t="shared" si="14"/>
        <v>1671.378472997663</v>
      </c>
      <c r="J18" s="23">
        <f t="shared" si="15"/>
        <v>176380.5702554434</v>
      </c>
      <c r="K18" s="23"/>
    </row>
    <row r="19" spans="2:11" x14ac:dyDescent="0.2">
      <c r="B19" s="14" t="s">
        <v>1146</v>
      </c>
      <c r="C19" s="23">
        <v>16.509</v>
      </c>
      <c r="D19" s="39">
        <v>156317.57999999999</v>
      </c>
      <c r="E19" s="22">
        <v>2084009</v>
      </c>
      <c r="F19" s="23">
        <f t="shared" si="12"/>
        <v>7.5008111769191005E-2</v>
      </c>
      <c r="G19" s="33"/>
      <c r="H19" s="23">
        <f t="shared" si="13"/>
        <v>108.28243861369883</v>
      </c>
      <c r="I19" s="23">
        <f t="shared" si="14"/>
        <v>1443.6097117988643</v>
      </c>
      <c r="J19" s="23">
        <f t="shared" si="15"/>
        <v>23832.55273208745</v>
      </c>
      <c r="K19" s="23"/>
    </row>
    <row r="20" spans="2:11" x14ac:dyDescent="0.2">
      <c r="B20" s="14" t="s">
        <v>1147</v>
      </c>
      <c r="C20" s="23">
        <v>26.251000000000001</v>
      </c>
      <c r="D20" s="39">
        <v>322159.37</v>
      </c>
      <c r="E20" s="22">
        <v>3391367</v>
      </c>
      <c r="F20" s="23">
        <f t="shared" si="12"/>
        <v>9.4993956714209932E-2</v>
      </c>
      <c r="G20" s="33"/>
      <c r="H20" s="23">
        <f t="shared" si="13"/>
        <v>174.93768390160292</v>
      </c>
      <c r="I20" s="23">
        <f t="shared" si="14"/>
        <v>1841.5664527787208</v>
      </c>
      <c r="J20" s="23">
        <f t="shared" si="15"/>
        <v>48342.960951894202</v>
      </c>
      <c r="K20" s="23"/>
    </row>
    <row r="21" spans="2:11" x14ac:dyDescent="0.2">
      <c r="B21" s="14" t="s">
        <v>1148</v>
      </c>
      <c r="C21" s="23">
        <v>66.37</v>
      </c>
      <c r="D21" s="39">
        <v>9024372.5199999996</v>
      </c>
      <c r="E21" s="22">
        <v>7918307</v>
      </c>
      <c r="F21" s="23">
        <f t="shared" si="12"/>
        <v>1.1396845967199807</v>
      </c>
      <c r="G21" s="33"/>
      <c r="H21" s="23">
        <f t="shared" si="13"/>
        <v>3207.0139313864975</v>
      </c>
      <c r="I21" s="23">
        <f t="shared" si="14"/>
        <v>2813.9486491405632</v>
      </c>
      <c r="J21" s="23">
        <f t="shared" si="15"/>
        <v>186761.7718434592</v>
      </c>
      <c r="K21" s="23"/>
    </row>
    <row r="22" spans="2:11" x14ac:dyDescent="0.2">
      <c r="B22" s="14" t="s">
        <v>1149</v>
      </c>
      <c r="C22" s="23">
        <v>105.53</v>
      </c>
      <c r="D22" s="39">
        <v>1060352.28</v>
      </c>
      <c r="E22" s="22">
        <v>741194</v>
      </c>
      <c r="F22" s="23">
        <f t="shared" si="12"/>
        <v>1.4306001937414496</v>
      </c>
      <c r="G22" s="33"/>
      <c r="H22" s="23">
        <f t="shared" si="13"/>
        <v>1231.6412534509341</v>
      </c>
      <c r="I22" s="23">
        <f t="shared" si="14"/>
        <v>860.92624538923189</v>
      </c>
      <c r="J22" s="23">
        <f t="shared" si="15"/>
        <v>90853.546675925638</v>
      </c>
      <c r="K22" s="23"/>
    </row>
    <row r="23" spans="2:11" x14ac:dyDescent="0.2">
      <c r="B23" s="14" t="s">
        <v>1150</v>
      </c>
      <c r="C23" s="23">
        <v>66.37</v>
      </c>
      <c r="D23" s="39">
        <v>17221.7</v>
      </c>
      <c r="E23" s="22">
        <v>139774</v>
      </c>
      <c r="F23" s="23">
        <f t="shared" si="12"/>
        <v>0.12321104067995479</v>
      </c>
      <c r="G23" s="33"/>
      <c r="H23" s="23">
        <f t="shared" si="13"/>
        <v>46.064124644651372</v>
      </c>
      <c r="I23" s="23">
        <f t="shared" si="14"/>
        <v>373.86361149488727</v>
      </c>
      <c r="J23" s="23">
        <f t="shared" si="15"/>
        <v>24813.32789491567</v>
      </c>
      <c r="K23" s="23"/>
    </row>
    <row r="24" spans="2:11" x14ac:dyDescent="0.2">
      <c r="B24" s="14" t="s">
        <v>1151</v>
      </c>
      <c r="C24" s="23">
        <v>133.072</v>
      </c>
      <c r="D24" s="39">
        <v>174.51</v>
      </c>
      <c r="E24" s="22">
        <v>390</v>
      </c>
      <c r="F24" s="23">
        <f t="shared" si="12"/>
        <v>0.44746153846153841</v>
      </c>
      <c r="G24" s="33"/>
      <c r="H24" s="23">
        <f t="shared" si="13"/>
        <v>8.836657347488531</v>
      </c>
      <c r="I24" s="23">
        <f t="shared" si="14"/>
        <v>19.748417658131498</v>
      </c>
      <c r="J24" s="23">
        <f t="shared" si="15"/>
        <v>2627.9614346028748</v>
      </c>
      <c r="K24" s="23"/>
    </row>
    <row r="25" spans="2:11" x14ac:dyDescent="0.2">
      <c r="B25" s="14" t="s">
        <v>1152</v>
      </c>
      <c r="C25" s="23">
        <f>41.74</f>
        <v>41.74</v>
      </c>
      <c r="D25" s="39">
        <v>457.15</v>
      </c>
      <c r="E25" s="22">
        <v>6565</v>
      </c>
      <c r="F25" s="23">
        <f t="shared" si="12"/>
        <v>6.9634424980959633E-2</v>
      </c>
      <c r="G25" s="33"/>
      <c r="H25" s="23">
        <f t="shared" si="13"/>
        <v>5.6421075299967205</v>
      </c>
      <c r="I25" s="23">
        <f t="shared" si="14"/>
        <v>81.024687595818591</v>
      </c>
      <c r="J25" s="23">
        <f t="shared" si="15"/>
        <v>3381.970460249468</v>
      </c>
      <c r="K25" s="23"/>
    </row>
    <row r="26" spans="2:11" x14ac:dyDescent="0.2">
      <c r="B26" s="14" t="s">
        <v>1153</v>
      </c>
      <c r="C26" s="23">
        <v>211.6</v>
      </c>
      <c r="D26" s="39">
        <v>1263553.3500000001</v>
      </c>
      <c r="E26" s="22">
        <v>1223701</v>
      </c>
      <c r="F26" s="23">
        <f t="shared" si="12"/>
        <v>1.0325670649938181</v>
      </c>
      <c r="G26" s="33"/>
      <c r="H26" s="23">
        <f t="shared" si="13"/>
        <v>1142.2362164073622</v>
      </c>
      <c r="I26" s="23">
        <f t="shared" si="14"/>
        <v>1106.2101970240556</v>
      </c>
      <c r="J26" s="23">
        <f t="shared" si="15"/>
        <v>234074.07769029014</v>
      </c>
      <c r="K26" s="23"/>
    </row>
    <row r="27" spans="2:11" x14ac:dyDescent="0.2">
      <c r="B27" s="14" t="s">
        <v>1154</v>
      </c>
      <c r="C27" s="23">
        <v>66.37</v>
      </c>
      <c r="D27" s="39">
        <v>169.33</v>
      </c>
      <c r="E27" s="22">
        <v>1128</v>
      </c>
      <c r="F27" s="23">
        <f t="shared" ref="F27:F33" si="16">D27/E27</f>
        <v>0.15011524822695035</v>
      </c>
      <c r="G27" s="33"/>
      <c r="H27" s="23">
        <f t="shared" ref="H27:H33" si="17">F27*E27^0.5</f>
        <v>5.0417273807961394</v>
      </c>
      <c r="I27" s="23">
        <f t="shared" ref="I27:I33" si="18">E27^0.5</f>
        <v>33.585711247493329</v>
      </c>
      <c r="J27" s="23">
        <f t="shared" ref="J27:J33" si="19">C27*E27^0.5</f>
        <v>2229.0836554961325</v>
      </c>
      <c r="K27" s="23"/>
    </row>
    <row r="28" spans="2:11" x14ac:dyDescent="0.2">
      <c r="B28" s="14" t="s">
        <v>1155</v>
      </c>
      <c r="C28" s="23">
        <v>300</v>
      </c>
      <c r="D28" s="39">
        <v>806.85</v>
      </c>
      <c r="E28" s="22">
        <v>600</v>
      </c>
      <c r="F28" s="23">
        <f t="shared" si="16"/>
        <v>1.3447500000000001</v>
      </c>
      <c r="G28" s="33"/>
      <c r="H28" s="23">
        <f t="shared" si="17"/>
        <v>32.939513316076791</v>
      </c>
      <c r="I28" s="23">
        <f t="shared" si="18"/>
        <v>24.494897427831781</v>
      </c>
      <c r="J28" s="23">
        <f t="shared" si="19"/>
        <v>7348.4692283495342</v>
      </c>
      <c r="K28" s="23"/>
    </row>
    <row r="29" spans="2:11" x14ac:dyDescent="0.2">
      <c r="B29" s="14" t="s">
        <v>1156</v>
      </c>
      <c r="C29" s="23">
        <f>41.74</f>
        <v>41.74</v>
      </c>
      <c r="D29" s="39">
        <v>1435021.18</v>
      </c>
      <c r="E29" s="22">
        <v>7410367</v>
      </c>
      <c r="F29" s="23">
        <f t="shared" si="16"/>
        <v>0.19365048721608524</v>
      </c>
      <c r="G29" s="33"/>
      <c r="H29" s="23">
        <f t="shared" si="17"/>
        <v>527.15514857810274</v>
      </c>
      <c r="I29" s="23">
        <f t="shared" si="18"/>
        <v>2722.1989273379709</v>
      </c>
      <c r="J29" s="23">
        <f t="shared" si="19"/>
        <v>113624.58322708691</v>
      </c>
      <c r="K29" s="23"/>
    </row>
    <row r="30" spans="2:11" x14ac:dyDescent="0.2">
      <c r="B30" s="14" t="s">
        <v>1157</v>
      </c>
      <c r="C30" s="23">
        <f>41.74</f>
        <v>41.74</v>
      </c>
      <c r="D30" s="39">
        <v>128155.68</v>
      </c>
      <c r="E30" s="22">
        <v>97405</v>
      </c>
      <c r="F30" s="23">
        <f t="shared" si="16"/>
        <v>1.3156991940865459</v>
      </c>
      <c r="G30" s="33"/>
      <c r="H30" s="23">
        <f t="shared" si="17"/>
        <v>410.62674644208607</v>
      </c>
      <c r="I30" s="23">
        <f t="shared" si="18"/>
        <v>312.09774110044435</v>
      </c>
      <c r="J30" s="23">
        <f t="shared" si="19"/>
        <v>13026.959713532548</v>
      </c>
      <c r="K30" s="23"/>
    </row>
    <row r="31" spans="2:11" x14ac:dyDescent="0.2">
      <c r="B31" s="14" t="s">
        <v>1158</v>
      </c>
      <c r="C31" s="23">
        <v>500</v>
      </c>
      <c r="D31" s="39">
        <v>6335.35</v>
      </c>
      <c r="E31" s="22">
        <v>666</v>
      </c>
      <c r="F31" s="23">
        <f t="shared" si="16"/>
        <v>9.5125375375375381</v>
      </c>
      <c r="G31" s="33"/>
      <c r="H31" s="23">
        <f t="shared" si="17"/>
        <v>245.48982603855183</v>
      </c>
      <c r="I31" s="23">
        <f t="shared" si="18"/>
        <v>25.80697580112788</v>
      </c>
      <c r="J31" s="23">
        <f t="shared" si="19"/>
        <v>12903.48790056394</v>
      </c>
      <c r="K31" s="23"/>
    </row>
    <row r="32" spans="2:11" x14ac:dyDescent="0.2">
      <c r="B32" s="14" t="s">
        <v>1159</v>
      </c>
      <c r="C32" s="23">
        <v>211.6</v>
      </c>
      <c r="D32" s="39">
        <v>26206.91</v>
      </c>
      <c r="E32" s="22">
        <v>6246</v>
      </c>
      <c r="F32" s="23">
        <f t="shared" si="16"/>
        <v>4.1957909061799548</v>
      </c>
      <c r="G32" s="33"/>
      <c r="H32" s="23">
        <f t="shared" si="17"/>
        <v>331.60023319816366</v>
      </c>
      <c r="I32" s="23">
        <f t="shared" si="18"/>
        <v>79.031639233916948</v>
      </c>
      <c r="J32" s="23">
        <f t="shared" si="19"/>
        <v>16723.094861896825</v>
      </c>
      <c r="K32" s="23"/>
    </row>
    <row r="33" spans="2:11" x14ac:dyDescent="0.2">
      <c r="B33" s="14" t="s">
        <v>1160</v>
      </c>
      <c r="C33" s="23">
        <v>750</v>
      </c>
      <c r="D33" s="39">
        <v>6620.75</v>
      </c>
      <c r="E33" s="22">
        <v>1868</v>
      </c>
      <c r="F33" s="23">
        <f t="shared" si="16"/>
        <v>3.5442987152034262</v>
      </c>
      <c r="G33" s="33"/>
      <c r="H33" s="23">
        <f t="shared" si="17"/>
        <v>153.1858861601913</v>
      </c>
      <c r="I33" s="23">
        <f t="shared" si="18"/>
        <v>43.220365569948619</v>
      </c>
      <c r="J33" s="23">
        <f t="shared" si="19"/>
        <v>32415.274177461466</v>
      </c>
      <c r="K33" s="23"/>
    </row>
    <row r="34" spans="2:11" x14ac:dyDescent="0.2">
      <c r="B34" s="14" t="s">
        <v>1161</v>
      </c>
      <c r="C34" s="23">
        <v>336</v>
      </c>
      <c r="D34" s="39">
        <v>79338.880000000005</v>
      </c>
      <c r="E34" s="22">
        <v>6426</v>
      </c>
      <c r="F34" s="23">
        <f t="shared" ref="F34" si="20">D34/E34</f>
        <v>12.346542172424526</v>
      </c>
      <c r="G34" s="33"/>
      <c r="H34" s="23">
        <f t="shared" ref="H34" si="21">F34*E34^0.5</f>
        <v>989.72765336375687</v>
      </c>
      <c r="I34" s="23">
        <f t="shared" ref="I34" si="22">E34^0.5</f>
        <v>80.162335295324326</v>
      </c>
      <c r="J34" s="23">
        <f t="shared" ref="J34" si="23">C34*E34^0.5</f>
        <v>26934.544659228974</v>
      </c>
      <c r="K34" s="23"/>
    </row>
    <row r="35" spans="2:11" x14ac:dyDescent="0.2">
      <c r="B35" s="14" t="s">
        <v>1162</v>
      </c>
      <c r="C35" s="23">
        <v>336.4</v>
      </c>
      <c r="D35" s="39">
        <v>1865179.11</v>
      </c>
      <c r="E35" s="22">
        <v>1456163</v>
      </c>
      <c r="F35" s="23">
        <f t="shared" ref="F35:F37" si="24">D35/E35</f>
        <v>1.2808862126011993</v>
      </c>
      <c r="G35" s="33"/>
      <c r="H35" s="23">
        <f t="shared" ref="H35:H37" si="25">F35*E35^0.5</f>
        <v>1545.6656190880276</v>
      </c>
      <c r="I35" s="23">
        <f t="shared" ref="I35:I37" si="26">E35^0.5</f>
        <v>1206.7157908969286</v>
      </c>
      <c r="J35" s="23">
        <f t="shared" ref="J35:J37" si="27">C35*E35^0.5</f>
        <v>405939.19205772679</v>
      </c>
      <c r="K35" s="23"/>
    </row>
    <row r="36" spans="2:11" x14ac:dyDescent="0.2">
      <c r="B36" s="14" t="s">
        <v>1163</v>
      </c>
      <c r="C36" s="23">
        <v>52</v>
      </c>
      <c r="D36" s="39">
        <v>18201.12</v>
      </c>
      <c r="E36" s="22">
        <v>6473</v>
      </c>
      <c r="F36" s="23">
        <f t="shared" si="24"/>
        <v>2.8118523095936969</v>
      </c>
      <c r="G36" s="33"/>
      <c r="H36" s="23">
        <f t="shared" si="25"/>
        <v>226.22745480863287</v>
      </c>
      <c r="I36" s="23">
        <f t="shared" si="26"/>
        <v>80.454956342042721</v>
      </c>
      <c r="J36" s="23">
        <f t="shared" si="27"/>
        <v>4183.6577297862214</v>
      </c>
      <c r="K36" s="23"/>
    </row>
    <row r="37" spans="2:11" x14ac:dyDescent="0.2">
      <c r="B37" s="14" t="s">
        <v>1164</v>
      </c>
      <c r="C37" s="23">
        <v>250</v>
      </c>
      <c r="D37" s="39">
        <v>1683.3</v>
      </c>
      <c r="E37" s="22">
        <v>711</v>
      </c>
      <c r="F37" s="23">
        <f t="shared" si="24"/>
        <v>2.3675105485232066</v>
      </c>
      <c r="G37" s="33"/>
      <c r="H37" s="23">
        <f t="shared" si="25"/>
        <v>63.128682120959198</v>
      </c>
      <c r="I37" s="23">
        <f t="shared" si="26"/>
        <v>26.664583251946766</v>
      </c>
      <c r="J37" s="23">
        <f t="shared" si="27"/>
        <v>6666.1458129866915</v>
      </c>
      <c r="K37" s="23"/>
    </row>
    <row r="38" spans="2:11" x14ac:dyDescent="0.2">
      <c r="B38" s="14" t="s">
        <v>1165</v>
      </c>
      <c r="C38" s="23">
        <v>350</v>
      </c>
      <c r="D38" s="39">
        <v>21524.17</v>
      </c>
      <c r="E38" s="22">
        <v>2295</v>
      </c>
      <c r="F38" s="23">
        <f t="shared" ref="F38" si="28">D38/E38</f>
        <v>9.3787233115468407</v>
      </c>
      <c r="G38" s="33"/>
      <c r="H38" s="23">
        <f t="shared" ref="H38" si="29">F38*E38^0.5</f>
        <v>449.29860331487475</v>
      </c>
      <c r="I38" s="23">
        <f t="shared" ref="I38" si="30">E38^0.5</f>
        <v>47.90615826801394</v>
      </c>
      <c r="J38" s="23">
        <f t="shared" ref="J38" si="31">C38*E38^0.5</f>
        <v>16767.155393804878</v>
      </c>
      <c r="K38" s="23"/>
    </row>
    <row r="39" spans="2:11" x14ac:dyDescent="0.2">
      <c r="B39" s="24" t="s">
        <v>862</v>
      </c>
      <c r="D39" s="34">
        <f>SUM(D9:D38)</f>
        <v>18856627.460000001</v>
      </c>
      <c r="E39" s="35">
        <f>SUM(E9:E38)</f>
        <v>28955926</v>
      </c>
    </row>
    <row r="41" spans="2:11" x14ac:dyDescent="0.2">
      <c r="B41" s="17" t="s">
        <v>979</v>
      </c>
      <c r="H41" s="220" t="s">
        <v>980</v>
      </c>
      <c r="I41" s="220"/>
    </row>
    <row r="43" spans="2:11" x14ac:dyDescent="0.2">
      <c r="B43" s="14" t="s">
        <v>981</v>
      </c>
      <c r="D43" s="36">
        <f>H43</f>
        <v>3.2189431776976189E-3</v>
      </c>
      <c r="H43" s="36">
        <f t="array" ref="H43:I45">LINEST(H9:H38,I9:J38,FALSE,TRUE)</f>
        <v>3.2189431776976189E-3</v>
      </c>
      <c r="I43" s="36">
        <v>0.38912259618696626</v>
      </c>
    </row>
    <row r="44" spans="2:11" x14ac:dyDescent="0.2">
      <c r="B44" s="14" t="s">
        <v>982</v>
      </c>
      <c r="D44" s="36">
        <f>I43</f>
        <v>0.38912259618696626</v>
      </c>
      <c r="H44" s="36">
        <v>1.1247976894424464E-3</v>
      </c>
      <c r="I44" s="36">
        <v>0.13055415630319928</v>
      </c>
    </row>
    <row r="45" spans="2:11" x14ac:dyDescent="0.2">
      <c r="B45" s="14" t="s">
        <v>983</v>
      </c>
      <c r="D45" s="37">
        <f>H45</f>
        <v>0.67128081558460673</v>
      </c>
      <c r="H45" s="36">
        <v>0.67128081558460673</v>
      </c>
      <c r="I45" s="36">
        <v>500.66255157104547</v>
      </c>
    </row>
    <row r="46" spans="2:11" x14ac:dyDescent="0.2">
      <c r="H46" s="36"/>
      <c r="I46" s="36"/>
    </row>
    <row r="47" spans="2:11" x14ac:dyDescent="0.2">
      <c r="B47" s="25" t="s">
        <v>984</v>
      </c>
      <c r="C47" s="38"/>
    </row>
    <row r="48" spans="2:11" x14ac:dyDescent="0.2">
      <c r="C48" s="38"/>
    </row>
    <row r="49" spans="1:13" x14ac:dyDescent="0.2">
      <c r="B49" s="14" t="s">
        <v>985</v>
      </c>
      <c r="C49" s="38"/>
      <c r="D49" s="33">
        <f>E39</f>
        <v>28955926</v>
      </c>
    </row>
    <row r="50" spans="1:13" x14ac:dyDescent="0.2">
      <c r="B50" s="14" t="s">
        <v>986</v>
      </c>
      <c r="C50" s="38"/>
      <c r="D50" s="39">
        <f>D44</f>
        <v>0.38912259618696626</v>
      </c>
      <c r="E50" s="26"/>
      <c r="F50" s="27"/>
    </row>
    <row r="51" spans="1:13" x14ac:dyDescent="0.2">
      <c r="B51" s="14" t="s">
        <v>987</v>
      </c>
      <c r="C51" s="38"/>
      <c r="D51" s="39">
        <f>MIN(F9:F38)</f>
        <v>6.9634424980959633E-2</v>
      </c>
    </row>
    <row r="52" spans="1:13" x14ac:dyDescent="0.2">
      <c r="B52" s="14" t="s">
        <v>988</v>
      </c>
      <c r="C52" s="38"/>
      <c r="D52" s="183" t="s">
        <v>996</v>
      </c>
    </row>
    <row r="53" spans="1:13" x14ac:dyDescent="0.2">
      <c r="B53" s="14" t="s">
        <v>990</v>
      </c>
      <c r="C53" s="38"/>
      <c r="D53" s="40">
        <f>IF(D52="Z",D49*D50,D49*D51)</f>
        <v>11267405.100117678</v>
      </c>
    </row>
    <row r="54" spans="1:13" x14ac:dyDescent="0.2">
      <c r="B54" s="14" t="s">
        <v>991</v>
      </c>
      <c r="C54" s="38"/>
      <c r="D54" s="40">
        <f>D39</f>
        <v>18856627.460000001</v>
      </c>
    </row>
    <row r="55" spans="1:13" x14ac:dyDescent="0.2">
      <c r="B55" s="14" t="s">
        <v>992</v>
      </c>
      <c r="C55" s="38"/>
      <c r="D55" s="41">
        <f>D53/D54</f>
        <v>0.59753023832171936</v>
      </c>
    </row>
    <row r="56" spans="1:13" x14ac:dyDescent="0.2">
      <c r="B56" s="14" t="s">
        <v>993</v>
      </c>
      <c r="C56" s="38"/>
      <c r="D56" s="42">
        <f>D55</f>
        <v>0.59753023832171936</v>
      </c>
    </row>
    <row r="57" spans="1:13" x14ac:dyDescent="0.2">
      <c r="B57" s="14" t="s">
        <v>994</v>
      </c>
      <c r="C57" s="38"/>
      <c r="D57" s="43">
        <f>1-D56</f>
        <v>0.40246976167828064</v>
      </c>
    </row>
    <row r="60" spans="1:13" x14ac:dyDescent="0.2">
      <c r="A60" s="13" t="s">
        <v>997</v>
      </c>
      <c r="B60" s="15"/>
      <c r="D60" s="31"/>
      <c r="E60" s="31"/>
      <c r="F60" s="31"/>
      <c r="G60" s="31"/>
      <c r="H60" s="31"/>
      <c r="I60" s="31"/>
      <c r="J60" s="31"/>
      <c r="K60" s="31"/>
      <c r="L60" s="32"/>
      <c r="M60" s="31"/>
    </row>
    <row r="61" spans="1:13" x14ac:dyDescent="0.2">
      <c r="C61" s="227"/>
      <c r="F61" s="55" t="s">
        <v>969</v>
      </c>
      <c r="I61" s="55" t="s">
        <v>970</v>
      </c>
    </row>
    <row r="62" spans="1:13" x14ac:dyDescent="0.2">
      <c r="C62" s="194"/>
      <c r="D62" s="55"/>
      <c r="E62" s="16"/>
      <c r="F62" s="55" t="s">
        <v>971</v>
      </c>
      <c r="H62" s="55"/>
      <c r="I62" s="55"/>
      <c r="J62" s="55"/>
      <c r="K62" s="55"/>
    </row>
    <row r="63" spans="1:13" x14ac:dyDescent="0.2">
      <c r="B63" s="17" t="s">
        <v>6</v>
      </c>
      <c r="C63" s="18" t="s">
        <v>972</v>
      </c>
      <c r="D63" s="114" t="s">
        <v>973</v>
      </c>
      <c r="E63" s="19" t="s">
        <v>974</v>
      </c>
      <c r="F63" s="114" t="s">
        <v>975</v>
      </c>
      <c r="H63" s="20" t="s">
        <v>976</v>
      </c>
      <c r="I63" s="20" t="s">
        <v>977</v>
      </c>
      <c r="J63" s="20" t="s">
        <v>978</v>
      </c>
      <c r="K63" s="21"/>
    </row>
    <row r="64" spans="1:13" x14ac:dyDescent="0.2">
      <c r="B64" s="14" t="s">
        <v>1063</v>
      </c>
      <c r="C64" s="23">
        <v>105.53</v>
      </c>
      <c r="D64" s="39">
        <v>4505851.07</v>
      </c>
      <c r="E64" s="22">
        <v>836407</v>
      </c>
      <c r="F64" s="23">
        <f t="shared" ref="F64:F68" si="32">D64/E64</f>
        <v>5.3871513150894241</v>
      </c>
      <c r="G64" s="33"/>
      <c r="H64" s="23">
        <f t="shared" ref="H64:H68" si="33">F64*E64^0.5</f>
        <v>4926.8348376363901</v>
      </c>
      <c r="I64" s="23">
        <f t="shared" ref="I64:I68" si="34">E64^0.5</f>
        <v>914.55289622853422</v>
      </c>
      <c r="J64" s="23">
        <f t="shared" ref="J64:J68" si="35">C64*E64^0.5</f>
        <v>96512.767138997224</v>
      </c>
      <c r="K64" s="23"/>
    </row>
    <row r="65" spans="2:11" x14ac:dyDescent="0.2">
      <c r="B65" s="14" t="s">
        <v>1064</v>
      </c>
      <c r="C65" s="23">
        <v>66.37</v>
      </c>
      <c r="D65" s="39">
        <v>40639.43</v>
      </c>
      <c r="E65" s="22">
        <v>4732</v>
      </c>
      <c r="F65" s="23">
        <f t="shared" ref="F65" si="36">D65/E65</f>
        <v>8.5882142857142849</v>
      </c>
      <c r="G65" s="33"/>
      <c r="H65" s="23">
        <f t="shared" ref="H65" si="37">F65*E65^0.5</f>
        <v>590.77925935943767</v>
      </c>
      <c r="I65" s="23">
        <f t="shared" ref="I65" si="38">E65^0.5</f>
        <v>68.789534087679357</v>
      </c>
      <c r="J65" s="23">
        <f t="shared" ref="J65" si="39">C65*E65^0.5</f>
        <v>4565.5613773992791</v>
      </c>
      <c r="K65" s="23"/>
    </row>
    <row r="66" spans="2:11" x14ac:dyDescent="0.2">
      <c r="B66" s="14" t="s">
        <v>1065</v>
      </c>
      <c r="C66" s="23">
        <v>350</v>
      </c>
      <c r="D66" s="39">
        <v>82287.91</v>
      </c>
      <c r="E66" s="22">
        <v>12635</v>
      </c>
      <c r="F66" s="23">
        <f t="shared" si="32"/>
        <v>6.512695686584884</v>
      </c>
      <c r="G66" s="33"/>
      <c r="H66" s="23">
        <f t="shared" si="33"/>
        <v>732.06291841281313</v>
      </c>
      <c r="I66" s="23">
        <f t="shared" si="34"/>
        <v>112.4055158788927</v>
      </c>
      <c r="J66" s="23">
        <f t="shared" si="35"/>
        <v>39341.930557612446</v>
      </c>
      <c r="K66" s="23"/>
    </row>
    <row r="67" spans="2:11" x14ac:dyDescent="0.2">
      <c r="B67" s="14" t="s">
        <v>1066</v>
      </c>
      <c r="C67" s="23">
        <v>250</v>
      </c>
      <c r="D67" s="39">
        <v>9121.2199999999993</v>
      </c>
      <c r="E67" s="22">
        <v>5084</v>
      </c>
      <c r="F67" s="23">
        <f t="shared" ref="F67" si="40">D67/E67</f>
        <v>1.7941030684500392</v>
      </c>
      <c r="G67" s="33"/>
      <c r="H67" s="23">
        <f t="shared" ref="H67" si="41">F67*E67^0.5</f>
        <v>127.9234489450932</v>
      </c>
      <c r="I67" s="23">
        <f t="shared" ref="I67" si="42">E67^0.5</f>
        <v>71.302173879903549</v>
      </c>
      <c r="J67" s="23">
        <f t="shared" ref="J67" si="43">C67*E67^0.5</f>
        <v>17825.543469975888</v>
      </c>
      <c r="K67" s="23"/>
    </row>
    <row r="68" spans="2:11" x14ac:dyDescent="0.2">
      <c r="B68" s="14" t="s">
        <v>1067</v>
      </c>
      <c r="C68" s="23">
        <v>66.37</v>
      </c>
      <c r="D68" s="39">
        <v>9054.11</v>
      </c>
      <c r="E68" s="22">
        <v>17170</v>
      </c>
      <c r="F68" s="23">
        <f t="shared" si="32"/>
        <v>0.52732149097262671</v>
      </c>
      <c r="G68" s="33"/>
      <c r="H68" s="23">
        <f t="shared" si="33"/>
        <v>69.097227040093074</v>
      </c>
      <c r="I68" s="23">
        <f t="shared" si="34"/>
        <v>131.03434664239754</v>
      </c>
      <c r="J68" s="23">
        <f t="shared" si="35"/>
        <v>8696.7495866559257</v>
      </c>
      <c r="K68" s="23"/>
    </row>
    <row r="69" spans="2:11" x14ac:dyDescent="0.2">
      <c r="B69" s="14" t="s">
        <v>1068</v>
      </c>
      <c r="C69" s="23">
        <v>133.072</v>
      </c>
      <c r="D69" s="39">
        <v>1446.13</v>
      </c>
      <c r="E69" s="22">
        <v>1668</v>
      </c>
      <c r="F69" s="23">
        <f t="shared" ref="F69" si="44">D69/E69</f>
        <v>0.866984412470024</v>
      </c>
      <c r="G69" s="33"/>
      <c r="H69" s="23">
        <f t="shared" ref="H69" si="45">F69*E69^0.5</f>
        <v>35.408645390713211</v>
      </c>
      <c r="I69" s="23">
        <f t="shared" ref="I69" si="46">E69^0.5</f>
        <v>40.841155713324277</v>
      </c>
      <c r="J69" s="23">
        <f t="shared" ref="J69" si="47">C69*E69^0.5</f>
        <v>5434.8142730834879</v>
      </c>
      <c r="K69" s="23"/>
    </row>
    <row r="70" spans="2:11" x14ac:dyDescent="0.2">
      <c r="B70" s="14" t="s">
        <v>1069</v>
      </c>
      <c r="C70" s="23">
        <v>105.53</v>
      </c>
      <c r="D70" s="39">
        <v>101079.18</v>
      </c>
      <c r="E70" s="22">
        <v>109008</v>
      </c>
      <c r="F70" s="23">
        <f t="shared" ref="F70" si="48">D70/E70</f>
        <v>0.92726387054161152</v>
      </c>
      <c r="G70" s="33"/>
      <c r="H70" s="23">
        <f t="shared" ref="H70" si="49">F70*E70^0.5</f>
        <v>306.14877376525982</v>
      </c>
      <c r="I70" s="23">
        <f t="shared" ref="I70" si="50">E70^0.5</f>
        <v>330.16359581274253</v>
      </c>
      <c r="J70" s="23">
        <f t="shared" ref="J70" si="51">C70*E70^0.5</f>
        <v>34842.164266118722</v>
      </c>
      <c r="K70" s="23"/>
    </row>
    <row r="71" spans="2:11" x14ac:dyDescent="0.2">
      <c r="B71" s="14" t="s">
        <v>1070</v>
      </c>
      <c r="C71" s="23">
        <v>211.6</v>
      </c>
      <c r="D71" s="23">
        <v>86401.99</v>
      </c>
      <c r="E71" s="22">
        <v>16739</v>
      </c>
      <c r="F71" s="23">
        <f t="shared" ref="F71" si="52">D71/E71</f>
        <v>5.1617175458510065</v>
      </c>
      <c r="G71" s="33"/>
      <c r="H71" s="23">
        <f t="shared" ref="H71" si="53">F71*E71^0.5</f>
        <v>667.81933768006695</v>
      </c>
      <c r="I71" s="23">
        <f t="shared" ref="I71" si="54">E71^0.5</f>
        <v>129.37928736857381</v>
      </c>
      <c r="J71" s="23">
        <f t="shared" ref="J71" si="55">C71*E71^0.5</f>
        <v>27376.657207190219</v>
      </c>
      <c r="K71" s="23"/>
    </row>
    <row r="72" spans="2:11" x14ac:dyDescent="0.2">
      <c r="B72" s="24" t="s">
        <v>862</v>
      </c>
      <c r="C72" s="177"/>
      <c r="D72" s="34">
        <f>SUM(D64:D71)</f>
        <v>4835881.04</v>
      </c>
      <c r="E72" s="35">
        <f>SUM(E64:E71)</f>
        <v>1003443</v>
      </c>
    </row>
    <row r="74" spans="2:11" x14ac:dyDescent="0.2">
      <c r="B74" s="17" t="s">
        <v>979</v>
      </c>
      <c r="H74" s="220" t="s">
        <v>980</v>
      </c>
      <c r="I74" s="220"/>
    </row>
    <row r="76" spans="2:11" x14ac:dyDescent="0.2">
      <c r="B76" s="14" t="s">
        <v>981</v>
      </c>
      <c r="D76" s="36">
        <f>H76</f>
        <v>5.2963986451495196E-3</v>
      </c>
      <c r="H76" s="36">
        <f t="array" ref="H76:I78">LINEST(H64:H71,I64:J71,FALSE,TRUE)</f>
        <v>5.2963986451495196E-3</v>
      </c>
      <c r="I76" s="36">
        <v>4.2350917426815036</v>
      </c>
    </row>
    <row r="77" spans="2:11" x14ac:dyDescent="0.2">
      <c r="B77" s="14" t="s">
        <v>982</v>
      </c>
      <c r="D77" s="36">
        <f>I76</f>
        <v>4.2350917426815036</v>
      </c>
      <c r="H77" s="36">
        <v>1.9352247167719213E-2</v>
      </c>
      <c r="I77" s="36">
        <v>2.2254405728515612</v>
      </c>
    </row>
    <row r="78" spans="2:11" x14ac:dyDescent="0.2">
      <c r="B78" s="14" t="s">
        <v>983</v>
      </c>
      <c r="D78" s="37">
        <f>H78</f>
        <v>0.90725554803192154</v>
      </c>
      <c r="H78" s="36">
        <v>0.90725554803192154</v>
      </c>
      <c r="I78" s="36">
        <v>630.53627256473612</v>
      </c>
    </row>
    <row r="79" spans="2:11" x14ac:dyDescent="0.2">
      <c r="H79" s="36"/>
      <c r="I79" s="36"/>
    </row>
    <row r="80" spans="2:11" x14ac:dyDescent="0.2">
      <c r="B80" s="25" t="s">
        <v>984</v>
      </c>
      <c r="C80" s="38"/>
    </row>
    <row r="81" spans="1:13" x14ac:dyDescent="0.2">
      <c r="C81" s="38"/>
    </row>
    <row r="82" spans="1:13" x14ac:dyDescent="0.2">
      <c r="B82" s="14" t="s">
        <v>985</v>
      </c>
      <c r="C82" s="38"/>
      <c r="D82" s="33">
        <f>E72</f>
        <v>1003443</v>
      </c>
    </row>
    <row r="83" spans="1:13" x14ac:dyDescent="0.2">
      <c r="B83" s="14" t="s">
        <v>986</v>
      </c>
      <c r="C83" s="38"/>
      <c r="D83" s="39">
        <f>D77</f>
        <v>4.2350917426815036</v>
      </c>
      <c r="E83" s="26"/>
      <c r="F83" s="27"/>
    </row>
    <row r="84" spans="1:13" x14ac:dyDescent="0.2">
      <c r="B84" s="14" t="s">
        <v>987</v>
      </c>
      <c r="C84" s="38"/>
      <c r="D84" s="39">
        <f>MIN(F64:F71)</f>
        <v>0.52732149097262671</v>
      </c>
    </row>
    <row r="85" spans="1:13" x14ac:dyDescent="0.2">
      <c r="B85" s="14" t="s">
        <v>988</v>
      </c>
      <c r="C85" s="38"/>
      <c r="D85" s="183" t="s">
        <v>996</v>
      </c>
    </row>
    <row r="86" spans="1:13" x14ac:dyDescent="0.2">
      <c r="B86" s="14" t="s">
        <v>990</v>
      </c>
      <c r="C86" s="38"/>
      <c r="D86" s="40">
        <f>IF(D85="Z",D82*D83,D82*D84)</f>
        <v>4249673.1635515559</v>
      </c>
    </row>
    <row r="87" spans="1:13" x14ac:dyDescent="0.2">
      <c r="B87" s="14" t="s">
        <v>991</v>
      </c>
      <c r="C87" s="38"/>
      <c r="D87" s="40">
        <f>D72</f>
        <v>4835881.04</v>
      </c>
    </row>
    <row r="88" spans="1:13" x14ac:dyDescent="0.2">
      <c r="B88" s="14" t="s">
        <v>992</v>
      </c>
      <c r="C88" s="38"/>
      <c r="D88" s="41">
        <f>D86/D87</f>
        <v>0.87877950851155673</v>
      </c>
    </row>
    <row r="89" spans="1:13" x14ac:dyDescent="0.2">
      <c r="B89" s="14" t="s">
        <v>993</v>
      </c>
      <c r="C89" s="38"/>
      <c r="D89" s="42">
        <f>D88</f>
        <v>0.87877950851155673</v>
      </c>
    </row>
    <row r="90" spans="1:13" x14ac:dyDescent="0.2">
      <c r="B90" s="14" t="s">
        <v>994</v>
      </c>
      <c r="C90" s="38"/>
      <c r="D90" s="43">
        <f>1-D89</f>
        <v>0.12122049148844327</v>
      </c>
    </row>
    <row r="93" spans="1:13" x14ac:dyDescent="0.2">
      <c r="A93" s="13" t="s">
        <v>998</v>
      </c>
      <c r="B93" s="15"/>
      <c r="C93" s="31"/>
      <c r="D93" s="31"/>
      <c r="E93" s="31"/>
      <c r="F93" s="31"/>
      <c r="G93" s="31"/>
      <c r="H93" s="31"/>
      <c r="I93" s="31"/>
      <c r="J93" s="31"/>
      <c r="K93" s="31"/>
      <c r="L93" s="32"/>
      <c r="M93" s="31"/>
    </row>
    <row r="94" spans="1:13" x14ac:dyDescent="0.2">
      <c r="C94" s="227"/>
      <c r="F94" s="55" t="s">
        <v>969</v>
      </c>
      <c r="I94" s="55" t="s">
        <v>970</v>
      </c>
      <c r="L94" s="221" t="s">
        <v>999</v>
      </c>
      <c r="M94" s="221"/>
    </row>
    <row r="95" spans="1:13" x14ac:dyDescent="0.2">
      <c r="D95" s="55"/>
      <c r="E95" s="16"/>
      <c r="F95" s="55" t="s">
        <v>971</v>
      </c>
      <c r="H95" s="55"/>
      <c r="I95" s="55"/>
      <c r="J95" s="55"/>
      <c r="K95" s="55"/>
    </row>
    <row r="96" spans="1:13" x14ac:dyDescent="0.2">
      <c r="B96" s="17" t="s">
        <v>6</v>
      </c>
      <c r="C96" s="18" t="s">
        <v>972</v>
      </c>
      <c r="D96" s="114" t="s">
        <v>973</v>
      </c>
      <c r="E96" s="19" t="s">
        <v>974</v>
      </c>
      <c r="F96" s="114" t="s">
        <v>975</v>
      </c>
      <c r="H96" s="20" t="s">
        <v>976</v>
      </c>
      <c r="I96" s="20" t="s">
        <v>977</v>
      </c>
      <c r="J96" s="20" t="s">
        <v>978</v>
      </c>
      <c r="K96" s="21"/>
      <c r="L96" s="19" t="s">
        <v>1000</v>
      </c>
      <c r="M96" s="28" t="s">
        <v>1001</v>
      </c>
    </row>
    <row r="97" spans="2:13" x14ac:dyDescent="0.2">
      <c r="B97" s="14" t="s">
        <v>1071</v>
      </c>
      <c r="C97" s="23">
        <v>100</v>
      </c>
      <c r="D97" s="39">
        <v>123192.17</v>
      </c>
      <c r="E97" s="22">
        <v>80</v>
      </c>
      <c r="F97" s="23">
        <f t="shared" ref="F97:F166" si="56">D97/E97</f>
        <v>1539.9021250000001</v>
      </c>
      <c r="G97" s="33"/>
      <c r="H97" s="23">
        <f t="shared" ref="H97" si="57">F97*E97^0.5</f>
        <v>13773.303320785515</v>
      </c>
      <c r="I97" s="23">
        <f t="shared" ref="I97" si="58">E97^0.5</f>
        <v>8.9442719099991592</v>
      </c>
      <c r="J97" s="23">
        <f t="shared" ref="J97" si="59">C97*E97^0.5</f>
        <v>894.42719099991587</v>
      </c>
      <c r="K97" s="23"/>
      <c r="L97" s="27">
        <f t="shared" ref="L97:L166" si="60">IF(C97&gt;50,0,1)</f>
        <v>0</v>
      </c>
      <c r="M97" s="33">
        <f t="shared" ref="M97" si="61">L97*E97</f>
        <v>0</v>
      </c>
    </row>
    <row r="98" spans="2:13" x14ac:dyDescent="0.2">
      <c r="B98" s="14" t="s">
        <v>1072</v>
      </c>
      <c r="C98" s="23">
        <v>15</v>
      </c>
      <c r="D98" s="39">
        <v>2835199.75</v>
      </c>
      <c r="E98" s="22">
        <v>2695</v>
      </c>
      <c r="F98" s="23">
        <f t="shared" ref="F98:F162" si="62">D98/E98</f>
        <v>1052.0221706864563</v>
      </c>
      <c r="G98" s="33"/>
      <c r="H98" s="23">
        <f t="shared" ref="H98:H162" si="63">F98*E98^0.5</f>
        <v>54614.03661445195</v>
      </c>
      <c r="I98" s="23">
        <f t="shared" ref="I98:I162" si="64">E98^0.5</f>
        <v>51.913389409669641</v>
      </c>
      <c r="J98" s="23">
        <f t="shared" ref="J98:J162" si="65">C98*E98^0.5</f>
        <v>778.70084114504459</v>
      </c>
      <c r="K98" s="23"/>
      <c r="L98" s="27">
        <f t="shared" ref="L98:L162" si="66">IF(C98&gt;50,0,1)</f>
        <v>1</v>
      </c>
      <c r="M98" s="33">
        <f t="shared" ref="M98:M162" si="67">L98*E98</f>
        <v>2695</v>
      </c>
    </row>
    <row r="99" spans="2:13" x14ac:dyDescent="0.2">
      <c r="B99" s="14" t="s">
        <v>1073</v>
      </c>
      <c r="C99" s="23">
        <v>1000</v>
      </c>
      <c r="D99" s="39">
        <v>126895.78</v>
      </c>
      <c r="E99" s="22">
        <v>9</v>
      </c>
      <c r="F99" s="23">
        <f t="shared" ref="F99:F143" si="68">D99/E99</f>
        <v>14099.531111111111</v>
      </c>
      <c r="G99" s="33"/>
      <c r="H99" s="23">
        <f t="shared" ref="H99:H143" si="69">F99*E99^0.5</f>
        <v>42298.593333333338</v>
      </c>
      <c r="I99" s="23">
        <f t="shared" ref="I99:I143" si="70">E99^0.5</f>
        <v>3</v>
      </c>
      <c r="J99" s="23">
        <f t="shared" ref="J99:J143" si="71">C99*E99^0.5</f>
        <v>3000</v>
      </c>
      <c r="K99" s="23"/>
      <c r="L99" s="27">
        <f t="shared" ref="L99:L143" si="72">IF(C99&gt;50,0,1)</f>
        <v>0</v>
      </c>
      <c r="M99" s="33">
        <f t="shared" ref="M99:M143" si="73">L99*E99</f>
        <v>0</v>
      </c>
    </row>
    <row r="100" spans="2:13" x14ac:dyDescent="0.2">
      <c r="B100" s="14" t="s">
        <v>1074</v>
      </c>
      <c r="C100" s="23">
        <v>75</v>
      </c>
      <c r="D100" s="39">
        <v>15787.17</v>
      </c>
      <c r="E100" s="22">
        <v>7</v>
      </c>
      <c r="F100" s="23">
        <f t="shared" si="68"/>
        <v>2255.31</v>
      </c>
      <c r="G100" s="33"/>
      <c r="H100" s="23">
        <f t="shared" si="69"/>
        <v>5966.9893893570816</v>
      </c>
      <c r="I100" s="23">
        <f t="shared" si="70"/>
        <v>2.6457513110645907</v>
      </c>
      <c r="J100" s="23">
        <f t="shared" si="71"/>
        <v>198.4313483298443</v>
      </c>
      <c r="K100" s="23"/>
      <c r="L100" s="27">
        <f t="shared" si="72"/>
        <v>0</v>
      </c>
      <c r="M100" s="33">
        <f t="shared" si="73"/>
        <v>0</v>
      </c>
    </row>
    <row r="101" spans="2:13" x14ac:dyDescent="0.2">
      <c r="B101" s="14" t="s">
        <v>1075</v>
      </c>
      <c r="C101" s="23">
        <v>15</v>
      </c>
      <c r="D101" s="39">
        <v>142919.72</v>
      </c>
      <c r="E101" s="22">
        <v>92</v>
      </c>
      <c r="F101" s="23">
        <f t="shared" si="68"/>
        <v>1553.4752173913043</v>
      </c>
      <c r="G101" s="33"/>
      <c r="H101" s="23">
        <f t="shared" si="69"/>
        <v>14900.410836500592</v>
      </c>
      <c r="I101" s="23">
        <f t="shared" si="70"/>
        <v>9.5916630466254382</v>
      </c>
      <c r="J101" s="23">
        <f t="shared" si="71"/>
        <v>143.87494569938158</v>
      </c>
      <c r="K101" s="23"/>
      <c r="L101" s="27">
        <f t="shared" si="72"/>
        <v>1</v>
      </c>
      <c r="M101" s="33">
        <f t="shared" si="73"/>
        <v>92</v>
      </c>
    </row>
    <row r="102" spans="2:13" x14ac:dyDescent="0.2">
      <c r="B102" s="14" t="s">
        <v>1076</v>
      </c>
      <c r="C102" s="23">
        <v>50</v>
      </c>
      <c r="D102" s="39">
        <v>194529.68</v>
      </c>
      <c r="E102" s="22">
        <v>143</v>
      </c>
      <c r="F102" s="23">
        <f t="shared" si="68"/>
        <v>1360.3474125874125</v>
      </c>
      <c r="G102" s="33"/>
      <c r="H102" s="23">
        <f t="shared" si="69"/>
        <v>16267.389060923615</v>
      </c>
      <c r="I102" s="23">
        <f t="shared" si="70"/>
        <v>11.958260743101398</v>
      </c>
      <c r="J102" s="23">
        <f t="shared" si="71"/>
        <v>597.9130371550699</v>
      </c>
      <c r="K102" s="23"/>
      <c r="L102" s="27">
        <f t="shared" si="72"/>
        <v>1</v>
      </c>
      <c r="M102" s="33">
        <f t="shared" si="73"/>
        <v>143</v>
      </c>
    </row>
    <row r="103" spans="2:13" x14ac:dyDescent="0.2">
      <c r="B103" s="14" t="s">
        <v>1077</v>
      </c>
      <c r="C103" s="23">
        <v>167</v>
      </c>
      <c r="D103" s="39">
        <v>101964.74</v>
      </c>
      <c r="E103" s="22">
        <v>44</v>
      </c>
      <c r="F103" s="23">
        <f t="shared" si="68"/>
        <v>2317.3804545454545</v>
      </c>
      <c r="G103" s="33"/>
      <c r="H103" s="23">
        <f t="shared" si="69"/>
        <v>15371.762928461039</v>
      </c>
      <c r="I103" s="23">
        <f t="shared" si="70"/>
        <v>6.6332495807107996</v>
      </c>
      <c r="J103" s="23">
        <f t="shared" si="71"/>
        <v>1107.7526799787036</v>
      </c>
      <c r="K103" s="23"/>
      <c r="L103" s="27">
        <f t="shared" si="72"/>
        <v>0</v>
      </c>
      <c r="M103" s="33">
        <f t="shared" si="73"/>
        <v>0</v>
      </c>
    </row>
    <row r="104" spans="2:13" x14ac:dyDescent="0.2">
      <c r="B104" s="14" t="s">
        <v>1078</v>
      </c>
      <c r="C104" s="23">
        <v>50</v>
      </c>
      <c r="D104" s="39">
        <v>152759.97</v>
      </c>
      <c r="E104" s="22">
        <v>85</v>
      </c>
      <c r="F104" s="23">
        <f t="shared" si="68"/>
        <v>1797.1761176470588</v>
      </c>
      <c r="G104" s="33"/>
      <c r="H104" s="23">
        <f t="shared" si="69"/>
        <v>16569.145114232091</v>
      </c>
      <c r="I104" s="23">
        <f t="shared" si="70"/>
        <v>9.2195444572928871</v>
      </c>
      <c r="J104" s="23">
        <f t="shared" si="71"/>
        <v>460.97722286464438</v>
      </c>
      <c r="K104" s="23"/>
      <c r="L104" s="27">
        <f t="shared" si="72"/>
        <v>1</v>
      </c>
      <c r="M104" s="33">
        <f t="shared" si="73"/>
        <v>85</v>
      </c>
    </row>
    <row r="105" spans="2:13" x14ac:dyDescent="0.2">
      <c r="B105" s="14" t="s">
        <v>1079</v>
      </c>
      <c r="C105" s="23">
        <v>25</v>
      </c>
      <c r="D105" s="39">
        <v>699243.7</v>
      </c>
      <c r="E105" s="22">
        <v>423</v>
      </c>
      <c r="F105" s="23">
        <f t="shared" si="68"/>
        <v>1653.058392434988</v>
      </c>
      <c r="G105" s="33"/>
      <c r="H105" s="23">
        <f t="shared" si="69"/>
        <v>33998.392118485441</v>
      </c>
      <c r="I105" s="23">
        <f t="shared" si="70"/>
        <v>20.566963801203133</v>
      </c>
      <c r="J105" s="23">
        <f t="shared" si="71"/>
        <v>514.17409503007832</v>
      </c>
      <c r="K105" s="23"/>
      <c r="L105" s="27">
        <f t="shared" si="72"/>
        <v>1</v>
      </c>
      <c r="M105" s="33">
        <f t="shared" si="73"/>
        <v>423</v>
      </c>
    </row>
    <row r="106" spans="2:13" x14ac:dyDescent="0.2">
      <c r="B106" s="14" t="s">
        <v>1080</v>
      </c>
      <c r="C106" s="23">
        <v>15</v>
      </c>
      <c r="D106" s="39">
        <v>3347499.34</v>
      </c>
      <c r="E106" s="22">
        <v>3568</v>
      </c>
      <c r="F106" s="23">
        <f t="shared" si="68"/>
        <v>938.20048766816137</v>
      </c>
      <c r="G106" s="33"/>
      <c r="H106" s="23">
        <f t="shared" si="69"/>
        <v>56041.284007924442</v>
      </c>
      <c r="I106" s="23">
        <f t="shared" si="70"/>
        <v>59.732738092272314</v>
      </c>
      <c r="J106" s="23">
        <f t="shared" si="71"/>
        <v>895.99107138408476</v>
      </c>
      <c r="K106" s="23"/>
      <c r="L106" s="27">
        <f t="shared" si="72"/>
        <v>1</v>
      </c>
      <c r="M106" s="33">
        <f t="shared" si="73"/>
        <v>3568</v>
      </c>
    </row>
    <row r="107" spans="2:13" x14ac:dyDescent="0.2">
      <c r="B107" s="14" t="s">
        <v>1081</v>
      </c>
      <c r="C107" s="23">
        <v>10.15</v>
      </c>
      <c r="D107" s="39">
        <v>764225.94</v>
      </c>
      <c r="E107" s="22">
        <v>1145</v>
      </c>
      <c r="F107" s="23">
        <f t="shared" si="68"/>
        <v>667.44623580786026</v>
      </c>
      <c r="G107" s="33"/>
      <c r="H107" s="23">
        <f t="shared" si="69"/>
        <v>22584.94469684891</v>
      </c>
      <c r="I107" s="23">
        <f t="shared" si="70"/>
        <v>33.837848631377263</v>
      </c>
      <c r="J107" s="23">
        <f t="shared" si="71"/>
        <v>343.45416360847923</v>
      </c>
      <c r="K107" s="23"/>
      <c r="L107" s="27">
        <f t="shared" si="72"/>
        <v>1</v>
      </c>
      <c r="M107" s="33">
        <f t="shared" si="73"/>
        <v>1145</v>
      </c>
    </row>
    <row r="108" spans="2:13" x14ac:dyDescent="0.2">
      <c r="B108" s="14" t="s">
        <v>1082</v>
      </c>
      <c r="C108" s="23">
        <v>15</v>
      </c>
      <c r="D108" s="39">
        <v>844170.04</v>
      </c>
      <c r="E108" s="22">
        <v>2066</v>
      </c>
      <c r="F108" s="23">
        <f t="shared" si="68"/>
        <v>408.60118102613745</v>
      </c>
      <c r="G108" s="33"/>
      <c r="H108" s="23">
        <f t="shared" si="69"/>
        <v>18572.260910586028</v>
      </c>
      <c r="I108" s="23">
        <f t="shared" si="70"/>
        <v>45.453272709454048</v>
      </c>
      <c r="J108" s="23">
        <f t="shared" si="71"/>
        <v>681.79909064181072</v>
      </c>
      <c r="K108" s="23"/>
      <c r="L108" s="27">
        <f t="shared" si="72"/>
        <v>1</v>
      </c>
      <c r="M108" s="33">
        <f t="shared" si="73"/>
        <v>2066</v>
      </c>
    </row>
    <row r="109" spans="2:13" x14ac:dyDescent="0.2">
      <c r="B109" s="14" t="s">
        <v>1083</v>
      </c>
      <c r="C109" s="23">
        <v>10</v>
      </c>
      <c r="D109" s="39">
        <v>194624.7</v>
      </c>
      <c r="E109" s="22">
        <v>698</v>
      </c>
      <c r="F109" s="23">
        <f t="shared" si="68"/>
        <v>278.8319484240688</v>
      </c>
      <c r="G109" s="33"/>
      <c r="H109" s="23">
        <f t="shared" si="69"/>
        <v>7366.6535355241094</v>
      </c>
      <c r="I109" s="23">
        <f t="shared" si="70"/>
        <v>26.419689627245813</v>
      </c>
      <c r="J109" s="23">
        <f t="shared" si="71"/>
        <v>264.1968962724581</v>
      </c>
      <c r="K109" s="23"/>
      <c r="L109" s="27">
        <f t="shared" si="72"/>
        <v>1</v>
      </c>
      <c r="M109" s="33">
        <f t="shared" si="73"/>
        <v>698</v>
      </c>
    </row>
    <row r="110" spans="2:13" x14ac:dyDescent="0.2">
      <c r="B110" s="14" t="s">
        <v>1084</v>
      </c>
      <c r="C110" s="23">
        <v>25</v>
      </c>
      <c r="D110" s="39">
        <v>6129.12</v>
      </c>
      <c r="E110" s="22">
        <v>14</v>
      </c>
      <c r="F110" s="23">
        <f t="shared" si="68"/>
        <v>437.79428571428571</v>
      </c>
      <c r="G110" s="33"/>
      <c r="H110" s="23">
        <f t="shared" si="69"/>
        <v>1638.0762230302785</v>
      </c>
      <c r="I110" s="23">
        <f t="shared" si="70"/>
        <v>3.7416573867739413</v>
      </c>
      <c r="J110" s="23">
        <f t="shared" si="71"/>
        <v>93.541434669348533</v>
      </c>
      <c r="K110" s="23"/>
      <c r="L110" s="27">
        <f t="shared" si="72"/>
        <v>1</v>
      </c>
      <c r="M110" s="33">
        <f t="shared" si="73"/>
        <v>14</v>
      </c>
    </row>
    <row r="111" spans="2:13" x14ac:dyDescent="0.2">
      <c r="B111" s="14" t="s">
        <v>1085</v>
      </c>
      <c r="C111" s="23">
        <v>10</v>
      </c>
      <c r="D111" s="39">
        <v>553745.11</v>
      </c>
      <c r="E111" s="22">
        <v>1157</v>
      </c>
      <c r="F111" s="23">
        <f t="shared" si="68"/>
        <v>478.60424373379431</v>
      </c>
      <c r="G111" s="33"/>
      <c r="H111" s="23">
        <f t="shared" si="69"/>
        <v>16279.581063185773</v>
      </c>
      <c r="I111" s="23">
        <f t="shared" si="70"/>
        <v>34.014702703389901</v>
      </c>
      <c r="J111" s="23">
        <f t="shared" si="71"/>
        <v>340.14702703389901</v>
      </c>
      <c r="K111" s="23"/>
      <c r="L111" s="27">
        <f t="shared" si="72"/>
        <v>1</v>
      </c>
      <c r="M111" s="33">
        <f t="shared" si="73"/>
        <v>1157</v>
      </c>
    </row>
    <row r="112" spans="2:13" x14ac:dyDescent="0.2">
      <c r="B112" s="14" t="s">
        <v>1086</v>
      </c>
      <c r="C112" s="23">
        <v>10</v>
      </c>
      <c r="D112" s="39">
        <v>2519.9499999999998</v>
      </c>
      <c r="E112" s="22">
        <v>3</v>
      </c>
      <c r="F112" s="23">
        <f t="shared" si="68"/>
        <v>839.98333333333323</v>
      </c>
      <c r="G112" s="33"/>
      <c r="H112" s="23">
        <f t="shared" si="69"/>
        <v>1454.8938108443972</v>
      </c>
      <c r="I112" s="23">
        <f t="shared" si="70"/>
        <v>1.7320508075688772</v>
      </c>
      <c r="J112" s="23">
        <f t="shared" si="71"/>
        <v>17.320508075688771</v>
      </c>
      <c r="K112" s="23"/>
      <c r="L112" s="27">
        <f t="shared" si="72"/>
        <v>1</v>
      </c>
      <c r="M112" s="33">
        <f t="shared" si="73"/>
        <v>3</v>
      </c>
    </row>
    <row r="113" spans="2:13" x14ac:dyDescent="0.2">
      <c r="B113" s="14" t="s">
        <v>1087</v>
      </c>
      <c r="C113" s="23">
        <v>50</v>
      </c>
      <c r="D113" s="39">
        <v>456557.8</v>
      </c>
      <c r="E113" s="22">
        <v>388</v>
      </c>
      <c r="F113" s="23">
        <f t="shared" si="68"/>
        <v>1176.6953608247422</v>
      </c>
      <c r="G113" s="33"/>
      <c r="H113" s="23">
        <f t="shared" si="69"/>
        <v>23178.210569592087</v>
      </c>
      <c r="I113" s="23">
        <f t="shared" si="70"/>
        <v>19.697715603592208</v>
      </c>
      <c r="J113" s="23">
        <f t="shared" si="71"/>
        <v>984.88578017961038</v>
      </c>
      <c r="K113" s="23"/>
      <c r="L113" s="27">
        <f t="shared" si="72"/>
        <v>1</v>
      </c>
      <c r="M113" s="33">
        <f t="shared" si="73"/>
        <v>388</v>
      </c>
    </row>
    <row r="114" spans="2:13" x14ac:dyDescent="0.2">
      <c r="B114" s="14" t="s">
        <v>1088</v>
      </c>
      <c r="C114" s="23">
        <v>10</v>
      </c>
      <c r="D114" s="39">
        <v>3428.15</v>
      </c>
      <c r="E114" s="22">
        <v>11</v>
      </c>
      <c r="F114" s="23">
        <f t="shared" si="68"/>
        <v>311.65000000000003</v>
      </c>
      <c r="G114" s="33"/>
      <c r="H114" s="23">
        <f t="shared" si="69"/>
        <v>1033.6261159142605</v>
      </c>
      <c r="I114" s="23">
        <f t="shared" si="70"/>
        <v>3.3166247903553998</v>
      </c>
      <c r="J114" s="23">
        <f t="shared" si="71"/>
        <v>33.166247903553995</v>
      </c>
      <c r="K114" s="23"/>
      <c r="L114" s="27">
        <f t="shared" si="72"/>
        <v>1</v>
      </c>
      <c r="M114" s="33">
        <f t="shared" si="73"/>
        <v>11</v>
      </c>
    </row>
    <row r="115" spans="2:13" x14ac:dyDescent="0.2">
      <c r="B115" s="14" t="s">
        <v>1089</v>
      </c>
      <c r="C115" s="23">
        <v>1500</v>
      </c>
      <c r="D115" s="39">
        <v>58257.07</v>
      </c>
      <c r="E115" s="22">
        <v>3</v>
      </c>
      <c r="F115" s="23">
        <f t="shared" si="68"/>
        <v>19419.023333333334</v>
      </c>
      <c r="G115" s="33"/>
      <c r="H115" s="23">
        <f t="shared" si="69"/>
        <v>33634.735046698872</v>
      </c>
      <c r="I115" s="23">
        <f t="shared" si="70"/>
        <v>1.7320508075688772</v>
      </c>
      <c r="J115" s="23">
        <f t="shared" si="71"/>
        <v>2598.076211353316</v>
      </c>
      <c r="K115" s="23"/>
      <c r="L115" s="27">
        <f t="shared" si="72"/>
        <v>0</v>
      </c>
      <c r="M115" s="33">
        <f t="shared" si="73"/>
        <v>0</v>
      </c>
    </row>
    <row r="116" spans="2:13" x14ac:dyDescent="0.2">
      <c r="B116" s="14" t="s">
        <v>1186</v>
      </c>
      <c r="C116" s="23">
        <v>1500</v>
      </c>
      <c r="D116" s="39">
        <v>61619</v>
      </c>
      <c r="E116" s="22">
        <v>2</v>
      </c>
      <c r="F116" s="23">
        <f t="shared" ref="F116" si="74">D116/E116</f>
        <v>30809.5</v>
      </c>
      <c r="G116" s="33"/>
      <c r="H116" s="23">
        <f t="shared" ref="H116" si="75">F116*E116^0.5</f>
        <v>43571.212749933875</v>
      </c>
      <c r="I116" s="23">
        <f t="shared" ref="I116" si="76">E116^0.5</f>
        <v>1.4142135623730951</v>
      </c>
      <c r="J116" s="23">
        <f t="shared" ref="J116" si="77">C116*E116^0.5</f>
        <v>2121.3203435596429</v>
      </c>
      <c r="K116" s="23"/>
      <c r="L116" s="27">
        <f t="shared" ref="L116" si="78">IF(C116&gt;50,0,1)</f>
        <v>0</v>
      </c>
      <c r="M116" s="33">
        <f t="shared" ref="M116" si="79">L116*E116</f>
        <v>0</v>
      </c>
    </row>
    <row r="117" spans="2:13" x14ac:dyDescent="0.2">
      <c r="B117" s="14" t="s">
        <v>1090</v>
      </c>
      <c r="C117" s="23">
        <v>25</v>
      </c>
      <c r="D117" s="39">
        <v>126222.26</v>
      </c>
      <c r="E117" s="22">
        <v>187</v>
      </c>
      <c r="F117" s="23">
        <f t="shared" si="68"/>
        <v>674.9853475935829</v>
      </c>
      <c r="G117" s="33"/>
      <c r="H117" s="23">
        <f t="shared" si="69"/>
        <v>9230.2858049004972</v>
      </c>
      <c r="I117" s="23">
        <f t="shared" si="70"/>
        <v>13.674794331177344</v>
      </c>
      <c r="J117" s="23">
        <f t="shared" si="71"/>
        <v>341.86985827943357</v>
      </c>
      <c r="K117" s="23"/>
      <c r="L117" s="27">
        <f t="shared" si="72"/>
        <v>1</v>
      </c>
      <c r="M117" s="33">
        <f t="shared" si="73"/>
        <v>187</v>
      </c>
    </row>
    <row r="118" spans="2:13" x14ac:dyDescent="0.2">
      <c r="B118" s="14" t="s">
        <v>1091</v>
      </c>
      <c r="C118" s="23">
        <v>15</v>
      </c>
      <c r="D118" s="39">
        <v>920969.19</v>
      </c>
      <c r="E118" s="22">
        <v>1564</v>
      </c>
      <c r="F118" s="23">
        <f t="shared" si="68"/>
        <v>588.85498081841433</v>
      </c>
      <c r="G118" s="33"/>
      <c r="H118" s="23">
        <f t="shared" si="69"/>
        <v>23287.706944046695</v>
      </c>
      <c r="I118" s="23">
        <f t="shared" si="70"/>
        <v>39.547439866570379</v>
      </c>
      <c r="J118" s="23">
        <f t="shared" si="71"/>
        <v>593.2115979985557</v>
      </c>
      <c r="K118" s="23"/>
      <c r="L118" s="27">
        <f t="shared" si="72"/>
        <v>1</v>
      </c>
      <c r="M118" s="33">
        <f t="shared" si="73"/>
        <v>1564</v>
      </c>
    </row>
    <row r="119" spans="2:13" x14ac:dyDescent="0.2">
      <c r="B119" s="14" t="s">
        <v>1092</v>
      </c>
      <c r="C119" s="23">
        <v>25</v>
      </c>
      <c r="D119" s="39">
        <v>210004.55</v>
      </c>
      <c r="E119" s="22">
        <v>373</v>
      </c>
      <c r="F119" s="23">
        <f t="shared" si="68"/>
        <v>563.01487935656837</v>
      </c>
      <c r="G119" s="33"/>
      <c r="H119" s="23">
        <f t="shared" si="69"/>
        <v>10873.623424718204</v>
      </c>
      <c r="I119" s="23">
        <f t="shared" si="70"/>
        <v>19.313207915827967</v>
      </c>
      <c r="J119" s="23">
        <f t="shared" si="71"/>
        <v>482.83019789569914</v>
      </c>
      <c r="K119" s="23"/>
      <c r="L119" s="27">
        <f t="shared" si="72"/>
        <v>1</v>
      </c>
      <c r="M119" s="33">
        <f t="shared" si="73"/>
        <v>373</v>
      </c>
    </row>
    <row r="120" spans="2:13" x14ac:dyDescent="0.2">
      <c r="B120" s="14" t="s">
        <v>1093</v>
      </c>
      <c r="C120" s="23">
        <v>10</v>
      </c>
      <c r="D120" s="39">
        <v>436085.3</v>
      </c>
      <c r="E120" s="22">
        <v>406</v>
      </c>
      <c r="F120" s="23">
        <f t="shared" si="68"/>
        <v>1074.1017241379311</v>
      </c>
      <c r="G120" s="33"/>
      <c r="H120" s="23">
        <f t="shared" si="69"/>
        <v>21642.550048485668</v>
      </c>
      <c r="I120" s="23">
        <f t="shared" si="70"/>
        <v>20.149441679609886</v>
      </c>
      <c r="J120" s="23">
        <f t="shared" si="71"/>
        <v>201.49441679609885</v>
      </c>
      <c r="K120" s="23"/>
      <c r="L120" s="27">
        <f t="shared" si="72"/>
        <v>1</v>
      </c>
      <c r="M120" s="33">
        <f t="shared" si="73"/>
        <v>406</v>
      </c>
    </row>
    <row r="121" spans="2:13" x14ac:dyDescent="0.2">
      <c r="B121" s="14" t="s">
        <v>1094</v>
      </c>
      <c r="C121" s="23">
        <v>25</v>
      </c>
      <c r="D121" s="39">
        <v>1370283.83</v>
      </c>
      <c r="E121" s="22">
        <v>1343</v>
      </c>
      <c r="F121" s="23">
        <f t="shared" si="68"/>
        <v>1020.315584512286</v>
      </c>
      <c r="G121" s="33"/>
      <c r="H121" s="23">
        <f t="shared" si="69"/>
        <v>37391.468906077818</v>
      </c>
      <c r="I121" s="23">
        <f t="shared" si="70"/>
        <v>36.646964403617389</v>
      </c>
      <c r="J121" s="23">
        <f t="shared" si="71"/>
        <v>916.17411009043474</v>
      </c>
      <c r="K121" s="23"/>
      <c r="L121" s="27">
        <f t="shared" si="72"/>
        <v>1</v>
      </c>
      <c r="M121" s="33">
        <f t="shared" si="73"/>
        <v>1343</v>
      </c>
    </row>
    <row r="122" spans="2:13" x14ac:dyDescent="0.2">
      <c r="B122" s="14" t="s">
        <v>1095</v>
      </c>
      <c r="C122" s="23">
        <v>37.5</v>
      </c>
      <c r="D122" s="39">
        <v>4164.43</v>
      </c>
      <c r="E122" s="22">
        <v>8</v>
      </c>
      <c r="F122" s="23">
        <f t="shared" si="68"/>
        <v>520.55375000000004</v>
      </c>
      <c r="G122" s="33"/>
      <c r="H122" s="23">
        <f t="shared" si="69"/>
        <v>1472.3483463883472</v>
      </c>
      <c r="I122" s="23">
        <f t="shared" si="70"/>
        <v>2.8284271247461903</v>
      </c>
      <c r="J122" s="23">
        <f t="shared" si="71"/>
        <v>106.06601717798213</v>
      </c>
      <c r="K122" s="23"/>
      <c r="L122" s="27">
        <f t="shared" si="72"/>
        <v>1</v>
      </c>
      <c r="M122" s="33">
        <f t="shared" si="73"/>
        <v>8</v>
      </c>
    </row>
    <row r="123" spans="2:13" x14ac:dyDescent="0.2">
      <c r="B123" s="14" t="s">
        <v>1187</v>
      </c>
      <c r="C123" s="23">
        <v>37.5</v>
      </c>
      <c r="D123" s="39">
        <v>5625</v>
      </c>
      <c r="E123" s="22">
        <v>3</v>
      </c>
      <c r="F123" s="23">
        <f t="shared" ref="F123" si="80">D123/E123</f>
        <v>1875</v>
      </c>
      <c r="G123" s="33"/>
      <c r="H123" s="23">
        <f t="shared" ref="H123" si="81">F123*E123^0.5</f>
        <v>3247.5952641916447</v>
      </c>
      <c r="I123" s="23">
        <f t="shared" ref="I123" si="82">E123^0.5</f>
        <v>1.7320508075688772</v>
      </c>
      <c r="J123" s="23">
        <f t="shared" ref="J123" si="83">C123*E123^0.5</f>
        <v>64.9519052838329</v>
      </c>
      <c r="K123" s="23"/>
      <c r="L123" s="27">
        <f t="shared" ref="L123" si="84">IF(C123&gt;50,0,1)</f>
        <v>1</v>
      </c>
      <c r="M123" s="33">
        <f t="shared" ref="M123" si="85">L123*E123</f>
        <v>3</v>
      </c>
    </row>
    <row r="124" spans="2:13" x14ac:dyDescent="0.2">
      <c r="B124" s="14" t="s">
        <v>1096</v>
      </c>
      <c r="C124" s="23">
        <v>250</v>
      </c>
      <c r="D124" s="39">
        <v>72049.490000000005</v>
      </c>
      <c r="E124" s="22">
        <v>24</v>
      </c>
      <c r="F124" s="23">
        <f t="shared" si="68"/>
        <v>3002.0620833333337</v>
      </c>
      <c r="G124" s="33"/>
      <c r="H124" s="23">
        <f t="shared" si="69"/>
        <v>14707.040560646597</v>
      </c>
      <c r="I124" s="23">
        <f t="shared" si="70"/>
        <v>4.8989794855663558</v>
      </c>
      <c r="J124" s="23">
        <f t="shared" si="71"/>
        <v>1224.744871391589</v>
      </c>
      <c r="K124" s="23"/>
      <c r="L124" s="27">
        <f t="shared" si="72"/>
        <v>0</v>
      </c>
      <c r="M124" s="33">
        <f t="shared" si="73"/>
        <v>0</v>
      </c>
    </row>
    <row r="125" spans="2:13" x14ac:dyDescent="0.2">
      <c r="B125" s="14" t="s">
        <v>1097</v>
      </c>
      <c r="C125" s="23">
        <v>5</v>
      </c>
      <c r="D125" s="39">
        <v>12467.01</v>
      </c>
      <c r="E125" s="22">
        <v>29</v>
      </c>
      <c r="F125" s="23">
        <f t="shared" si="68"/>
        <v>429.89689655172413</v>
      </c>
      <c r="G125" s="33"/>
      <c r="H125" s="23">
        <f t="shared" si="69"/>
        <v>2315.0656380066871</v>
      </c>
      <c r="I125" s="23">
        <f t="shared" si="70"/>
        <v>5.3851648071345037</v>
      </c>
      <c r="J125" s="23">
        <f t="shared" si="71"/>
        <v>26.92582403567252</v>
      </c>
      <c r="K125" s="23"/>
      <c r="L125" s="27">
        <f t="shared" si="72"/>
        <v>1</v>
      </c>
      <c r="M125" s="33">
        <f t="shared" si="73"/>
        <v>29</v>
      </c>
    </row>
    <row r="126" spans="2:13" x14ac:dyDescent="0.2">
      <c r="B126" s="14" t="s">
        <v>1098</v>
      </c>
      <c r="C126" s="23">
        <v>5</v>
      </c>
      <c r="D126" s="39">
        <v>8120.66</v>
      </c>
      <c r="E126" s="22">
        <v>17</v>
      </c>
      <c r="F126" s="23">
        <f t="shared" si="68"/>
        <v>477.68588235294118</v>
      </c>
      <c r="G126" s="33"/>
      <c r="H126" s="23">
        <f t="shared" si="69"/>
        <v>1969.5493488075479</v>
      </c>
      <c r="I126" s="23">
        <f t="shared" si="70"/>
        <v>4.1231056256176606</v>
      </c>
      <c r="J126" s="23">
        <f t="shared" si="71"/>
        <v>20.615528128088304</v>
      </c>
      <c r="K126" s="23"/>
      <c r="L126" s="27">
        <f t="shared" si="72"/>
        <v>1</v>
      </c>
      <c r="M126" s="33">
        <f t="shared" si="73"/>
        <v>17</v>
      </c>
    </row>
    <row r="127" spans="2:13" x14ac:dyDescent="0.2">
      <c r="B127" s="14" t="s">
        <v>1099</v>
      </c>
      <c r="C127" s="23">
        <v>100</v>
      </c>
      <c r="D127" s="39">
        <v>41620.120000000003</v>
      </c>
      <c r="E127" s="22">
        <v>12</v>
      </c>
      <c r="F127" s="23">
        <f t="shared" si="68"/>
        <v>3468.3433333333337</v>
      </c>
      <c r="G127" s="33"/>
      <c r="H127" s="23">
        <f t="shared" si="69"/>
        <v>12014.693742852263</v>
      </c>
      <c r="I127" s="23">
        <f t="shared" si="70"/>
        <v>3.4641016151377544</v>
      </c>
      <c r="J127" s="23">
        <f t="shared" si="71"/>
        <v>346.41016151377545</v>
      </c>
      <c r="K127" s="23"/>
      <c r="L127" s="27">
        <f t="shared" si="72"/>
        <v>0</v>
      </c>
      <c r="M127" s="33">
        <f t="shared" si="73"/>
        <v>0</v>
      </c>
    </row>
    <row r="128" spans="2:13" x14ac:dyDescent="0.2">
      <c r="B128" s="14" t="s">
        <v>1100</v>
      </c>
      <c r="C128" s="23">
        <v>75</v>
      </c>
      <c r="D128" s="39">
        <v>72702.67</v>
      </c>
      <c r="E128" s="22">
        <v>20</v>
      </c>
      <c r="F128" s="23">
        <f t="shared" si="68"/>
        <v>3635.1334999999999</v>
      </c>
      <c r="G128" s="33"/>
      <c r="H128" s="23">
        <f t="shared" si="69"/>
        <v>16256.811226573464</v>
      </c>
      <c r="I128" s="23">
        <f t="shared" si="70"/>
        <v>4.4721359549995796</v>
      </c>
      <c r="J128" s="23">
        <f t="shared" si="71"/>
        <v>335.41019662496848</v>
      </c>
      <c r="K128" s="23"/>
      <c r="L128" s="27">
        <f t="shared" si="72"/>
        <v>0</v>
      </c>
      <c r="M128" s="33">
        <f t="shared" si="73"/>
        <v>0</v>
      </c>
    </row>
    <row r="129" spans="2:13" x14ac:dyDescent="0.2">
      <c r="B129" s="14" t="s">
        <v>1101</v>
      </c>
      <c r="C129" s="23">
        <v>25</v>
      </c>
      <c r="D129" s="39">
        <v>1024109.13</v>
      </c>
      <c r="E129" s="22">
        <v>879</v>
      </c>
      <c r="F129" s="23">
        <f t="shared" si="68"/>
        <v>1165.0843344709897</v>
      </c>
      <c r="G129" s="33"/>
      <c r="H129" s="23">
        <f t="shared" si="69"/>
        <v>34542.343640113861</v>
      </c>
      <c r="I129" s="23">
        <f t="shared" si="70"/>
        <v>29.647934160747187</v>
      </c>
      <c r="J129" s="23">
        <f t="shared" si="71"/>
        <v>741.19835401867965</v>
      </c>
      <c r="K129" s="23"/>
      <c r="L129" s="27">
        <f t="shared" si="72"/>
        <v>1</v>
      </c>
      <c r="M129" s="33">
        <f t="shared" si="73"/>
        <v>879</v>
      </c>
    </row>
    <row r="130" spans="2:13" x14ac:dyDescent="0.2">
      <c r="B130" s="14" t="s">
        <v>1102</v>
      </c>
      <c r="C130" s="23">
        <v>333</v>
      </c>
      <c r="D130" s="39">
        <v>39903.199999999997</v>
      </c>
      <c r="E130" s="22">
        <v>6</v>
      </c>
      <c r="F130" s="23">
        <f t="shared" si="68"/>
        <v>6650.5333333333328</v>
      </c>
      <c r="G130" s="33"/>
      <c r="H130" s="23">
        <f t="shared" si="69"/>
        <v>16290.413184037616</v>
      </c>
      <c r="I130" s="23">
        <f t="shared" si="70"/>
        <v>2.4494897427831779</v>
      </c>
      <c r="J130" s="23">
        <f t="shared" si="71"/>
        <v>815.68008434679825</v>
      </c>
      <c r="K130" s="23"/>
      <c r="L130" s="27">
        <f t="shared" si="72"/>
        <v>0</v>
      </c>
      <c r="M130" s="33">
        <f t="shared" si="73"/>
        <v>0</v>
      </c>
    </row>
    <row r="131" spans="2:13" x14ac:dyDescent="0.2">
      <c r="B131" s="14" t="s">
        <v>1103</v>
      </c>
      <c r="C131" s="23">
        <v>100</v>
      </c>
      <c r="D131" s="39">
        <v>84318.080000000002</v>
      </c>
      <c r="E131" s="22">
        <v>35</v>
      </c>
      <c r="F131" s="23">
        <f t="shared" si="68"/>
        <v>2409.0880000000002</v>
      </c>
      <c r="G131" s="33"/>
      <c r="H131" s="23">
        <f t="shared" si="69"/>
        <v>14252.356812507889</v>
      </c>
      <c r="I131" s="23">
        <f t="shared" si="70"/>
        <v>5.9160797830996161</v>
      </c>
      <c r="J131" s="23">
        <f t="shared" si="71"/>
        <v>591.6079783099616</v>
      </c>
      <c r="K131" s="23"/>
      <c r="L131" s="27">
        <f t="shared" si="72"/>
        <v>0</v>
      </c>
      <c r="M131" s="33">
        <f t="shared" si="73"/>
        <v>0</v>
      </c>
    </row>
    <row r="132" spans="2:13" x14ac:dyDescent="0.2">
      <c r="B132" s="14" t="s">
        <v>1104</v>
      </c>
      <c r="C132" s="23">
        <v>167</v>
      </c>
      <c r="D132" s="39">
        <v>2004.4</v>
      </c>
      <c r="E132" s="22">
        <v>1</v>
      </c>
      <c r="F132" s="23">
        <f t="shared" si="68"/>
        <v>2004.4</v>
      </c>
      <c r="G132" s="33"/>
      <c r="H132" s="23">
        <f t="shared" si="69"/>
        <v>2004.4</v>
      </c>
      <c r="I132" s="23">
        <f t="shared" si="70"/>
        <v>1</v>
      </c>
      <c r="J132" s="23">
        <f t="shared" si="71"/>
        <v>167</v>
      </c>
      <c r="K132" s="23"/>
      <c r="L132" s="27">
        <f t="shared" si="72"/>
        <v>0</v>
      </c>
      <c r="M132" s="33">
        <f t="shared" si="73"/>
        <v>0</v>
      </c>
    </row>
    <row r="133" spans="2:13" x14ac:dyDescent="0.2">
      <c r="B133" s="14" t="s">
        <v>1105</v>
      </c>
      <c r="C133" s="23">
        <v>250</v>
      </c>
      <c r="D133" s="39">
        <v>58556.3</v>
      </c>
      <c r="E133" s="22">
        <v>13</v>
      </c>
      <c r="F133" s="23">
        <f t="shared" si="68"/>
        <v>4504.3307692307699</v>
      </c>
      <c r="G133" s="33"/>
      <c r="H133" s="23">
        <f t="shared" si="69"/>
        <v>16240.595550111693</v>
      </c>
      <c r="I133" s="23">
        <f t="shared" si="70"/>
        <v>3.6055512754639891</v>
      </c>
      <c r="J133" s="23">
        <f t="shared" si="71"/>
        <v>901.38781886599725</v>
      </c>
      <c r="K133" s="23"/>
      <c r="L133" s="27">
        <f t="shared" si="72"/>
        <v>0</v>
      </c>
      <c r="M133" s="33">
        <f t="shared" si="73"/>
        <v>0</v>
      </c>
    </row>
    <row r="134" spans="2:13" x14ac:dyDescent="0.2">
      <c r="B134" s="14" t="s">
        <v>1106</v>
      </c>
      <c r="C134" s="23">
        <v>25</v>
      </c>
      <c r="D134" s="39">
        <v>739080.25</v>
      </c>
      <c r="E134" s="22">
        <v>429</v>
      </c>
      <c r="F134" s="23">
        <f t="shared" si="68"/>
        <v>1722.7977855477855</v>
      </c>
      <c r="G134" s="33"/>
      <c r="H134" s="23">
        <f t="shared" si="69"/>
        <v>35683.130720861693</v>
      </c>
      <c r="I134" s="23">
        <f t="shared" si="70"/>
        <v>20.71231517720798</v>
      </c>
      <c r="J134" s="23">
        <f t="shared" si="71"/>
        <v>517.80787943019948</v>
      </c>
      <c r="K134" s="23"/>
      <c r="L134" s="27">
        <f t="shared" si="72"/>
        <v>1</v>
      </c>
      <c r="M134" s="33">
        <f t="shared" si="73"/>
        <v>429</v>
      </c>
    </row>
    <row r="135" spans="2:13" x14ac:dyDescent="0.2">
      <c r="B135" s="14" t="s">
        <v>1107</v>
      </c>
      <c r="C135" s="23">
        <v>50</v>
      </c>
      <c r="D135" s="39">
        <v>400252.73</v>
      </c>
      <c r="E135" s="22">
        <v>210</v>
      </c>
      <c r="F135" s="23">
        <f t="shared" si="68"/>
        <v>1905.9653809523809</v>
      </c>
      <c r="G135" s="33"/>
      <c r="H135" s="23">
        <f t="shared" si="69"/>
        <v>27620.062400575425</v>
      </c>
      <c r="I135" s="23">
        <f t="shared" si="70"/>
        <v>14.491376746189438</v>
      </c>
      <c r="J135" s="23">
        <f t="shared" si="71"/>
        <v>724.56883730947186</v>
      </c>
      <c r="K135" s="23"/>
      <c r="L135" s="27">
        <f t="shared" si="72"/>
        <v>1</v>
      </c>
      <c r="M135" s="33">
        <f t="shared" si="73"/>
        <v>210</v>
      </c>
    </row>
    <row r="136" spans="2:13" x14ac:dyDescent="0.2">
      <c r="B136" s="14" t="s">
        <v>1108</v>
      </c>
      <c r="C136" s="23">
        <v>25</v>
      </c>
      <c r="D136" s="39">
        <v>609118.06999999995</v>
      </c>
      <c r="E136" s="22">
        <v>343</v>
      </c>
      <c r="F136" s="23">
        <f t="shared" si="68"/>
        <v>1775.8544314868802</v>
      </c>
      <c r="G136" s="33"/>
      <c r="H136" s="23">
        <f t="shared" si="69"/>
        <v>32889.284332563941</v>
      </c>
      <c r="I136" s="23">
        <f t="shared" si="70"/>
        <v>18.520259177452136</v>
      </c>
      <c r="J136" s="23">
        <f t="shared" si="71"/>
        <v>463.00647943630338</v>
      </c>
      <c r="K136" s="23"/>
      <c r="L136" s="27">
        <f t="shared" si="72"/>
        <v>1</v>
      </c>
      <c r="M136" s="33">
        <f t="shared" si="73"/>
        <v>343</v>
      </c>
    </row>
    <row r="137" spans="2:13" x14ac:dyDescent="0.2">
      <c r="B137" s="14" t="s">
        <v>1109</v>
      </c>
      <c r="C137" s="23">
        <v>50</v>
      </c>
      <c r="D137" s="39">
        <v>228126.27</v>
      </c>
      <c r="E137" s="22">
        <v>115</v>
      </c>
      <c r="F137" s="23">
        <f t="shared" si="68"/>
        <v>1983.7066956521737</v>
      </c>
      <c r="G137" s="33"/>
      <c r="H137" s="23">
        <f t="shared" si="69"/>
        <v>21272.8843660928</v>
      </c>
      <c r="I137" s="23">
        <f t="shared" si="70"/>
        <v>10.723805294763608</v>
      </c>
      <c r="J137" s="23">
        <f t="shared" si="71"/>
        <v>536.19026473818042</v>
      </c>
      <c r="K137" s="23"/>
      <c r="L137" s="27">
        <f t="shared" si="72"/>
        <v>1</v>
      </c>
      <c r="M137" s="33">
        <f t="shared" si="73"/>
        <v>115</v>
      </c>
    </row>
    <row r="138" spans="2:13" x14ac:dyDescent="0.2">
      <c r="B138" s="14" t="s">
        <v>1110</v>
      </c>
      <c r="C138" s="23">
        <v>500</v>
      </c>
      <c r="D138" s="39">
        <v>110138.78</v>
      </c>
      <c r="E138" s="22">
        <v>12</v>
      </c>
      <c r="F138" s="23">
        <f t="shared" si="68"/>
        <v>9178.2316666666666</v>
      </c>
      <c r="G138" s="33"/>
      <c r="H138" s="23">
        <f t="shared" si="69"/>
        <v>31794.327140608482</v>
      </c>
      <c r="I138" s="23">
        <f t="shared" si="70"/>
        <v>3.4641016151377544</v>
      </c>
      <c r="J138" s="23">
        <f t="shared" si="71"/>
        <v>1732.0508075688772</v>
      </c>
      <c r="K138" s="23"/>
      <c r="L138" s="27">
        <f t="shared" si="72"/>
        <v>0</v>
      </c>
      <c r="M138" s="33">
        <f t="shared" si="73"/>
        <v>0</v>
      </c>
    </row>
    <row r="139" spans="2:13" x14ac:dyDescent="0.2">
      <c r="B139" s="14" t="s">
        <v>1111</v>
      </c>
      <c r="C139" s="23">
        <v>15</v>
      </c>
      <c r="D139" s="39">
        <v>94727.02</v>
      </c>
      <c r="E139" s="22">
        <v>56</v>
      </c>
      <c r="F139" s="23">
        <f t="shared" si="68"/>
        <v>1691.5539285714287</v>
      </c>
      <c r="G139" s="33"/>
      <c r="H139" s="23">
        <f t="shared" si="69"/>
        <v>12658.430503931533</v>
      </c>
      <c r="I139" s="23">
        <f t="shared" si="70"/>
        <v>7.4833147735478827</v>
      </c>
      <c r="J139" s="23">
        <f t="shared" si="71"/>
        <v>112.24972160321823</v>
      </c>
      <c r="K139" s="23"/>
      <c r="L139" s="27">
        <f t="shared" si="72"/>
        <v>1</v>
      </c>
      <c r="M139" s="33">
        <f t="shared" si="73"/>
        <v>56</v>
      </c>
    </row>
    <row r="140" spans="2:13" x14ac:dyDescent="0.2">
      <c r="B140" s="14" t="s">
        <v>1112</v>
      </c>
      <c r="C140" s="23">
        <v>10</v>
      </c>
      <c r="D140" s="39">
        <v>474433.65</v>
      </c>
      <c r="E140" s="22">
        <v>803</v>
      </c>
      <c r="F140" s="23">
        <f t="shared" si="68"/>
        <v>590.82646326276461</v>
      </c>
      <c r="G140" s="33"/>
      <c r="H140" s="23">
        <f t="shared" si="69"/>
        <v>16742.399931979413</v>
      </c>
      <c r="I140" s="23">
        <f t="shared" si="70"/>
        <v>28.337254630609507</v>
      </c>
      <c r="J140" s="23">
        <f t="shared" si="71"/>
        <v>283.37254630609505</v>
      </c>
      <c r="K140" s="23"/>
      <c r="L140" s="27">
        <f t="shared" si="72"/>
        <v>1</v>
      </c>
      <c r="M140" s="33">
        <f t="shared" si="73"/>
        <v>803</v>
      </c>
    </row>
    <row r="141" spans="2:13" x14ac:dyDescent="0.2">
      <c r="B141" s="14" t="s">
        <v>1113</v>
      </c>
      <c r="C141" s="23">
        <v>15</v>
      </c>
      <c r="D141" s="39">
        <v>1205151.48</v>
      </c>
      <c r="E141" s="22">
        <v>1619</v>
      </c>
      <c r="F141" s="23">
        <f t="shared" si="68"/>
        <v>744.38016059295865</v>
      </c>
      <c r="G141" s="33"/>
      <c r="H141" s="23">
        <f t="shared" si="69"/>
        <v>29951.474959027342</v>
      </c>
      <c r="I141" s="23">
        <f t="shared" si="70"/>
        <v>40.23679907746142</v>
      </c>
      <c r="J141" s="23">
        <f t="shared" si="71"/>
        <v>603.55198616192126</v>
      </c>
      <c r="K141" s="23"/>
      <c r="L141" s="27">
        <f t="shared" si="72"/>
        <v>1</v>
      </c>
      <c r="M141" s="33">
        <f t="shared" si="73"/>
        <v>1619</v>
      </c>
    </row>
    <row r="142" spans="2:13" x14ac:dyDescent="0.2">
      <c r="B142" s="14" t="s">
        <v>1114</v>
      </c>
      <c r="C142" s="23">
        <v>300</v>
      </c>
      <c r="D142" s="39">
        <v>57400.1</v>
      </c>
      <c r="E142" s="22">
        <v>8</v>
      </c>
      <c r="F142" s="23">
        <f t="shared" si="68"/>
        <v>7175.0124999999998</v>
      </c>
      <c r="G142" s="33"/>
      <c r="H142" s="23">
        <f t="shared" si="69"/>
        <v>20293.999975392973</v>
      </c>
      <c r="I142" s="23">
        <f t="shared" si="70"/>
        <v>2.8284271247461903</v>
      </c>
      <c r="J142" s="23">
        <f t="shared" si="71"/>
        <v>848.52813742385706</v>
      </c>
      <c r="K142" s="23"/>
      <c r="L142" s="27">
        <f t="shared" si="72"/>
        <v>0</v>
      </c>
      <c r="M142" s="33">
        <f t="shared" si="73"/>
        <v>0</v>
      </c>
    </row>
    <row r="143" spans="2:13" x14ac:dyDescent="0.2">
      <c r="B143" s="14" t="s">
        <v>1115</v>
      </c>
      <c r="C143" s="23">
        <v>25</v>
      </c>
      <c r="D143" s="39">
        <v>218439.33</v>
      </c>
      <c r="E143" s="22">
        <v>255</v>
      </c>
      <c r="F143" s="23">
        <f t="shared" si="68"/>
        <v>856.62482352941174</v>
      </c>
      <c r="G143" s="33"/>
      <c r="H143" s="23">
        <f t="shared" si="69"/>
        <v>13679.201457436502</v>
      </c>
      <c r="I143" s="23">
        <f t="shared" si="70"/>
        <v>15.968719422671311</v>
      </c>
      <c r="J143" s="23">
        <f t="shared" si="71"/>
        <v>399.21798556678277</v>
      </c>
      <c r="K143" s="23"/>
      <c r="L143" s="27">
        <f t="shared" si="72"/>
        <v>1</v>
      </c>
      <c r="M143" s="33">
        <f t="shared" si="73"/>
        <v>255</v>
      </c>
    </row>
    <row r="144" spans="2:13" x14ac:dyDescent="0.2">
      <c r="B144" s="14" t="s">
        <v>1116</v>
      </c>
      <c r="C144" s="23">
        <v>225</v>
      </c>
      <c r="D144" s="39">
        <v>5143</v>
      </c>
      <c r="E144" s="22">
        <v>1</v>
      </c>
      <c r="F144" s="23">
        <f t="shared" si="62"/>
        <v>5143</v>
      </c>
      <c r="G144" s="33"/>
      <c r="H144" s="23">
        <f t="shared" si="63"/>
        <v>5143</v>
      </c>
      <c r="I144" s="23">
        <f t="shared" si="64"/>
        <v>1</v>
      </c>
      <c r="J144" s="23">
        <f t="shared" si="65"/>
        <v>225</v>
      </c>
      <c r="K144" s="23"/>
      <c r="L144" s="27">
        <f t="shared" si="66"/>
        <v>0</v>
      </c>
      <c r="M144" s="33">
        <f t="shared" si="67"/>
        <v>0</v>
      </c>
    </row>
    <row r="145" spans="2:13" x14ac:dyDescent="0.2">
      <c r="B145" s="14" t="s">
        <v>1117</v>
      </c>
      <c r="C145" s="23">
        <v>45</v>
      </c>
      <c r="D145" s="39">
        <v>4513</v>
      </c>
      <c r="E145" s="22">
        <v>1</v>
      </c>
      <c r="F145" s="23">
        <f t="shared" si="62"/>
        <v>4513</v>
      </c>
      <c r="G145" s="33"/>
      <c r="H145" s="23">
        <f t="shared" si="63"/>
        <v>4513</v>
      </c>
      <c r="I145" s="23">
        <f t="shared" si="64"/>
        <v>1</v>
      </c>
      <c r="J145" s="23">
        <f t="shared" si="65"/>
        <v>45</v>
      </c>
      <c r="K145" s="23"/>
      <c r="L145" s="27">
        <f t="shared" si="66"/>
        <v>1</v>
      </c>
      <c r="M145" s="33">
        <f t="shared" si="67"/>
        <v>1</v>
      </c>
    </row>
    <row r="146" spans="2:13" x14ac:dyDescent="0.2">
      <c r="B146" s="14" t="s">
        <v>1118</v>
      </c>
      <c r="C146" s="23">
        <v>50</v>
      </c>
      <c r="D146" s="39">
        <v>21977.200000000001</v>
      </c>
      <c r="E146" s="22">
        <v>19</v>
      </c>
      <c r="F146" s="23">
        <f t="shared" si="62"/>
        <v>1156.6947368421054</v>
      </c>
      <c r="G146" s="33"/>
      <c r="H146" s="23">
        <f t="shared" si="63"/>
        <v>5041.9154664201114</v>
      </c>
      <c r="I146" s="23">
        <f t="shared" si="64"/>
        <v>4.358898943540674</v>
      </c>
      <c r="J146" s="23">
        <f t="shared" si="65"/>
        <v>217.9449471770337</v>
      </c>
      <c r="K146" s="23"/>
      <c r="L146" s="27">
        <f t="shared" si="66"/>
        <v>1</v>
      </c>
      <c r="M146" s="33">
        <f t="shared" si="67"/>
        <v>19</v>
      </c>
    </row>
    <row r="147" spans="2:13" x14ac:dyDescent="0.2">
      <c r="B147" s="14" t="s">
        <v>1119</v>
      </c>
      <c r="C147" s="23">
        <v>100</v>
      </c>
      <c r="D147" s="39">
        <v>13246</v>
      </c>
      <c r="E147" s="22">
        <v>6</v>
      </c>
      <c r="F147" s="23">
        <f t="shared" si="62"/>
        <v>2207.6666666666665</v>
      </c>
      <c r="G147" s="33"/>
      <c r="H147" s="23">
        <f t="shared" si="63"/>
        <v>5407.6568554843288</v>
      </c>
      <c r="I147" s="23">
        <f t="shared" si="64"/>
        <v>2.4494897427831779</v>
      </c>
      <c r="J147" s="23">
        <f t="shared" si="65"/>
        <v>244.94897427831779</v>
      </c>
      <c r="K147" s="23"/>
      <c r="L147" s="27">
        <f t="shared" si="66"/>
        <v>0</v>
      </c>
      <c r="M147" s="33">
        <f t="shared" si="67"/>
        <v>0</v>
      </c>
    </row>
    <row r="148" spans="2:13" x14ac:dyDescent="0.2">
      <c r="B148" s="14" t="s">
        <v>1120</v>
      </c>
      <c r="C148" s="23">
        <v>250</v>
      </c>
      <c r="D148" s="39">
        <v>3564</v>
      </c>
      <c r="E148" s="22">
        <v>1</v>
      </c>
      <c r="F148" s="23">
        <f t="shared" si="62"/>
        <v>3564</v>
      </c>
      <c r="G148" s="33"/>
      <c r="H148" s="23">
        <f t="shared" si="63"/>
        <v>3564</v>
      </c>
      <c r="I148" s="23">
        <f t="shared" si="64"/>
        <v>1</v>
      </c>
      <c r="J148" s="23">
        <f t="shared" si="65"/>
        <v>250</v>
      </c>
      <c r="K148" s="23"/>
      <c r="L148" s="27">
        <f t="shared" si="66"/>
        <v>0</v>
      </c>
      <c r="M148" s="33">
        <f t="shared" si="67"/>
        <v>0</v>
      </c>
    </row>
    <row r="149" spans="2:13" x14ac:dyDescent="0.2">
      <c r="B149" s="14" t="s">
        <v>1121</v>
      </c>
      <c r="C149" s="23">
        <v>150</v>
      </c>
      <c r="D149" s="39">
        <v>24378</v>
      </c>
      <c r="E149" s="22">
        <v>4</v>
      </c>
      <c r="F149" s="23">
        <f t="shared" si="62"/>
        <v>6094.5</v>
      </c>
      <c r="G149" s="33"/>
      <c r="H149" s="23">
        <f t="shared" si="63"/>
        <v>12189</v>
      </c>
      <c r="I149" s="23">
        <f t="shared" si="64"/>
        <v>2</v>
      </c>
      <c r="J149" s="23">
        <f t="shared" si="65"/>
        <v>300</v>
      </c>
      <c r="K149" s="23"/>
      <c r="L149" s="27">
        <f t="shared" si="66"/>
        <v>0</v>
      </c>
      <c r="M149" s="33">
        <f t="shared" si="67"/>
        <v>0</v>
      </c>
    </row>
    <row r="150" spans="2:13" x14ac:dyDescent="0.2">
      <c r="B150" s="14" t="s">
        <v>1122</v>
      </c>
      <c r="C150" s="23">
        <v>2500</v>
      </c>
      <c r="D150" s="39">
        <v>146117.18</v>
      </c>
      <c r="E150" s="22">
        <v>11</v>
      </c>
      <c r="F150" s="23">
        <f t="shared" si="62"/>
        <v>13283.38</v>
      </c>
      <c r="G150" s="33"/>
      <c r="H150" s="23">
        <f t="shared" si="63"/>
        <v>44055.987407711109</v>
      </c>
      <c r="I150" s="23">
        <f t="shared" si="64"/>
        <v>3.3166247903553998</v>
      </c>
      <c r="J150" s="23">
        <f t="shared" si="65"/>
        <v>8291.5619758884986</v>
      </c>
      <c r="K150" s="23"/>
      <c r="L150" s="27">
        <f t="shared" si="66"/>
        <v>0</v>
      </c>
      <c r="M150" s="33">
        <f t="shared" si="67"/>
        <v>0</v>
      </c>
    </row>
    <row r="151" spans="2:13" x14ac:dyDescent="0.2">
      <c r="B151" s="14" t="s">
        <v>1123</v>
      </c>
      <c r="C151" s="23">
        <v>750</v>
      </c>
      <c r="D151" s="39">
        <v>56356</v>
      </c>
      <c r="E151" s="22">
        <v>5</v>
      </c>
      <c r="F151" s="23">
        <f t="shared" si="62"/>
        <v>11271.2</v>
      </c>
      <c r="G151" s="33"/>
      <c r="H151" s="23">
        <f t="shared" si="63"/>
        <v>25203.169387995633</v>
      </c>
      <c r="I151" s="23">
        <f t="shared" si="64"/>
        <v>2.2360679774997898</v>
      </c>
      <c r="J151" s="23">
        <f t="shared" si="65"/>
        <v>1677.0509831248423</v>
      </c>
      <c r="K151" s="23"/>
      <c r="L151" s="27">
        <f t="shared" si="66"/>
        <v>0</v>
      </c>
      <c r="M151" s="33">
        <f t="shared" si="67"/>
        <v>0</v>
      </c>
    </row>
    <row r="152" spans="2:13" x14ac:dyDescent="0.2">
      <c r="B152" s="14" t="s">
        <v>1124</v>
      </c>
      <c r="C152" s="23">
        <v>1000</v>
      </c>
      <c r="D152" s="39">
        <v>8347</v>
      </c>
      <c r="E152" s="22">
        <v>1</v>
      </c>
      <c r="F152" s="23">
        <f t="shared" si="62"/>
        <v>8347</v>
      </c>
      <c r="G152" s="33"/>
      <c r="H152" s="23">
        <f t="shared" si="63"/>
        <v>8347</v>
      </c>
      <c r="I152" s="23">
        <f t="shared" si="64"/>
        <v>1</v>
      </c>
      <c r="J152" s="23">
        <f t="shared" si="65"/>
        <v>1000</v>
      </c>
      <c r="K152" s="23"/>
      <c r="L152" s="27">
        <f t="shared" si="66"/>
        <v>0</v>
      </c>
      <c r="M152" s="33">
        <f t="shared" si="67"/>
        <v>0</v>
      </c>
    </row>
    <row r="153" spans="2:13" x14ac:dyDescent="0.2">
      <c r="B153" s="14" t="s">
        <v>1125</v>
      </c>
      <c r="C153" s="23">
        <v>75</v>
      </c>
      <c r="D153" s="39">
        <v>21810</v>
      </c>
      <c r="E153" s="22">
        <v>5</v>
      </c>
      <c r="F153" s="23">
        <f t="shared" si="62"/>
        <v>4362</v>
      </c>
      <c r="G153" s="33"/>
      <c r="H153" s="23">
        <f t="shared" si="63"/>
        <v>9753.7285178540824</v>
      </c>
      <c r="I153" s="23">
        <f t="shared" si="64"/>
        <v>2.2360679774997898</v>
      </c>
      <c r="J153" s="23">
        <f t="shared" si="65"/>
        <v>167.70509831248424</v>
      </c>
      <c r="K153" s="23"/>
      <c r="L153" s="27">
        <f t="shared" si="66"/>
        <v>0</v>
      </c>
      <c r="M153" s="33">
        <f t="shared" si="67"/>
        <v>0</v>
      </c>
    </row>
    <row r="154" spans="2:13" x14ac:dyDescent="0.2">
      <c r="B154" s="14" t="s">
        <v>1126</v>
      </c>
      <c r="C154" s="23">
        <v>300</v>
      </c>
      <c r="D154" s="39">
        <v>6374</v>
      </c>
      <c r="E154" s="22">
        <v>1</v>
      </c>
      <c r="F154" s="23">
        <f t="shared" si="62"/>
        <v>6374</v>
      </c>
      <c r="G154" s="33"/>
      <c r="H154" s="23">
        <f t="shared" si="63"/>
        <v>6374</v>
      </c>
      <c r="I154" s="23">
        <f t="shared" si="64"/>
        <v>1</v>
      </c>
      <c r="J154" s="23">
        <f t="shared" si="65"/>
        <v>300</v>
      </c>
      <c r="K154" s="23"/>
      <c r="L154" s="27">
        <f t="shared" si="66"/>
        <v>0</v>
      </c>
      <c r="M154" s="33">
        <f t="shared" si="67"/>
        <v>0</v>
      </c>
    </row>
    <row r="155" spans="2:13" x14ac:dyDescent="0.2">
      <c r="B155" s="14" t="s">
        <v>1127</v>
      </c>
      <c r="C155" s="23">
        <v>1.5</v>
      </c>
      <c r="D155" s="39">
        <v>207827.71</v>
      </c>
      <c r="E155" s="22">
        <v>179</v>
      </c>
      <c r="F155" s="23">
        <f t="shared" si="62"/>
        <v>1161.048659217877</v>
      </c>
      <c r="G155" s="33"/>
      <c r="H155" s="23">
        <f t="shared" si="63"/>
        <v>15533.772370027242</v>
      </c>
      <c r="I155" s="23">
        <f t="shared" si="64"/>
        <v>13.379088160259652</v>
      </c>
      <c r="J155" s="23">
        <f t="shared" si="65"/>
        <v>20.068632240389476</v>
      </c>
      <c r="K155" s="23"/>
      <c r="L155" s="27">
        <f t="shared" si="66"/>
        <v>1</v>
      </c>
      <c r="M155" s="33">
        <f t="shared" si="67"/>
        <v>179</v>
      </c>
    </row>
    <row r="156" spans="2:13" x14ac:dyDescent="0.2">
      <c r="B156" s="14" t="s">
        <v>1128</v>
      </c>
      <c r="C156" s="23">
        <v>1.5</v>
      </c>
      <c r="D156" s="39">
        <v>45972.4</v>
      </c>
      <c r="E156" s="22">
        <v>57</v>
      </c>
      <c r="F156" s="23">
        <f t="shared" si="62"/>
        <v>806.5333333333333</v>
      </c>
      <c r="G156" s="33"/>
      <c r="H156" s="23">
        <f t="shared" si="63"/>
        <v>6089.1931331937021</v>
      </c>
      <c r="I156" s="23">
        <f t="shared" si="64"/>
        <v>7.5498344352707498</v>
      </c>
      <c r="J156" s="23">
        <f t="shared" si="65"/>
        <v>11.324751652906125</v>
      </c>
      <c r="K156" s="23"/>
      <c r="L156" s="27">
        <f t="shared" si="66"/>
        <v>1</v>
      </c>
      <c r="M156" s="33">
        <f t="shared" si="67"/>
        <v>57</v>
      </c>
    </row>
    <row r="157" spans="2:13" x14ac:dyDescent="0.2">
      <c r="B157" s="14" t="s">
        <v>1129</v>
      </c>
      <c r="C157" s="23">
        <v>75</v>
      </c>
      <c r="D157" s="39">
        <v>54070.54</v>
      </c>
      <c r="E157" s="22">
        <v>12</v>
      </c>
      <c r="F157" s="23">
        <f t="shared" si="62"/>
        <v>4505.8783333333331</v>
      </c>
      <c r="G157" s="33"/>
      <c r="H157" s="23">
        <f t="shared" si="63"/>
        <v>15608.820412114212</v>
      </c>
      <c r="I157" s="23">
        <f t="shared" si="64"/>
        <v>3.4641016151377544</v>
      </c>
      <c r="J157" s="23">
        <f t="shared" si="65"/>
        <v>259.8076211353316</v>
      </c>
      <c r="K157" s="23"/>
      <c r="L157" s="27">
        <f t="shared" si="66"/>
        <v>0</v>
      </c>
      <c r="M157" s="33">
        <f t="shared" si="67"/>
        <v>0</v>
      </c>
    </row>
    <row r="158" spans="2:13" x14ac:dyDescent="0.2">
      <c r="B158" s="14" t="s">
        <v>1130</v>
      </c>
      <c r="C158" s="23">
        <v>750</v>
      </c>
      <c r="D158" s="39">
        <v>27648.9</v>
      </c>
      <c r="E158" s="22">
        <v>3</v>
      </c>
      <c r="F158" s="23">
        <f t="shared" si="62"/>
        <v>9216.3000000000011</v>
      </c>
      <c r="G158" s="33"/>
      <c r="H158" s="23">
        <f t="shared" si="63"/>
        <v>15963.099857797044</v>
      </c>
      <c r="I158" s="23">
        <f t="shared" si="64"/>
        <v>1.7320508075688772</v>
      </c>
      <c r="J158" s="23">
        <f t="shared" si="65"/>
        <v>1299.038105676658</v>
      </c>
      <c r="K158" s="23"/>
      <c r="L158" s="27">
        <f t="shared" si="66"/>
        <v>0</v>
      </c>
      <c r="M158" s="33">
        <f t="shared" si="67"/>
        <v>0</v>
      </c>
    </row>
    <row r="159" spans="2:13" x14ac:dyDescent="0.2">
      <c r="B159" s="14" t="s">
        <v>1131</v>
      </c>
      <c r="C159" s="23">
        <v>100</v>
      </c>
      <c r="D159" s="39">
        <v>14599.8</v>
      </c>
      <c r="E159" s="22">
        <v>3</v>
      </c>
      <c r="F159" s="23">
        <f t="shared" si="62"/>
        <v>4866.5999999999995</v>
      </c>
      <c r="G159" s="33"/>
      <c r="H159" s="23">
        <f t="shared" si="63"/>
        <v>8429.198460114696</v>
      </c>
      <c r="I159" s="23">
        <f t="shared" si="64"/>
        <v>1.7320508075688772</v>
      </c>
      <c r="J159" s="23">
        <f t="shared" si="65"/>
        <v>173.20508075688772</v>
      </c>
      <c r="K159" s="23"/>
      <c r="L159" s="27">
        <f t="shared" si="66"/>
        <v>0</v>
      </c>
      <c r="M159" s="33">
        <f t="shared" si="67"/>
        <v>0</v>
      </c>
    </row>
    <row r="160" spans="2:13" x14ac:dyDescent="0.2">
      <c r="B160" s="14" t="s">
        <v>1132</v>
      </c>
      <c r="C160" s="23">
        <v>167</v>
      </c>
      <c r="D160" s="39">
        <v>5189</v>
      </c>
      <c r="E160" s="22">
        <v>1</v>
      </c>
      <c r="F160" s="23">
        <f t="shared" si="62"/>
        <v>5189</v>
      </c>
      <c r="G160" s="33"/>
      <c r="H160" s="23">
        <f t="shared" si="63"/>
        <v>5189</v>
      </c>
      <c r="I160" s="23">
        <f t="shared" si="64"/>
        <v>1</v>
      </c>
      <c r="J160" s="23">
        <f t="shared" si="65"/>
        <v>167</v>
      </c>
      <c r="K160" s="23"/>
      <c r="L160" s="27">
        <f t="shared" si="66"/>
        <v>0</v>
      </c>
      <c r="M160" s="33">
        <f t="shared" si="67"/>
        <v>0</v>
      </c>
    </row>
    <row r="161" spans="2:13" x14ac:dyDescent="0.2">
      <c r="B161" s="14" t="s">
        <v>1133</v>
      </c>
      <c r="C161" s="23">
        <v>1000</v>
      </c>
      <c r="D161" s="39">
        <v>33663</v>
      </c>
      <c r="E161" s="22">
        <v>2</v>
      </c>
      <c r="F161" s="23">
        <f t="shared" si="62"/>
        <v>16831.5</v>
      </c>
      <c r="G161" s="33"/>
      <c r="H161" s="23">
        <f t="shared" si="63"/>
        <v>23803.33557508275</v>
      </c>
      <c r="I161" s="23">
        <f t="shared" si="64"/>
        <v>1.4142135623730951</v>
      </c>
      <c r="J161" s="23">
        <f t="shared" si="65"/>
        <v>1414.2135623730951</v>
      </c>
      <c r="K161" s="23"/>
      <c r="L161" s="27">
        <f t="shared" si="66"/>
        <v>0</v>
      </c>
      <c r="M161" s="33">
        <f t="shared" si="67"/>
        <v>0</v>
      </c>
    </row>
    <row r="162" spans="2:13" x14ac:dyDescent="0.2">
      <c r="B162" s="14" t="s">
        <v>1134</v>
      </c>
      <c r="C162" s="23">
        <v>500</v>
      </c>
      <c r="D162" s="39">
        <v>94644.79</v>
      </c>
      <c r="E162" s="22">
        <v>17</v>
      </c>
      <c r="F162" s="23">
        <f t="shared" si="62"/>
        <v>5567.3405882352936</v>
      </c>
      <c r="G162" s="33"/>
      <c r="H162" s="23">
        <f t="shared" si="63"/>
        <v>22954.733299082476</v>
      </c>
      <c r="I162" s="23">
        <f t="shared" si="64"/>
        <v>4.1231056256176606</v>
      </c>
      <c r="J162" s="23">
        <f t="shared" si="65"/>
        <v>2061.5528128088304</v>
      </c>
      <c r="K162" s="23"/>
      <c r="L162" s="27">
        <f t="shared" si="66"/>
        <v>0</v>
      </c>
      <c r="M162" s="33">
        <f t="shared" si="67"/>
        <v>0</v>
      </c>
    </row>
    <row r="163" spans="2:13" x14ac:dyDescent="0.2">
      <c r="B163" s="14" t="s">
        <v>1135</v>
      </c>
      <c r="C163" s="23">
        <v>100</v>
      </c>
      <c r="D163" s="39">
        <v>2560</v>
      </c>
      <c r="E163" s="22">
        <v>1</v>
      </c>
      <c r="F163" s="23">
        <f t="shared" ref="F163" si="86">D163/E163</f>
        <v>2560</v>
      </c>
      <c r="G163" s="33"/>
      <c r="H163" s="23">
        <f t="shared" ref="H163" si="87">F163*E163^0.5</f>
        <v>2560</v>
      </c>
      <c r="I163" s="23">
        <f t="shared" ref="I163" si="88">E163^0.5</f>
        <v>1</v>
      </c>
      <c r="J163" s="23">
        <f t="shared" ref="J163" si="89">C163*E163^0.5</f>
        <v>100</v>
      </c>
      <c r="K163" s="23"/>
      <c r="L163" s="27">
        <f t="shared" ref="L163" si="90">IF(C163&gt;50,0,1)</f>
        <v>0</v>
      </c>
      <c r="M163" s="33">
        <f t="shared" ref="M163" si="91">L163*E163</f>
        <v>0</v>
      </c>
    </row>
    <row r="164" spans="2:13" x14ac:dyDescent="0.2">
      <c r="B164" s="14" t="s">
        <v>1188</v>
      </c>
      <c r="C164" s="23">
        <v>2500</v>
      </c>
      <c r="D164" s="39">
        <v>62861</v>
      </c>
      <c r="E164" s="22">
        <v>1</v>
      </c>
      <c r="F164" s="23">
        <f t="shared" ref="F164" si="92">D164/E164</f>
        <v>62861</v>
      </c>
      <c r="G164" s="33"/>
      <c r="H164" s="23">
        <f t="shared" ref="H164" si="93">F164*E164^0.5</f>
        <v>62861</v>
      </c>
      <c r="I164" s="23">
        <f t="shared" ref="I164" si="94">E164^0.5</f>
        <v>1</v>
      </c>
      <c r="J164" s="23">
        <f t="shared" ref="J164" si="95">C164*E164^0.5</f>
        <v>2500</v>
      </c>
      <c r="K164" s="23"/>
      <c r="L164" s="27">
        <f t="shared" ref="L164" si="96">IF(C164&gt;50,0,1)</f>
        <v>0</v>
      </c>
      <c r="M164" s="33">
        <f t="shared" ref="M164" si="97">L164*E164</f>
        <v>0</v>
      </c>
    </row>
    <row r="165" spans="2:13" x14ac:dyDescent="0.2">
      <c r="B165" s="14" t="s">
        <v>1189</v>
      </c>
      <c r="C165" s="23">
        <v>167</v>
      </c>
      <c r="D165" s="39">
        <v>7895</v>
      </c>
      <c r="E165" s="22">
        <v>1</v>
      </c>
      <c r="F165" s="23">
        <f t="shared" ref="F165" si="98">D165/E165</f>
        <v>7895</v>
      </c>
      <c r="G165" s="33"/>
      <c r="H165" s="23">
        <f t="shared" ref="H165" si="99">F165*E165^0.5</f>
        <v>7895</v>
      </c>
      <c r="I165" s="23">
        <f t="shared" ref="I165" si="100">E165^0.5</f>
        <v>1</v>
      </c>
      <c r="J165" s="23">
        <f t="shared" ref="J165" si="101">C165*E165^0.5</f>
        <v>167</v>
      </c>
      <c r="K165" s="23"/>
      <c r="L165" s="27">
        <f t="shared" ref="L165" si="102">IF(C165&gt;50,0,1)</f>
        <v>0</v>
      </c>
      <c r="M165" s="33">
        <f t="shared" ref="M165" si="103">L165*E165</f>
        <v>0</v>
      </c>
    </row>
    <row r="166" spans="2:13" x14ac:dyDescent="0.2">
      <c r="B166" s="14" t="s">
        <v>1190</v>
      </c>
      <c r="C166" s="23">
        <v>167</v>
      </c>
      <c r="D166" s="39">
        <v>8187</v>
      </c>
      <c r="E166" s="22">
        <v>1</v>
      </c>
      <c r="F166" s="23">
        <f t="shared" si="56"/>
        <v>8187</v>
      </c>
      <c r="G166" s="33"/>
      <c r="H166" s="23">
        <f t="shared" ref="H166" si="104">F166*E166^0.5</f>
        <v>8187</v>
      </c>
      <c r="I166" s="23">
        <f t="shared" ref="I166" si="105">E166^0.5</f>
        <v>1</v>
      </c>
      <c r="J166" s="23">
        <f t="shared" ref="J166" si="106">C166*E166^0.5</f>
        <v>167</v>
      </c>
      <c r="K166" s="23"/>
      <c r="L166" s="27">
        <f t="shared" si="60"/>
        <v>0</v>
      </c>
      <c r="M166" s="33">
        <f t="shared" ref="M166" si="107">L166*E166</f>
        <v>0</v>
      </c>
    </row>
    <row r="167" spans="2:13" x14ac:dyDescent="0.2">
      <c r="B167" s="24" t="s">
        <v>862</v>
      </c>
      <c r="C167" s="177"/>
      <c r="D167" s="34">
        <f>SUM(D97:D166)</f>
        <v>20188286.719999995</v>
      </c>
      <c r="E167" s="35">
        <f>SUM(E97:E166)</f>
        <v>21736</v>
      </c>
      <c r="M167" s="35">
        <f>SUM(M97:M166)</f>
        <v>21383</v>
      </c>
    </row>
    <row r="169" spans="2:13" x14ac:dyDescent="0.2">
      <c r="B169" s="17" t="s">
        <v>979</v>
      </c>
      <c r="H169" s="220" t="s">
        <v>980</v>
      </c>
      <c r="I169" s="220"/>
    </row>
    <row r="171" spans="2:13" x14ac:dyDescent="0.2">
      <c r="B171" s="14" t="s">
        <v>981</v>
      </c>
      <c r="D171" s="36">
        <f>H171</f>
        <v>9.4830422343700427</v>
      </c>
      <c r="H171" s="36">
        <f t="array" ref="H171:I173">LINEST(H97:H166,I97:J166,FALSE,TRUE)</f>
        <v>9.4830422343700427</v>
      </c>
      <c r="I171" s="36">
        <v>718.27443015294421</v>
      </c>
    </row>
    <row r="172" spans="2:13" x14ac:dyDescent="0.2">
      <c r="B172" s="14" t="s">
        <v>982</v>
      </c>
      <c r="D172" s="36">
        <f>I171</f>
        <v>718.27443015294421</v>
      </c>
      <c r="H172" s="36">
        <v>0.93582000844623026</v>
      </c>
      <c r="I172" s="36">
        <v>70.986849502900029</v>
      </c>
    </row>
    <row r="173" spans="2:13" x14ac:dyDescent="0.2">
      <c r="B173" s="14" t="s">
        <v>983</v>
      </c>
      <c r="D173" s="37">
        <f>H173</f>
        <v>0.81001019041959177</v>
      </c>
      <c r="H173" s="36">
        <v>0.81001019041959177</v>
      </c>
      <c r="I173" s="36">
        <v>10007.467473725992</v>
      </c>
    </row>
    <row r="174" spans="2:13" x14ac:dyDescent="0.2">
      <c r="H174" s="36"/>
      <c r="I174" s="36"/>
    </row>
    <row r="175" spans="2:13" x14ac:dyDescent="0.2">
      <c r="B175" s="25" t="s">
        <v>984</v>
      </c>
      <c r="C175" s="38"/>
    </row>
    <row r="176" spans="2:13" x14ac:dyDescent="0.2">
      <c r="C176" s="38"/>
      <c r="F176" s="30"/>
    </row>
    <row r="177" spans="1:8" x14ac:dyDescent="0.2">
      <c r="B177" s="14" t="s">
        <v>985</v>
      </c>
      <c r="C177" s="29" t="s">
        <v>1002</v>
      </c>
      <c r="D177" s="33">
        <f>M167</f>
        <v>21383</v>
      </c>
      <c r="F177" s="30" t="s">
        <v>1003</v>
      </c>
    </row>
    <row r="178" spans="1:8" x14ac:dyDescent="0.2">
      <c r="B178" s="14" t="s">
        <v>986</v>
      </c>
      <c r="C178" s="38"/>
      <c r="D178" s="39">
        <f>D172</f>
        <v>718.27443015294421</v>
      </c>
      <c r="E178" s="26"/>
      <c r="F178" s="30" t="s">
        <v>1004</v>
      </c>
    </row>
    <row r="179" spans="1:8" x14ac:dyDescent="0.2">
      <c r="B179" s="14" t="s">
        <v>987</v>
      </c>
      <c r="C179" s="38"/>
      <c r="D179" s="39">
        <f>MIN(F97:F166)</f>
        <v>278.8319484240688</v>
      </c>
    </row>
    <row r="180" spans="1:8" x14ac:dyDescent="0.2">
      <c r="B180" s="14" t="s">
        <v>988</v>
      </c>
      <c r="C180" s="38"/>
      <c r="D180" s="183" t="s">
        <v>996</v>
      </c>
    </row>
    <row r="181" spans="1:8" x14ac:dyDescent="0.2">
      <c r="B181" s="14" t="s">
        <v>990</v>
      </c>
      <c r="C181" s="38"/>
      <c r="D181" s="40">
        <f>IF(D180="Z",D177*D178,D177*D179)</f>
        <v>15358862.139960406</v>
      </c>
    </row>
    <row r="182" spans="1:8" x14ac:dyDescent="0.2">
      <c r="B182" s="14" t="s">
        <v>991</v>
      </c>
      <c r="C182" s="38"/>
      <c r="D182" s="40">
        <f>D167</f>
        <v>20188286.719999995</v>
      </c>
    </row>
    <row r="183" spans="1:8" x14ac:dyDescent="0.2">
      <c r="B183" s="14" t="s">
        <v>992</v>
      </c>
      <c r="C183" s="38"/>
      <c r="D183" s="41">
        <f>D181/D182</f>
        <v>0.76078086035625758</v>
      </c>
    </row>
    <row r="184" spans="1:8" x14ac:dyDescent="0.2">
      <c r="B184" s="14" t="s">
        <v>993</v>
      </c>
      <c r="C184" s="38"/>
      <c r="D184" s="42">
        <f>D183</f>
        <v>0.76078086035625758</v>
      </c>
    </row>
    <row r="185" spans="1:8" x14ac:dyDescent="0.2">
      <c r="B185" s="14" t="s">
        <v>994</v>
      </c>
      <c r="C185" s="38"/>
      <c r="D185" s="43">
        <f>1-D184</f>
        <v>0.23921913964374242</v>
      </c>
    </row>
    <row r="189" spans="1:8" x14ac:dyDescent="0.2">
      <c r="A189" s="13"/>
      <c r="H189" s="27"/>
    </row>
    <row r="190" spans="1:8" x14ac:dyDescent="0.2">
      <c r="A190" s="13"/>
      <c r="B190" s="156" t="s">
        <v>1005</v>
      </c>
      <c r="C190" s="59" t="s">
        <v>1006</v>
      </c>
      <c r="D190" s="157" t="s">
        <v>10</v>
      </c>
      <c r="E190" s="157" t="s">
        <v>12</v>
      </c>
      <c r="H190" s="59" t="s">
        <v>1046</v>
      </c>
    </row>
    <row r="191" spans="1:8" x14ac:dyDescent="0.2">
      <c r="B191" s="14" t="s">
        <v>201</v>
      </c>
      <c r="C191" s="27">
        <v>365</v>
      </c>
      <c r="D191" s="37">
        <f>D57</f>
        <v>0.40246976167828064</v>
      </c>
      <c r="E191" s="37">
        <f>D56</f>
        <v>0.59753023832171936</v>
      </c>
      <c r="H191" s="185" t="str">
        <f>D52</f>
        <v>Z</v>
      </c>
    </row>
    <row r="192" spans="1:8" x14ac:dyDescent="0.2">
      <c r="B192" s="14" t="s">
        <v>202</v>
      </c>
      <c r="C192" s="27">
        <v>367</v>
      </c>
      <c r="D192" s="37">
        <f>D90</f>
        <v>0.12122049148844327</v>
      </c>
      <c r="E192" s="37">
        <f>D89</f>
        <v>0.87877950851155673</v>
      </c>
      <c r="H192" s="185" t="str">
        <f>D85</f>
        <v>Z</v>
      </c>
    </row>
    <row r="193" spans="2:8" x14ac:dyDescent="0.2">
      <c r="B193" s="14" t="s">
        <v>203</v>
      </c>
      <c r="C193" s="27">
        <v>368</v>
      </c>
      <c r="D193" s="158">
        <f>D185</f>
        <v>0.23921913964374242</v>
      </c>
      <c r="E193" s="158">
        <f>D184</f>
        <v>0.76078086035625758</v>
      </c>
      <c r="H193" s="185" t="str">
        <f>D180</f>
        <v>Z</v>
      </c>
    </row>
    <row r="195" spans="2:8" x14ac:dyDescent="0.2">
      <c r="D195" s="37"/>
      <c r="E195" s="37"/>
    </row>
    <row r="196" spans="2:8" x14ac:dyDescent="0.2">
      <c r="D196" s="37"/>
      <c r="E196" s="37"/>
    </row>
    <row r="197" spans="2:8" x14ac:dyDescent="0.2">
      <c r="D197" s="37"/>
      <c r="E197" s="37"/>
    </row>
    <row r="198" spans="2:8" x14ac:dyDescent="0.2">
      <c r="D198" s="158"/>
      <c r="E198" s="158"/>
    </row>
  </sheetData>
  <mergeCells count="4">
    <mergeCell ref="H41:I41"/>
    <mergeCell ref="H74:I74"/>
    <mergeCell ref="L94:M94"/>
    <mergeCell ref="H169:I169"/>
  </mergeCells>
  <pageMargins left="0.7" right="0.7" top="0.75" bottom="0.75" header="0.3" footer="0.3"/>
  <pageSetup scale="73" fitToHeight="3" orientation="landscape" r:id="rId1"/>
  <headerFooter>
    <oddFooter>&amp;RExhibit JW-8
Page &amp;P of &amp;N</oddFooter>
  </headerFooter>
  <rowBreaks count="2" manualBreakCount="2">
    <brk id="58" max="16383" man="1"/>
    <brk id="91" max="16383" man="1"/>
  </rowBreaks>
  <ignoredErrors>
    <ignoredError sqref="D172 D44 D7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Summary of Returns</vt:lpstr>
      <vt:lpstr>Summary of Rates</vt:lpstr>
      <vt:lpstr>Func &amp; Classif</vt:lpstr>
      <vt:lpstr>Alloc &amp; Returns</vt:lpstr>
      <vt:lpstr>Billing Det</vt:lpstr>
      <vt:lpstr>Purchased Power</vt:lpstr>
      <vt:lpstr>Meters</vt:lpstr>
      <vt:lpstr>Services</vt:lpstr>
      <vt:lpstr>Line Loss Calculation</vt:lpstr>
      <vt:lpstr>ZeroInt</vt:lpstr>
      <vt:lpstr>'Alloc &amp; Returns'!Print_Area</vt:lpstr>
      <vt:lpstr>'Billing Det'!Print_Area</vt:lpstr>
      <vt:lpstr>'Func &amp; Classif'!Print_Area</vt:lpstr>
      <vt:lpstr>Meters!Print_Area</vt:lpstr>
      <vt:lpstr>'Purchased Power'!Print_Area</vt:lpstr>
      <vt:lpstr>Services!Print_Area</vt:lpstr>
      <vt:lpstr>'Summary of Rates'!Print_Area</vt:lpstr>
      <vt:lpstr>'Summary of Returns'!Print_Area</vt:lpstr>
      <vt:lpstr>'Alloc &amp; Returns'!Print_Titles</vt:lpstr>
      <vt:lpstr>'Billing Det'!Print_Titles</vt:lpstr>
      <vt:lpstr>'Func &amp; Classif'!Print_Titles</vt:lpstr>
      <vt:lpstr>ZeroInt!Print_Titles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 Wolfram</cp:lastModifiedBy>
  <cp:lastPrinted>2025-08-04T17:00:54Z</cp:lastPrinted>
  <dcterms:created xsi:type="dcterms:W3CDTF">1999-02-10T22:20:33Z</dcterms:created>
  <dcterms:modified xsi:type="dcterms:W3CDTF">2025-08-04T20:35:04Z</dcterms:modified>
</cp:coreProperties>
</file>